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  <sheet name="Stavební rozpočet - součet" sheetId="2" r:id="rId2"/>
    <sheet name="Výkaz výměr" sheetId="3" r:id="rId3"/>
    <sheet name="Krycí list rozpočtu" sheetId="4" r:id="rId4"/>
    <sheet name="VORN" sheetId="5" r:id="rId5"/>
  </sheets>
  <definedNames>
    <definedName name="vorn_sum">'VORN'!$I$36:$I$36</definedName>
  </definedNames>
  <calcPr fullCalcOnLoad="1"/>
</workbook>
</file>

<file path=xl/sharedStrings.xml><?xml version="1.0" encoding="utf-8"?>
<sst xmlns="http://schemas.openxmlformats.org/spreadsheetml/2006/main" count="1510" uniqueCount="491">
  <si>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</si>
  <si>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</si>
  <si>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</si>
  <si>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</si>
  <si>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</si>
  <si>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</si>
  <si>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</si>
  <si>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</si>
  <si>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</si>
  <si>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</si>
  <si>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</si>
  <si>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</si>
  <si>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</si>
  <si>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</si>
  <si>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</si>
  <si>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</si>
  <si>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</si>
  <si>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</si>
  <si>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</si>
  <si>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</si>
  <si>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</si>
  <si>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</si>
  <si>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</si>
  <si>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</si>
  <si>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</si>
  <si>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</si>
  <si>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</si>
  <si>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</si>
  <si>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</si>
  <si>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</si>
  <si>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</si>
  <si>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</si>
  <si>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</si>
  <si>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</si>
  <si>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</si>
  <si>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</si>
  <si>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</si>
  <si>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</si>
  <si>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</si>
  <si>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</si>
  <si>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</si>
  <si>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</si>
  <si>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</si>
  <si>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</si>
  <si>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</si>
  <si>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</si>
  <si>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</si>
  <si>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</si>
  <si>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</si>
  <si>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</si>
  <si>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</si>
  <si>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</si>
  <si>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</si>
  <si>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</si>
  <si>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</si>
  <si>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</si>
  <si>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</si>
  <si>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</si>
  <si>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</si>
  <si>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</si>
  <si>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</si>
  <si>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</si>
  <si>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</si>
  <si>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</si>
  <si>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</si>
  <si>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</si>
  <si>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</si>
  <si>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</si>
  <si>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</si>
  <si>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</si>
  <si>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</si>
  <si>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</si>
  <si>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</si>
  <si>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</si>
  <si>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Poznámka:</t>
  </si>
  <si>
    <t>Výkaz výměr je zpracován na základě dokumentace k provedení stavby (DPS). Popis prací není vyčerpávající, je souhrnný, tzn. že poskytuje ucelený přehled o rozsahu dodávky pomocí položek, které mají vliv na celkovou cenu díla. Je pouze částí dokumentace. Přiložený výpis prvků je informativní, případná neúplnost a nepřesnosti neovlivní celkovou cenu díla. Nabízející má povinnost si vše zkontrolovat a upozornit na nepřesnosti v rámci nabídkového řízení. Jedná se o výměnu stávajících materiálů, nebyly provedeny sondy z důvodu možného způsobení zatékání.
V cenové nabídce musejí být zohledněny všechny rozpočtové náklady spojené s dokončením a předáním díla bez vad a nedodělků.</t>
  </si>
  <si>
    <t>Objekt</t>
  </si>
  <si>
    <t>Kód</t>
  </si>
  <si>
    <t>314100010RA0</t>
  </si>
  <si>
    <t>317231693R00</t>
  </si>
  <si>
    <t>998011003R00</t>
  </si>
  <si>
    <t>622477245R00</t>
  </si>
  <si>
    <t>627455111RT1</t>
  </si>
  <si>
    <t>627452621RT1</t>
  </si>
  <si>
    <t>713</t>
  </si>
  <si>
    <t>713100010RAE</t>
  </si>
  <si>
    <t>721</t>
  </si>
  <si>
    <t>721300922R00</t>
  </si>
  <si>
    <t>721176115R00</t>
  </si>
  <si>
    <t>998721103R00</t>
  </si>
  <si>
    <t>733</t>
  </si>
  <si>
    <t>733RA0V</t>
  </si>
  <si>
    <t>762</t>
  </si>
  <si>
    <t>762900040RAC</t>
  </si>
  <si>
    <t>762900040RAB</t>
  </si>
  <si>
    <t>762342203RT4</t>
  </si>
  <si>
    <t>762342204RT4</t>
  </si>
  <si>
    <t>762340110RAB</t>
  </si>
  <si>
    <t>762332931R00</t>
  </si>
  <si>
    <t>762088116R00</t>
  </si>
  <si>
    <t>998762103R00</t>
  </si>
  <si>
    <t>764</t>
  </si>
  <si>
    <t>764900035RAA</t>
  </si>
  <si>
    <t>764900040RAA</t>
  </si>
  <si>
    <t>764900020RAA</t>
  </si>
  <si>
    <t>764352010RAE</t>
  </si>
  <si>
    <t>764454010RAF</t>
  </si>
  <si>
    <t>764410010RAE</t>
  </si>
  <si>
    <t>764430010RAE</t>
  </si>
  <si>
    <t>764775338R00</t>
  </si>
  <si>
    <t>998764103R00</t>
  </si>
  <si>
    <t>765</t>
  </si>
  <si>
    <t>765900010RA0</t>
  </si>
  <si>
    <t>765310073RAA</t>
  </si>
  <si>
    <t>765901112R00</t>
  </si>
  <si>
    <t>765312374R00</t>
  </si>
  <si>
    <t>765312687R00</t>
  </si>
  <si>
    <t>765312682R00</t>
  </si>
  <si>
    <t>998765103R00</t>
  </si>
  <si>
    <t>766</t>
  </si>
  <si>
    <t>766624047R00</t>
  </si>
  <si>
    <t>62865191</t>
  </si>
  <si>
    <t>766624052R00</t>
  </si>
  <si>
    <t>766670029RA0</t>
  </si>
  <si>
    <t>998766103R00</t>
  </si>
  <si>
    <t>767</t>
  </si>
  <si>
    <t>767851802R00</t>
  </si>
  <si>
    <t>767851103R00</t>
  </si>
  <si>
    <t>767631800R00</t>
  </si>
  <si>
    <t>998767103R00</t>
  </si>
  <si>
    <t>783</t>
  </si>
  <si>
    <t>783782205R00</t>
  </si>
  <si>
    <t>94</t>
  </si>
  <si>
    <t>47131440RVP</t>
  </si>
  <si>
    <t>941940031RAB</t>
  </si>
  <si>
    <t>941941032RT4</t>
  </si>
  <si>
    <t>941941832RT4</t>
  </si>
  <si>
    <t>96</t>
  </si>
  <si>
    <t>968072244R00</t>
  </si>
  <si>
    <t>968071112R00</t>
  </si>
  <si>
    <t>979017112R00</t>
  </si>
  <si>
    <t>979017192R00</t>
  </si>
  <si>
    <t>966031314R00</t>
  </si>
  <si>
    <t>979087312R00</t>
  </si>
  <si>
    <t>979087392R00</t>
  </si>
  <si>
    <t>97</t>
  </si>
  <si>
    <t>979R00V</t>
  </si>
  <si>
    <t>978015231R00</t>
  </si>
  <si>
    <t>979087311R00</t>
  </si>
  <si>
    <t>979087391R00</t>
  </si>
  <si>
    <t>H00</t>
  </si>
  <si>
    <t>998009101R00</t>
  </si>
  <si>
    <t>M21</t>
  </si>
  <si>
    <t>210200020RA0</t>
  </si>
  <si>
    <t>S</t>
  </si>
  <si>
    <t>979990001R00</t>
  </si>
  <si>
    <t>979990105R00</t>
  </si>
  <si>
    <t>979990161R00</t>
  </si>
  <si>
    <t>979082318R00</t>
  </si>
  <si>
    <t>Gymnázium Brandýs</t>
  </si>
  <si>
    <t>Rekonstrukce střechy</t>
  </si>
  <si>
    <t>Brandýs nad Labem - Stará Boleslav, Královická 668</t>
  </si>
  <si>
    <t>Zkrácený popis / Varianta</t>
  </si>
  <si>
    <t>Rozměry</t>
  </si>
  <si>
    <t>Zdi podpěrné a volné</t>
  </si>
  <si>
    <t>Oprava komína z CP, zbourání a zřízení nového</t>
  </si>
  <si>
    <t>opravy uvažovány v 10% z celkového objemu</t>
  </si>
  <si>
    <t>Zdivo římsové na MVC 2,5, P10</t>
  </si>
  <si>
    <t>cihly pálené</t>
  </si>
  <si>
    <t>opravy uvažovány 30% z celkového objemu</t>
  </si>
  <si>
    <t>Přesun hmot pro budovy zděné výšky do 24 m</t>
  </si>
  <si>
    <t>Úprava povrchů vnější</t>
  </si>
  <si>
    <t>Oprava vnější omítky štukové stěn,sl.IV,do 50%,SMS</t>
  </si>
  <si>
    <t>Spárování starého zdiva z lom. kamene hl. do 8 cm</t>
  </si>
  <si>
    <t>cementovou maltou</t>
  </si>
  <si>
    <t>Oprava spárování komínového zdiva plochy do 20 %</t>
  </si>
  <si>
    <t>Izolace tepelné</t>
  </si>
  <si>
    <t>tloušťka 14 cm</t>
  </si>
  <si>
    <t>Vnitřní kanalizace</t>
  </si>
  <si>
    <t>Pročištění ležatých svodů do DN 300</t>
  </si>
  <si>
    <t>Potrubí HT odpadní svislé D 110 x 2,7 mm</t>
  </si>
  <si>
    <t>Přesun hmot pro vnitřní kanalizaci, výšky do 24 m</t>
  </si>
  <si>
    <t>Rozvod potrubí</t>
  </si>
  <si>
    <t>Demontáž potrubí ocelového, včetně přesunu a likvidace</t>
  </si>
  <si>
    <t>kompletní provedení, nutná prohlídka</t>
  </si>
  <si>
    <t>Konstrukce tesařské</t>
  </si>
  <si>
    <t>Demontáž samostatných prvků krovů</t>
  </si>
  <si>
    <t>laťování</t>
  </si>
  <si>
    <t>bednění</t>
  </si>
  <si>
    <t>Montáž laťování střech, vzdálenost latí 22 - 36 cm</t>
  </si>
  <si>
    <t>včetně dodávky řeziva, latě 4/6 cm</t>
  </si>
  <si>
    <t>Montáž kontralatí přibitím</t>
  </si>
  <si>
    <t>Bednění střech z prken na sraz, impregnace</t>
  </si>
  <si>
    <t>prkna tloušťky 24 mm, včetně dodávky</t>
  </si>
  <si>
    <t>Doplnění střešní vazby z hranolů do 120 cm2 vč.dod</t>
  </si>
  <si>
    <t>námětky cca po 1m, délka 1,5m, profil 60/160mm, výměna nebo vyztužení krokví příložkou 60/160mm - délka 4m, přesné rozměry a délky podle skutečnosti po rozkrytí střechy</t>
  </si>
  <si>
    <t>Zakrývání provizorní plachtou 15x20m,vč.odstranění</t>
  </si>
  <si>
    <t>Přesun hmot pro tesařské konstrukce, výšky do 24 m</t>
  </si>
  <si>
    <t>Konstrukce klempířské</t>
  </si>
  <si>
    <t>Demontáž podokapních žlabů půlkruhových</t>
  </si>
  <si>
    <t>z plechu pozinkovaného</t>
  </si>
  <si>
    <t>Demontáž odpadních trub</t>
  </si>
  <si>
    <t>Demontáž oplechování zdí</t>
  </si>
  <si>
    <t>Žlab z Pz plechu podokapní půlkruhový</t>
  </si>
  <si>
    <t>rš 670 mm, RAL8004</t>
  </si>
  <si>
    <t>Odpadní trouby z Pz plechu kruhové</t>
  </si>
  <si>
    <t>průměru 120 mm, RAL 8004</t>
  </si>
  <si>
    <t>Oplechování parapetů z Pz plechu</t>
  </si>
  <si>
    <t>rš 500 mm, RAL 8004</t>
  </si>
  <si>
    <t>Oplechování zdí z Pz plechu</t>
  </si>
  <si>
    <t>rš proměnná 670-970 mm, RAL 8004, obsahuj římsy, arkýře, úžlabí</t>
  </si>
  <si>
    <t>Přesun hmot pro klempířské konstr., výšky do 24 m</t>
  </si>
  <si>
    <t>Krytina tvrdá</t>
  </si>
  <si>
    <t>Demontáž pálené krytiny</t>
  </si>
  <si>
    <t>tašky režné</t>
  </si>
  <si>
    <t>kompletní provedení včetně hřebenů, detailů,výměn apod.</t>
  </si>
  <si>
    <t>Fólie izolační podstřešní paropropustná</t>
  </si>
  <si>
    <t>Střešní lávka, rošt 800 x 250 mm</t>
  </si>
  <si>
    <t>Taška prostupová s nástavcem odvětrání, režná</t>
  </si>
  <si>
    <t>Taška prostupová s nástavcem pro anténu, režná</t>
  </si>
  <si>
    <t>Přesun hmot pro krytiny tvrdé, výšky do 24 m</t>
  </si>
  <si>
    <t>Konstrukce truhlářské</t>
  </si>
  <si>
    <t>Montáž zateplovací sady pro střešní okna</t>
  </si>
  <si>
    <t>Montáž střešního výlezu rozměr 46/61 cm</t>
  </si>
  <si>
    <t>Okno plastové oblé atyp</t>
  </si>
  <si>
    <t>Přesun hmot pro truhlářské konstr., výšky do 24 m</t>
  </si>
  <si>
    <t>Konstrukce doplňkové stavební (zámečnické)</t>
  </si>
  <si>
    <t>Demontáž komínových lávek - části lávky</t>
  </si>
  <si>
    <t>Montáž komínových lávek-kompletní lávka</t>
  </si>
  <si>
    <t>Demontáž oken pro beztmelé zasklení,vč.zasklení</t>
  </si>
  <si>
    <t>Přesun hmot pro zámečnické konstr., výšky do 24 m</t>
  </si>
  <si>
    <t>Nátěry</t>
  </si>
  <si>
    <t>nátěr stávajících krokví, nové latí, kontralatí</t>
  </si>
  <si>
    <t>Lešení a stavební výtahy</t>
  </si>
  <si>
    <t>montáž, demontáž, nájem na 2 měsíce</t>
  </si>
  <si>
    <t>Lešení lehké fasádní, š. 1 m, výška do 10 m</t>
  </si>
  <si>
    <t>montáž, demontáž, doprava, pronájem 2 měsíce</t>
  </si>
  <si>
    <t>lešení uvažováno pro realizaci střechy A</t>
  </si>
  <si>
    <t>Montáž lešení leh.řad.s podlahami,š.do 1 m, H 30 m</t>
  </si>
  <si>
    <t>položka uvažována pro využití pronajmutého lešení pro další části střech</t>
  </si>
  <si>
    <t>Demontáž lešení leh.řad.s podlahami,š.1 m, H 30 m</t>
  </si>
  <si>
    <t>Bourání konstrukcí</t>
  </si>
  <si>
    <t>Vybourání kovových rámů oken jednod. pl. 1 m2</t>
  </si>
  <si>
    <t>Vyvěšení, zavěšení kovových křídel oken pl. 1,5 m2</t>
  </si>
  <si>
    <t>Svislé přemístění vyb. hmot nošením na H do 3,5 m</t>
  </si>
  <si>
    <t>Příplatek k přemístění vyb.hmot za dalších H 3,5 m</t>
  </si>
  <si>
    <t>Bourání říms cihel, tl. nad 30 cm, vyložení 25 cm</t>
  </si>
  <si>
    <t>bourání uvažováno 30% z celkového objemu</t>
  </si>
  <si>
    <t>Vodorovné přemístění vyb. hmot nošením do 10 m</t>
  </si>
  <si>
    <t>Příplatek za nošení vyb. hmot každých dalších 10 m</t>
  </si>
  <si>
    <t>Prorážení otvorů a ostatní bourací práce</t>
  </si>
  <si>
    <t>Vyklizení půd ručně, včetně přesunu a likvidace</t>
  </si>
  <si>
    <t>Otlučení omítek vnějších MVC v složit.1-4 do 20 %</t>
  </si>
  <si>
    <t>Vodorovné přemístění suti nošením do 10 m</t>
  </si>
  <si>
    <t>Příplatek za nošení suti každých dalších 10 m</t>
  </si>
  <si>
    <t>Běžné stavební práce</t>
  </si>
  <si>
    <t>Přesun hmot lešení samostatně budovaného</t>
  </si>
  <si>
    <t>Elektromontáže</t>
  </si>
  <si>
    <t>Hromosvod</t>
  </si>
  <si>
    <t>nový hromosvod v rozsahu rekonstrukce střechy včetně revize, s využitím stávajících svodů</t>
  </si>
  <si>
    <t>Přesuny sutí</t>
  </si>
  <si>
    <t>Poplatek za skládku stavební suti</t>
  </si>
  <si>
    <t>Poplatek za skládku suti - cihelné výrobky</t>
  </si>
  <si>
    <t>Poplatek za skládku suti - dřevo</t>
  </si>
  <si>
    <t>Vodorovná doprava suti a hmot po suchu do 6000 m</t>
  </si>
  <si>
    <t>Doba výstavby:</t>
  </si>
  <si>
    <t>Začátek výstavby:</t>
  </si>
  <si>
    <t>Konec výstavby:</t>
  </si>
  <si>
    <t>Zpracováno dne:</t>
  </si>
  <si>
    <t>M.j.</t>
  </si>
  <si>
    <t>m</t>
  </si>
  <si>
    <t>m3</t>
  </si>
  <si>
    <t>t</t>
  </si>
  <si>
    <t>m2</t>
  </si>
  <si>
    <t>kompl</t>
  </si>
  <si>
    <t>kus</t>
  </si>
  <si>
    <t>Množství</t>
  </si>
  <si>
    <t>13.06.2017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</si>
  <si>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</si>
  <si>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</si>
  <si>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</si>
  <si>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</si>
  <si>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</si>
  <si>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</si>
  <si>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</si>
  <si>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</si>
  <si>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</si>
  <si>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</si>
  <si>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CHMELS - projekty a systémy s.r.o.</t>
  </si>
  <si>
    <t>Celkem</t>
  </si>
  <si>
    <t>Hmotnost (t)</t>
  </si>
  <si>
    <t>Cenová</t>
  </si>
  <si>
    <t>soustava</t>
  </si>
  <si>
    <t>RTS II / 2016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</si>
  <si>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</si>
  <si>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</si>
  <si>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</si>
  <si>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</si>
  <si>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</si>
  <si>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</si>
  <si>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</si>
  <si>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</si>
  <si>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</si>
  <si>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31_</t>
  </si>
  <si>
    <t>62_</t>
  </si>
  <si>
    <t>713_</t>
  </si>
  <si>
    <t>721_</t>
  </si>
  <si>
    <t>733_</t>
  </si>
  <si>
    <t>762_</t>
  </si>
  <si>
    <t>764_</t>
  </si>
  <si>
    <t>765_</t>
  </si>
  <si>
    <t>766_</t>
  </si>
  <si>
    <t>767_</t>
  </si>
  <si>
    <t>783_</t>
  </si>
  <si>
    <t>94_</t>
  </si>
  <si>
    <t>96_</t>
  </si>
  <si>
    <t>97_</t>
  </si>
  <si>
    <t>H00_</t>
  </si>
  <si>
    <t>M21_</t>
  </si>
  <si>
    <t>S_</t>
  </si>
  <si>
    <t>3_</t>
  </si>
  <si>
    <t>6_</t>
  </si>
  <si>
    <t>71_</t>
  </si>
  <si>
    <t>72_</t>
  </si>
  <si>
    <t>73_</t>
  </si>
  <si>
    <t>76_</t>
  </si>
  <si>
    <t>78_</t>
  </si>
  <si>
    <t>9_</t>
  </si>
  <si>
    <t>_</t>
  </si>
  <si>
    <t>Slepý stavební rozpočet - rekapitulace</t>
  </si>
  <si>
    <t>Zkrácený popis</t>
  </si>
  <si>
    <t>Náklady (Kč) - dodávka</t>
  </si>
  <si>
    <t>Náklady (Kč) - Montáž</t>
  </si>
  <si>
    <t>Náklady (Kč) - celkem</t>
  </si>
  <si>
    <t>Celková hmotnost (t)</t>
  </si>
  <si>
    <t>T</t>
  </si>
  <si>
    <t>Výkaz výměr</t>
  </si>
  <si>
    <t>(59*2)*0,1   Pocet kominu</t>
  </si>
  <si>
    <t>(306,85*0,3*0,3)*0,3   Zlaby</t>
  </si>
  <si>
    <t>(10,29*0,25*0,25)*0,3   Oplechovani arkyru SZ</t>
  </si>
  <si>
    <t>(15,18*0,25*0,25)*0,3   Oplechovani arkyru JZ</t>
  </si>
  <si>
    <t>(2,79*0,25*0,25)*0,3   Oplechovani parapetu SZ</t>
  </si>
  <si>
    <t>(15,00*0,25*0,25)*0,3   Oplechovani parapetu JZ</t>
  </si>
  <si>
    <t>306,85*0,67   Zlaby</t>
  </si>
  <si>
    <t>10,29*0,5   Oplechovani arkyru SZ</t>
  </si>
  <si>
    <t>17,86*0,5   Oplechovani zdi SZ</t>
  </si>
  <si>
    <t>15,18*0,5   Oplechovani arkyru JZ</t>
  </si>
  <si>
    <t>2,79*0,5   Oplechovani parapetu SZ</t>
  </si>
  <si>
    <t>15,00*0,5   Oplechovani parapetu JZ</t>
  </si>
  <si>
    <t>20   Opravy stěn o svodů dešťové kanalizace</t>
  </si>
  <si>
    <t>20   opravy soklu u gaigru a obkladu soklu kamenem</t>
  </si>
  <si>
    <t>(241,75*1,41)*2   Oplechovani kominu</t>
  </si>
  <si>
    <t>213,73*1,31   Strecha A</t>
  </si>
  <si>
    <t>162,09   Ležaté svody</t>
  </si>
  <si>
    <t>6*10</t>
  </si>
  <si>
    <t>10*10</t>
  </si>
  <si>
    <t>453,66*1,41   Strecha D</t>
  </si>
  <si>
    <t>14,50*1,22   Strecha D.1</t>
  </si>
  <si>
    <t>195,11*1,41   Strecha E</t>
  </si>
  <si>
    <t>287,29*1,41   Strecha F</t>
  </si>
  <si>
    <t>105,00*1,41   Strecha G</t>
  </si>
  <si>
    <t>175,13*1,41   Strecha H</t>
  </si>
  <si>
    <t>239,52*1,31   Strecha A_plech</t>
  </si>
  <si>
    <t>492,64*1,41   Strecha D_plech</t>
  </si>
  <si>
    <t>15,73*1,22   Strecha D.1_plech</t>
  </si>
  <si>
    <t>208,63*1,41   Strecha E_plech</t>
  </si>
  <si>
    <t>318,74*1,41   Strecha F_plech</t>
  </si>
  <si>
    <t>109,75*1,41   Strecha G_plech</t>
  </si>
  <si>
    <t>194,12*1,41   Strecha H_plech</t>
  </si>
  <si>
    <t>-2012,5042   Plocha tašky</t>
  </si>
  <si>
    <t>(241,75*1,41)*0,3   Oplechování komínů</t>
  </si>
  <si>
    <t>(10,29*1,41)*0,97   Oplechovani arkyru SZ</t>
  </si>
  <si>
    <t>(8,76*1,41)*0,67   Oplechovani rims SZ</t>
  </si>
  <si>
    <t>(17,86)*0,3   Oplechovani zdi SZ</t>
  </si>
  <si>
    <t>(15,18*1,41)*0,97   Oplechovani arkyru JZ</t>
  </si>
  <si>
    <t>(12,80*1,41)*0,67   Oplechovani rims JZ</t>
  </si>
  <si>
    <t>(18,80*1,41)*0,67   Oplechovani rims SV</t>
  </si>
  <si>
    <t>(33,97*1,41)*0,67   Uzlabi D</t>
  </si>
  <si>
    <t>(8,31*1,21)*0,67   Uzlabi D1</t>
  </si>
  <si>
    <t>(14,55*1,41)*0,67   Uzlabi F</t>
  </si>
  <si>
    <t>(8,05*1,41)*0,67   Uzlabí G</t>
  </si>
  <si>
    <t>(7,30*1,41)*0,67   Uzlabí H</t>
  </si>
  <si>
    <t>187,1284   Zlaby</t>
  </si>
  <si>
    <t>(241,75*1,41)*0,3   Oplechovani kominu</t>
  </si>
  <si>
    <t>306,85*1,5   Zlaby</t>
  </si>
  <si>
    <t>(2012,5042/2)/(15*20)</t>
  </si>
  <si>
    <t>306,85   Zlaby</t>
  </si>
  <si>
    <t>24,55   Svod A</t>
  </si>
  <si>
    <t>14,30   Svod D</t>
  </si>
  <si>
    <t>17,95   Svod F</t>
  </si>
  <si>
    <t>19,07   Svod F</t>
  </si>
  <si>
    <t>16,06   Svod D</t>
  </si>
  <si>
    <t>18,86   Svod F</t>
  </si>
  <si>
    <t>13,82   Svod G</t>
  </si>
  <si>
    <t>31,47   Svod D</t>
  </si>
  <si>
    <t>13,82   Svod H</t>
  </si>
  <si>
    <t>17,32   Svod E</t>
  </si>
  <si>
    <t>241,75*1,41   Oplechovani kominu</t>
  </si>
  <si>
    <t>10,29*1,41   Oplechovani arkyru SZ</t>
  </si>
  <si>
    <t>8,76*1,41   Oplechovani rims SZ</t>
  </si>
  <si>
    <t>17,86*1,41   Oplechovani zdi SZ</t>
  </si>
  <si>
    <t>15,18*1,41   Oplechovani arkyru JZ</t>
  </si>
  <si>
    <t>12,80*1,41   Oplechovani rims JZ</t>
  </si>
  <si>
    <t>18,80*1,41   Oplechovani rims SV</t>
  </si>
  <si>
    <t>2,79   Oplechovani parapetu SZ</t>
  </si>
  <si>
    <t>15,00   Oplechovani parapetu JZ</t>
  </si>
  <si>
    <t>33,97*1,41   Uzlabi D</t>
  </si>
  <si>
    <t>8,31*1,21   Uzlabi D1</t>
  </si>
  <si>
    <t>14,55*1,41   Uzlabi F</t>
  </si>
  <si>
    <t>8,05*1,41   Uzlabí G</t>
  </si>
  <si>
    <t>7,30*1,41   Uzlabí H</t>
  </si>
  <si>
    <t>2,79   Oplechovani parapetu</t>
  </si>
  <si>
    <t>15,00   Oplechovani parapetu</t>
  </si>
  <si>
    <t>12   Střešní okna</t>
  </si>
  <si>
    <t>13,11*1,41   Lavky kominu</t>
  </si>
  <si>
    <t>6   Odvetrani kanalizace</t>
  </si>
  <si>
    <t>10   Rezerva GP</t>
  </si>
  <si>
    <t>16   Stresni vylez</t>
  </si>
  <si>
    <t>(1,35*0,7)*3</t>
  </si>
  <si>
    <t>55,09   Leseni A</t>
  </si>
  <si>
    <t>108,63   Leseni A</t>
  </si>
  <si>
    <t>122,24   Leseni A</t>
  </si>
  <si>
    <t>(0,45*0,55)*16</t>
  </si>
  <si>
    <t>18,46974</t>
  </si>
  <si>
    <t>144,19593</t>
  </si>
  <si>
    <t>17,7918</t>
  </si>
  <si>
    <t>Cenová soustava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</si>
  <si>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</si>
  <si>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</si>
  <si>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</si>
  <si>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</si>
  <si>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</si>
  <si>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</si>
  <si>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</si>
  <si>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</si>
  <si>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</si>
  <si>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</si>
  <si>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</si>
  <si>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</si>
  <si>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</si>
  <si>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</si>
  <si>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</si>
  <si>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</si>
  <si>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</si>
  <si>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</si>
  <si>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</si>
  <si>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</si>
  <si>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</si>
  <si>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</si>
  <si>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</si>
  <si>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</si>
  <si>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</si>
  <si>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</si>
  <si>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</si>
  <si>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</si>
  <si>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</si>
  <si>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</si>
  <si>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</si>
  <si>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</si>
  <si>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</si>
  <si>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</si>
  <si>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</si>
  <si>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</si>
  <si>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</si>
  <si>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</si>
  <si>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</si>
  <si>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</si>
  <si>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</si>
  <si>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</si>
  <si>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</si>
  <si>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</si>
  <si>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24287831/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</si>
  <si>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</si>
  <si>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</si>
  <si>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</si>
  <si>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</si>
  <si>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</si>
  <si>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</si>
  <si>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</si>
  <si>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</si>
  <si>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</si>
  <si>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</si>
  <si>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%</t>
  </si>
  <si>
    <t>Základna</t>
  </si>
  <si>
    <t>Izolace tepelné volně položené</t>
  </si>
  <si>
    <t>Zastřešení pálenou krytinou, složité</t>
  </si>
  <si>
    <t>Střešní výlez 45 x 55 cm otvírání horní</t>
  </si>
  <si>
    <t>Nátěr tesařských konstrukcí 2x</t>
  </si>
  <si>
    <t>Výtah stavební sloupový</t>
  </si>
  <si>
    <t>lešení</t>
  </si>
  <si>
    <t>lemování střeš.oken 78x140 cm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</si>
</sst>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50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10"/>
      <color indexed="60"/>
      <name val="Arial"/>
      <family val="0"/>
    </font>
    <font>
      <sz val="10"/>
      <color indexed="59"/>
      <name val="Arial"/>
      <family val="0"/>
    </font>
    <font>
      <i/>
      <sz val="9"/>
      <color indexed="60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6" fillId="20" borderId="0" applyNumberFormat="0" applyBorder="0" applyAlignment="0" applyProtection="0"/>
    <xf numFmtId="0" fontId="37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68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top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 locked="0"/>
    </xf>
    <xf numFmtId="4" fontId="5" fillId="34" borderId="0" xfId="0" applyNumberFormat="1" applyFont="1" applyFill="1" applyBorder="1" applyAlignment="1" applyProtection="1">
      <alignment horizontal="right" vertical="center"/>
      <protection locked="0"/>
    </xf>
    <xf numFmtId="0" fontId="1" fillId="34" borderId="0" xfId="0" applyNumberFormat="1" applyFont="1" applyFill="1" applyBorder="1" applyAlignment="1" applyProtection="1">
      <alignment vertical="center"/>
      <protection locked="0"/>
    </xf>
    <xf numFmtId="49" fontId="4" fillId="33" borderId="0" xfId="0" applyNumberFormat="1" applyFont="1" applyFill="1" applyBorder="1" applyAlignment="1" applyProtection="1">
      <alignment horizontal="left" vertical="center"/>
      <protection locked="0"/>
    </xf>
    <xf numFmtId="4" fontId="6" fillId="34" borderId="0" xfId="0" applyNumberFormat="1" applyFont="1" applyFill="1" applyBorder="1" applyAlignment="1" applyProtection="1">
      <alignment horizontal="right" vertical="center"/>
      <protection locked="0"/>
    </xf>
    <xf numFmtId="4" fontId="5" fillId="34" borderId="13" xfId="0" applyNumberFormat="1" applyFont="1" applyFill="1" applyBorder="1" applyAlignment="1" applyProtection="1">
      <alignment horizontal="right" vertical="center"/>
      <protection locked="0"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right" vertical="top"/>
      <protection/>
    </xf>
    <xf numFmtId="49" fontId="3" fillId="0" borderId="28" xfId="0" applyNumberFormat="1" applyFont="1" applyFill="1" applyBorder="1" applyAlignment="1" applyProtection="1">
      <alignment horizontal="righ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3" fillId="35" borderId="29" xfId="0" applyNumberFormat="1" applyFont="1" applyFill="1" applyBorder="1" applyAlignment="1" applyProtection="1">
      <alignment horizontal="center" vertical="center"/>
      <protection/>
    </xf>
    <xf numFmtId="49" fontId="14" fillId="0" borderId="30" xfId="0" applyNumberFormat="1" applyFont="1" applyFill="1" applyBorder="1" applyAlignment="1" applyProtection="1">
      <alignment horizontal="left" vertical="center"/>
      <protection/>
    </xf>
    <xf numFmtId="49" fontId="14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15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5" fillId="0" borderId="29" xfId="0" applyNumberFormat="1" applyFont="1" applyFill="1" applyBorder="1" applyAlignment="1" applyProtection="1">
      <alignment horizontal="right" vertical="center"/>
      <protection/>
    </xf>
    <xf numFmtId="49" fontId="15" fillId="0" borderId="29" xfId="0" applyNumberFormat="1" applyFont="1" applyFill="1" applyBorder="1" applyAlignment="1" applyProtection="1">
      <alignment horizontal="right" vertical="center"/>
      <protection/>
    </xf>
    <xf numFmtId="4" fontId="15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4" fontId="14" fillId="35" borderId="37" xfId="0" applyNumberFormat="1" applyFont="1" applyFill="1" applyBorder="1" applyAlignment="1" applyProtection="1">
      <alignment horizontal="right" vertical="center"/>
      <protection/>
    </xf>
    <xf numFmtId="0" fontId="1" fillId="0" borderId="38" xfId="0" applyNumberFormat="1" applyFont="1" applyFill="1" applyBorder="1" applyAlignment="1" applyProtection="1">
      <alignment vertical="center"/>
      <protection/>
    </xf>
    <xf numFmtId="0" fontId="1" fillId="0" borderId="39" xfId="0" applyNumberFormat="1" applyFont="1" applyFill="1" applyBorder="1" applyAlignment="1" applyProtection="1">
      <alignment vertical="center"/>
      <protection/>
    </xf>
    <xf numFmtId="49" fontId="3" fillId="0" borderId="40" xfId="0" applyNumberFormat="1" applyFont="1" applyFill="1" applyBorder="1" applyAlignment="1" applyProtection="1">
      <alignment horizontal="right" vertical="center"/>
      <protection/>
    </xf>
    <xf numFmtId="4" fontId="1" fillId="0" borderId="29" xfId="0" applyNumberFormat="1" applyFont="1" applyFill="1" applyBorder="1" applyAlignment="1" applyProtection="1">
      <alignment horizontal="right" vertical="center"/>
      <protection/>
    </xf>
    <xf numFmtId="4" fontId="1" fillId="0" borderId="20" xfId="0" applyNumberFormat="1" applyFont="1" applyFill="1" applyBorder="1" applyAlignment="1" applyProtection="1">
      <alignment horizontal="right" vertical="center"/>
      <protection/>
    </xf>
    <xf numFmtId="49" fontId="3" fillId="0" borderId="41" xfId="0" applyNumberFormat="1" applyFont="1" applyFill="1" applyBorder="1" applyAlignment="1" applyProtection="1">
      <alignment horizontal="left" vertical="center"/>
      <protection/>
    </xf>
    <xf numFmtId="49" fontId="1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20" xfId="0" applyNumberFormat="1" applyFont="1" applyFill="1" applyBorder="1" applyAlignment="1" applyProtection="1">
      <alignment horizontal="left" vertical="center"/>
      <protection/>
    </xf>
    <xf numFmtId="49" fontId="3" fillId="0" borderId="41" xfId="0" applyNumberFormat="1" applyFont="1" applyFill="1" applyBorder="1" applyAlignment="1" applyProtection="1">
      <alignment horizontal="right" vertical="center"/>
      <protection/>
    </xf>
    <xf numFmtId="4" fontId="3" fillId="0" borderId="41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1" fillId="34" borderId="14" xfId="0" applyNumberFormat="1" applyFont="1" applyFill="1" applyBorder="1" applyAlignment="1" applyProtection="1">
      <alignment horizontal="left" vertical="center"/>
      <protection locked="0"/>
    </xf>
    <xf numFmtId="0" fontId="1" fillId="34" borderId="14" xfId="0" applyNumberFormat="1" applyFont="1" applyFill="1" applyBorder="1" applyAlignment="1" applyProtection="1">
      <alignment horizontal="left" vertical="center"/>
      <protection locked="0"/>
    </xf>
    <xf numFmtId="0" fontId="1" fillId="34" borderId="0" xfId="0" applyNumberFormat="1" applyFont="1" applyFill="1" applyBorder="1" applyAlignment="1" applyProtection="1">
      <alignment horizontal="left" vertical="center"/>
      <protection locked="0"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34" borderId="0" xfId="0" applyNumberFormat="1" applyFont="1" applyFill="1" applyBorder="1" applyAlignment="1" applyProtection="1">
      <alignment horizontal="left" vertical="center"/>
      <protection locked="0"/>
    </xf>
    <xf numFmtId="0" fontId="1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1" fillId="34" borderId="36" xfId="0" applyNumberFormat="1" applyFont="1" applyFill="1" applyBorder="1" applyAlignment="1" applyProtection="1">
      <alignment horizontal="left" vertical="center"/>
      <protection locked="0"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1" fillId="34" borderId="39" xfId="0" applyNumberFormat="1" applyFont="1" applyFill="1" applyBorder="1" applyAlignment="1" applyProtection="1">
      <alignment horizontal="left" vertical="center"/>
      <protection locked="0"/>
    </xf>
    <xf numFmtId="0" fontId="1" fillId="34" borderId="44" xfId="0" applyNumberFormat="1" applyFont="1" applyFill="1" applyBorder="1" applyAlignment="1" applyProtection="1">
      <alignment horizontal="left" vertical="center"/>
      <protection locked="0"/>
    </xf>
    <xf numFmtId="49" fontId="3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47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9" fillId="34" borderId="0" xfId="0" applyNumberFormat="1" applyFont="1" applyFill="1" applyBorder="1" applyAlignment="1" applyProtection="1">
      <alignment horizontal="left" vertical="top"/>
      <protection locked="0"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 wrapText="1"/>
      <protection/>
    </xf>
    <xf numFmtId="0" fontId="1" fillId="0" borderId="48" xfId="0" applyNumberFormat="1" applyFont="1" applyFill="1" applyBorder="1" applyAlignment="1" applyProtection="1">
      <alignment horizontal="left" vertical="center"/>
      <protection/>
    </xf>
    <xf numFmtId="49" fontId="12" fillId="0" borderId="49" xfId="0" applyNumberFormat="1" applyFont="1" applyFill="1" applyBorder="1" applyAlignment="1" applyProtection="1">
      <alignment horizontal="center" vertical="center"/>
      <protection/>
    </xf>
    <xf numFmtId="0" fontId="12" fillId="0" borderId="49" xfId="0" applyNumberFormat="1" applyFont="1" applyFill="1" applyBorder="1" applyAlignment="1" applyProtection="1">
      <alignment horizontal="center" vertical="center"/>
      <protection/>
    </xf>
    <xf numFmtId="49" fontId="16" fillId="0" borderId="50" xfId="0" applyNumberFormat="1" applyFont="1" applyFill="1" applyBorder="1" applyAlignment="1" applyProtection="1">
      <alignment horizontal="left" vertical="center"/>
      <protection/>
    </xf>
    <xf numFmtId="0" fontId="16" fillId="0" borderId="37" xfId="0" applyNumberFormat="1" applyFont="1" applyFill="1" applyBorder="1" applyAlignment="1" applyProtection="1">
      <alignment horizontal="left" vertical="center"/>
      <protection/>
    </xf>
    <xf numFmtId="49" fontId="15" fillId="0" borderId="50" xfId="0" applyNumberFormat="1" applyFont="1" applyFill="1" applyBorder="1" applyAlignment="1" applyProtection="1">
      <alignment horizontal="left" vertical="center"/>
      <protection/>
    </xf>
    <xf numFmtId="0" fontId="15" fillId="0" borderId="37" xfId="0" applyNumberFormat="1" applyFont="1" applyFill="1" applyBorder="1" applyAlignment="1" applyProtection="1">
      <alignment horizontal="left" vertical="center"/>
      <protection/>
    </xf>
    <xf numFmtId="49" fontId="14" fillId="0" borderId="50" xfId="0" applyNumberFormat="1" applyFont="1" applyFill="1" applyBorder="1" applyAlignment="1" applyProtection="1">
      <alignment horizontal="left" vertical="center"/>
      <protection/>
    </xf>
    <xf numFmtId="0" fontId="14" fillId="0" borderId="37" xfId="0" applyNumberFormat="1" applyFont="1" applyFill="1" applyBorder="1" applyAlignment="1" applyProtection="1">
      <alignment horizontal="left" vertical="center"/>
      <protection/>
    </xf>
    <xf numFmtId="49" fontId="14" fillId="35" borderId="50" xfId="0" applyNumberFormat="1" applyFont="1" applyFill="1" applyBorder="1" applyAlignment="1" applyProtection="1">
      <alignment horizontal="left" vertical="center"/>
      <protection/>
    </xf>
    <xf numFmtId="0" fontId="14" fillId="35" borderId="49" xfId="0" applyNumberFormat="1" applyFont="1" applyFill="1" applyBorder="1" applyAlignment="1" applyProtection="1">
      <alignment horizontal="left" vertical="center"/>
      <protection/>
    </xf>
    <xf numFmtId="49" fontId="15" fillId="0" borderId="51" xfId="0" applyNumberFormat="1" applyFont="1" applyFill="1" applyBorder="1" applyAlignment="1" applyProtection="1">
      <alignment horizontal="left" vertical="center"/>
      <protection/>
    </xf>
    <xf numFmtId="0" fontId="15" fillId="0" borderId="12" xfId="0" applyNumberFormat="1" applyFont="1" applyFill="1" applyBorder="1" applyAlignment="1" applyProtection="1">
      <alignment horizontal="left" vertical="center"/>
      <protection/>
    </xf>
    <xf numFmtId="0" fontId="15" fillId="0" borderId="52" xfId="0" applyNumberFormat="1" applyFont="1" applyFill="1" applyBorder="1" applyAlignment="1" applyProtection="1">
      <alignment horizontal="left" vertical="center"/>
      <protection/>
    </xf>
    <xf numFmtId="49" fontId="15" fillId="0" borderId="25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53" xfId="0" applyNumberFormat="1" applyFont="1" applyFill="1" applyBorder="1" applyAlignment="1" applyProtection="1">
      <alignment horizontal="left" vertical="center"/>
      <protection/>
    </xf>
    <xf numFmtId="49" fontId="15" fillId="0" borderId="54" xfId="0" applyNumberFormat="1" applyFont="1" applyFill="1" applyBorder="1" applyAlignment="1" applyProtection="1">
      <alignment horizontal="left" vertical="center"/>
      <protection/>
    </xf>
    <xf numFmtId="0" fontId="15" fillId="0" borderId="39" xfId="0" applyNumberFormat="1" applyFont="1" applyFill="1" applyBorder="1" applyAlignment="1" applyProtection="1">
      <alignment horizontal="left" vertical="center"/>
      <protection/>
    </xf>
    <xf numFmtId="0" fontId="15" fillId="0" borderId="55" xfId="0" applyNumberFormat="1" applyFont="1" applyFill="1" applyBorder="1" applyAlignment="1" applyProtection="1">
      <alignment horizontal="left" vertical="center"/>
      <protection/>
    </xf>
    <xf numFmtId="49" fontId="14" fillId="0" borderId="39" xfId="0" applyNumberFormat="1" applyFont="1" applyFill="1" applyBorder="1" applyAlignment="1" applyProtection="1">
      <alignment horizontal="left" vertical="center"/>
      <protection/>
    </xf>
    <xf numFmtId="0" fontId="14" fillId="0" borderId="39" xfId="0" applyNumberFormat="1" applyFont="1" applyFill="1" applyBorder="1" applyAlignment="1" applyProtection="1">
      <alignment horizontal="left" vertical="center"/>
      <protection/>
    </xf>
    <xf numFmtId="49" fontId="3" fillId="0" borderId="45" xfId="0" applyNumberFormat="1" applyFont="1" applyFill="1" applyBorder="1" applyAlignment="1" applyProtection="1">
      <alignment horizontal="left" vertical="center"/>
      <protection/>
    </xf>
    <xf numFmtId="0" fontId="3" fillId="0" borderId="46" xfId="0" applyNumberFormat="1" applyFont="1" applyFill="1" applyBorder="1" applyAlignment="1" applyProtection="1">
      <alignment horizontal="left" vertical="center"/>
      <protection/>
    </xf>
    <xf numFmtId="0" fontId="3" fillId="0" borderId="47" xfId="0" applyNumberFormat="1" applyFont="1" applyFill="1" applyBorder="1" applyAlignment="1" applyProtection="1">
      <alignment horizontal="left" vertical="center"/>
      <protection/>
    </xf>
    <xf numFmtId="49" fontId="1" fillId="0" borderId="50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49" fontId="1" fillId="0" borderId="56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57" xfId="0" applyNumberFormat="1" applyFont="1" applyFill="1" applyBorder="1" applyAlignment="1" applyProtection="1">
      <alignment horizontal="left" vertical="center"/>
      <protection/>
    </xf>
    <xf numFmtId="49" fontId="3" fillId="0" borderId="58" xfId="0" applyNumberFormat="1" applyFont="1" applyFill="1" applyBorder="1" applyAlignment="1" applyProtection="1">
      <alignment horizontal="left" vertical="center"/>
      <protection/>
    </xf>
    <xf numFmtId="0" fontId="3" fillId="0" borderId="38" xfId="0" applyNumberFormat="1" applyFont="1" applyFill="1" applyBorder="1" applyAlignment="1" applyProtection="1">
      <alignment horizontal="left" vertical="center"/>
      <protection/>
    </xf>
    <xf numFmtId="0" fontId="3" fillId="0" borderId="59" xfId="0" applyNumberFormat="1" applyFont="1" applyFill="1" applyBorder="1" applyAlignment="1" applyProtection="1">
      <alignment horizontal="left" vertical="center"/>
      <protection/>
    </xf>
    <xf numFmtId="49" fontId="14" fillId="0" borderId="58" xfId="0" applyNumberFormat="1" applyFont="1" applyFill="1" applyBorder="1" applyAlignment="1" applyProtection="1">
      <alignment horizontal="left" vertical="center"/>
      <protection/>
    </xf>
    <xf numFmtId="0" fontId="14" fillId="0" borderId="38" xfId="0" applyNumberFormat="1" applyFont="1" applyFill="1" applyBorder="1" applyAlignment="1" applyProtection="1">
      <alignment horizontal="left" vertical="center"/>
      <protection/>
    </xf>
    <xf numFmtId="0" fontId="14" fillId="0" borderId="59" xfId="0" applyNumberFormat="1" applyFont="1" applyFill="1" applyBorder="1" applyAlignment="1" applyProtection="1">
      <alignment horizontal="left" vertical="center"/>
      <protection/>
    </xf>
    <xf numFmtId="4" fontId="14" fillId="0" borderId="58" xfId="0" applyNumberFormat="1" applyFont="1" applyFill="1" applyBorder="1" applyAlignment="1" applyProtection="1">
      <alignment horizontal="right" vertical="center"/>
      <protection/>
    </xf>
    <xf numFmtId="0" fontId="14" fillId="0" borderId="38" xfId="0" applyNumberFormat="1" applyFont="1" applyFill="1" applyBorder="1" applyAlignment="1" applyProtection="1">
      <alignment horizontal="right" vertical="center"/>
      <protection/>
    </xf>
    <xf numFmtId="0" fontId="14" fillId="0" borderId="59" xfId="0" applyNumberFormat="1" applyFont="1" applyFill="1" applyBorder="1" applyAlignment="1" applyProtection="1">
      <alignment horizontal="righ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8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32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D66" sqref="D66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48.421875" style="0" customWidth="1"/>
    <col min="5" max="5" width="5.8515625" style="0" customWidth="1"/>
    <col min="6" max="6" width="12.8515625" style="0" customWidth="1"/>
    <col min="7" max="7" width="12.00390625" style="0" customWidth="1"/>
    <col min="8" max="10" width="14.28125" style="0" customWidth="1"/>
    <col min="11" max="12" width="11.7109375" style="0" customWidth="1"/>
    <col min="13" max="13" width="11.57421875" style="0" customWidth="1"/>
    <col min="14" max="14" width="0" style="0" hidden="1" customWidth="1"/>
    <col min="15" max="48" width="12.140625" style="0" hidden="1" customWidth="1"/>
  </cols>
  <sheetData>
    <row r="1" spans="1:13" ht="72.7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4" ht="12.75">
      <c r="A2" s="90" t="s">
        <v>1</v>
      </c>
      <c r="B2" s="91"/>
      <c r="C2" s="91"/>
      <c r="D2" s="94" t="s">
        <v>159</v>
      </c>
      <c r="E2" s="96" t="s">
        <v>265</v>
      </c>
      <c r="F2" s="91"/>
      <c r="G2" s="97" t="s">
        <v>6</v>
      </c>
      <c r="H2" s="98"/>
      <c r="I2" s="100" t="s">
        <v>283</v>
      </c>
      <c r="J2" s="100" t="s">
        <v>6</v>
      </c>
      <c r="K2" s="91"/>
      <c r="L2" s="91"/>
      <c r="M2" s="101"/>
      <c r="N2" s="40"/>
    </row>
    <row r="3" spans="1:14" ht="12.75">
      <c r="A3" s="92"/>
      <c r="B3" s="93"/>
      <c r="C3" s="93"/>
      <c r="D3" s="95"/>
      <c r="E3" s="93"/>
      <c r="F3" s="93"/>
      <c r="G3" s="99"/>
      <c r="H3" s="99"/>
      <c r="I3" s="93"/>
      <c r="J3" s="93"/>
      <c r="K3" s="93"/>
      <c r="L3" s="93"/>
      <c r="M3" s="102"/>
      <c r="N3" s="40"/>
    </row>
    <row r="4" spans="1:14" ht="12.75">
      <c r="A4" s="103" t="s">
        <v>2</v>
      </c>
      <c r="B4" s="93"/>
      <c r="C4" s="93"/>
      <c r="D4" s="104" t="s">
        <v>160</v>
      </c>
      <c r="E4" s="105" t="s">
        <v>266</v>
      </c>
      <c r="F4" s="93"/>
      <c r="G4" s="106" t="s">
        <v>6</v>
      </c>
      <c r="H4" s="99"/>
      <c r="I4" s="104" t="s">
        <v>284</v>
      </c>
      <c r="J4" s="104" t="s">
        <v>288</v>
      </c>
      <c r="K4" s="93"/>
      <c r="L4" s="93"/>
      <c r="M4" s="102"/>
      <c r="N4" s="40"/>
    </row>
    <row r="5" spans="1:14" ht="12.75">
      <c r="A5" s="92"/>
      <c r="B5" s="93"/>
      <c r="C5" s="93"/>
      <c r="D5" s="93"/>
      <c r="E5" s="93"/>
      <c r="F5" s="93"/>
      <c r="G5" s="99"/>
      <c r="H5" s="99"/>
      <c r="I5" s="93"/>
      <c r="J5" s="93"/>
      <c r="K5" s="93"/>
      <c r="L5" s="93"/>
      <c r="M5" s="102"/>
      <c r="N5" s="40"/>
    </row>
    <row r="6" spans="1:14" ht="12.75">
      <c r="A6" s="103" t="s">
        <v>3</v>
      </c>
      <c r="B6" s="93"/>
      <c r="C6" s="93"/>
      <c r="D6" s="104" t="s">
        <v>161</v>
      </c>
      <c r="E6" s="105" t="s">
        <v>267</v>
      </c>
      <c r="F6" s="93"/>
      <c r="G6" s="106" t="s">
        <v>6</v>
      </c>
      <c r="H6" s="99"/>
      <c r="I6" s="104" t="s">
        <v>285</v>
      </c>
      <c r="J6" s="107" t="s">
        <v>6</v>
      </c>
      <c r="K6" s="99"/>
      <c r="L6" s="99"/>
      <c r="M6" s="108"/>
      <c r="N6" s="40"/>
    </row>
    <row r="7" spans="1:14" ht="12.75">
      <c r="A7" s="92"/>
      <c r="B7" s="93"/>
      <c r="C7" s="93"/>
      <c r="D7" s="93"/>
      <c r="E7" s="93"/>
      <c r="F7" s="93"/>
      <c r="G7" s="99"/>
      <c r="H7" s="99"/>
      <c r="I7" s="93"/>
      <c r="J7" s="99"/>
      <c r="K7" s="99"/>
      <c r="L7" s="99"/>
      <c r="M7" s="108"/>
      <c r="N7" s="40"/>
    </row>
    <row r="8" spans="1:14" ht="12.75">
      <c r="A8" s="103" t="s">
        <v>4</v>
      </c>
      <c r="B8" s="93"/>
      <c r="C8" s="93"/>
      <c r="D8" s="104">
        <v>8013</v>
      </c>
      <c r="E8" s="105" t="s">
        <v>268</v>
      </c>
      <c r="F8" s="93"/>
      <c r="G8" s="106" t="s">
        <v>277</v>
      </c>
      <c r="H8" s="99"/>
      <c r="I8" s="104" t="s">
        <v>286</v>
      </c>
      <c r="J8" s="107" t="s">
        <v>6</v>
      </c>
      <c r="K8" s="99"/>
      <c r="L8" s="99"/>
      <c r="M8" s="108"/>
      <c r="N8" s="40"/>
    </row>
    <row r="9" spans="1:14" ht="12.75">
      <c r="A9" s="109"/>
      <c r="B9" s="110"/>
      <c r="C9" s="110"/>
      <c r="D9" s="110"/>
      <c r="E9" s="110"/>
      <c r="F9" s="110"/>
      <c r="G9" s="111"/>
      <c r="H9" s="111"/>
      <c r="I9" s="110"/>
      <c r="J9" s="111"/>
      <c r="K9" s="111"/>
      <c r="L9" s="111"/>
      <c r="M9" s="112"/>
      <c r="N9" s="40"/>
    </row>
    <row r="10" spans="1:14" ht="12.75">
      <c r="A10" s="1" t="s">
        <v>5</v>
      </c>
      <c r="B10" s="10" t="s">
        <v>76</v>
      </c>
      <c r="C10" s="10" t="s">
        <v>77</v>
      </c>
      <c r="D10" s="10" t="s">
        <v>162</v>
      </c>
      <c r="E10" s="10" t="s">
        <v>269</v>
      </c>
      <c r="F10" s="18" t="s">
        <v>276</v>
      </c>
      <c r="G10" s="22" t="s">
        <v>278</v>
      </c>
      <c r="H10" s="113" t="s">
        <v>280</v>
      </c>
      <c r="I10" s="114"/>
      <c r="J10" s="115"/>
      <c r="K10" s="113" t="s">
        <v>290</v>
      </c>
      <c r="L10" s="115"/>
      <c r="M10" s="35" t="s">
        <v>291</v>
      </c>
      <c r="N10" s="41"/>
    </row>
    <row r="11" spans="1:24" ht="12.75">
      <c r="A11" s="2" t="s">
        <v>6</v>
      </c>
      <c r="B11" s="11" t="s">
        <v>6</v>
      </c>
      <c r="C11" s="11" t="s">
        <v>6</v>
      </c>
      <c r="D11" s="15" t="s">
        <v>163</v>
      </c>
      <c r="E11" s="11" t="s">
        <v>6</v>
      </c>
      <c r="F11" s="11" t="s">
        <v>6</v>
      </c>
      <c r="G11" s="23" t="s">
        <v>279</v>
      </c>
      <c r="H11" s="30" t="s">
        <v>281</v>
      </c>
      <c r="I11" s="31" t="s">
        <v>287</v>
      </c>
      <c r="J11" s="32" t="s">
        <v>289</v>
      </c>
      <c r="K11" s="30" t="s">
        <v>278</v>
      </c>
      <c r="L11" s="32" t="s">
        <v>289</v>
      </c>
      <c r="M11" s="36" t="s">
        <v>292</v>
      </c>
      <c r="N11" s="41"/>
      <c r="P11" s="34" t="s">
        <v>294</v>
      </c>
      <c r="Q11" s="34" t="s">
        <v>295</v>
      </c>
      <c r="R11" s="34" t="s">
        <v>296</v>
      </c>
      <c r="S11" s="34" t="s">
        <v>297</v>
      </c>
      <c r="T11" s="34" t="s">
        <v>298</v>
      </c>
      <c r="U11" s="34" t="s">
        <v>299</v>
      </c>
      <c r="V11" s="34" t="s">
        <v>300</v>
      </c>
      <c r="W11" s="34" t="s">
        <v>301</v>
      </c>
      <c r="X11" s="34" t="s">
        <v>302</v>
      </c>
    </row>
    <row r="12" spans="1:37" ht="12.75">
      <c r="A12" s="3"/>
      <c r="B12" s="12"/>
      <c r="C12" s="12" t="s">
        <v>37</v>
      </c>
      <c r="D12" s="12" t="s">
        <v>164</v>
      </c>
      <c r="E12" s="3" t="s">
        <v>6</v>
      </c>
      <c r="F12" s="3" t="s">
        <v>6</v>
      </c>
      <c r="G12" s="24" t="s">
        <v>6</v>
      </c>
      <c r="H12" s="44">
        <f>SUM(H13:H18)</f>
        <v>0</v>
      </c>
      <c r="I12" s="44">
        <f>SUM(I13:I18)</f>
        <v>0</v>
      </c>
      <c r="J12" s="44">
        <f>H12+I12</f>
        <v>0</v>
      </c>
      <c r="K12" s="33"/>
      <c r="L12" s="44">
        <f>SUM(L13:L18)</f>
        <v>19.0987723064</v>
      </c>
      <c r="M12" s="33"/>
      <c r="Y12" s="34"/>
      <c r="AI12" s="45">
        <f>SUM(Z13:Z18)</f>
        <v>0</v>
      </c>
      <c r="AJ12" s="45">
        <f>SUM(AA13:AA18)</f>
        <v>0</v>
      </c>
      <c r="AK12" s="45">
        <f>SUM(AB13:AB18)</f>
        <v>0</v>
      </c>
    </row>
    <row r="13" spans="1:48" ht="12.75">
      <c r="A13" s="4" t="s">
        <v>7</v>
      </c>
      <c r="B13" s="4"/>
      <c r="C13" s="4" t="s">
        <v>78</v>
      </c>
      <c r="D13" s="4" t="s">
        <v>165</v>
      </c>
      <c r="E13" s="4" t="s">
        <v>270</v>
      </c>
      <c r="F13" s="19">
        <v>11.8</v>
      </c>
      <c r="G13" s="25">
        <v>0</v>
      </c>
      <c r="H13" s="19">
        <f>F13*AE13</f>
        <v>0</v>
      </c>
      <c r="I13" s="19">
        <f>J13-H13</f>
        <v>0</v>
      </c>
      <c r="J13" s="19">
        <f>F13*G13</f>
        <v>0</v>
      </c>
      <c r="K13" s="19">
        <v>0.84165</v>
      </c>
      <c r="L13" s="19">
        <f>F13*K13</f>
        <v>9.931470000000001</v>
      </c>
      <c r="M13" s="37" t="s">
        <v>293</v>
      </c>
      <c r="P13" s="42">
        <f>IF(AG13="5",J13,0)</f>
        <v>0</v>
      </c>
      <c r="R13" s="42">
        <f>IF(AG13="1",H13,0)</f>
        <v>0</v>
      </c>
      <c r="S13" s="42">
        <f>IF(AG13="1",I13,0)</f>
        <v>0</v>
      </c>
      <c r="T13" s="42">
        <f>IF(AG13="7",H13,0)</f>
        <v>0</v>
      </c>
      <c r="U13" s="42">
        <f>IF(AG13="7",I13,0)</f>
        <v>0</v>
      </c>
      <c r="V13" s="42">
        <f>IF(AG13="2",H13,0)</f>
        <v>0</v>
      </c>
      <c r="W13" s="42">
        <f>IF(AG13="2",I13,0)</f>
        <v>0</v>
      </c>
      <c r="X13" s="42">
        <f>IF(AG13="0",J13,0)</f>
        <v>0</v>
      </c>
      <c r="Y13" s="34"/>
      <c r="Z13" s="19">
        <f>IF(AD13=0,J13,0)</f>
        <v>0</v>
      </c>
      <c r="AA13" s="19">
        <f>IF(AD13=15,J13,0)</f>
        <v>0</v>
      </c>
      <c r="AB13" s="19">
        <f>IF(AD13=21,J13,0)</f>
        <v>0</v>
      </c>
      <c r="AD13" s="42">
        <v>21</v>
      </c>
      <c r="AE13" s="42">
        <f>G13*0.451400279458675</f>
        <v>0</v>
      </c>
      <c r="AF13" s="42">
        <f>G13*(1-0.451400279458675)</f>
        <v>0</v>
      </c>
      <c r="AG13" s="37" t="s">
        <v>7</v>
      </c>
      <c r="AM13" s="42">
        <f>F13*AE13</f>
        <v>0</v>
      </c>
      <c r="AN13" s="42">
        <f>F13*AF13</f>
        <v>0</v>
      </c>
      <c r="AO13" s="43" t="s">
        <v>303</v>
      </c>
      <c r="AP13" s="43" t="s">
        <v>320</v>
      </c>
      <c r="AQ13" s="34" t="s">
        <v>328</v>
      </c>
      <c r="AS13" s="42">
        <f>AM13+AN13</f>
        <v>0</v>
      </c>
      <c r="AT13" s="42">
        <f>G13/(100-AU13)*100</f>
        <v>0</v>
      </c>
      <c r="AU13" s="42">
        <v>0</v>
      </c>
      <c r="AV13" s="42">
        <f>L13</f>
        <v>9.931470000000001</v>
      </c>
    </row>
    <row r="14" spans="3:13" ht="12.75">
      <c r="C14" s="14" t="s">
        <v>74</v>
      </c>
      <c r="D14" s="116" t="s">
        <v>166</v>
      </c>
      <c r="E14" s="117"/>
      <c r="F14" s="117"/>
      <c r="G14" s="118"/>
      <c r="H14" s="117"/>
      <c r="I14" s="117"/>
      <c r="J14" s="117"/>
      <c r="K14" s="117"/>
      <c r="L14" s="117"/>
      <c r="M14" s="117"/>
    </row>
    <row r="15" spans="1:48" ht="12.75">
      <c r="A15" s="4" t="s">
        <v>8</v>
      </c>
      <c r="B15" s="4"/>
      <c r="C15" s="4" t="s">
        <v>79</v>
      </c>
      <c r="D15" s="4" t="s">
        <v>167</v>
      </c>
      <c r="E15" s="4" t="s">
        <v>271</v>
      </c>
      <c r="F15" s="19">
        <v>9.09608</v>
      </c>
      <c r="G15" s="25">
        <v>0</v>
      </c>
      <c r="H15" s="19">
        <f>F15*AE15</f>
        <v>0</v>
      </c>
      <c r="I15" s="19">
        <f>J15-H15</f>
        <v>0</v>
      </c>
      <c r="J15" s="19">
        <f>F15*G15</f>
        <v>0</v>
      </c>
      <c r="K15" s="19">
        <v>1.00783</v>
      </c>
      <c r="L15" s="19">
        <f>F15*K15</f>
        <v>9.1673023064</v>
      </c>
      <c r="M15" s="37" t="s">
        <v>293</v>
      </c>
      <c r="P15" s="42">
        <f>IF(AG15="5",J15,0)</f>
        <v>0</v>
      </c>
      <c r="R15" s="42">
        <f>IF(AG15="1",H15,0)</f>
        <v>0</v>
      </c>
      <c r="S15" s="42">
        <f>IF(AG15="1",I15,0)</f>
        <v>0</v>
      </c>
      <c r="T15" s="42">
        <f>IF(AG15="7",H15,0)</f>
        <v>0</v>
      </c>
      <c r="U15" s="42">
        <f>IF(AG15="7",I15,0)</f>
        <v>0</v>
      </c>
      <c r="V15" s="42">
        <f>IF(AG15="2",H15,0)</f>
        <v>0</v>
      </c>
      <c r="W15" s="42">
        <f>IF(AG15="2",I15,0)</f>
        <v>0</v>
      </c>
      <c r="X15" s="42">
        <f>IF(AG15="0",J15,0)</f>
        <v>0</v>
      </c>
      <c r="Y15" s="34"/>
      <c r="Z15" s="19">
        <f>IF(AD15=0,J15,0)</f>
        <v>0</v>
      </c>
      <c r="AA15" s="19">
        <f>IF(AD15=15,J15,0)</f>
        <v>0</v>
      </c>
      <c r="AB15" s="19">
        <f>IF(AD15=21,J15,0)</f>
        <v>0</v>
      </c>
      <c r="AD15" s="42">
        <v>21</v>
      </c>
      <c r="AE15" s="42">
        <f>G15*0.686855928731664</f>
        <v>0</v>
      </c>
      <c r="AF15" s="42">
        <f>G15*(1-0.686855928731664)</f>
        <v>0</v>
      </c>
      <c r="AG15" s="37" t="s">
        <v>7</v>
      </c>
      <c r="AM15" s="42">
        <f>F15*AE15</f>
        <v>0</v>
      </c>
      <c r="AN15" s="42">
        <f>F15*AF15</f>
        <v>0</v>
      </c>
      <c r="AO15" s="43" t="s">
        <v>303</v>
      </c>
      <c r="AP15" s="43" t="s">
        <v>320</v>
      </c>
      <c r="AQ15" s="34" t="s">
        <v>328</v>
      </c>
      <c r="AS15" s="42">
        <f>AM15+AN15</f>
        <v>0</v>
      </c>
      <c r="AT15" s="42">
        <f>G15/(100-AU15)*100</f>
        <v>0</v>
      </c>
      <c r="AU15" s="42">
        <v>0</v>
      </c>
      <c r="AV15" s="42">
        <f>L15</f>
        <v>9.1673023064</v>
      </c>
    </row>
    <row r="16" spans="4:7" ht="12.75">
      <c r="D16" s="16" t="s">
        <v>168</v>
      </c>
      <c r="G16" s="26"/>
    </row>
    <row r="17" spans="3:13" ht="12.75">
      <c r="C17" s="14" t="s">
        <v>74</v>
      </c>
      <c r="D17" s="116" t="s">
        <v>169</v>
      </c>
      <c r="E17" s="117"/>
      <c r="F17" s="117"/>
      <c r="G17" s="118"/>
      <c r="H17" s="117"/>
      <c r="I17" s="117"/>
      <c r="J17" s="117"/>
      <c r="K17" s="117"/>
      <c r="L17" s="117"/>
      <c r="M17" s="117"/>
    </row>
    <row r="18" spans="1:48" ht="12.75">
      <c r="A18" s="4" t="s">
        <v>9</v>
      </c>
      <c r="B18" s="4"/>
      <c r="C18" s="4" t="s">
        <v>80</v>
      </c>
      <c r="D18" s="4" t="s">
        <v>170</v>
      </c>
      <c r="E18" s="4" t="s">
        <v>272</v>
      </c>
      <c r="F18" s="19">
        <v>9.1673</v>
      </c>
      <c r="G18" s="25">
        <v>0</v>
      </c>
      <c r="H18" s="19">
        <f>F18*AE18</f>
        <v>0</v>
      </c>
      <c r="I18" s="19">
        <f>J18-H18</f>
        <v>0</v>
      </c>
      <c r="J18" s="19">
        <f>F18*G18</f>
        <v>0</v>
      </c>
      <c r="K18" s="19">
        <v>0</v>
      </c>
      <c r="L18" s="19">
        <f>F18*K18</f>
        <v>0</v>
      </c>
      <c r="M18" s="37" t="s">
        <v>293</v>
      </c>
      <c r="P18" s="42">
        <f>IF(AG18="5",J18,0)</f>
        <v>0</v>
      </c>
      <c r="R18" s="42">
        <f>IF(AG18="1",H18,0)</f>
        <v>0</v>
      </c>
      <c r="S18" s="42">
        <f>IF(AG18="1",I18,0)</f>
        <v>0</v>
      </c>
      <c r="T18" s="42">
        <f>IF(AG18="7",H18,0)</f>
        <v>0</v>
      </c>
      <c r="U18" s="42">
        <f>IF(AG18="7",I18,0)</f>
        <v>0</v>
      </c>
      <c r="V18" s="42">
        <f>IF(AG18="2",H18,0)</f>
        <v>0</v>
      </c>
      <c r="W18" s="42">
        <f>IF(AG18="2",I18,0)</f>
        <v>0</v>
      </c>
      <c r="X18" s="42">
        <f>IF(AG18="0",J18,0)</f>
        <v>0</v>
      </c>
      <c r="Y18" s="34"/>
      <c r="Z18" s="19">
        <f>IF(AD18=0,J18,0)</f>
        <v>0</v>
      </c>
      <c r="AA18" s="19">
        <f>IF(AD18=15,J18,0)</f>
        <v>0</v>
      </c>
      <c r="AB18" s="19">
        <f>IF(AD18=21,J18,0)</f>
        <v>0</v>
      </c>
      <c r="AD18" s="42">
        <v>21</v>
      </c>
      <c r="AE18" s="42">
        <f>G18*0</f>
        <v>0</v>
      </c>
      <c r="AF18" s="42">
        <f>G18*(1-0)</f>
        <v>0</v>
      </c>
      <c r="AG18" s="37" t="s">
        <v>11</v>
      </c>
      <c r="AM18" s="42">
        <f>F18*AE18</f>
        <v>0</v>
      </c>
      <c r="AN18" s="42">
        <f>F18*AF18</f>
        <v>0</v>
      </c>
      <c r="AO18" s="43" t="s">
        <v>303</v>
      </c>
      <c r="AP18" s="43" t="s">
        <v>320</v>
      </c>
      <c r="AQ18" s="34" t="s">
        <v>328</v>
      </c>
      <c r="AS18" s="42">
        <f>AM18+AN18</f>
        <v>0</v>
      </c>
      <c r="AT18" s="42">
        <f>G18/(100-AU18)*100</f>
        <v>0</v>
      </c>
      <c r="AU18" s="42">
        <v>0</v>
      </c>
      <c r="AV18" s="42">
        <f>L18</f>
        <v>0</v>
      </c>
    </row>
    <row r="19" spans="1:37" ht="12.75">
      <c r="A19" s="5"/>
      <c r="B19" s="13"/>
      <c r="C19" s="13" t="s">
        <v>68</v>
      </c>
      <c r="D19" s="13" t="s">
        <v>171</v>
      </c>
      <c r="E19" s="5" t="s">
        <v>6</v>
      </c>
      <c r="F19" s="5" t="s">
        <v>6</v>
      </c>
      <c r="G19" s="27" t="s">
        <v>6</v>
      </c>
      <c r="H19" s="45">
        <f>SUM(H20:H25)</f>
        <v>0</v>
      </c>
      <c r="I19" s="45">
        <f>SUM(I20:I25)</f>
        <v>0</v>
      </c>
      <c r="J19" s="45">
        <f>H19+I19</f>
        <v>0</v>
      </c>
      <c r="K19" s="34"/>
      <c r="L19" s="45">
        <f>SUM(L20:L25)</f>
        <v>9.162798519999999</v>
      </c>
      <c r="M19" s="34"/>
      <c r="Y19" s="34"/>
      <c r="AI19" s="45">
        <f>SUM(Z20:Z25)</f>
        <v>0</v>
      </c>
      <c r="AJ19" s="45">
        <f>SUM(AA20:AA25)</f>
        <v>0</v>
      </c>
      <c r="AK19" s="45">
        <f>SUM(AB20:AB25)</f>
        <v>0</v>
      </c>
    </row>
    <row r="20" spans="1:48" ht="12.75">
      <c r="A20" s="4" t="s">
        <v>10</v>
      </c>
      <c r="B20" s="4"/>
      <c r="C20" s="4" t="s">
        <v>81</v>
      </c>
      <c r="D20" s="4" t="s">
        <v>172</v>
      </c>
      <c r="E20" s="4" t="s">
        <v>273</v>
      </c>
      <c r="F20" s="19">
        <v>256.1495</v>
      </c>
      <c r="G20" s="25">
        <v>0</v>
      </c>
      <c r="H20" s="19">
        <f>F20*AE20</f>
        <v>0</v>
      </c>
      <c r="I20" s="19">
        <f>J20-H20</f>
        <v>0</v>
      </c>
      <c r="J20" s="19">
        <f>F20*G20</f>
        <v>0</v>
      </c>
      <c r="K20" s="19">
        <v>0.02276</v>
      </c>
      <c r="L20" s="19">
        <f>F20*K20</f>
        <v>5.82996262</v>
      </c>
      <c r="M20" s="37" t="s">
        <v>293</v>
      </c>
      <c r="P20" s="42">
        <f>IF(AG20="5",J20,0)</f>
        <v>0</v>
      </c>
      <c r="R20" s="42">
        <f>IF(AG20="1",H20,0)</f>
        <v>0</v>
      </c>
      <c r="S20" s="42">
        <f>IF(AG20="1",I20,0)</f>
        <v>0</v>
      </c>
      <c r="T20" s="42">
        <f>IF(AG20="7",H20,0)</f>
        <v>0</v>
      </c>
      <c r="U20" s="42">
        <f>IF(AG20="7",I20,0)</f>
        <v>0</v>
      </c>
      <c r="V20" s="42">
        <f>IF(AG20="2",H20,0)</f>
        <v>0</v>
      </c>
      <c r="W20" s="42">
        <f>IF(AG20="2",I20,0)</f>
        <v>0</v>
      </c>
      <c r="X20" s="42">
        <f>IF(AG20="0",J20,0)</f>
        <v>0</v>
      </c>
      <c r="Y20" s="34"/>
      <c r="Z20" s="19">
        <f>IF(AD20=0,J20,0)</f>
        <v>0</v>
      </c>
      <c r="AA20" s="19">
        <f>IF(AD20=15,J20,0)</f>
        <v>0</v>
      </c>
      <c r="AB20" s="19">
        <f>IF(AD20=21,J20,0)</f>
        <v>0</v>
      </c>
      <c r="AD20" s="42">
        <v>21</v>
      </c>
      <c r="AE20" s="42">
        <f>G20*0.180833664870274</f>
        <v>0</v>
      </c>
      <c r="AF20" s="42">
        <f>G20*(1-0.180833664870274)</f>
        <v>0</v>
      </c>
      <c r="AG20" s="37" t="s">
        <v>7</v>
      </c>
      <c r="AM20" s="42">
        <f>F20*AE20</f>
        <v>0</v>
      </c>
      <c r="AN20" s="42">
        <f>F20*AF20</f>
        <v>0</v>
      </c>
      <c r="AO20" s="43" t="s">
        <v>304</v>
      </c>
      <c r="AP20" s="43" t="s">
        <v>321</v>
      </c>
      <c r="AQ20" s="34" t="s">
        <v>328</v>
      </c>
      <c r="AS20" s="42">
        <f>AM20+AN20</f>
        <v>0</v>
      </c>
      <c r="AT20" s="42">
        <f>G20/(100-AU20)*100</f>
        <v>0</v>
      </c>
      <c r="AU20" s="42">
        <v>0</v>
      </c>
      <c r="AV20" s="42">
        <f>L20</f>
        <v>5.82996262</v>
      </c>
    </row>
    <row r="21" spans="1:48" ht="12.75">
      <c r="A21" s="4" t="s">
        <v>11</v>
      </c>
      <c r="B21" s="4"/>
      <c r="C21" s="4" t="s">
        <v>82</v>
      </c>
      <c r="D21" s="4" t="s">
        <v>173</v>
      </c>
      <c r="E21" s="4" t="s">
        <v>273</v>
      </c>
      <c r="F21" s="19">
        <v>20</v>
      </c>
      <c r="G21" s="25">
        <v>0</v>
      </c>
      <c r="H21" s="19">
        <f>F21*AE21</f>
        <v>0</v>
      </c>
      <c r="I21" s="19">
        <f>J21-H21</f>
        <v>0</v>
      </c>
      <c r="J21" s="19">
        <f>F21*G21</f>
        <v>0</v>
      </c>
      <c r="K21" s="19">
        <v>0.03234</v>
      </c>
      <c r="L21" s="19">
        <f>F21*K21</f>
        <v>0.6468</v>
      </c>
      <c r="M21" s="37" t="s">
        <v>293</v>
      </c>
      <c r="P21" s="42">
        <f>IF(AG21="5",J21,0)</f>
        <v>0</v>
      </c>
      <c r="R21" s="42">
        <f>IF(AG21="1",H21,0)</f>
        <v>0</v>
      </c>
      <c r="S21" s="42">
        <f>IF(AG21="1",I21,0)</f>
        <v>0</v>
      </c>
      <c r="T21" s="42">
        <f>IF(AG21="7",H21,0)</f>
        <v>0</v>
      </c>
      <c r="U21" s="42">
        <f>IF(AG21="7",I21,0)</f>
        <v>0</v>
      </c>
      <c r="V21" s="42">
        <f>IF(AG21="2",H21,0)</f>
        <v>0</v>
      </c>
      <c r="W21" s="42">
        <f>IF(AG21="2",I21,0)</f>
        <v>0</v>
      </c>
      <c r="X21" s="42">
        <f>IF(AG21="0",J21,0)</f>
        <v>0</v>
      </c>
      <c r="Y21" s="34"/>
      <c r="Z21" s="19">
        <f>IF(AD21=0,J21,0)</f>
        <v>0</v>
      </c>
      <c r="AA21" s="19">
        <f>IF(AD21=15,J21,0)</f>
        <v>0</v>
      </c>
      <c r="AB21" s="19">
        <f>IF(AD21=21,J21,0)</f>
        <v>0</v>
      </c>
      <c r="AD21" s="42">
        <v>21</v>
      </c>
      <c r="AE21" s="42">
        <f>G21*0.0404206098843323</f>
        <v>0</v>
      </c>
      <c r="AF21" s="42">
        <f>G21*(1-0.0404206098843323)</f>
        <v>0</v>
      </c>
      <c r="AG21" s="37" t="s">
        <v>7</v>
      </c>
      <c r="AM21" s="42">
        <f>F21*AE21</f>
        <v>0</v>
      </c>
      <c r="AN21" s="42">
        <f>F21*AF21</f>
        <v>0</v>
      </c>
      <c r="AO21" s="43" t="s">
        <v>304</v>
      </c>
      <c r="AP21" s="43" t="s">
        <v>321</v>
      </c>
      <c r="AQ21" s="34" t="s">
        <v>328</v>
      </c>
      <c r="AS21" s="42">
        <f>AM21+AN21</f>
        <v>0</v>
      </c>
      <c r="AT21" s="42">
        <f>G21/(100-AU21)*100</f>
        <v>0</v>
      </c>
      <c r="AU21" s="42">
        <v>0</v>
      </c>
      <c r="AV21" s="42">
        <f>L21</f>
        <v>0.6468</v>
      </c>
    </row>
    <row r="22" spans="4:7" ht="12.75">
      <c r="D22" s="16" t="s">
        <v>174</v>
      </c>
      <c r="G22" s="26"/>
    </row>
    <row r="23" spans="1:48" ht="12.75">
      <c r="A23" s="4" t="s">
        <v>12</v>
      </c>
      <c r="B23" s="4"/>
      <c r="C23" s="4" t="s">
        <v>83</v>
      </c>
      <c r="D23" s="4" t="s">
        <v>175</v>
      </c>
      <c r="E23" s="4" t="s">
        <v>273</v>
      </c>
      <c r="F23" s="19">
        <v>681.735</v>
      </c>
      <c r="G23" s="25">
        <v>0</v>
      </c>
      <c r="H23" s="19">
        <f>F23*AE23</f>
        <v>0</v>
      </c>
      <c r="I23" s="19">
        <f>J23-H23</f>
        <v>0</v>
      </c>
      <c r="J23" s="19">
        <f>F23*G23</f>
        <v>0</v>
      </c>
      <c r="K23" s="19">
        <v>0.00394</v>
      </c>
      <c r="L23" s="19">
        <f>F23*K23</f>
        <v>2.6860359</v>
      </c>
      <c r="M23" s="37" t="s">
        <v>293</v>
      </c>
      <c r="P23" s="42">
        <f>IF(AG23="5",J23,0)</f>
        <v>0</v>
      </c>
      <c r="R23" s="42">
        <f>IF(AG23="1",H23,0)</f>
        <v>0</v>
      </c>
      <c r="S23" s="42">
        <f>IF(AG23="1",I23,0)</f>
        <v>0</v>
      </c>
      <c r="T23" s="42">
        <f>IF(AG23="7",H23,0)</f>
        <v>0</v>
      </c>
      <c r="U23" s="42">
        <f>IF(AG23="7",I23,0)</f>
        <v>0</v>
      </c>
      <c r="V23" s="42">
        <f>IF(AG23="2",H23,0)</f>
        <v>0</v>
      </c>
      <c r="W23" s="42">
        <f>IF(AG23="2",I23,0)</f>
        <v>0</v>
      </c>
      <c r="X23" s="42">
        <f>IF(AG23="0",J23,0)</f>
        <v>0</v>
      </c>
      <c r="Y23" s="34"/>
      <c r="Z23" s="19">
        <f>IF(AD23=0,J23,0)</f>
        <v>0</v>
      </c>
      <c r="AA23" s="19">
        <f>IF(AD23=15,J23,0)</f>
        <v>0</v>
      </c>
      <c r="AB23" s="19">
        <f>IF(AD23=21,J23,0)</f>
        <v>0</v>
      </c>
      <c r="AD23" s="42">
        <v>21</v>
      </c>
      <c r="AE23" s="42">
        <f>G23*0.0620833333333333</f>
        <v>0</v>
      </c>
      <c r="AF23" s="42">
        <f>G23*(1-0.0620833333333333)</f>
        <v>0</v>
      </c>
      <c r="AG23" s="37" t="s">
        <v>7</v>
      </c>
      <c r="AM23" s="42">
        <f>F23*AE23</f>
        <v>0</v>
      </c>
      <c r="AN23" s="42">
        <f>F23*AF23</f>
        <v>0</v>
      </c>
      <c r="AO23" s="43" t="s">
        <v>304</v>
      </c>
      <c r="AP23" s="43" t="s">
        <v>321</v>
      </c>
      <c r="AQ23" s="34" t="s">
        <v>328</v>
      </c>
      <c r="AS23" s="42">
        <f>AM23+AN23</f>
        <v>0</v>
      </c>
      <c r="AT23" s="42">
        <f>G23/(100-AU23)*100</f>
        <v>0</v>
      </c>
      <c r="AU23" s="42">
        <v>0</v>
      </c>
      <c r="AV23" s="42">
        <f>L23</f>
        <v>2.6860359</v>
      </c>
    </row>
    <row r="24" spans="4:7" ht="12.75">
      <c r="D24" s="16" t="s">
        <v>174</v>
      </c>
      <c r="G24" s="26"/>
    </row>
    <row r="25" spans="1:48" ht="12.75">
      <c r="A25" s="4" t="s">
        <v>13</v>
      </c>
      <c r="B25" s="4"/>
      <c r="C25" s="4" t="s">
        <v>80</v>
      </c>
      <c r="D25" s="4" t="s">
        <v>170</v>
      </c>
      <c r="E25" s="4" t="s">
        <v>272</v>
      </c>
      <c r="F25" s="19">
        <v>9.1628</v>
      </c>
      <c r="G25" s="25">
        <v>0</v>
      </c>
      <c r="H25" s="19">
        <f>F25*AE25</f>
        <v>0</v>
      </c>
      <c r="I25" s="19">
        <f>J25-H25</f>
        <v>0</v>
      </c>
      <c r="J25" s="19">
        <f>F25*G25</f>
        <v>0</v>
      </c>
      <c r="K25" s="19">
        <v>0</v>
      </c>
      <c r="L25" s="19">
        <f>F25*K25</f>
        <v>0</v>
      </c>
      <c r="M25" s="37" t="s">
        <v>293</v>
      </c>
      <c r="P25" s="42">
        <f>IF(AG25="5",J25,0)</f>
        <v>0</v>
      </c>
      <c r="R25" s="42">
        <f>IF(AG25="1",H25,0)</f>
        <v>0</v>
      </c>
      <c r="S25" s="42">
        <f>IF(AG25="1",I25,0)</f>
        <v>0</v>
      </c>
      <c r="T25" s="42">
        <f>IF(AG25="7",H25,0)</f>
        <v>0</v>
      </c>
      <c r="U25" s="42">
        <f>IF(AG25="7",I25,0)</f>
        <v>0</v>
      </c>
      <c r="V25" s="42">
        <f>IF(AG25="2",H25,0)</f>
        <v>0</v>
      </c>
      <c r="W25" s="42">
        <f>IF(AG25="2",I25,0)</f>
        <v>0</v>
      </c>
      <c r="X25" s="42">
        <f>IF(AG25="0",J25,0)</f>
        <v>0</v>
      </c>
      <c r="Y25" s="34"/>
      <c r="Z25" s="19">
        <f>IF(AD25=0,J25,0)</f>
        <v>0</v>
      </c>
      <c r="AA25" s="19">
        <f>IF(AD25=15,J25,0)</f>
        <v>0</v>
      </c>
      <c r="AB25" s="19">
        <f>IF(AD25=21,J25,0)</f>
        <v>0</v>
      </c>
      <c r="AD25" s="42">
        <v>21</v>
      </c>
      <c r="AE25" s="42">
        <f>G25*0</f>
        <v>0</v>
      </c>
      <c r="AF25" s="42">
        <f>G25*(1-0)</f>
        <v>0</v>
      </c>
      <c r="AG25" s="37" t="s">
        <v>11</v>
      </c>
      <c r="AM25" s="42">
        <f>F25*AE25</f>
        <v>0</v>
      </c>
      <c r="AN25" s="42">
        <f>F25*AF25</f>
        <v>0</v>
      </c>
      <c r="AO25" s="43" t="s">
        <v>304</v>
      </c>
      <c r="AP25" s="43" t="s">
        <v>321</v>
      </c>
      <c r="AQ25" s="34" t="s">
        <v>328</v>
      </c>
      <c r="AS25" s="42">
        <f>AM25+AN25</f>
        <v>0</v>
      </c>
      <c r="AT25" s="42">
        <f>G25/(100-AU25)*100</f>
        <v>0</v>
      </c>
      <c r="AU25" s="42">
        <v>0</v>
      </c>
      <c r="AV25" s="42">
        <f>L25</f>
        <v>0</v>
      </c>
    </row>
    <row r="26" spans="1:37" ht="12.75">
      <c r="A26" s="5"/>
      <c r="B26" s="13"/>
      <c r="C26" s="13" t="s">
        <v>84</v>
      </c>
      <c r="D26" s="13" t="s">
        <v>176</v>
      </c>
      <c r="E26" s="5" t="s">
        <v>6</v>
      </c>
      <c r="F26" s="5" t="s">
        <v>6</v>
      </c>
      <c r="G26" s="27" t="s">
        <v>6</v>
      </c>
      <c r="H26" s="45">
        <f>SUM(H27:H27)</f>
        <v>0</v>
      </c>
      <c r="I26" s="45">
        <f>SUM(I27:I27)</f>
        <v>0</v>
      </c>
      <c r="J26" s="45">
        <f>H26+I26</f>
        <v>0</v>
      </c>
      <c r="K26" s="34"/>
      <c r="L26" s="45">
        <f>SUM(L27:L27)</f>
        <v>1.8283105390000003</v>
      </c>
      <c r="M26" s="34"/>
      <c r="Y26" s="34"/>
      <c r="AI26" s="45">
        <f>SUM(Z27:Z27)</f>
        <v>0</v>
      </c>
      <c r="AJ26" s="45">
        <f>SUM(AA27:AA27)</f>
        <v>0</v>
      </c>
      <c r="AK26" s="45">
        <f>SUM(AB27:AB27)</f>
        <v>0</v>
      </c>
    </row>
    <row r="27" spans="1:48" ht="12.75">
      <c r="A27" s="4" t="s">
        <v>14</v>
      </c>
      <c r="B27" s="4"/>
      <c r="C27" s="4" t="s">
        <v>85</v>
      </c>
      <c r="D27" s="4" t="s">
        <v>484</v>
      </c>
      <c r="E27" s="4" t="s">
        <v>273</v>
      </c>
      <c r="F27" s="19">
        <v>279.9863</v>
      </c>
      <c r="G27" s="25">
        <v>0</v>
      </c>
      <c r="H27" s="19">
        <f>F27*AE27</f>
        <v>0</v>
      </c>
      <c r="I27" s="19">
        <f>J27-H27</f>
        <v>0</v>
      </c>
      <c r="J27" s="19">
        <f>F27*G27</f>
        <v>0</v>
      </c>
      <c r="K27" s="19">
        <v>0.00653</v>
      </c>
      <c r="L27" s="19">
        <f>F27*K27</f>
        <v>1.8283105390000003</v>
      </c>
      <c r="M27" s="37" t="s">
        <v>293</v>
      </c>
      <c r="P27" s="42">
        <f>IF(AG27="5",J27,0)</f>
        <v>0</v>
      </c>
      <c r="R27" s="42">
        <f>IF(AG27="1",H27,0)</f>
        <v>0</v>
      </c>
      <c r="S27" s="42">
        <f>IF(AG27="1",I27,0)</f>
        <v>0</v>
      </c>
      <c r="T27" s="42">
        <f>IF(AG27="7",H27,0)</f>
        <v>0</v>
      </c>
      <c r="U27" s="42">
        <f>IF(AG27="7",I27,0)</f>
        <v>0</v>
      </c>
      <c r="V27" s="42">
        <f>IF(AG27="2",H27,0)</f>
        <v>0</v>
      </c>
      <c r="W27" s="42">
        <f>IF(AG27="2",I27,0)</f>
        <v>0</v>
      </c>
      <c r="X27" s="42">
        <f>IF(AG27="0",J27,0)</f>
        <v>0</v>
      </c>
      <c r="Y27" s="34"/>
      <c r="Z27" s="19">
        <f>IF(AD27=0,J27,0)</f>
        <v>0</v>
      </c>
      <c r="AA27" s="19">
        <f>IF(AD27=15,J27,0)</f>
        <v>0</v>
      </c>
      <c r="AB27" s="19">
        <f>IF(AD27=21,J27,0)</f>
        <v>0</v>
      </c>
      <c r="AD27" s="42">
        <v>21</v>
      </c>
      <c r="AE27" s="42">
        <f>G27*0.873968210476904</f>
        <v>0</v>
      </c>
      <c r="AF27" s="42">
        <f>G27*(1-0.873968210476904)</f>
        <v>0</v>
      </c>
      <c r="AG27" s="37" t="s">
        <v>13</v>
      </c>
      <c r="AM27" s="42">
        <f>F27*AE27</f>
        <v>0</v>
      </c>
      <c r="AN27" s="42">
        <f>F27*AF27</f>
        <v>0</v>
      </c>
      <c r="AO27" s="43" t="s">
        <v>305</v>
      </c>
      <c r="AP27" s="43" t="s">
        <v>322</v>
      </c>
      <c r="AQ27" s="34" t="s">
        <v>328</v>
      </c>
      <c r="AS27" s="42">
        <f>AM27+AN27</f>
        <v>0</v>
      </c>
      <c r="AT27" s="42">
        <f>G27/(100-AU27)*100</f>
        <v>0</v>
      </c>
      <c r="AU27" s="42">
        <v>0</v>
      </c>
      <c r="AV27" s="42">
        <f>L27</f>
        <v>1.8283105390000003</v>
      </c>
    </row>
    <row r="28" spans="4:7" ht="12.75">
      <c r="D28" s="16" t="s">
        <v>177</v>
      </c>
      <c r="G28" s="26"/>
    </row>
    <row r="29" spans="1:37" ht="12.75">
      <c r="A29" s="5"/>
      <c r="B29" s="13"/>
      <c r="C29" s="13" t="s">
        <v>86</v>
      </c>
      <c r="D29" s="13" t="s">
        <v>178</v>
      </c>
      <c r="E29" s="5" t="s">
        <v>6</v>
      </c>
      <c r="F29" s="5" t="s">
        <v>6</v>
      </c>
      <c r="G29" s="27" t="s">
        <v>6</v>
      </c>
      <c r="H29" s="45">
        <f>SUM(H30:H32)</f>
        <v>0</v>
      </c>
      <c r="I29" s="45">
        <f>SUM(I30:I32)</f>
        <v>0</v>
      </c>
      <c r="J29" s="45">
        <f>H29+I29</f>
        <v>0</v>
      </c>
      <c r="K29" s="34"/>
      <c r="L29" s="45">
        <f>SUM(L30:L32)</f>
        <v>0.2096</v>
      </c>
      <c r="M29" s="34"/>
      <c r="Y29" s="34"/>
      <c r="AI29" s="45">
        <f>SUM(Z30:Z32)</f>
        <v>0</v>
      </c>
      <c r="AJ29" s="45">
        <f>SUM(AA30:AA32)</f>
        <v>0</v>
      </c>
      <c r="AK29" s="45">
        <f>SUM(AB30:AB32)</f>
        <v>0</v>
      </c>
    </row>
    <row r="30" spans="1:48" ht="12.75">
      <c r="A30" s="4" t="s">
        <v>15</v>
      </c>
      <c r="B30" s="4"/>
      <c r="C30" s="4" t="s">
        <v>87</v>
      </c>
      <c r="D30" s="4" t="s">
        <v>179</v>
      </c>
      <c r="E30" s="4" t="s">
        <v>270</v>
      </c>
      <c r="F30" s="19">
        <v>162.09</v>
      </c>
      <c r="G30" s="25">
        <v>0</v>
      </c>
      <c r="H30" s="19">
        <f>F30*AE30</f>
        <v>0</v>
      </c>
      <c r="I30" s="19">
        <f>J30-H30</f>
        <v>0</v>
      </c>
      <c r="J30" s="19">
        <f>F30*G30</f>
        <v>0</v>
      </c>
      <c r="K30" s="19">
        <v>0</v>
      </c>
      <c r="L30" s="19">
        <f>F30*K30</f>
        <v>0</v>
      </c>
      <c r="M30" s="37" t="s">
        <v>293</v>
      </c>
      <c r="P30" s="42">
        <f>IF(AG30="5",J30,0)</f>
        <v>0</v>
      </c>
      <c r="R30" s="42">
        <f>IF(AG30="1",H30,0)</f>
        <v>0</v>
      </c>
      <c r="S30" s="42">
        <f>IF(AG30="1",I30,0)</f>
        <v>0</v>
      </c>
      <c r="T30" s="42">
        <f>IF(AG30="7",H30,0)</f>
        <v>0</v>
      </c>
      <c r="U30" s="42">
        <f>IF(AG30="7",I30,0)</f>
        <v>0</v>
      </c>
      <c r="V30" s="42">
        <f>IF(AG30="2",H30,0)</f>
        <v>0</v>
      </c>
      <c r="W30" s="42">
        <f>IF(AG30="2",I30,0)</f>
        <v>0</v>
      </c>
      <c r="X30" s="42">
        <f>IF(AG30="0",J30,0)</f>
        <v>0</v>
      </c>
      <c r="Y30" s="34"/>
      <c r="Z30" s="19">
        <f>IF(AD30=0,J30,0)</f>
        <v>0</v>
      </c>
      <c r="AA30" s="19">
        <f>IF(AD30=15,J30,0)</f>
        <v>0</v>
      </c>
      <c r="AB30" s="19">
        <f>IF(AD30=21,J30,0)</f>
        <v>0</v>
      </c>
      <c r="AD30" s="42">
        <v>21</v>
      </c>
      <c r="AE30" s="42">
        <f>G30*0</f>
        <v>0</v>
      </c>
      <c r="AF30" s="42">
        <f>G30*(1-0)</f>
        <v>0</v>
      </c>
      <c r="AG30" s="37" t="s">
        <v>13</v>
      </c>
      <c r="AM30" s="42">
        <f>F30*AE30</f>
        <v>0</v>
      </c>
      <c r="AN30" s="42">
        <f>F30*AF30</f>
        <v>0</v>
      </c>
      <c r="AO30" s="43" t="s">
        <v>306</v>
      </c>
      <c r="AP30" s="43" t="s">
        <v>323</v>
      </c>
      <c r="AQ30" s="34" t="s">
        <v>328</v>
      </c>
      <c r="AS30" s="42">
        <f>AM30+AN30</f>
        <v>0</v>
      </c>
      <c r="AT30" s="42">
        <f>G30/(100-AU30)*100</f>
        <v>0</v>
      </c>
      <c r="AU30" s="42">
        <v>0</v>
      </c>
      <c r="AV30" s="42">
        <f>L30</f>
        <v>0</v>
      </c>
    </row>
    <row r="31" spans="1:48" ht="12.75">
      <c r="A31" s="4" t="s">
        <v>16</v>
      </c>
      <c r="B31" s="4"/>
      <c r="C31" s="4" t="s">
        <v>88</v>
      </c>
      <c r="D31" s="4" t="s">
        <v>180</v>
      </c>
      <c r="E31" s="4" t="s">
        <v>270</v>
      </c>
      <c r="F31" s="19">
        <v>160</v>
      </c>
      <c r="G31" s="25">
        <v>0</v>
      </c>
      <c r="H31" s="19">
        <f>F31*AE31</f>
        <v>0</v>
      </c>
      <c r="I31" s="19">
        <f>J31-H31</f>
        <v>0</v>
      </c>
      <c r="J31" s="19">
        <f>F31*G31</f>
        <v>0</v>
      </c>
      <c r="K31" s="19">
        <v>0.00131</v>
      </c>
      <c r="L31" s="19">
        <f>F31*K31</f>
        <v>0.2096</v>
      </c>
      <c r="M31" s="37" t="s">
        <v>293</v>
      </c>
      <c r="P31" s="42">
        <f>IF(AG31="5",J31,0)</f>
        <v>0</v>
      </c>
      <c r="R31" s="42">
        <f>IF(AG31="1",H31,0)</f>
        <v>0</v>
      </c>
      <c r="S31" s="42">
        <f>IF(AG31="1",I31,0)</f>
        <v>0</v>
      </c>
      <c r="T31" s="42">
        <f>IF(AG31="7",H31,0)</f>
        <v>0</v>
      </c>
      <c r="U31" s="42">
        <f>IF(AG31="7",I31,0)</f>
        <v>0</v>
      </c>
      <c r="V31" s="42">
        <f>IF(AG31="2",H31,0)</f>
        <v>0</v>
      </c>
      <c r="W31" s="42">
        <f>IF(AG31="2",I31,0)</f>
        <v>0</v>
      </c>
      <c r="X31" s="42">
        <f>IF(AG31="0",J31,0)</f>
        <v>0</v>
      </c>
      <c r="Y31" s="34"/>
      <c r="Z31" s="19">
        <f>IF(AD31=0,J31,0)</f>
        <v>0</v>
      </c>
      <c r="AA31" s="19">
        <f>IF(AD31=15,J31,0)</f>
        <v>0</v>
      </c>
      <c r="AB31" s="19">
        <f>IF(AD31=21,J31,0)</f>
        <v>0</v>
      </c>
      <c r="AD31" s="42">
        <v>21</v>
      </c>
      <c r="AE31" s="42">
        <f>G31*0.435452755905512</f>
        <v>0</v>
      </c>
      <c r="AF31" s="42">
        <f>G31*(1-0.435452755905512)</f>
        <v>0</v>
      </c>
      <c r="AG31" s="37" t="s">
        <v>13</v>
      </c>
      <c r="AM31" s="42">
        <f>F31*AE31</f>
        <v>0</v>
      </c>
      <c r="AN31" s="42">
        <f>F31*AF31</f>
        <v>0</v>
      </c>
      <c r="AO31" s="43" t="s">
        <v>306</v>
      </c>
      <c r="AP31" s="43" t="s">
        <v>323</v>
      </c>
      <c r="AQ31" s="34" t="s">
        <v>328</v>
      </c>
      <c r="AS31" s="42">
        <f>AM31+AN31</f>
        <v>0</v>
      </c>
      <c r="AT31" s="42">
        <f>G31/(100-AU31)*100</f>
        <v>0</v>
      </c>
      <c r="AU31" s="42">
        <v>0</v>
      </c>
      <c r="AV31" s="42">
        <f>L31</f>
        <v>0.2096</v>
      </c>
    </row>
    <row r="32" spans="1:48" ht="12.75">
      <c r="A32" s="4" t="s">
        <v>17</v>
      </c>
      <c r="B32" s="4"/>
      <c r="C32" s="4" t="s">
        <v>89</v>
      </c>
      <c r="D32" s="4" t="s">
        <v>181</v>
      </c>
      <c r="E32" s="4" t="s">
        <v>272</v>
      </c>
      <c r="F32" s="19">
        <v>0.2096</v>
      </c>
      <c r="G32" s="25">
        <v>0</v>
      </c>
      <c r="H32" s="19">
        <f>F32*AE32</f>
        <v>0</v>
      </c>
      <c r="I32" s="19">
        <f>J32-H32</f>
        <v>0</v>
      </c>
      <c r="J32" s="19">
        <f>F32*G32</f>
        <v>0</v>
      </c>
      <c r="K32" s="19">
        <v>0</v>
      </c>
      <c r="L32" s="19">
        <f>F32*K32</f>
        <v>0</v>
      </c>
      <c r="M32" s="37" t="s">
        <v>293</v>
      </c>
      <c r="P32" s="42">
        <f>IF(AG32="5",J32,0)</f>
        <v>0</v>
      </c>
      <c r="R32" s="42">
        <f>IF(AG32="1",H32,0)</f>
        <v>0</v>
      </c>
      <c r="S32" s="42">
        <f>IF(AG32="1",I32,0)</f>
        <v>0</v>
      </c>
      <c r="T32" s="42">
        <f>IF(AG32="7",H32,0)</f>
        <v>0</v>
      </c>
      <c r="U32" s="42">
        <f>IF(AG32="7",I32,0)</f>
        <v>0</v>
      </c>
      <c r="V32" s="42">
        <f>IF(AG32="2",H32,0)</f>
        <v>0</v>
      </c>
      <c r="W32" s="42">
        <f>IF(AG32="2",I32,0)</f>
        <v>0</v>
      </c>
      <c r="X32" s="42">
        <f>IF(AG32="0",J32,0)</f>
        <v>0</v>
      </c>
      <c r="Y32" s="34"/>
      <c r="Z32" s="19">
        <f>IF(AD32=0,J32,0)</f>
        <v>0</v>
      </c>
      <c r="AA32" s="19">
        <f>IF(AD32=15,J32,0)</f>
        <v>0</v>
      </c>
      <c r="AB32" s="19">
        <f>IF(AD32=21,J32,0)</f>
        <v>0</v>
      </c>
      <c r="AD32" s="42">
        <v>21</v>
      </c>
      <c r="AE32" s="42">
        <f>G32*0</f>
        <v>0</v>
      </c>
      <c r="AF32" s="42">
        <f>G32*(1-0)</f>
        <v>0</v>
      </c>
      <c r="AG32" s="37" t="s">
        <v>11</v>
      </c>
      <c r="AM32" s="42">
        <f>F32*AE32</f>
        <v>0</v>
      </c>
      <c r="AN32" s="42">
        <f>F32*AF32</f>
        <v>0</v>
      </c>
      <c r="AO32" s="43" t="s">
        <v>306</v>
      </c>
      <c r="AP32" s="43" t="s">
        <v>323</v>
      </c>
      <c r="AQ32" s="34" t="s">
        <v>328</v>
      </c>
      <c r="AS32" s="42">
        <f>AM32+AN32</f>
        <v>0</v>
      </c>
      <c r="AT32" s="42">
        <f>G32/(100-AU32)*100</f>
        <v>0</v>
      </c>
      <c r="AU32" s="42">
        <v>0</v>
      </c>
      <c r="AV32" s="42">
        <f>L32</f>
        <v>0</v>
      </c>
    </row>
    <row r="33" spans="1:37" ht="12.75">
      <c r="A33" s="5"/>
      <c r="B33" s="13"/>
      <c r="C33" s="13" t="s">
        <v>90</v>
      </c>
      <c r="D33" s="13" t="s">
        <v>182</v>
      </c>
      <c r="E33" s="5" t="s">
        <v>6</v>
      </c>
      <c r="F33" s="5" t="s">
        <v>6</v>
      </c>
      <c r="G33" s="27" t="s">
        <v>6</v>
      </c>
      <c r="H33" s="45">
        <f>SUM(H34:H34)</f>
        <v>0</v>
      </c>
      <c r="I33" s="45">
        <f>SUM(I34:I34)</f>
        <v>0</v>
      </c>
      <c r="J33" s="45">
        <f>H33+I33</f>
        <v>0</v>
      </c>
      <c r="K33" s="34"/>
      <c r="L33" s="45">
        <f>SUM(L34:L34)</f>
        <v>0</v>
      </c>
      <c r="M33" s="34"/>
      <c r="Y33" s="34"/>
      <c r="AI33" s="45">
        <f>SUM(Z34:Z34)</f>
        <v>0</v>
      </c>
      <c r="AJ33" s="45">
        <f>SUM(AA34:AA34)</f>
        <v>0</v>
      </c>
      <c r="AK33" s="45">
        <f>SUM(AB34:AB34)</f>
        <v>0</v>
      </c>
    </row>
    <row r="34" spans="1:48" ht="12.75">
      <c r="A34" s="4" t="s">
        <v>18</v>
      </c>
      <c r="B34" s="4"/>
      <c r="C34" s="4" t="s">
        <v>91</v>
      </c>
      <c r="D34" s="4" t="s">
        <v>183</v>
      </c>
      <c r="E34" s="4" t="s">
        <v>274</v>
      </c>
      <c r="F34" s="19">
        <v>1</v>
      </c>
      <c r="G34" s="25">
        <v>0</v>
      </c>
      <c r="H34" s="19">
        <f>F34*AE34</f>
        <v>0</v>
      </c>
      <c r="I34" s="19">
        <f>J34-H34</f>
        <v>0</v>
      </c>
      <c r="J34" s="19">
        <f>F34*G34</f>
        <v>0</v>
      </c>
      <c r="K34" s="19">
        <v>0</v>
      </c>
      <c r="L34" s="19">
        <f>F34*K34</f>
        <v>0</v>
      </c>
      <c r="M34" s="37" t="s">
        <v>293</v>
      </c>
      <c r="P34" s="42">
        <f>IF(AG34="5",J34,0)</f>
        <v>0</v>
      </c>
      <c r="R34" s="42">
        <f>IF(AG34="1",H34,0)</f>
        <v>0</v>
      </c>
      <c r="S34" s="42">
        <f>IF(AG34="1",I34,0)</f>
        <v>0</v>
      </c>
      <c r="T34" s="42">
        <f>IF(AG34="7",H34,0)</f>
        <v>0</v>
      </c>
      <c r="U34" s="42">
        <f>IF(AG34="7",I34,0)</f>
        <v>0</v>
      </c>
      <c r="V34" s="42">
        <f>IF(AG34="2",H34,0)</f>
        <v>0</v>
      </c>
      <c r="W34" s="42">
        <f>IF(AG34="2",I34,0)</f>
        <v>0</v>
      </c>
      <c r="X34" s="42">
        <f>IF(AG34="0",J34,0)</f>
        <v>0</v>
      </c>
      <c r="Y34" s="34"/>
      <c r="Z34" s="19">
        <f>IF(AD34=0,J34,0)</f>
        <v>0</v>
      </c>
      <c r="AA34" s="19">
        <f>IF(AD34=15,J34,0)</f>
        <v>0</v>
      </c>
      <c r="AB34" s="19">
        <f>IF(AD34=21,J34,0)</f>
        <v>0</v>
      </c>
      <c r="AD34" s="42">
        <v>21</v>
      </c>
      <c r="AE34" s="42">
        <f>G34*0.195270571428571</f>
        <v>0</v>
      </c>
      <c r="AF34" s="42">
        <f>G34*(1-0.195270571428571)</f>
        <v>0</v>
      </c>
      <c r="AG34" s="37" t="s">
        <v>13</v>
      </c>
      <c r="AM34" s="42">
        <f>F34*AE34</f>
        <v>0</v>
      </c>
      <c r="AN34" s="42">
        <f>F34*AF34</f>
        <v>0</v>
      </c>
      <c r="AO34" s="43" t="s">
        <v>307</v>
      </c>
      <c r="AP34" s="43" t="s">
        <v>324</v>
      </c>
      <c r="AQ34" s="34" t="s">
        <v>328</v>
      </c>
      <c r="AS34" s="42">
        <f>AM34+AN34</f>
        <v>0</v>
      </c>
      <c r="AT34" s="42">
        <f>G34/(100-AU34)*100</f>
        <v>0</v>
      </c>
      <c r="AU34" s="42">
        <v>0</v>
      </c>
      <c r="AV34" s="42">
        <f>L34</f>
        <v>0</v>
      </c>
    </row>
    <row r="35" spans="4:7" ht="12.75">
      <c r="D35" s="16" t="s">
        <v>184</v>
      </c>
      <c r="G35" s="26"/>
    </row>
    <row r="36" spans="1:37" ht="12.75">
      <c r="A36" s="5"/>
      <c r="B36" s="13"/>
      <c r="C36" s="13" t="s">
        <v>92</v>
      </c>
      <c r="D36" s="13" t="s">
        <v>185</v>
      </c>
      <c r="E36" s="5" t="s">
        <v>6</v>
      </c>
      <c r="F36" s="5" t="s">
        <v>6</v>
      </c>
      <c r="G36" s="27" t="s">
        <v>6</v>
      </c>
      <c r="H36" s="45">
        <f>SUM(H37:H50)</f>
        <v>0</v>
      </c>
      <c r="I36" s="45">
        <f>SUM(I37:I50)</f>
        <v>0</v>
      </c>
      <c r="J36" s="45">
        <f>H36+I36</f>
        <v>0</v>
      </c>
      <c r="K36" s="34"/>
      <c r="L36" s="45">
        <f>SUM(L37:L50)</f>
        <v>39.192519469100006</v>
      </c>
      <c r="M36" s="34"/>
      <c r="Y36" s="34"/>
      <c r="AI36" s="45">
        <f>SUM(Z37:Z50)</f>
        <v>0</v>
      </c>
      <c r="AJ36" s="45">
        <f>SUM(AA37:AA50)</f>
        <v>0</v>
      </c>
      <c r="AK36" s="45">
        <f>SUM(AB37:AB50)</f>
        <v>0</v>
      </c>
    </row>
    <row r="37" spans="1:48" ht="12.75">
      <c r="A37" s="4" t="s">
        <v>19</v>
      </c>
      <c r="B37" s="4"/>
      <c r="C37" s="4" t="s">
        <v>93</v>
      </c>
      <c r="D37" s="4" t="s">
        <v>186</v>
      </c>
      <c r="E37" s="4" t="s">
        <v>273</v>
      </c>
      <c r="F37" s="19">
        <v>2012.5042</v>
      </c>
      <c r="G37" s="25">
        <v>0</v>
      </c>
      <c r="H37" s="19">
        <f>F37*AE37</f>
        <v>0</v>
      </c>
      <c r="I37" s="19">
        <f>J37-H37</f>
        <v>0</v>
      </c>
      <c r="J37" s="19">
        <f>F37*G37</f>
        <v>0</v>
      </c>
      <c r="K37" s="19">
        <v>0.0056</v>
      </c>
      <c r="L37" s="19">
        <f>F37*K37</f>
        <v>11.27002352</v>
      </c>
      <c r="M37" s="37" t="s">
        <v>293</v>
      </c>
      <c r="P37" s="42">
        <f>IF(AG37="5",J37,0)</f>
        <v>0</v>
      </c>
      <c r="R37" s="42">
        <f>IF(AG37="1",H37,0)</f>
        <v>0</v>
      </c>
      <c r="S37" s="42">
        <f>IF(AG37="1",I37,0)</f>
        <v>0</v>
      </c>
      <c r="T37" s="42">
        <f>IF(AG37="7",H37,0)</f>
        <v>0</v>
      </c>
      <c r="U37" s="42">
        <f>IF(AG37="7",I37,0)</f>
        <v>0</v>
      </c>
      <c r="V37" s="42">
        <f>IF(AG37="2",H37,0)</f>
        <v>0</v>
      </c>
      <c r="W37" s="42">
        <f>IF(AG37="2",I37,0)</f>
        <v>0</v>
      </c>
      <c r="X37" s="42">
        <f>IF(AG37="0",J37,0)</f>
        <v>0</v>
      </c>
      <c r="Y37" s="34"/>
      <c r="Z37" s="19">
        <f>IF(AD37=0,J37,0)</f>
        <v>0</v>
      </c>
      <c r="AA37" s="19">
        <f>IF(AD37=15,J37,0)</f>
        <v>0</v>
      </c>
      <c r="AB37" s="19">
        <f>IF(AD37=21,J37,0)</f>
        <v>0</v>
      </c>
      <c r="AD37" s="42">
        <v>21</v>
      </c>
      <c r="AE37" s="42">
        <f>G37*0</f>
        <v>0</v>
      </c>
      <c r="AF37" s="42">
        <f>G37*(1-0)</f>
        <v>0</v>
      </c>
      <c r="AG37" s="37" t="s">
        <v>13</v>
      </c>
      <c r="AM37" s="42">
        <f>F37*AE37</f>
        <v>0</v>
      </c>
      <c r="AN37" s="42">
        <f>F37*AF37</f>
        <v>0</v>
      </c>
      <c r="AO37" s="43" t="s">
        <v>308</v>
      </c>
      <c r="AP37" s="43" t="s">
        <v>325</v>
      </c>
      <c r="AQ37" s="34" t="s">
        <v>328</v>
      </c>
      <c r="AS37" s="42">
        <f>AM37+AN37</f>
        <v>0</v>
      </c>
      <c r="AT37" s="42">
        <f>G37/(100-AU37)*100</f>
        <v>0</v>
      </c>
      <c r="AU37" s="42">
        <v>0</v>
      </c>
      <c r="AV37" s="42">
        <f>L37</f>
        <v>11.27002352</v>
      </c>
    </row>
    <row r="38" spans="4:7" ht="12.75">
      <c r="D38" s="16" t="s">
        <v>187</v>
      </c>
      <c r="G38" s="26"/>
    </row>
    <row r="39" spans="1:48" ht="12.75">
      <c r="A39" s="4" t="s">
        <v>20</v>
      </c>
      <c r="B39" s="4"/>
      <c r="C39" s="4" t="s">
        <v>94</v>
      </c>
      <c r="D39" s="4" t="s">
        <v>186</v>
      </c>
      <c r="E39" s="4" t="s">
        <v>273</v>
      </c>
      <c r="F39" s="19">
        <v>434.78498</v>
      </c>
      <c r="G39" s="25">
        <v>0</v>
      </c>
      <c r="H39" s="19">
        <f>F39*AE39</f>
        <v>0</v>
      </c>
      <c r="I39" s="19">
        <f>J39-H39</f>
        <v>0</v>
      </c>
      <c r="J39" s="19">
        <f>F39*G39</f>
        <v>0</v>
      </c>
      <c r="K39" s="19">
        <v>0.015</v>
      </c>
      <c r="L39" s="19">
        <f>F39*K39</f>
        <v>6.5217747</v>
      </c>
      <c r="M39" s="37" t="s">
        <v>293</v>
      </c>
      <c r="P39" s="42">
        <f>IF(AG39="5",J39,0)</f>
        <v>0</v>
      </c>
      <c r="R39" s="42">
        <f>IF(AG39="1",H39,0)</f>
        <v>0</v>
      </c>
      <c r="S39" s="42">
        <f>IF(AG39="1",I39,0)</f>
        <v>0</v>
      </c>
      <c r="T39" s="42">
        <f>IF(AG39="7",H39,0)</f>
        <v>0</v>
      </c>
      <c r="U39" s="42">
        <f>IF(AG39="7",I39,0)</f>
        <v>0</v>
      </c>
      <c r="V39" s="42">
        <f>IF(AG39="2",H39,0)</f>
        <v>0</v>
      </c>
      <c r="W39" s="42">
        <f>IF(AG39="2",I39,0)</f>
        <v>0</v>
      </c>
      <c r="X39" s="42">
        <f>IF(AG39="0",J39,0)</f>
        <v>0</v>
      </c>
      <c r="Y39" s="34"/>
      <c r="Z39" s="19">
        <f>IF(AD39=0,J39,0)</f>
        <v>0</v>
      </c>
      <c r="AA39" s="19">
        <f>IF(AD39=15,J39,0)</f>
        <v>0</v>
      </c>
      <c r="AB39" s="19">
        <f>IF(AD39=21,J39,0)</f>
        <v>0</v>
      </c>
      <c r="AD39" s="42">
        <v>21</v>
      </c>
      <c r="AE39" s="42">
        <f>G39*0</f>
        <v>0</v>
      </c>
      <c r="AF39" s="42">
        <f>G39*(1-0)</f>
        <v>0</v>
      </c>
      <c r="AG39" s="37" t="s">
        <v>13</v>
      </c>
      <c r="AM39" s="42">
        <f>F39*AE39</f>
        <v>0</v>
      </c>
      <c r="AN39" s="42">
        <f>F39*AF39</f>
        <v>0</v>
      </c>
      <c r="AO39" s="43" t="s">
        <v>308</v>
      </c>
      <c r="AP39" s="43" t="s">
        <v>325</v>
      </c>
      <c r="AQ39" s="34" t="s">
        <v>328</v>
      </c>
      <c r="AS39" s="42">
        <f>AM39+AN39</f>
        <v>0</v>
      </c>
      <c r="AT39" s="42">
        <f>G39/(100-AU39)*100</f>
        <v>0</v>
      </c>
      <c r="AU39" s="42">
        <v>0</v>
      </c>
      <c r="AV39" s="42">
        <f>L39</f>
        <v>6.5217747</v>
      </c>
    </row>
    <row r="40" spans="4:7" ht="12.75">
      <c r="D40" s="16" t="s">
        <v>188</v>
      </c>
      <c r="G40" s="26"/>
    </row>
    <row r="41" spans="1:48" ht="12.75">
      <c r="A41" s="4" t="s">
        <v>21</v>
      </c>
      <c r="B41" s="4"/>
      <c r="C41" s="4" t="s">
        <v>95</v>
      </c>
      <c r="D41" s="4" t="s">
        <v>189</v>
      </c>
      <c r="E41" s="4" t="s">
        <v>273</v>
      </c>
      <c r="F41" s="19">
        <v>2012.5042</v>
      </c>
      <c r="G41" s="25">
        <v>0</v>
      </c>
      <c r="H41" s="19">
        <f>F41*AE41</f>
        <v>0</v>
      </c>
      <c r="I41" s="19">
        <f>J41-H41</f>
        <v>0</v>
      </c>
      <c r="J41" s="19">
        <f>F41*G41</f>
        <v>0</v>
      </c>
      <c r="K41" s="19">
        <v>0.00403</v>
      </c>
      <c r="L41" s="19">
        <f>F41*K41</f>
        <v>8.110391926</v>
      </c>
      <c r="M41" s="37" t="s">
        <v>293</v>
      </c>
      <c r="P41" s="42">
        <f>IF(AG41="5",J41,0)</f>
        <v>0</v>
      </c>
      <c r="R41" s="42">
        <f>IF(AG41="1",H41,0)</f>
        <v>0</v>
      </c>
      <c r="S41" s="42">
        <f>IF(AG41="1",I41,0)</f>
        <v>0</v>
      </c>
      <c r="T41" s="42">
        <f>IF(AG41="7",H41,0)</f>
        <v>0</v>
      </c>
      <c r="U41" s="42">
        <f>IF(AG41="7",I41,0)</f>
        <v>0</v>
      </c>
      <c r="V41" s="42">
        <f>IF(AG41="2",H41,0)</f>
        <v>0</v>
      </c>
      <c r="W41" s="42">
        <f>IF(AG41="2",I41,0)</f>
        <v>0</v>
      </c>
      <c r="X41" s="42">
        <f>IF(AG41="0",J41,0)</f>
        <v>0</v>
      </c>
      <c r="Y41" s="34"/>
      <c r="Z41" s="19">
        <f>IF(AD41=0,J41,0)</f>
        <v>0</v>
      </c>
      <c r="AA41" s="19">
        <f>IF(AD41=15,J41,0)</f>
        <v>0</v>
      </c>
      <c r="AB41" s="19">
        <f>IF(AD41=21,J41,0)</f>
        <v>0</v>
      </c>
      <c r="AD41" s="42">
        <v>21</v>
      </c>
      <c r="AE41" s="42">
        <f>G41*0.449019604343296</f>
        <v>0</v>
      </c>
      <c r="AF41" s="42">
        <f>G41*(1-0.449019604343296)</f>
        <v>0</v>
      </c>
      <c r="AG41" s="37" t="s">
        <v>13</v>
      </c>
      <c r="AM41" s="42">
        <f>F41*AE41</f>
        <v>0</v>
      </c>
      <c r="AN41" s="42">
        <f>F41*AF41</f>
        <v>0</v>
      </c>
      <c r="AO41" s="43" t="s">
        <v>308</v>
      </c>
      <c r="AP41" s="43" t="s">
        <v>325</v>
      </c>
      <c r="AQ41" s="34" t="s">
        <v>328</v>
      </c>
      <c r="AS41" s="42">
        <f>AM41+AN41</f>
        <v>0</v>
      </c>
      <c r="AT41" s="42">
        <f>G41/(100-AU41)*100</f>
        <v>0</v>
      </c>
      <c r="AU41" s="42">
        <v>0</v>
      </c>
      <c r="AV41" s="42">
        <f>L41</f>
        <v>8.110391926</v>
      </c>
    </row>
    <row r="42" spans="4:7" ht="12.75">
      <c r="D42" s="16" t="s">
        <v>190</v>
      </c>
      <c r="G42" s="26"/>
    </row>
    <row r="43" spans="1:48" ht="12.75">
      <c r="A43" s="4" t="s">
        <v>22</v>
      </c>
      <c r="B43" s="4"/>
      <c r="C43" s="4" t="s">
        <v>96</v>
      </c>
      <c r="D43" s="4" t="s">
        <v>191</v>
      </c>
      <c r="E43" s="4" t="s">
        <v>273</v>
      </c>
      <c r="F43" s="19">
        <v>2012.5042</v>
      </c>
      <c r="G43" s="25">
        <v>0</v>
      </c>
      <c r="H43" s="19">
        <f>F43*AE43</f>
        <v>0</v>
      </c>
      <c r="I43" s="19">
        <f>J43-H43</f>
        <v>0</v>
      </c>
      <c r="J43" s="19">
        <f>F43*G43</f>
        <v>0</v>
      </c>
      <c r="K43" s="19">
        <v>0.00145</v>
      </c>
      <c r="L43" s="19">
        <f>F43*K43</f>
        <v>2.9181310899999997</v>
      </c>
      <c r="M43" s="37" t="s">
        <v>293</v>
      </c>
      <c r="P43" s="42">
        <f>IF(AG43="5",J43,0)</f>
        <v>0</v>
      </c>
      <c r="R43" s="42">
        <f>IF(AG43="1",H43,0)</f>
        <v>0</v>
      </c>
      <c r="S43" s="42">
        <f>IF(AG43="1",I43,0)</f>
        <v>0</v>
      </c>
      <c r="T43" s="42">
        <f>IF(AG43="7",H43,0)</f>
        <v>0</v>
      </c>
      <c r="U43" s="42">
        <f>IF(AG43="7",I43,0)</f>
        <v>0</v>
      </c>
      <c r="V43" s="42">
        <f>IF(AG43="2",H43,0)</f>
        <v>0</v>
      </c>
      <c r="W43" s="42">
        <f>IF(AG43="2",I43,0)</f>
        <v>0</v>
      </c>
      <c r="X43" s="42">
        <f>IF(AG43="0",J43,0)</f>
        <v>0</v>
      </c>
      <c r="Y43" s="34"/>
      <c r="Z43" s="19">
        <f>IF(AD43=0,J43,0)</f>
        <v>0</v>
      </c>
      <c r="AA43" s="19">
        <f>IF(AD43=15,J43,0)</f>
        <v>0</v>
      </c>
      <c r="AB43" s="19">
        <f>IF(AD43=21,J43,0)</f>
        <v>0</v>
      </c>
      <c r="AD43" s="42">
        <v>21</v>
      </c>
      <c r="AE43" s="42">
        <f>G43*0.455769248687635</f>
        <v>0</v>
      </c>
      <c r="AF43" s="42">
        <f>G43*(1-0.455769248687635)</f>
        <v>0</v>
      </c>
      <c r="AG43" s="37" t="s">
        <v>13</v>
      </c>
      <c r="AM43" s="42">
        <f>F43*AE43</f>
        <v>0</v>
      </c>
      <c r="AN43" s="42">
        <f>F43*AF43</f>
        <v>0</v>
      </c>
      <c r="AO43" s="43" t="s">
        <v>308</v>
      </c>
      <c r="AP43" s="43" t="s">
        <v>325</v>
      </c>
      <c r="AQ43" s="34" t="s">
        <v>328</v>
      </c>
      <c r="AS43" s="42">
        <f>AM43+AN43</f>
        <v>0</v>
      </c>
      <c r="AT43" s="42">
        <f>G43/(100-AU43)*100</f>
        <v>0</v>
      </c>
      <c r="AU43" s="42">
        <v>0</v>
      </c>
      <c r="AV43" s="42">
        <f>L43</f>
        <v>2.9181310899999997</v>
      </c>
    </row>
    <row r="44" spans="4:7" ht="12.75">
      <c r="D44" s="16" t="s">
        <v>190</v>
      </c>
      <c r="G44" s="26"/>
    </row>
    <row r="45" spans="1:48" ht="12.75">
      <c r="A45" s="4" t="s">
        <v>23</v>
      </c>
      <c r="B45" s="4"/>
      <c r="C45" s="4" t="s">
        <v>97</v>
      </c>
      <c r="D45" s="4" t="s">
        <v>192</v>
      </c>
      <c r="E45" s="4" t="s">
        <v>273</v>
      </c>
      <c r="F45" s="19">
        <v>434.78498</v>
      </c>
      <c r="G45" s="25">
        <v>0</v>
      </c>
      <c r="H45" s="19">
        <f>F45*AE45</f>
        <v>0</v>
      </c>
      <c r="I45" s="19">
        <f>J45-H45</f>
        <v>0</v>
      </c>
      <c r="J45" s="19">
        <f>F45*G45</f>
        <v>0</v>
      </c>
      <c r="K45" s="19">
        <v>0.01521</v>
      </c>
      <c r="L45" s="19">
        <f>F45*K45</f>
        <v>6.6130795458</v>
      </c>
      <c r="M45" s="37" t="s">
        <v>293</v>
      </c>
      <c r="P45" s="42">
        <f>IF(AG45="5",J45,0)</f>
        <v>0</v>
      </c>
      <c r="R45" s="42">
        <f>IF(AG45="1",H45,0)</f>
        <v>0</v>
      </c>
      <c r="S45" s="42">
        <f>IF(AG45="1",I45,0)</f>
        <v>0</v>
      </c>
      <c r="T45" s="42">
        <f>IF(AG45="7",H45,0)</f>
        <v>0</v>
      </c>
      <c r="U45" s="42">
        <f>IF(AG45="7",I45,0)</f>
        <v>0</v>
      </c>
      <c r="V45" s="42">
        <f>IF(AG45="2",H45,0)</f>
        <v>0</v>
      </c>
      <c r="W45" s="42">
        <f>IF(AG45="2",I45,0)</f>
        <v>0</v>
      </c>
      <c r="X45" s="42">
        <f>IF(AG45="0",J45,0)</f>
        <v>0</v>
      </c>
      <c r="Y45" s="34"/>
      <c r="Z45" s="19">
        <f>IF(AD45=0,J45,0)</f>
        <v>0</v>
      </c>
      <c r="AA45" s="19">
        <f>IF(AD45=15,J45,0)</f>
        <v>0</v>
      </c>
      <c r="AB45" s="19">
        <f>IF(AD45=21,J45,0)</f>
        <v>0</v>
      </c>
      <c r="AD45" s="42">
        <v>21</v>
      </c>
      <c r="AE45" s="42">
        <f>G45*0.639857737029693</f>
        <v>0</v>
      </c>
      <c r="AF45" s="42">
        <f>G45*(1-0.639857737029693)</f>
        <v>0</v>
      </c>
      <c r="AG45" s="37" t="s">
        <v>13</v>
      </c>
      <c r="AM45" s="42">
        <f>F45*AE45</f>
        <v>0</v>
      </c>
      <c r="AN45" s="42">
        <f>F45*AF45</f>
        <v>0</v>
      </c>
      <c r="AO45" s="43" t="s">
        <v>308</v>
      </c>
      <c r="AP45" s="43" t="s">
        <v>325</v>
      </c>
      <c r="AQ45" s="34" t="s">
        <v>328</v>
      </c>
      <c r="AS45" s="42">
        <f>AM45+AN45</f>
        <v>0</v>
      </c>
      <c r="AT45" s="42">
        <f>G45/(100-AU45)*100</f>
        <v>0</v>
      </c>
      <c r="AU45" s="42">
        <v>0</v>
      </c>
      <c r="AV45" s="42">
        <f>L45</f>
        <v>6.6130795458</v>
      </c>
    </row>
    <row r="46" spans="4:7" ht="12.75">
      <c r="D46" s="16" t="s">
        <v>193</v>
      </c>
      <c r="G46" s="26"/>
    </row>
    <row r="47" spans="1:48" ht="12.75">
      <c r="A47" s="4" t="s">
        <v>24</v>
      </c>
      <c r="B47" s="4"/>
      <c r="C47" s="4" t="s">
        <v>98</v>
      </c>
      <c r="D47" s="4" t="s">
        <v>194</v>
      </c>
      <c r="E47" s="4" t="s">
        <v>270</v>
      </c>
      <c r="F47" s="19">
        <v>460.275</v>
      </c>
      <c r="G47" s="25">
        <v>0</v>
      </c>
      <c r="H47" s="19">
        <f>F47*AE47</f>
        <v>0</v>
      </c>
      <c r="I47" s="19">
        <f>J47-H47</f>
        <v>0</v>
      </c>
      <c r="J47" s="19">
        <f>F47*G47</f>
        <v>0</v>
      </c>
      <c r="K47" s="19">
        <v>0.00712</v>
      </c>
      <c r="L47" s="19">
        <f>F47*K47</f>
        <v>3.2771579999999996</v>
      </c>
      <c r="M47" s="37" t="s">
        <v>293</v>
      </c>
      <c r="P47" s="42">
        <f>IF(AG47="5",J47,0)</f>
        <v>0</v>
      </c>
      <c r="R47" s="42">
        <f>IF(AG47="1",H47,0)</f>
        <v>0</v>
      </c>
      <c r="S47" s="42">
        <f>IF(AG47="1",I47,0)</f>
        <v>0</v>
      </c>
      <c r="T47" s="42">
        <f>IF(AG47="7",H47,0)</f>
        <v>0</v>
      </c>
      <c r="U47" s="42">
        <f>IF(AG47="7",I47,0)</f>
        <v>0</v>
      </c>
      <c r="V47" s="42">
        <f>IF(AG47="2",H47,0)</f>
        <v>0</v>
      </c>
      <c r="W47" s="42">
        <f>IF(AG47="2",I47,0)</f>
        <v>0</v>
      </c>
      <c r="X47" s="42">
        <f>IF(AG47="0",J47,0)</f>
        <v>0</v>
      </c>
      <c r="Y47" s="34"/>
      <c r="Z47" s="19">
        <f>IF(AD47=0,J47,0)</f>
        <v>0</v>
      </c>
      <c r="AA47" s="19">
        <f>IF(AD47=15,J47,0)</f>
        <v>0</v>
      </c>
      <c r="AB47" s="19">
        <f>IF(AD47=21,J47,0)</f>
        <v>0</v>
      </c>
      <c r="AD47" s="42">
        <v>21</v>
      </c>
      <c r="AE47" s="42">
        <f>G47*0.382045639802767</f>
        <v>0</v>
      </c>
      <c r="AF47" s="42">
        <f>G47*(1-0.382045639802767)</f>
        <v>0</v>
      </c>
      <c r="AG47" s="37" t="s">
        <v>13</v>
      </c>
      <c r="AM47" s="42">
        <f>F47*AE47</f>
        <v>0</v>
      </c>
      <c r="AN47" s="42">
        <f>F47*AF47</f>
        <v>0</v>
      </c>
      <c r="AO47" s="43" t="s">
        <v>308</v>
      </c>
      <c r="AP47" s="43" t="s">
        <v>325</v>
      </c>
      <c r="AQ47" s="34" t="s">
        <v>328</v>
      </c>
      <c r="AS47" s="42">
        <f>AM47+AN47</f>
        <v>0</v>
      </c>
      <c r="AT47" s="42">
        <f>G47/(100-AU47)*100</f>
        <v>0</v>
      </c>
      <c r="AU47" s="42">
        <v>0</v>
      </c>
      <c r="AV47" s="42">
        <f>L47</f>
        <v>3.2771579999999996</v>
      </c>
    </row>
    <row r="48" spans="3:13" ht="12.75">
      <c r="C48" s="14" t="s">
        <v>74</v>
      </c>
      <c r="D48" s="116" t="s">
        <v>195</v>
      </c>
      <c r="E48" s="117"/>
      <c r="F48" s="117"/>
      <c r="G48" s="118"/>
      <c r="H48" s="117"/>
      <c r="I48" s="117"/>
      <c r="J48" s="117"/>
      <c r="K48" s="117"/>
      <c r="L48" s="117"/>
      <c r="M48" s="117"/>
    </row>
    <row r="49" spans="1:48" ht="12.75">
      <c r="A49" s="4" t="s">
        <v>25</v>
      </c>
      <c r="B49" s="4"/>
      <c r="C49" s="4" t="s">
        <v>99</v>
      </c>
      <c r="D49" s="4" t="s">
        <v>196</v>
      </c>
      <c r="E49" s="4" t="s">
        <v>275</v>
      </c>
      <c r="F49" s="19">
        <v>3.35417</v>
      </c>
      <c r="G49" s="25">
        <v>0</v>
      </c>
      <c r="H49" s="19">
        <f>F49*AE49</f>
        <v>0</v>
      </c>
      <c r="I49" s="19">
        <f>J49-H49</f>
        <v>0</v>
      </c>
      <c r="J49" s="19">
        <f>F49*G49</f>
        <v>0</v>
      </c>
      <c r="K49" s="19">
        <v>0.14369</v>
      </c>
      <c r="L49" s="19">
        <f>F49*K49</f>
        <v>0.4819606873</v>
      </c>
      <c r="M49" s="37" t="s">
        <v>293</v>
      </c>
      <c r="P49" s="42">
        <f>IF(AG49="5",J49,0)</f>
        <v>0</v>
      </c>
      <c r="R49" s="42">
        <f>IF(AG49="1",H49,0)</f>
        <v>0</v>
      </c>
      <c r="S49" s="42">
        <f>IF(AG49="1",I49,0)</f>
        <v>0</v>
      </c>
      <c r="T49" s="42">
        <f>IF(AG49="7",H49,0)</f>
        <v>0</v>
      </c>
      <c r="U49" s="42">
        <f>IF(AG49="7",I49,0)</f>
        <v>0</v>
      </c>
      <c r="V49" s="42">
        <f>IF(AG49="2",H49,0)</f>
        <v>0</v>
      </c>
      <c r="W49" s="42">
        <f>IF(AG49="2",I49,0)</f>
        <v>0</v>
      </c>
      <c r="X49" s="42">
        <f>IF(AG49="0",J49,0)</f>
        <v>0</v>
      </c>
      <c r="Y49" s="34"/>
      <c r="Z49" s="19">
        <f>IF(AD49=0,J49,0)</f>
        <v>0</v>
      </c>
      <c r="AA49" s="19">
        <f>IF(AD49=15,J49,0)</f>
        <v>0</v>
      </c>
      <c r="AB49" s="19">
        <f>IF(AD49=21,J49,0)</f>
        <v>0</v>
      </c>
      <c r="AD49" s="42">
        <v>21</v>
      </c>
      <c r="AE49" s="42">
        <f>G49*0.154560350392949</f>
        <v>0</v>
      </c>
      <c r="AF49" s="42">
        <f>G49*(1-0.154560350392949)</f>
        <v>0</v>
      </c>
      <c r="AG49" s="37" t="s">
        <v>13</v>
      </c>
      <c r="AM49" s="42">
        <f>F49*AE49</f>
        <v>0</v>
      </c>
      <c r="AN49" s="42">
        <f>F49*AF49</f>
        <v>0</v>
      </c>
      <c r="AO49" s="43" t="s">
        <v>308</v>
      </c>
      <c r="AP49" s="43" t="s">
        <v>325</v>
      </c>
      <c r="AQ49" s="34" t="s">
        <v>328</v>
      </c>
      <c r="AS49" s="42">
        <f>AM49+AN49</f>
        <v>0</v>
      </c>
      <c r="AT49" s="42">
        <f>G49/(100-AU49)*100</f>
        <v>0</v>
      </c>
      <c r="AU49" s="42">
        <v>0</v>
      </c>
      <c r="AV49" s="42">
        <f>L49</f>
        <v>0.4819606873</v>
      </c>
    </row>
    <row r="50" spans="1:48" ht="12.75">
      <c r="A50" s="4" t="s">
        <v>26</v>
      </c>
      <c r="B50" s="4"/>
      <c r="C50" s="4" t="s">
        <v>100</v>
      </c>
      <c r="D50" s="4" t="s">
        <v>197</v>
      </c>
      <c r="E50" s="4" t="s">
        <v>272</v>
      </c>
      <c r="F50" s="19">
        <v>14.78764</v>
      </c>
      <c r="G50" s="25">
        <v>0</v>
      </c>
      <c r="H50" s="19">
        <f>F50*AE50</f>
        <v>0</v>
      </c>
      <c r="I50" s="19">
        <f>J50-H50</f>
        <v>0</v>
      </c>
      <c r="J50" s="19">
        <f>F50*G50</f>
        <v>0</v>
      </c>
      <c r="K50" s="19">
        <v>0</v>
      </c>
      <c r="L50" s="19">
        <f>F50*K50</f>
        <v>0</v>
      </c>
      <c r="M50" s="37" t="s">
        <v>293</v>
      </c>
      <c r="P50" s="42">
        <f>IF(AG50="5",J50,0)</f>
        <v>0</v>
      </c>
      <c r="R50" s="42">
        <f>IF(AG50="1",H50,0)</f>
        <v>0</v>
      </c>
      <c r="S50" s="42">
        <f>IF(AG50="1",I50,0)</f>
        <v>0</v>
      </c>
      <c r="T50" s="42">
        <f>IF(AG50="7",H50,0)</f>
        <v>0</v>
      </c>
      <c r="U50" s="42">
        <f>IF(AG50="7",I50,0)</f>
        <v>0</v>
      </c>
      <c r="V50" s="42">
        <f>IF(AG50="2",H50,0)</f>
        <v>0</v>
      </c>
      <c r="W50" s="42">
        <f>IF(AG50="2",I50,0)</f>
        <v>0</v>
      </c>
      <c r="X50" s="42">
        <f>IF(AG50="0",J50,0)</f>
        <v>0</v>
      </c>
      <c r="Y50" s="34"/>
      <c r="Z50" s="19">
        <f>IF(AD50=0,J50,0)</f>
        <v>0</v>
      </c>
      <c r="AA50" s="19">
        <f>IF(AD50=15,J50,0)</f>
        <v>0</v>
      </c>
      <c r="AB50" s="19">
        <f>IF(AD50=21,J50,0)</f>
        <v>0</v>
      </c>
      <c r="AD50" s="42">
        <v>21</v>
      </c>
      <c r="AE50" s="42">
        <f>G50*0</f>
        <v>0</v>
      </c>
      <c r="AF50" s="42">
        <f>G50*(1-0)</f>
        <v>0</v>
      </c>
      <c r="AG50" s="37" t="s">
        <v>11</v>
      </c>
      <c r="AM50" s="42">
        <f>F50*AE50</f>
        <v>0</v>
      </c>
      <c r="AN50" s="42">
        <f>F50*AF50</f>
        <v>0</v>
      </c>
      <c r="AO50" s="43" t="s">
        <v>308</v>
      </c>
      <c r="AP50" s="43" t="s">
        <v>325</v>
      </c>
      <c r="AQ50" s="34" t="s">
        <v>328</v>
      </c>
      <c r="AS50" s="42">
        <f>AM50+AN50</f>
        <v>0</v>
      </c>
      <c r="AT50" s="42">
        <f>G50/(100-AU50)*100</f>
        <v>0</v>
      </c>
      <c r="AU50" s="42">
        <v>0</v>
      </c>
      <c r="AV50" s="42">
        <f>L50</f>
        <v>0</v>
      </c>
    </row>
    <row r="51" spans="1:37" ht="12.75">
      <c r="A51" s="5"/>
      <c r="B51" s="13"/>
      <c r="C51" s="13" t="s">
        <v>101</v>
      </c>
      <c r="D51" s="13" t="s">
        <v>198</v>
      </c>
      <c r="E51" s="5" t="s">
        <v>6</v>
      </c>
      <c r="F51" s="5" t="s">
        <v>6</v>
      </c>
      <c r="G51" s="27" t="s">
        <v>6</v>
      </c>
      <c r="H51" s="45">
        <f>SUM(H52:H67)</f>
        <v>0</v>
      </c>
      <c r="I51" s="45">
        <f>SUM(I52:I67)</f>
        <v>0</v>
      </c>
      <c r="J51" s="45">
        <f>H51+I51</f>
        <v>0</v>
      </c>
      <c r="K51" s="34"/>
      <c r="L51" s="45">
        <f>SUM(L52:L67)</f>
        <v>10.88382423</v>
      </c>
      <c r="M51" s="34"/>
      <c r="Y51" s="34"/>
      <c r="AI51" s="45">
        <f>SUM(Z52:Z67)</f>
        <v>0</v>
      </c>
      <c r="AJ51" s="45">
        <f>SUM(AA52:AA67)</f>
        <v>0</v>
      </c>
      <c r="AK51" s="45">
        <f>SUM(AB52:AB67)</f>
        <v>0</v>
      </c>
    </row>
    <row r="52" spans="1:48" ht="12.75">
      <c r="A52" s="4" t="s">
        <v>27</v>
      </c>
      <c r="B52" s="4"/>
      <c r="C52" s="4" t="s">
        <v>102</v>
      </c>
      <c r="D52" s="4" t="s">
        <v>199</v>
      </c>
      <c r="E52" s="4" t="s">
        <v>270</v>
      </c>
      <c r="F52" s="19">
        <v>306.85</v>
      </c>
      <c r="G52" s="25">
        <v>0</v>
      </c>
      <c r="H52" s="19">
        <f>F52*AE52</f>
        <v>0</v>
      </c>
      <c r="I52" s="19">
        <f>J52-H52</f>
        <v>0</v>
      </c>
      <c r="J52" s="19">
        <f>F52*G52</f>
        <v>0</v>
      </c>
      <c r="K52" s="19">
        <v>0.00464</v>
      </c>
      <c r="L52" s="19">
        <f>F52*K52</f>
        <v>1.4237840000000002</v>
      </c>
      <c r="M52" s="37" t="s">
        <v>293</v>
      </c>
      <c r="P52" s="42">
        <f>IF(AG52="5",J52,0)</f>
        <v>0</v>
      </c>
      <c r="R52" s="42">
        <f>IF(AG52="1",H52,0)</f>
        <v>0</v>
      </c>
      <c r="S52" s="42">
        <f>IF(AG52="1",I52,0)</f>
        <v>0</v>
      </c>
      <c r="T52" s="42">
        <f>IF(AG52="7",H52,0)</f>
        <v>0</v>
      </c>
      <c r="U52" s="42">
        <f>IF(AG52="7",I52,0)</f>
        <v>0</v>
      </c>
      <c r="V52" s="42">
        <f>IF(AG52="2",H52,0)</f>
        <v>0</v>
      </c>
      <c r="W52" s="42">
        <f>IF(AG52="2",I52,0)</f>
        <v>0</v>
      </c>
      <c r="X52" s="42">
        <f>IF(AG52="0",J52,0)</f>
        <v>0</v>
      </c>
      <c r="Y52" s="34"/>
      <c r="Z52" s="19">
        <f>IF(AD52=0,J52,0)</f>
        <v>0</v>
      </c>
      <c r="AA52" s="19">
        <f>IF(AD52=15,J52,0)</f>
        <v>0</v>
      </c>
      <c r="AB52" s="19">
        <f>IF(AD52=21,J52,0)</f>
        <v>0</v>
      </c>
      <c r="AD52" s="42">
        <v>21</v>
      </c>
      <c r="AE52" s="42">
        <f>G52*0</f>
        <v>0</v>
      </c>
      <c r="AF52" s="42">
        <f>G52*(1-0)</f>
        <v>0</v>
      </c>
      <c r="AG52" s="37" t="s">
        <v>13</v>
      </c>
      <c r="AM52" s="42">
        <f>F52*AE52</f>
        <v>0</v>
      </c>
      <c r="AN52" s="42">
        <f>F52*AF52</f>
        <v>0</v>
      </c>
      <c r="AO52" s="43" t="s">
        <v>309</v>
      </c>
      <c r="AP52" s="43" t="s">
        <v>325</v>
      </c>
      <c r="AQ52" s="34" t="s">
        <v>328</v>
      </c>
      <c r="AS52" s="42">
        <f>AM52+AN52</f>
        <v>0</v>
      </c>
      <c r="AT52" s="42">
        <f>G52/(100-AU52)*100</f>
        <v>0</v>
      </c>
      <c r="AU52" s="42">
        <v>0</v>
      </c>
      <c r="AV52" s="42">
        <f>L52</f>
        <v>1.4237840000000002</v>
      </c>
    </row>
    <row r="53" spans="4:7" ht="12.75">
      <c r="D53" s="16" t="s">
        <v>200</v>
      </c>
      <c r="G53" s="26"/>
    </row>
    <row r="54" spans="1:48" ht="12.75">
      <c r="A54" s="4" t="s">
        <v>28</v>
      </c>
      <c r="B54" s="4"/>
      <c r="C54" s="4" t="s">
        <v>103</v>
      </c>
      <c r="D54" s="4" t="s">
        <v>201</v>
      </c>
      <c r="E54" s="4" t="s">
        <v>270</v>
      </c>
      <c r="F54" s="19">
        <v>187.22</v>
      </c>
      <c r="G54" s="25">
        <v>0</v>
      </c>
      <c r="H54" s="19">
        <f>F54*AE54</f>
        <v>0</v>
      </c>
      <c r="I54" s="19">
        <f>J54-H54</f>
        <v>0</v>
      </c>
      <c r="J54" s="19">
        <f>F54*G54</f>
        <v>0</v>
      </c>
      <c r="K54" s="19">
        <v>0.00336</v>
      </c>
      <c r="L54" s="19">
        <f>F54*K54</f>
        <v>0.6290592</v>
      </c>
      <c r="M54" s="37" t="s">
        <v>293</v>
      </c>
      <c r="P54" s="42">
        <f>IF(AG54="5",J54,0)</f>
        <v>0</v>
      </c>
      <c r="R54" s="42">
        <f>IF(AG54="1",H54,0)</f>
        <v>0</v>
      </c>
      <c r="S54" s="42">
        <f>IF(AG54="1",I54,0)</f>
        <v>0</v>
      </c>
      <c r="T54" s="42">
        <f>IF(AG54="7",H54,0)</f>
        <v>0</v>
      </c>
      <c r="U54" s="42">
        <f>IF(AG54="7",I54,0)</f>
        <v>0</v>
      </c>
      <c r="V54" s="42">
        <f>IF(AG54="2",H54,0)</f>
        <v>0</v>
      </c>
      <c r="W54" s="42">
        <f>IF(AG54="2",I54,0)</f>
        <v>0</v>
      </c>
      <c r="X54" s="42">
        <f>IF(AG54="0",J54,0)</f>
        <v>0</v>
      </c>
      <c r="Y54" s="34"/>
      <c r="Z54" s="19">
        <f>IF(AD54=0,J54,0)</f>
        <v>0</v>
      </c>
      <c r="AA54" s="19">
        <f>IF(AD54=15,J54,0)</f>
        <v>0</v>
      </c>
      <c r="AB54" s="19">
        <f>IF(AD54=21,J54,0)</f>
        <v>0</v>
      </c>
      <c r="AD54" s="42">
        <v>21</v>
      </c>
      <c r="AE54" s="42">
        <f>G54*0</f>
        <v>0</v>
      </c>
      <c r="AF54" s="42">
        <f>G54*(1-0)</f>
        <v>0</v>
      </c>
      <c r="AG54" s="37" t="s">
        <v>13</v>
      </c>
      <c r="AM54" s="42">
        <f>F54*AE54</f>
        <v>0</v>
      </c>
      <c r="AN54" s="42">
        <f>F54*AF54</f>
        <v>0</v>
      </c>
      <c r="AO54" s="43" t="s">
        <v>309</v>
      </c>
      <c r="AP54" s="43" t="s">
        <v>325</v>
      </c>
      <c r="AQ54" s="34" t="s">
        <v>328</v>
      </c>
      <c r="AS54" s="42">
        <f>AM54+AN54</f>
        <v>0</v>
      </c>
      <c r="AT54" s="42">
        <f>G54/(100-AU54)*100</f>
        <v>0</v>
      </c>
      <c r="AU54" s="42">
        <v>0</v>
      </c>
      <c r="AV54" s="42">
        <f>L54</f>
        <v>0.6290592</v>
      </c>
    </row>
    <row r="55" spans="4:7" ht="12.75">
      <c r="D55" s="16" t="s">
        <v>200</v>
      </c>
      <c r="G55" s="26"/>
    </row>
    <row r="56" spans="1:48" ht="12.75">
      <c r="A56" s="4" t="s">
        <v>29</v>
      </c>
      <c r="B56" s="4"/>
      <c r="C56" s="4" t="s">
        <v>104</v>
      </c>
      <c r="D56" s="4" t="s">
        <v>202</v>
      </c>
      <c r="E56" s="4" t="s">
        <v>270</v>
      </c>
      <c r="F56" s="19">
        <v>883.6222</v>
      </c>
      <c r="G56" s="25">
        <v>0</v>
      </c>
      <c r="H56" s="19">
        <f>F56*AE56</f>
        <v>0</v>
      </c>
      <c r="I56" s="19">
        <f>J56-H56</f>
        <v>0</v>
      </c>
      <c r="J56" s="19">
        <f>F56*G56</f>
        <v>0</v>
      </c>
      <c r="K56" s="19">
        <v>0.0023</v>
      </c>
      <c r="L56" s="19">
        <f>F56*K56</f>
        <v>2.03233106</v>
      </c>
      <c r="M56" s="37" t="s">
        <v>293</v>
      </c>
      <c r="P56" s="42">
        <f>IF(AG56="5",J56,0)</f>
        <v>0</v>
      </c>
      <c r="R56" s="42">
        <f>IF(AG56="1",H56,0)</f>
        <v>0</v>
      </c>
      <c r="S56" s="42">
        <f>IF(AG56="1",I56,0)</f>
        <v>0</v>
      </c>
      <c r="T56" s="42">
        <f>IF(AG56="7",H56,0)</f>
        <v>0</v>
      </c>
      <c r="U56" s="42">
        <f>IF(AG56="7",I56,0)</f>
        <v>0</v>
      </c>
      <c r="V56" s="42">
        <f>IF(AG56="2",H56,0)</f>
        <v>0</v>
      </c>
      <c r="W56" s="42">
        <f>IF(AG56="2",I56,0)</f>
        <v>0</v>
      </c>
      <c r="X56" s="42">
        <f>IF(AG56="0",J56,0)</f>
        <v>0</v>
      </c>
      <c r="Y56" s="34"/>
      <c r="Z56" s="19">
        <f>IF(AD56=0,J56,0)</f>
        <v>0</v>
      </c>
      <c r="AA56" s="19">
        <f>IF(AD56=15,J56,0)</f>
        <v>0</v>
      </c>
      <c r="AB56" s="19">
        <f>IF(AD56=21,J56,0)</f>
        <v>0</v>
      </c>
      <c r="AD56" s="42">
        <v>21</v>
      </c>
      <c r="AE56" s="42">
        <f>G56*0</f>
        <v>0</v>
      </c>
      <c r="AF56" s="42">
        <f>G56*(1-0)</f>
        <v>0</v>
      </c>
      <c r="AG56" s="37" t="s">
        <v>13</v>
      </c>
      <c r="AM56" s="42">
        <f>F56*AE56</f>
        <v>0</v>
      </c>
      <c r="AN56" s="42">
        <f>F56*AF56</f>
        <v>0</v>
      </c>
      <c r="AO56" s="43" t="s">
        <v>309</v>
      </c>
      <c r="AP56" s="43" t="s">
        <v>325</v>
      </c>
      <c r="AQ56" s="34" t="s">
        <v>328</v>
      </c>
      <c r="AS56" s="42">
        <f>AM56+AN56</f>
        <v>0</v>
      </c>
      <c r="AT56" s="42">
        <f>G56/(100-AU56)*100</f>
        <v>0</v>
      </c>
      <c r="AU56" s="42">
        <v>0</v>
      </c>
      <c r="AV56" s="42">
        <f>L56</f>
        <v>2.03233106</v>
      </c>
    </row>
    <row r="57" spans="4:7" ht="12.75">
      <c r="D57" s="16" t="s">
        <v>200</v>
      </c>
      <c r="G57" s="26"/>
    </row>
    <row r="58" spans="1:48" ht="12.75">
      <c r="A58" s="4" t="s">
        <v>30</v>
      </c>
      <c r="B58" s="4"/>
      <c r="C58" s="4" t="s">
        <v>105</v>
      </c>
      <c r="D58" s="4" t="s">
        <v>203</v>
      </c>
      <c r="E58" s="4" t="s">
        <v>270</v>
      </c>
      <c r="F58" s="19">
        <v>306.85</v>
      </c>
      <c r="G58" s="25">
        <v>0</v>
      </c>
      <c r="H58" s="19">
        <f>F58*AE58</f>
        <v>0</v>
      </c>
      <c r="I58" s="19">
        <f>J58-H58</f>
        <v>0</v>
      </c>
      <c r="J58" s="19">
        <f>F58*G58</f>
        <v>0</v>
      </c>
      <c r="K58" s="19">
        <v>0.00716</v>
      </c>
      <c r="L58" s="19">
        <f>F58*K58</f>
        <v>2.1970460000000003</v>
      </c>
      <c r="M58" s="37" t="s">
        <v>293</v>
      </c>
      <c r="P58" s="42">
        <f>IF(AG58="5",J58,0)</f>
        <v>0</v>
      </c>
      <c r="R58" s="42">
        <f>IF(AG58="1",H58,0)</f>
        <v>0</v>
      </c>
      <c r="S58" s="42">
        <f>IF(AG58="1",I58,0)</f>
        <v>0</v>
      </c>
      <c r="T58" s="42">
        <f>IF(AG58="7",H58,0)</f>
        <v>0</v>
      </c>
      <c r="U58" s="42">
        <f>IF(AG58="7",I58,0)</f>
        <v>0</v>
      </c>
      <c r="V58" s="42">
        <f>IF(AG58="2",H58,0)</f>
        <v>0</v>
      </c>
      <c r="W58" s="42">
        <f>IF(AG58="2",I58,0)</f>
        <v>0</v>
      </c>
      <c r="X58" s="42">
        <f>IF(AG58="0",J58,0)</f>
        <v>0</v>
      </c>
      <c r="Y58" s="34"/>
      <c r="Z58" s="19">
        <f>IF(AD58=0,J58,0)</f>
        <v>0</v>
      </c>
      <c r="AA58" s="19">
        <f>IF(AD58=15,J58,0)</f>
        <v>0</v>
      </c>
      <c r="AB58" s="19">
        <f>IF(AD58=21,J58,0)</f>
        <v>0</v>
      </c>
      <c r="AD58" s="42">
        <v>21</v>
      </c>
      <c r="AE58" s="42">
        <f>G58*0.344919264436449</f>
        <v>0</v>
      </c>
      <c r="AF58" s="42">
        <f>G58*(1-0.344919264436449)</f>
        <v>0</v>
      </c>
      <c r="AG58" s="37" t="s">
        <v>13</v>
      </c>
      <c r="AM58" s="42">
        <f>F58*AE58</f>
        <v>0</v>
      </c>
      <c r="AN58" s="42">
        <f>F58*AF58</f>
        <v>0</v>
      </c>
      <c r="AO58" s="43" t="s">
        <v>309</v>
      </c>
      <c r="AP58" s="43" t="s">
        <v>325</v>
      </c>
      <c r="AQ58" s="34" t="s">
        <v>328</v>
      </c>
      <c r="AS58" s="42">
        <f>AM58+AN58</f>
        <v>0</v>
      </c>
      <c r="AT58" s="42">
        <f>G58/(100-AU58)*100</f>
        <v>0</v>
      </c>
      <c r="AU58" s="42">
        <v>0</v>
      </c>
      <c r="AV58" s="42">
        <f>L58</f>
        <v>2.1970460000000003</v>
      </c>
    </row>
    <row r="59" spans="4:7" ht="12.75">
      <c r="D59" s="16" t="s">
        <v>204</v>
      </c>
      <c r="G59" s="26"/>
    </row>
    <row r="60" spans="1:48" ht="12.75">
      <c r="A60" s="4" t="s">
        <v>31</v>
      </c>
      <c r="B60" s="4"/>
      <c r="C60" s="4" t="s">
        <v>106</v>
      </c>
      <c r="D60" s="4" t="s">
        <v>205</v>
      </c>
      <c r="E60" s="4" t="s">
        <v>270</v>
      </c>
      <c r="F60" s="19">
        <v>187.22</v>
      </c>
      <c r="G60" s="25">
        <v>0</v>
      </c>
      <c r="H60" s="19">
        <f>F60*AE60</f>
        <v>0</v>
      </c>
      <c r="I60" s="19">
        <f>J60-H60</f>
        <v>0</v>
      </c>
      <c r="J60" s="19">
        <f>F60*G60</f>
        <v>0</v>
      </c>
      <c r="K60" s="19">
        <v>0.00378</v>
      </c>
      <c r="L60" s="19">
        <f>F60*K60</f>
        <v>0.7076916</v>
      </c>
      <c r="M60" s="37" t="s">
        <v>293</v>
      </c>
      <c r="P60" s="42">
        <f>IF(AG60="5",J60,0)</f>
        <v>0</v>
      </c>
      <c r="R60" s="42">
        <f>IF(AG60="1",H60,0)</f>
        <v>0</v>
      </c>
      <c r="S60" s="42">
        <f>IF(AG60="1",I60,0)</f>
        <v>0</v>
      </c>
      <c r="T60" s="42">
        <f>IF(AG60="7",H60,0)</f>
        <v>0</v>
      </c>
      <c r="U60" s="42">
        <f>IF(AG60="7",I60,0)</f>
        <v>0</v>
      </c>
      <c r="V60" s="42">
        <f>IF(AG60="2",H60,0)</f>
        <v>0</v>
      </c>
      <c r="W60" s="42">
        <f>IF(AG60="2",I60,0)</f>
        <v>0</v>
      </c>
      <c r="X60" s="42">
        <f>IF(AG60="0",J60,0)</f>
        <v>0</v>
      </c>
      <c r="Y60" s="34"/>
      <c r="Z60" s="19">
        <f>IF(AD60=0,J60,0)</f>
        <v>0</v>
      </c>
      <c r="AA60" s="19">
        <f>IF(AD60=15,J60,0)</f>
        <v>0</v>
      </c>
      <c r="AB60" s="19">
        <f>IF(AD60=21,J60,0)</f>
        <v>0</v>
      </c>
      <c r="AD60" s="42">
        <v>21</v>
      </c>
      <c r="AE60" s="42">
        <f>G60*0.308051489595194</f>
        <v>0</v>
      </c>
      <c r="AF60" s="42">
        <f>G60*(1-0.308051489595194)</f>
        <v>0</v>
      </c>
      <c r="AG60" s="37" t="s">
        <v>13</v>
      </c>
      <c r="AM60" s="42">
        <f>F60*AE60</f>
        <v>0</v>
      </c>
      <c r="AN60" s="42">
        <f>F60*AF60</f>
        <v>0</v>
      </c>
      <c r="AO60" s="43" t="s">
        <v>309</v>
      </c>
      <c r="AP60" s="43" t="s">
        <v>325</v>
      </c>
      <c r="AQ60" s="34" t="s">
        <v>328</v>
      </c>
      <c r="AS60" s="42">
        <f>AM60+AN60</f>
        <v>0</v>
      </c>
      <c r="AT60" s="42">
        <f>G60/(100-AU60)*100</f>
        <v>0</v>
      </c>
      <c r="AU60" s="42">
        <v>0</v>
      </c>
      <c r="AV60" s="42">
        <f>L60</f>
        <v>0.7076916</v>
      </c>
    </row>
    <row r="61" spans="4:7" ht="12.75">
      <c r="D61" s="16" t="s">
        <v>206</v>
      </c>
      <c r="G61" s="26"/>
    </row>
    <row r="62" spans="1:48" ht="12.75">
      <c r="A62" s="4" t="s">
        <v>32</v>
      </c>
      <c r="B62" s="4"/>
      <c r="C62" s="4" t="s">
        <v>107</v>
      </c>
      <c r="D62" s="4" t="s">
        <v>207</v>
      </c>
      <c r="E62" s="4" t="s">
        <v>270</v>
      </c>
      <c r="F62" s="19">
        <v>17.79</v>
      </c>
      <c r="G62" s="25">
        <v>0</v>
      </c>
      <c r="H62" s="19">
        <f>F62*AE62</f>
        <v>0</v>
      </c>
      <c r="I62" s="19">
        <f>J62-H62</f>
        <v>0</v>
      </c>
      <c r="J62" s="19">
        <f>F62*G62</f>
        <v>0</v>
      </c>
      <c r="K62" s="19">
        <v>0.00437</v>
      </c>
      <c r="L62" s="19">
        <f>F62*K62</f>
        <v>0.07774229999999999</v>
      </c>
      <c r="M62" s="37" t="s">
        <v>293</v>
      </c>
      <c r="P62" s="42">
        <f>IF(AG62="5",J62,0)</f>
        <v>0</v>
      </c>
      <c r="R62" s="42">
        <f>IF(AG62="1",H62,0)</f>
        <v>0</v>
      </c>
      <c r="S62" s="42">
        <f>IF(AG62="1",I62,0)</f>
        <v>0</v>
      </c>
      <c r="T62" s="42">
        <f>IF(AG62="7",H62,0)</f>
        <v>0</v>
      </c>
      <c r="U62" s="42">
        <f>IF(AG62="7",I62,0)</f>
        <v>0</v>
      </c>
      <c r="V62" s="42">
        <f>IF(AG62="2",H62,0)</f>
        <v>0</v>
      </c>
      <c r="W62" s="42">
        <f>IF(AG62="2",I62,0)</f>
        <v>0</v>
      </c>
      <c r="X62" s="42">
        <f>IF(AG62="0",J62,0)</f>
        <v>0</v>
      </c>
      <c r="Y62" s="34"/>
      <c r="Z62" s="19">
        <f>IF(AD62=0,J62,0)</f>
        <v>0</v>
      </c>
      <c r="AA62" s="19">
        <f>IF(AD62=15,J62,0)</f>
        <v>0</v>
      </c>
      <c r="AB62" s="19">
        <f>IF(AD62=21,J62,0)</f>
        <v>0</v>
      </c>
      <c r="AD62" s="42">
        <v>21</v>
      </c>
      <c r="AE62" s="42">
        <f>G62*0.212378359947136</f>
        <v>0</v>
      </c>
      <c r="AF62" s="42">
        <f>G62*(1-0.212378359947136)</f>
        <v>0</v>
      </c>
      <c r="AG62" s="37" t="s">
        <v>13</v>
      </c>
      <c r="AM62" s="42">
        <f>F62*AE62</f>
        <v>0</v>
      </c>
      <c r="AN62" s="42">
        <f>F62*AF62</f>
        <v>0</v>
      </c>
      <c r="AO62" s="43" t="s">
        <v>309</v>
      </c>
      <c r="AP62" s="43" t="s">
        <v>325</v>
      </c>
      <c r="AQ62" s="34" t="s">
        <v>328</v>
      </c>
      <c r="AS62" s="42">
        <f>AM62+AN62</f>
        <v>0</v>
      </c>
      <c r="AT62" s="42">
        <f>G62/(100-AU62)*100</f>
        <v>0</v>
      </c>
      <c r="AU62" s="42">
        <v>0</v>
      </c>
      <c r="AV62" s="42">
        <f>L62</f>
        <v>0.07774229999999999</v>
      </c>
    </row>
    <row r="63" spans="4:7" ht="12.75">
      <c r="D63" s="16" t="s">
        <v>208</v>
      </c>
      <c r="G63" s="26"/>
    </row>
    <row r="64" spans="1:48" ht="12.75">
      <c r="A64" s="4" t="s">
        <v>33</v>
      </c>
      <c r="B64" s="4"/>
      <c r="C64" s="4" t="s">
        <v>108</v>
      </c>
      <c r="D64" s="4" t="s">
        <v>209</v>
      </c>
      <c r="E64" s="4" t="s">
        <v>270</v>
      </c>
      <c r="F64" s="19">
        <v>865.8322</v>
      </c>
      <c r="G64" s="25">
        <v>0</v>
      </c>
      <c r="H64" s="19">
        <f>F64*AE64</f>
        <v>0</v>
      </c>
      <c r="I64" s="19">
        <f>J64-H64</f>
        <v>0</v>
      </c>
      <c r="J64" s="19">
        <f>F64*G64</f>
        <v>0</v>
      </c>
      <c r="K64" s="19">
        <v>0.00435</v>
      </c>
      <c r="L64" s="19">
        <f>F64*K64</f>
        <v>3.7663700699999993</v>
      </c>
      <c r="M64" s="37" t="s">
        <v>293</v>
      </c>
      <c r="P64" s="42">
        <f>IF(AG64="5",J64,0)</f>
        <v>0</v>
      </c>
      <c r="R64" s="42">
        <f>IF(AG64="1",H64,0)</f>
        <v>0</v>
      </c>
      <c r="S64" s="42">
        <f>IF(AG64="1",I64,0)</f>
        <v>0</v>
      </c>
      <c r="T64" s="42">
        <f>IF(AG64="7",H64,0)</f>
        <v>0</v>
      </c>
      <c r="U64" s="42">
        <f>IF(AG64="7",I64,0)</f>
        <v>0</v>
      </c>
      <c r="V64" s="42">
        <f>IF(AG64="2",H64,0)</f>
        <v>0</v>
      </c>
      <c r="W64" s="42">
        <f>IF(AG64="2",I64,0)</f>
        <v>0</v>
      </c>
      <c r="X64" s="42">
        <f>IF(AG64="0",J64,0)</f>
        <v>0</v>
      </c>
      <c r="Y64" s="34"/>
      <c r="Z64" s="19">
        <f>IF(AD64=0,J64,0)</f>
        <v>0</v>
      </c>
      <c r="AA64" s="19">
        <f>IF(AD64=15,J64,0)</f>
        <v>0</v>
      </c>
      <c r="AB64" s="19">
        <f>IF(AD64=21,J64,0)</f>
        <v>0</v>
      </c>
      <c r="AD64" s="42">
        <v>21</v>
      </c>
      <c r="AE64" s="42">
        <f>G64*0.213002076394389</f>
        <v>0</v>
      </c>
      <c r="AF64" s="42">
        <f>G64*(1-0.213002076394389)</f>
        <v>0</v>
      </c>
      <c r="AG64" s="37" t="s">
        <v>13</v>
      </c>
      <c r="AM64" s="42">
        <f>F64*AE64</f>
        <v>0</v>
      </c>
      <c r="AN64" s="42">
        <f>F64*AF64</f>
        <v>0</v>
      </c>
      <c r="AO64" s="43" t="s">
        <v>309</v>
      </c>
      <c r="AP64" s="43" t="s">
        <v>325</v>
      </c>
      <c r="AQ64" s="34" t="s">
        <v>328</v>
      </c>
      <c r="AS64" s="42">
        <f>AM64+AN64</f>
        <v>0</v>
      </c>
      <c r="AT64" s="42">
        <f>G64/(100-AU64)*100</f>
        <v>0</v>
      </c>
      <c r="AU64" s="42">
        <v>0</v>
      </c>
      <c r="AV64" s="42">
        <f>L64</f>
        <v>3.7663700699999993</v>
      </c>
    </row>
    <row r="65" spans="4:7" ht="25.5">
      <c r="D65" s="16" t="s">
        <v>210</v>
      </c>
      <c r="G65" s="26"/>
    </row>
    <row r="66" spans="1:48" ht="12.75">
      <c r="A66" s="4" t="s">
        <v>34</v>
      </c>
      <c r="B66" s="4"/>
      <c r="C66" s="4" t="s">
        <v>109</v>
      </c>
      <c r="D66" s="4" t="s">
        <v>490</v>
      </c>
      <c r="E66" s="4" t="s">
        <v>275</v>
      </c>
      <c r="F66" s="19">
        <v>12</v>
      </c>
      <c r="G66" s="25">
        <v>0</v>
      </c>
      <c r="H66" s="19">
        <f>F66*AE66</f>
        <v>0</v>
      </c>
      <c r="I66" s="19">
        <f>J66-H66</f>
        <v>0</v>
      </c>
      <c r="J66" s="19">
        <f>F66*G66</f>
        <v>0</v>
      </c>
      <c r="K66" s="19">
        <v>0.00415</v>
      </c>
      <c r="L66" s="19">
        <f>F66*K66</f>
        <v>0.0498</v>
      </c>
      <c r="M66" s="37" t="s">
        <v>293</v>
      </c>
      <c r="P66" s="42">
        <f>IF(AG66="5",J66,0)</f>
        <v>0</v>
      </c>
      <c r="R66" s="42">
        <f>IF(AG66="1",H66,0)</f>
        <v>0</v>
      </c>
      <c r="S66" s="42">
        <f>IF(AG66="1",I66,0)</f>
        <v>0</v>
      </c>
      <c r="T66" s="42">
        <f>IF(AG66="7",H66,0)</f>
        <v>0</v>
      </c>
      <c r="U66" s="42">
        <f>IF(AG66="7",I66,0)</f>
        <v>0</v>
      </c>
      <c r="V66" s="42">
        <f>IF(AG66="2",H66,0)</f>
        <v>0</v>
      </c>
      <c r="W66" s="42">
        <f>IF(AG66="2",I66,0)</f>
        <v>0</v>
      </c>
      <c r="X66" s="42">
        <f>IF(AG66="0",J66,0)</f>
        <v>0</v>
      </c>
      <c r="Y66" s="34"/>
      <c r="Z66" s="19">
        <f>IF(AD66=0,J66,0)</f>
        <v>0</v>
      </c>
      <c r="AA66" s="19">
        <f>IF(AD66=15,J66,0)</f>
        <v>0</v>
      </c>
      <c r="AB66" s="19">
        <f>IF(AD66=21,J66,0)</f>
        <v>0</v>
      </c>
      <c r="AD66" s="42">
        <v>21</v>
      </c>
      <c r="AE66" s="42">
        <f>G66*0.966868798235943</f>
        <v>0</v>
      </c>
      <c r="AF66" s="42">
        <f>G66*(1-0.966868798235943)</f>
        <v>0</v>
      </c>
      <c r="AG66" s="37" t="s">
        <v>13</v>
      </c>
      <c r="AM66" s="42">
        <f>F66*AE66</f>
        <v>0</v>
      </c>
      <c r="AN66" s="42">
        <f>F66*AF66</f>
        <v>0</v>
      </c>
      <c r="AO66" s="43" t="s">
        <v>309</v>
      </c>
      <c r="AP66" s="43" t="s">
        <v>325</v>
      </c>
      <c r="AQ66" s="34" t="s">
        <v>328</v>
      </c>
      <c r="AS66" s="42">
        <f>AM66+AN66</f>
        <v>0</v>
      </c>
      <c r="AT66" s="42">
        <f>G66/(100-AU66)*100</f>
        <v>0</v>
      </c>
      <c r="AU66" s="42">
        <v>0</v>
      </c>
      <c r="AV66" s="42">
        <f>L66</f>
        <v>0.0498</v>
      </c>
    </row>
    <row r="67" spans="1:48" ht="12.75">
      <c r="A67" s="4" t="s">
        <v>35</v>
      </c>
      <c r="B67" s="4"/>
      <c r="C67" s="4" t="s">
        <v>110</v>
      </c>
      <c r="D67" s="4" t="s">
        <v>211</v>
      </c>
      <c r="E67" s="4" t="s">
        <v>272</v>
      </c>
      <c r="F67" s="19">
        <v>0.0498</v>
      </c>
      <c r="G67" s="25">
        <v>0</v>
      </c>
      <c r="H67" s="19">
        <f>F67*AE67</f>
        <v>0</v>
      </c>
      <c r="I67" s="19">
        <f>J67-H67</f>
        <v>0</v>
      </c>
      <c r="J67" s="19">
        <f>F67*G67</f>
        <v>0</v>
      </c>
      <c r="K67" s="19">
        <v>0</v>
      </c>
      <c r="L67" s="19">
        <f>F67*K67</f>
        <v>0</v>
      </c>
      <c r="M67" s="37" t="s">
        <v>293</v>
      </c>
      <c r="P67" s="42">
        <f>IF(AG67="5",J67,0)</f>
        <v>0</v>
      </c>
      <c r="R67" s="42">
        <f>IF(AG67="1",H67,0)</f>
        <v>0</v>
      </c>
      <c r="S67" s="42">
        <f>IF(AG67="1",I67,0)</f>
        <v>0</v>
      </c>
      <c r="T67" s="42">
        <f>IF(AG67="7",H67,0)</f>
        <v>0</v>
      </c>
      <c r="U67" s="42">
        <f>IF(AG67="7",I67,0)</f>
        <v>0</v>
      </c>
      <c r="V67" s="42">
        <f>IF(AG67="2",H67,0)</f>
        <v>0</v>
      </c>
      <c r="W67" s="42">
        <f>IF(AG67="2",I67,0)</f>
        <v>0</v>
      </c>
      <c r="X67" s="42">
        <f>IF(AG67="0",J67,0)</f>
        <v>0</v>
      </c>
      <c r="Y67" s="34"/>
      <c r="Z67" s="19">
        <f>IF(AD67=0,J67,0)</f>
        <v>0</v>
      </c>
      <c r="AA67" s="19">
        <f>IF(AD67=15,J67,0)</f>
        <v>0</v>
      </c>
      <c r="AB67" s="19">
        <f>IF(AD67=21,J67,0)</f>
        <v>0</v>
      </c>
      <c r="AD67" s="42">
        <v>21</v>
      </c>
      <c r="AE67" s="42">
        <f>G67*0</f>
        <v>0</v>
      </c>
      <c r="AF67" s="42">
        <f>G67*(1-0)</f>
        <v>0</v>
      </c>
      <c r="AG67" s="37" t="s">
        <v>11</v>
      </c>
      <c r="AM67" s="42">
        <f>F67*AE67</f>
        <v>0</v>
      </c>
      <c r="AN67" s="42">
        <f>F67*AF67</f>
        <v>0</v>
      </c>
      <c r="AO67" s="43" t="s">
        <v>309</v>
      </c>
      <c r="AP67" s="43" t="s">
        <v>325</v>
      </c>
      <c r="AQ67" s="34" t="s">
        <v>328</v>
      </c>
      <c r="AS67" s="42">
        <f>AM67+AN67</f>
        <v>0</v>
      </c>
      <c r="AT67" s="42">
        <f>G67/(100-AU67)*100</f>
        <v>0</v>
      </c>
      <c r="AU67" s="42">
        <v>0</v>
      </c>
      <c r="AV67" s="42">
        <f>L67</f>
        <v>0</v>
      </c>
    </row>
    <row r="68" spans="1:37" ht="12.75">
      <c r="A68" s="5"/>
      <c r="B68" s="13"/>
      <c r="C68" s="13" t="s">
        <v>111</v>
      </c>
      <c r="D68" s="13" t="s">
        <v>212</v>
      </c>
      <c r="E68" s="5" t="s">
        <v>6</v>
      </c>
      <c r="F68" s="5" t="s">
        <v>6</v>
      </c>
      <c r="G68" s="27" t="s">
        <v>6</v>
      </c>
      <c r="H68" s="45">
        <f>SUM(H69:H77)</f>
        <v>0</v>
      </c>
      <c r="I68" s="45">
        <f>SUM(I69:I77)</f>
        <v>0</v>
      </c>
      <c r="J68" s="45">
        <f>H68+I68</f>
        <v>0</v>
      </c>
      <c r="K68" s="34"/>
      <c r="L68" s="45">
        <f>SUM(L69:L77)</f>
        <v>237.73605338800002</v>
      </c>
      <c r="M68" s="34"/>
      <c r="Y68" s="34"/>
      <c r="AI68" s="45">
        <f>SUM(Z69:Z77)</f>
        <v>0</v>
      </c>
      <c r="AJ68" s="45">
        <f>SUM(AA69:AA77)</f>
        <v>0</v>
      </c>
      <c r="AK68" s="45">
        <f>SUM(AB69:AB77)</f>
        <v>0</v>
      </c>
    </row>
    <row r="69" spans="1:48" ht="12.75">
      <c r="A69" s="4" t="s">
        <v>36</v>
      </c>
      <c r="B69" s="4"/>
      <c r="C69" s="4" t="s">
        <v>112</v>
      </c>
      <c r="D69" s="4" t="s">
        <v>213</v>
      </c>
      <c r="E69" s="4" t="s">
        <v>273</v>
      </c>
      <c r="F69" s="19">
        <v>2012.5042</v>
      </c>
      <c r="G69" s="25">
        <v>0</v>
      </c>
      <c r="H69" s="19">
        <f>F69*AE69</f>
        <v>0</v>
      </c>
      <c r="I69" s="19">
        <f>J69-H69</f>
        <v>0</v>
      </c>
      <c r="J69" s="19">
        <f>F69*G69</f>
        <v>0</v>
      </c>
      <c r="K69" s="19">
        <v>0.07165</v>
      </c>
      <c r="L69" s="19">
        <f>F69*K69</f>
        <v>144.19592593000002</v>
      </c>
      <c r="M69" s="37" t="s">
        <v>293</v>
      </c>
      <c r="P69" s="42">
        <f>IF(AG69="5",J69,0)</f>
        <v>0</v>
      </c>
      <c r="R69" s="42">
        <f>IF(AG69="1",H69,0)</f>
        <v>0</v>
      </c>
      <c r="S69" s="42">
        <f>IF(AG69="1",I69,0)</f>
        <v>0</v>
      </c>
      <c r="T69" s="42">
        <f>IF(AG69="7",H69,0)</f>
        <v>0</v>
      </c>
      <c r="U69" s="42">
        <f>IF(AG69="7",I69,0)</f>
        <v>0</v>
      </c>
      <c r="V69" s="42">
        <f>IF(AG69="2",H69,0)</f>
        <v>0</v>
      </c>
      <c r="W69" s="42">
        <f>IF(AG69="2",I69,0)</f>
        <v>0</v>
      </c>
      <c r="X69" s="42">
        <f>IF(AG69="0",J69,0)</f>
        <v>0</v>
      </c>
      <c r="Y69" s="34"/>
      <c r="Z69" s="19">
        <f>IF(AD69=0,J69,0)</f>
        <v>0</v>
      </c>
      <c r="AA69" s="19">
        <f>IF(AD69=15,J69,0)</f>
        <v>0</v>
      </c>
      <c r="AB69" s="19">
        <f>IF(AD69=21,J69,0)</f>
        <v>0</v>
      </c>
      <c r="AD69" s="42">
        <v>21</v>
      </c>
      <c r="AE69" s="42">
        <f>G69*0</f>
        <v>0</v>
      </c>
      <c r="AF69" s="42">
        <f>G69*(1-0)</f>
        <v>0</v>
      </c>
      <c r="AG69" s="37" t="s">
        <v>13</v>
      </c>
      <c r="AM69" s="42">
        <f>F69*AE69</f>
        <v>0</v>
      </c>
      <c r="AN69" s="42">
        <f>F69*AF69</f>
        <v>0</v>
      </c>
      <c r="AO69" s="43" t="s">
        <v>310</v>
      </c>
      <c r="AP69" s="43" t="s">
        <v>325</v>
      </c>
      <c r="AQ69" s="34" t="s">
        <v>328</v>
      </c>
      <c r="AS69" s="42">
        <f>AM69+AN69</f>
        <v>0</v>
      </c>
      <c r="AT69" s="42">
        <f>G69/(100-AU69)*100</f>
        <v>0</v>
      </c>
      <c r="AU69" s="42">
        <v>0</v>
      </c>
      <c r="AV69" s="42">
        <f>L69</f>
        <v>144.19592593000002</v>
      </c>
    </row>
    <row r="70" spans="1:48" ht="12.75">
      <c r="A70" s="4" t="s">
        <v>37</v>
      </c>
      <c r="B70" s="4"/>
      <c r="C70" s="4" t="s">
        <v>113</v>
      </c>
      <c r="D70" s="4" t="s">
        <v>485</v>
      </c>
      <c r="E70" s="4" t="s">
        <v>273</v>
      </c>
      <c r="F70" s="19">
        <v>2012.5042</v>
      </c>
      <c r="G70" s="25">
        <v>0</v>
      </c>
      <c r="H70" s="19">
        <f>F70*AE70</f>
        <v>0</v>
      </c>
      <c r="I70" s="19">
        <f>J70-H70</f>
        <v>0</v>
      </c>
      <c r="J70" s="19">
        <f>F70*G70</f>
        <v>0</v>
      </c>
      <c r="K70" s="19">
        <v>0.04626</v>
      </c>
      <c r="L70" s="19">
        <f>F70*K70</f>
        <v>93.09844429200001</v>
      </c>
      <c r="M70" s="37" t="s">
        <v>293</v>
      </c>
      <c r="P70" s="42">
        <f>IF(AG70="5",J70,0)</f>
        <v>0</v>
      </c>
      <c r="R70" s="42">
        <f>IF(AG70="1",H70,0)</f>
        <v>0</v>
      </c>
      <c r="S70" s="42">
        <f>IF(AG70="1",I70,0)</f>
        <v>0</v>
      </c>
      <c r="T70" s="42">
        <f>IF(AG70="7",H70,0)</f>
        <v>0</v>
      </c>
      <c r="U70" s="42">
        <f>IF(AG70="7",I70,0)</f>
        <v>0</v>
      </c>
      <c r="V70" s="42">
        <f>IF(AG70="2",H70,0)</f>
        <v>0</v>
      </c>
      <c r="W70" s="42">
        <f>IF(AG70="2",I70,0)</f>
        <v>0</v>
      </c>
      <c r="X70" s="42">
        <f>IF(AG70="0",J70,0)</f>
        <v>0</v>
      </c>
      <c r="Y70" s="34"/>
      <c r="Z70" s="19">
        <f>IF(AD70=0,J70,0)</f>
        <v>0</v>
      </c>
      <c r="AA70" s="19">
        <f>IF(AD70=15,J70,0)</f>
        <v>0</v>
      </c>
      <c r="AB70" s="19">
        <f>IF(AD70=21,J70,0)</f>
        <v>0</v>
      </c>
      <c r="AD70" s="42">
        <v>21</v>
      </c>
      <c r="AE70" s="42">
        <f>G70*0.709781956144484</f>
        <v>0</v>
      </c>
      <c r="AF70" s="42">
        <f>G70*(1-0.709781956144484)</f>
        <v>0</v>
      </c>
      <c r="AG70" s="37" t="s">
        <v>13</v>
      </c>
      <c r="AM70" s="42">
        <f>F70*AE70</f>
        <v>0</v>
      </c>
      <c r="AN70" s="42">
        <f>F70*AF70</f>
        <v>0</v>
      </c>
      <c r="AO70" s="43" t="s">
        <v>310</v>
      </c>
      <c r="AP70" s="43" t="s">
        <v>325</v>
      </c>
      <c r="AQ70" s="34" t="s">
        <v>328</v>
      </c>
      <c r="AS70" s="42">
        <f>AM70+AN70</f>
        <v>0</v>
      </c>
      <c r="AT70" s="42">
        <f>G70/(100-AU70)*100</f>
        <v>0</v>
      </c>
      <c r="AU70" s="42">
        <v>0</v>
      </c>
      <c r="AV70" s="42">
        <f>L70</f>
        <v>93.09844429200001</v>
      </c>
    </row>
    <row r="71" spans="4:7" ht="12.75">
      <c r="D71" s="16" t="s">
        <v>214</v>
      </c>
      <c r="G71" s="26"/>
    </row>
    <row r="72" spans="3:13" ht="12.75">
      <c r="C72" s="14" t="s">
        <v>74</v>
      </c>
      <c r="D72" s="116" t="s">
        <v>215</v>
      </c>
      <c r="E72" s="117"/>
      <c r="F72" s="117"/>
      <c r="G72" s="118"/>
      <c r="H72" s="117"/>
      <c r="I72" s="117"/>
      <c r="J72" s="117"/>
      <c r="K72" s="117"/>
      <c r="L72" s="117"/>
      <c r="M72" s="117"/>
    </row>
    <row r="73" spans="1:48" ht="12.75">
      <c r="A73" s="4" t="s">
        <v>38</v>
      </c>
      <c r="B73" s="4"/>
      <c r="C73" s="4" t="s">
        <v>114</v>
      </c>
      <c r="D73" s="4" t="s">
        <v>216</v>
      </c>
      <c r="E73" s="4" t="s">
        <v>273</v>
      </c>
      <c r="F73" s="19">
        <v>2012.5042</v>
      </c>
      <c r="G73" s="25">
        <v>0</v>
      </c>
      <c r="H73" s="19">
        <f>F73*AE73</f>
        <v>0</v>
      </c>
      <c r="I73" s="19">
        <f>J73-H73</f>
        <v>0</v>
      </c>
      <c r="J73" s="19">
        <f>F73*G73</f>
        <v>0</v>
      </c>
      <c r="K73" s="19">
        <v>0.00013</v>
      </c>
      <c r="L73" s="19">
        <f>F73*K73</f>
        <v>0.261625546</v>
      </c>
      <c r="M73" s="37" t="s">
        <v>293</v>
      </c>
      <c r="P73" s="42">
        <f>IF(AG73="5",J73,0)</f>
        <v>0</v>
      </c>
      <c r="R73" s="42">
        <f>IF(AG73="1",H73,0)</f>
        <v>0</v>
      </c>
      <c r="S73" s="42">
        <f>IF(AG73="1",I73,0)</f>
        <v>0</v>
      </c>
      <c r="T73" s="42">
        <f>IF(AG73="7",H73,0)</f>
        <v>0</v>
      </c>
      <c r="U73" s="42">
        <f>IF(AG73="7",I73,0)</f>
        <v>0</v>
      </c>
      <c r="V73" s="42">
        <f>IF(AG73="2",H73,0)</f>
        <v>0</v>
      </c>
      <c r="W73" s="42">
        <f>IF(AG73="2",I73,0)</f>
        <v>0</v>
      </c>
      <c r="X73" s="42">
        <f>IF(AG73="0",J73,0)</f>
        <v>0</v>
      </c>
      <c r="Y73" s="34"/>
      <c r="Z73" s="19">
        <f>IF(AD73=0,J73,0)</f>
        <v>0</v>
      </c>
      <c r="AA73" s="19">
        <f>IF(AD73=15,J73,0)</f>
        <v>0</v>
      </c>
      <c r="AB73" s="19">
        <f>IF(AD73=21,J73,0)</f>
        <v>0</v>
      </c>
      <c r="AD73" s="42">
        <v>21</v>
      </c>
      <c r="AE73" s="42">
        <f>G73*0.36455025860802</f>
        <v>0</v>
      </c>
      <c r="AF73" s="42">
        <f>G73*(1-0.36455025860802)</f>
        <v>0</v>
      </c>
      <c r="AG73" s="37" t="s">
        <v>13</v>
      </c>
      <c r="AM73" s="42">
        <f>F73*AE73</f>
        <v>0</v>
      </c>
      <c r="AN73" s="42">
        <f>F73*AF73</f>
        <v>0</v>
      </c>
      <c r="AO73" s="43" t="s">
        <v>310</v>
      </c>
      <c r="AP73" s="43" t="s">
        <v>325</v>
      </c>
      <c r="AQ73" s="34" t="s">
        <v>328</v>
      </c>
      <c r="AS73" s="42">
        <f>AM73+AN73</f>
        <v>0</v>
      </c>
      <c r="AT73" s="42">
        <f>G73/(100-AU73)*100</f>
        <v>0</v>
      </c>
      <c r="AU73" s="42">
        <v>0</v>
      </c>
      <c r="AV73" s="42">
        <f>L73</f>
        <v>0.261625546</v>
      </c>
    </row>
    <row r="74" spans="1:48" ht="12.75">
      <c r="A74" s="4" t="s">
        <v>39</v>
      </c>
      <c r="B74" s="4"/>
      <c r="C74" s="4" t="s">
        <v>115</v>
      </c>
      <c r="D74" s="4" t="s">
        <v>217</v>
      </c>
      <c r="E74" s="4" t="s">
        <v>270</v>
      </c>
      <c r="F74" s="19">
        <v>18.4851</v>
      </c>
      <c r="G74" s="25">
        <v>0</v>
      </c>
      <c r="H74" s="19">
        <f>F74*AE74</f>
        <v>0</v>
      </c>
      <c r="I74" s="19">
        <f>J74-H74</f>
        <v>0</v>
      </c>
      <c r="J74" s="19">
        <f>F74*G74</f>
        <v>0</v>
      </c>
      <c r="K74" s="19">
        <v>0.0062</v>
      </c>
      <c r="L74" s="19">
        <f>F74*K74</f>
        <v>0.11460762</v>
      </c>
      <c r="M74" s="37" t="s">
        <v>293</v>
      </c>
      <c r="P74" s="42">
        <f>IF(AG74="5",J74,0)</f>
        <v>0</v>
      </c>
      <c r="R74" s="42">
        <f>IF(AG74="1",H74,0)</f>
        <v>0</v>
      </c>
      <c r="S74" s="42">
        <f>IF(AG74="1",I74,0)</f>
        <v>0</v>
      </c>
      <c r="T74" s="42">
        <f>IF(AG74="7",H74,0)</f>
        <v>0</v>
      </c>
      <c r="U74" s="42">
        <f>IF(AG74="7",I74,0)</f>
        <v>0</v>
      </c>
      <c r="V74" s="42">
        <f>IF(AG74="2",H74,0)</f>
        <v>0</v>
      </c>
      <c r="W74" s="42">
        <f>IF(AG74="2",I74,0)</f>
        <v>0</v>
      </c>
      <c r="X74" s="42">
        <f>IF(AG74="0",J74,0)</f>
        <v>0</v>
      </c>
      <c r="Y74" s="34"/>
      <c r="Z74" s="19">
        <f>IF(AD74=0,J74,0)</f>
        <v>0</v>
      </c>
      <c r="AA74" s="19">
        <f>IF(AD74=15,J74,0)</f>
        <v>0</v>
      </c>
      <c r="AB74" s="19">
        <f>IF(AD74=21,J74,0)</f>
        <v>0</v>
      </c>
      <c r="AD74" s="42">
        <v>21</v>
      </c>
      <c r="AE74" s="42">
        <f>G74*0.832821356160941</f>
        <v>0</v>
      </c>
      <c r="AF74" s="42">
        <f>G74*(1-0.832821356160941)</f>
        <v>0</v>
      </c>
      <c r="AG74" s="37" t="s">
        <v>13</v>
      </c>
      <c r="AM74" s="42">
        <f>F74*AE74</f>
        <v>0</v>
      </c>
      <c r="AN74" s="42">
        <f>F74*AF74</f>
        <v>0</v>
      </c>
      <c r="AO74" s="43" t="s">
        <v>310</v>
      </c>
      <c r="AP74" s="43" t="s">
        <v>325</v>
      </c>
      <c r="AQ74" s="34" t="s">
        <v>328</v>
      </c>
      <c r="AS74" s="42">
        <f>AM74+AN74</f>
        <v>0</v>
      </c>
      <c r="AT74" s="42">
        <f>G74/(100-AU74)*100</f>
        <v>0</v>
      </c>
      <c r="AU74" s="42">
        <v>0</v>
      </c>
      <c r="AV74" s="42">
        <f>L74</f>
        <v>0.11460762</v>
      </c>
    </row>
    <row r="75" spans="1:48" ht="12.75">
      <c r="A75" s="4" t="s">
        <v>40</v>
      </c>
      <c r="B75" s="4"/>
      <c r="C75" s="4" t="s">
        <v>116</v>
      </c>
      <c r="D75" s="4" t="s">
        <v>218</v>
      </c>
      <c r="E75" s="4" t="s">
        <v>275</v>
      </c>
      <c r="F75" s="19">
        <v>16</v>
      </c>
      <c r="G75" s="25">
        <v>0</v>
      </c>
      <c r="H75" s="19">
        <f>F75*AE75</f>
        <v>0</v>
      </c>
      <c r="I75" s="19">
        <f>J75-H75</f>
        <v>0</v>
      </c>
      <c r="J75" s="19">
        <f>F75*G75</f>
        <v>0</v>
      </c>
      <c r="K75" s="19">
        <v>0.00385</v>
      </c>
      <c r="L75" s="19">
        <f>F75*K75</f>
        <v>0.0616</v>
      </c>
      <c r="M75" s="37" t="s">
        <v>293</v>
      </c>
      <c r="P75" s="42">
        <f>IF(AG75="5",J75,0)</f>
        <v>0</v>
      </c>
      <c r="R75" s="42">
        <f>IF(AG75="1",H75,0)</f>
        <v>0</v>
      </c>
      <c r="S75" s="42">
        <f>IF(AG75="1",I75,0)</f>
        <v>0</v>
      </c>
      <c r="T75" s="42">
        <f>IF(AG75="7",H75,0)</f>
        <v>0</v>
      </c>
      <c r="U75" s="42">
        <f>IF(AG75="7",I75,0)</f>
        <v>0</v>
      </c>
      <c r="V75" s="42">
        <f>IF(AG75="2",H75,0)</f>
        <v>0</v>
      </c>
      <c r="W75" s="42">
        <f>IF(AG75="2",I75,0)</f>
        <v>0</v>
      </c>
      <c r="X75" s="42">
        <f>IF(AG75="0",J75,0)</f>
        <v>0</v>
      </c>
      <c r="Y75" s="34"/>
      <c r="Z75" s="19">
        <f>IF(AD75=0,J75,0)</f>
        <v>0</v>
      </c>
      <c r="AA75" s="19">
        <f>IF(AD75=15,J75,0)</f>
        <v>0</v>
      </c>
      <c r="AB75" s="19">
        <f>IF(AD75=21,J75,0)</f>
        <v>0</v>
      </c>
      <c r="AD75" s="42">
        <v>21</v>
      </c>
      <c r="AE75" s="42">
        <f>G75*0.976082987551867</f>
        <v>0</v>
      </c>
      <c r="AF75" s="42">
        <f>G75*(1-0.976082987551867)</f>
        <v>0</v>
      </c>
      <c r="AG75" s="37" t="s">
        <v>13</v>
      </c>
      <c r="AM75" s="42">
        <f>F75*AE75</f>
        <v>0</v>
      </c>
      <c r="AN75" s="42">
        <f>F75*AF75</f>
        <v>0</v>
      </c>
      <c r="AO75" s="43" t="s">
        <v>310</v>
      </c>
      <c r="AP75" s="43" t="s">
        <v>325</v>
      </c>
      <c r="AQ75" s="34" t="s">
        <v>328</v>
      </c>
      <c r="AS75" s="42">
        <f>AM75+AN75</f>
        <v>0</v>
      </c>
      <c r="AT75" s="42">
        <f>G75/(100-AU75)*100</f>
        <v>0</v>
      </c>
      <c r="AU75" s="42">
        <v>0</v>
      </c>
      <c r="AV75" s="42">
        <f>L75</f>
        <v>0.0616</v>
      </c>
    </row>
    <row r="76" spans="1:48" ht="12.75">
      <c r="A76" s="4" t="s">
        <v>41</v>
      </c>
      <c r="B76" s="4"/>
      <c r="C76" s="4" t="s">
        <v>117</v>
      </c>
      <c r="D76" s="4" t="s">
        <v>219</v>
      </c>
      <c r="E76" s="4" t="s">
        <v>275</v>
      </c>
      <c r="F76" s="19">
        <v>1</v>
      </c>
      <c r="G76" s="25">
        <v>0</v>
      </c>
      <c r="H76" s="19">
        <f>F76*AE76</f>
        <v>0</v>
      </c>
      <c r="I76" s="19">
        <f>J76-H76</f>
        <v>0</v>
      </c>
      <c r="J76" s="19">
        <f>F76*G76</f>
        <v>0</v>
      </c>
      <c r="K76" s="19">
        <v>0.00385</v>
      </c>
      <c r="L76" s="19">
        <f>F76*K76</f>
        <v>0.00385</v>
      </c>
      <c r="M76" s="37" t="s">
        <v>293</v>
      </c>
      <c r="P76" s="42">
        <f>IF(AG76="5",J76,0)</f>
        <v>0</v>
      </c>
      <c r="R76" s="42">
        <f>IF(AG76="1",H76,0)</f>
        <v>0</v>
      </c>
      <c r="S76" s="42">
        <f>IF(AG76="1",I76,0)</f>
        <v>0</v>
      </c>
      <c r="T76" s="42">
        <f>IF(AG76="7",H76,0)</f>
        <v>0</v>
      </c>
      <c r="U76" s="42">
        <f>IF(AG76="7",I76,0)</f>
        <v>0</v>
      </c>
      <c r="V76" s="42">
        <f>IF(AG76="2",H76,0)</f>
        <v>0</v>
      </c>
      <c r="W76" s="42">
        <f>IF(AG76="2",I76,0)</f>
        <v>0</v>
      </c>
      <c r="X76" s="42">
        <f>IF(AG76="0",J76,0)</f>
        <v>0</v>
      </c>
      <c r="Y76" s="34"/>
      <c r="Z76" s="19">
        <f>IF(AD76=0,J76,0)</f>
        <v>0</v>
      </c>
      <c r="AA76" s="19">
        <f>IF(AD76=15,J76,0)</f>
        <v>0</v>
      </c>
      <c r="AB76" s="19">
        <f>IF(AD76=21,J76,0)</f>
        <v>0</v>
      </c>
      <c r="AD76" s="42">
        <v>21</v>
      </c>
      <c r="AE76" s="42">
        <f>G76*0.964565573770492</f>
        <v>0</v>
      </c>
      <c r="AF76" s="42">
        <f>G76*(1-0.964565573770492)</f>
        <v>0</v>
      </c>
      <c r="AG76" s="37" t="s">
        <v>13</v>
      </c>
      <c r="AM76" s="42">
        <f>F76*AE76</f>
        <v>0</v>
      </c>
      <c r="AN76" s="42">
        <f>F76*AF76</f>
        <v>0</v>
      </c>
      <c r="AO76" s="43" t="s">
        <v>310</v>
      </c>
      <c r="AP76" s="43" t="s">
        <v>325</v>
      </c>
      <c r="AQ76" s="34" t="s">
        <v>328</v>
      </c>
      <c r="AS76" s="42">
        <f>AM76+AN76</f>
        <v>0</v>
      </c>
      <c r="AT76" s="42">
        <f>G76/(100-AU76)*100</f>
        <v>0</v>
      </c>
      <c r="AU76" s="42">
        <v>0</v>
      </c>
      <c r="AV76" s="42">
        <f>L76</f>
        <v>0.00385</v>
      </c>
    </row>
    <row r="77" spans="1:48" ht="12.75">
      <c r="A77" s="4" t="s">
        <v>42</v>
      </c>
      <c r="B77" s="4"/>
      <c r="C77" s="4" t="s">
        <v>118</v>
      </c>
      <c r="D77" s="4" t="s">
        <v>220</v>
      </c>
      <c r="E77" s="4" t="s">
        <v>272</v>
      </c>
      <c r="F77" s="19">
        <v>0.44168</v>
      </c>
      <c r="G77" s="25">
        <v>0</v>
      </c>
      <c r="H77" s="19">
        <f>F77*AE77</f>
        <v>0</v>
      </c>
      <c r="I77" s="19">
        <f>J77-H77</f>
        <v>0</v>
      </c>
      <c r="J77" s="19">
        <f>F77*G77</f>
        <v>0</v>
      </c>
      <c r="K77" s="19">
        <v>0</v>
      </c>
      <c r="L77" s="19">
        <f>F77*K77</f>
        <v>0</v>
      </c>
      <c r="M77" s="37" t="s">
        <v>293</v>
      </c>
      <c r="P77" s="42">
        <f>IF(AG77="5",J77,0)</f>
        <v>0</v>
      </c>
      <c r="R77" s="42">
        <f>IF(AG77="1",H77,0)</f>
        <v>0</v>
      </c>
      <c r="S77" s="42">
        <f>IF(AG77="1",I77,0)</f>
        <v>0</v>
      </c>
      <c r="T77" s="42">
        <f>IF(AG77="7",H77,0)</f>
        <v>0</v>
      </c>
      <c r="U77" s="42">
        <f>IF(AG77="7",I77,0)</f>
        <v>0</v>
      </c>
      <c r="V77" s="42">
        <f>IF(AG77="2",H77,0)</f>
        <v>0</v>
      </c>
      <c r="W77" s="42">
        <f>IF(AG77="2",I77,0)</f>
        <v>0</v>
      </c>
      <c r="X77" s="42">
        <f>IF(AG77="0",J77,0)</f>
        <v>0</v>
      </c>
      <c r="Y77" s="34"/>
      <c r="Z77" s="19">
        <f>IF(AD77=0,J77,0)</f>
        <v>0</v>
      </c>
      <c r="AA77" s="19">
        <f>IF(AD77=15,J77,0)</f>
        <v>0</v>
      </c>
      <c r="AB77" s="19">
        <f>IF(AD77=21,J77,0)</f>
        <v>0</v>
      </c>
      <c r="AD77" s="42">
        <v>21</v>
      </c>
      <c r="AE77" s="42">
        <f>G77*0</f>
        <v>0</v>
      </c>
      <c r="AF77" s="42">
        <f>G77*(1-0)</f>
        <v>0</v>
      </c>
      <c r="AG77" s="37" t="s">
        <v>11</v>
      </c>
      <c r="AM77" s="42">
        <f>F77*AE77</f>
        <v>0</v>
      </c>
      <c r="AN77" s="42">
        <f>F77*AF77</f>
        <v>0</v>
      </c>
      <c r="AO77" s="43" t="s">
        <v>310</v>
      </c>
      <c r="AP77" s="43" t="s">
        <v>325</v>
      </c>
      <c r="AQ77" s="34" t="s">
        <v>328</v>
      </c>
      <c r="AS77" s="42">
        <f>AM77+AN77</f>
        <v>0</v>
      </c>
      <c r="AT77" s="42">
        <f>G77/(100-AU77)*100</f>
        <v>0</v>
      </c>
      <c r="AU77" s="42">
        <v>0</v>
      </c>
      <c r="AV77" s="42">
        <f>L77</f>
        <v>0</v>
      </c>
    </row>
    <row r="78" spans="1:37" ht="12.75">
      <c r="A78" s="5"/>
      <c r="B78" s="13"/>
      <c r="C78" s="13" t="s">
        <v>119</v>
      </c>
      <c r="D78" s="13" t="s">
        <v>221</v>
      </c>
      <c r="E78" s="5" t="s">
        <v>6</v>
      </c>
      <c r="F78" s="5" t="s">
        <v>6</v>
      </c>
      <c r="G78" s="27" t="s">
        <v>6</v>
      </c>
      <c r="H78" s="45">
        <f>SUM(H79:H83)</f>
        <v>0</v>
      </c>
      <c r="I78" s="45">
        <f>SUM(I79:I83)</f>
        <v>0</v>
      </c>
      <c r="J78" s="45">
        <f>H78+I78</f>
        <v>0</v>
      </c>
      <c r="K78" s="34"/>
      <c r="L78" s="45">
        <f>SUM(L79:L83)</f>
        <v>0.14558895</v>
      </c>
      <c r="M78" s="34"/>
      <c r="Y78" s="34"/>
      <c r="AI78" s="45">
        <f>SUM(Z79:Z83)</f>
        <v>0</v>
      </c>
      <c r="AJ78" s="45">
        <f>SUM(AA79:AA83)</f>
        <v>0</v>
      </c>
      <c r="AK78" s="45">
        <f>SUM(AB79:AB83)</f>
        <v>0</v>
      </c>
    </row>
    <row r="79" spans="1:48" ht="12.75">
      <c r="A79" s="4" t="s">
        <v>43</v>
      </c>
      <c r="B79" s="4"/>
      <c r="C79" s="4" t="s">
        <v>120</v>
      </c>
      <c r="D79" s="4" t="s">
        <v>222</v>
      </c>
      <c r="E79" s="4" t="s">
        <v>275</v>
      </c>
      <c r="F79" s="19">
        <v>12</v>
      </c>
      <c r="G79" s="25">
        <v>0</v>
      </c>
      <c r="H79" s="19">
        <f>F79*AE79</f>
        <v>0</v>
      </c>
      <c r="I79" s="19">
        <f>J79-H79</f>
        <v>0</v>
      </c>
      <c r="J79" s="19">
        <f>F79*G79</f>
        <v>0</v>
      </c>
      <c r="K79" s="19">
        <v>0.00028</v>
      </c>
      <c r="L79" s="19">
        <f>F79*K79</f>
        <v>0.0033599999999999997</v>
      </c>
      <c r="M79" s="37" t="s">
        <v>293</v>
      </c>
      <c r="P79" s="42">
        <f>IF(AG79="5",J79,0)</f>
        <v>0</v>
      </c>
      <c r="R79" s="42">
        <f>IF(AG79="1",H79,0)</f>
        <v>0</v>
      </c>
      <c r="S79" s="42">
        <f>IF(AG79="1",I79,0)</f>
        <v>0</v>
      </c>
      <c r="T79" s="42">
        <f>IF(AG79="7",H79,0)</f>
        <v>0</v>
      </c>
      <c r="U79" s="42">
        <f>IF(AG79="7",I79,0)</f>
        <v>0</v>
      </c>
      <c r="V79" s="42">
        <f>IF(AG79="2",H79,0)</f>
        <v>0</v>
      </c>
      <c r="W79" s="42">
        <f>IF(AG79="2",I79,0)</f>
        <v>0</v>
      </c>
      <c r="X79" s="42">
        <f>IF(AG79="0",J79,0)</f>
        <v>0</v>
      </c>
      <c r="Y79" s="34"/>
      <c r="Z79" s="19">
        <f>IF(AD79=0,J79,0)</f>
        <v>0</v>
      </c>
      <c r="AA79" s="19">
        <f>IF(AD79=15,J79,0)</f>
        <v>0</v>
      </c>
      <c r="AB79" s="19">
        <f>IF(AD79=21,J79,0)</f>
        <v>0</v>
      </c>
      <c r="AD79" s="42">
        <v>21</v>
      </c>
      <c r="AE79" s="42">
        <f>G79*0.0246268656716418</f>
        <v>0</v>
      </c>
      <c r="AF79" s="42">
        <f>G79*(1-0.0246268656716418)</f>
        <v>0</v>
      </c>
      <c r="AG79" s="37" t="s">
        <v>13</v>
      </c>
      <c r="AM79" s="42">
        <f>F79*AE79</f>
        <v>0</v>
      </c>
      <c r="AN79" s="42">
        <f>F79*AF79</f>
        <v>0</v>
      </c>
      <c r="AO79" s="43" t="s">
        <v>311</v>
      </c>
      <c r="AP79" s="43" t="s">
        <v>325</v>
      </c>
      <c r="AQ79" s="34" t="s">
        <v>328</v>
      </c>
      <c r="AS79" s="42">
        <f>AM79+AN79</f>
        <v>0</v>
      </c>
      <c r="AT79" s="42">
        <f>G79/(100-AU79)*100</f>
        <v>0</v>
      </c>
      <c r="AU79" s="42">
        <v>0</v>
      </c>
      <c r="AV79" s="42">
        <f>L79</f>
        <v>0.0033599999999999997</v>
      </c>
    </row>
    <row r="80" spans="1:48" ht="12.75">
      <c r="A80" s="6" t="s">
        <v>44</v>
      </c>
      <c r="B80" s="6"/>
      <c r="C80" s="6" t="s">
        <v>121</v>
      </c>
      <c r="D80" s="6" t="s">
        <v>486</v>
      </c>
      <c r="E80" s="6" t="s">
        <v>275</v>
      </c>
      <c r="F80" s="20">
        <v>16</v>
      </c>
      <c r="G80" s="28">
        <v>0</v>
      </c>
      <c r="H80" s="20">
        <f>F80*AE80</f>
        <v>0</v>
      </c>
      <c r="I80" s="20">
        <f>J80-H80</f>
        <v>0</v>
      </c>
      <c r="J80" s="20">
        <f>F80*G80</f>
        <v>0</v>
      </c>
      <c r="K80" s="20">
        <v>0.005</v>
      </c>
      <c r="L80" s="20">
        <f>F80*K80</f>
        <v>0.08</v>
      </c>
      <c r="M80" s="38" t="s">
        <v>293</v>
      </c>
      <c r="P80" s="42">
        <f>IF(AG80="5",J80,0)</f>
        <v>0</v>
      </c>
      <c r="R80" s="42">
        <f>IF(AG80="1",H80,0)</f>
        <v>0</v>
      </c>
      <c r="S80" s="42">
        <f>IF(AG80="1",I80,0)</f>
        <v>0</v>
      </c>
      <c r="T80" s="42">
        <f>IF(AG80="7",H80,0)</f>
        <v>0</v>
      </c>
      <c r="U80" s="42">
        <f>IF(AG80="7",I80,0)</f>
        <v>0</v>
      </c>
      <c r="V80" s="42">
        <f>IF(AG80="2",H80,0)</f>
        <v>0</v>
      </c>
      <c r="W80" s="42">
        <f>IF(AG80="2",I80,0)</f>
        <v>0</v>
      </c>
      <c r="X80" s="42">
        <f>IF(AG80="0",J80,0)</f>
        <v>0</v>
      </c>
      <c r="Y80" s="34"/>
      <c r="Z80" s="20">
        <f>IF(AD80=0,J80,0)</f>
        <v>0</v>
      </c>
      <c r="AA80" s="20">
        <f>IF(AD80=15,J80,0)</f>
        <v>0</v>
      </c>
      <c r="AB80" s="20">
        <f>IF(AD80=21,J80,0)</f>
        <v>0</v>
      </c>
      <c r="AD80" s="42">
        <v>21</v>
      </c>
      <c r="AE80" s="42">
        <f>G80*1</f>
        <v>0</v>
      </c>
      <c r="AF80" s="42">
        <f>G80*(1-1)</f>
        <v>0</v>
      </c>
      <c r="AG80" s="38" t="s">
        <v>13</v>
      </c>
      <c r="AM80" s="42">
        <f>F80*AE80</f>
        <v>0</v>
      </c>
      <c r="AN80" s="42">
        <f>F80*AF80</f>
        <v>0</v>
      </c>
      <c r="AO80" s="43" t="s">
        <v>311</v>
      </c>
      <c r="AP80" s="43" t="s">
        <v>325</v>
      </c>
      <c r="AQ80" s="34" t="s">
        <v>328</v>
      </c>
      <c r="AS80" s="42">
        <f>AM80+AN80</f>
        <v>0</v>
      </c>
      <c r="AT80" s="42">
        <f>G80/(100-AU80)*100</f>
        <v>0</v>
      </c>
      <c r="AU80" s="42">
        <v>0</v>
      </c>
      <c r="AV80" s="42">
        <f>L80</f>
        <v>0.08</v>
      </c>
    </row>
    <row r="81" spans="1:48" ht="12.75">
      <c r="A81" s="4" t="s">
        <v>45</v>
      </c>
      <c r="B81" s="4"/>
      <c r="C81" s="4" t="s">
        <v>122</v>
      </c>
      <c r="D81" s="4" t="s">
        <v>223</v>
      </c>
      <c r="E81" s="4" t="s">
        <v>275</v>
      </c>
      <c r="F81" s="19">
        <v>16</v>
      </c>
      <c r="G81" s="25">
        <v>0</v>
      </c>
      <c r="H81" s="19">
        <f>F81*AE81</f>
        <v>0</v>
      </c>
      <c r="I81" s="19">
        <f>J81-H81</f>
        <v>0</v>
      </c>
      <c r="J81" s="19">
        <f>F81*G81</f>
        <v>0</v>
      </c>
      <c r="K81" s="19">
        <v>0.00028</v>
      </c>
      <c r="L81" s="19">
        <f>F81*K81</f>
        <v>0.00448</v>
      </c>
      <c r="M81" s="37" t="s">
        <v>293</v>
      </c>
      <c r="P81" s="42">
        <f>IF(AG81="5",J81,0)</f>
        <v>0</v>
      </c>
      <c r="R81" s="42">
        <f>IF(AG81="1",H81,0)</f>
        <v>0</v>
      </c>
      <c r="S81" s="42">
        <f>IF(AG81="1",I81,0)</f>
        <v>0</v>
      </c>
      <c r="T81" s="42">
        <f>IF(AG81="7",H81,0)</f>
        <v>0</v>
      </c>
      <c r="U81" s="42">
        <f>IF(AG81="7",I81,0)</f>
        <v>0</v>
      </c>
      <c r="V81" s="42">
        <f>IF(AG81="2",H81,0)</f>
        <v>0</v>
      </c>
      <c r="W81" s="42">
        <f>IF(AG81="2",I81,0)</f>
        <v>0</v>
      </c>
      <c r="X81" s="42">
        <f>IF(AG81="0",J81,0)</f>
        <v>0</v>
      </c>
      <c r="Y81" s="34"/>
      <c r="Z81" s="19">
        <f>IF(AD81=0,J81,0)</f>
        <v>0</v>
      </c>
      <c r="AA81" s="19">
        <f>IF(AD81=15,J81,0)</f>
        <v>0</v>
      </c>
      <c r="AB81" s="19">
        <f>IF(AD81=21,J81,0)</f>
        <v>0</v>
      </c>
      <c r="AD81" s="42">
        <v>21</v>
      </c>
      <c r="AE81" s="42">
        <f>G81*0.0105264836759757</f>
        <v>0</v>
      </c>
      <c r="AF81" s="42">
        <f>G81*(1-0.0105264836759757)</f>
        <v>0</v>
      </c>
      <c r="AG81" s="37" t="s">
        <v>13</v>
      </c>
      <c r="AM81" s="42">
        <f>F81*AE81</f>
        <v>0</v>
      </c>
      <c r="AN81" s="42">
        <f>F81*AF81</f>
        <v>0</v>
      </c>
      <c r="AO81" s="43" t="s">
        <v>311</v>
      </c>
      <c r="AP81" s="43" t="s">
        <v>325</v>
      </c>
      <c r="AQ81" s="34" t="s">
        <v>328</v>
      </c>
      <c r="AS81" s="42">
        <f>AM81+AN81</f>
        <v>0</v>
      </c>
      <c r="AT81" s="42">
        <f>G81/(100-AU81)*100</f>
        <v>0</v>
      </c>
      <c r="AU81" s="42">
        <v>0</v>
      </c>
      <c r="AV81" s="42">
        <f>L81</f>
        <v>0.00448</v>
      </c>
    </row>
    <row r="82" spans="1:48" ht="12.75">
      <c r="A82" s="4" t="s">
        <v>46</v>
      </c>
      <c r="B82" s="4"/>
      <c r="C82" s="4" t="s">
        <v>123</v>
      </c>
      <c r="D82" s="4" t="s">
        <v>224</v>
      </c>
      <c r="E82" s="4" t="s">
        <v>273</v>
      </c>
      <c r="F82" s="19">
        <v>2.835</v>
      </c>
      <c r="G82" s="25">
        <v>0</v>
      </c>
      <c r="H82" s="19">
        <f>F82*AE82</f>
        <v>0</v>
      </c>
      <c r="I82" s="19">
        <f>J82-H82</f>
        <v>0</v>
      </c>
      <c r="J82" s="19">
        <f>F82*G82</f>
        <v>0</v>
      </c>
      <c r="K82" s="19">
        <v>0.02037</v>
      </c>
      <c r="L82" s="19">
        <f>F82*K82</f>
        <v>0.05774895</v>
      </c>
      <c r="M82" s="37" t="s">
        <v>293</v>
      </c>
      <c r="P82" s="42">
        <f>IF(AG82="5",J82,0)</f>
        <v>0</v>
      </c>
      <c r="R82" s="42">
        <f>IF(AG82="1",H82,0)</f>
        <v>0</v>
      </c>
      <c r="S82" s="42">
        <f>IF(AG82="1",I82,0)</f>
        <v>0</v>
      </c>
      <c r="T82" s="42">
        <f>IF(AG82="7",H82,0)</f>
        <v>0</v>
      </c>
      <c r="U82" s="42">
        <f>IF(AG82="7",I82,0)</f>
        <v>0</v>
      </c>
      <c r="V82" s="42">
        <f>IF(AG82="2",H82,0)</f>
        <v>0</v>
      </c>
      <c r="W82" s="42">
        <f>IF(AG82="2",I82,0)</f>
        <v>0</v>
      </c>
      <c r="X82" s="42">
        <f>IF(AG82="0",J82,0)</f>
        <v>0</v>
      </c>
      <c r="Y82" s="34"/>
      <c r="Z82" s="19">
        <f>IF(AD82=0,J82,0)</f>
        <v>0</v>
      </c>
      <c r="AA82" s="19">
        <f>IF(AD82=15,J82,0)</f>
        <v>0</v>
      </c>
      <c r="AB82" s="19">
        <f>IF(AD82=21,J82,0)</f>
        <v>0</v>
      </c>
      <c r="AD82" s="42">
        <v>21</v>
      </c>
      <c r="AE82" s="42">
        <f>G82*0.955771852079649</f>
        <v>0</v>
      </c>
      <c r="AF82" s="42">
        <f>G82*(1-0.955771852079649)</f>
        <v>0</v>
      </c>
      <c r="AG82" s="37" t="s">
        <v>13</v>
      </c>
      <c r="AM82" s="42">
        <f>F82*AE82</f>
        <v>0</v>
      </c>
      <c r="AN82" s="42">
        <f>F82*AF82</f>
        <v>0</v>
      </c>
      <c r="AO82" s="43" t="s">
        <v>311</v>
      </c>
      <c r="AP82" s="43" t="s">
        <v>325</v>
      </c>
      <c r="AQ82" s="34" t="s">
        <v>328</v>
      </c>
      <c r="AS82" s="42">
        <f>AM82+AN82</f>
        <v>0</v>
      </c>
      <c r="AT82" s="42">
        <f>G82/(100-AU82)*100</f>
        <v>0</v>
      </c>
      <c r="AU82" s="42">
        <v>0</v>
      </c>
      <c r="AV82" s="42">
        <f>L82</f>
        <v>0.05774895</v>
      </c>
    </row>
    <row r="83" spans="1:48" ht="12.75">
      <c r="A83" s="4" t="s">
        <v>47</v>
      </c>
      <c r="B83" s="4"/>
      <c r="C83" s="4" t="s">
        <v>124</v>
      </c>
      <c r="D83" s="4" t="s">
        <v>225</v>
      </c>
      <c r="E83" s="4" t="s">
        <v>272</v>
      </c>
      <c r="F83" s="19">
        <v>0.14559</v>
      </c>
      <c r="G83" s="25">
        <v>0</v>
      </c>
      <c r="H83" s="19">
        <f>F83*AE83</f>
        <v>0</v>
      </c>
      <c r="I83" s="19">
        <f>J83-H83</f>
        <v>0</v>
      </c>
      <c r="J83" s="19">
        <f>F83*G83</f>
        <v>0</v>
      </c>
      <c r="K83" s="19">
        <v>0</v>
      </c>
      <c r="L83" s="19">
        <f>F83*K83</f>
        <v>0</v>
      </c>
      <c r="M83" s="37" t="s">
        <v>293</v>
      </c>
      <c r="P83" s="42">
        <f>IF(AG83="5",J83,0)</f>
        <v>0</v>
      </c>
      <c r="R83" s="42">
        <f>IF(AG83="1",H83,0)</f>
        <v>0</v>
      </c>
      <c r="S83" s="42">
        <f>IF(AG83="1",I83,0)</f>
        <v>0</v>
      </c>
      <c r="T83" s="42">
        <f>IF(AG83="7",H83,0)</f>
        <v>0</v>
      </c>
      <c r="U83" s="42">
        <f>IF(AG83="7",I83,0)</f>
        <v>0</v>
      </c>
      <c r="V83" s="42">
        <f>IF(AG83="2",H83,0)</f>
        <v>0</v>
      </c>
      <c r="W83" s="42">
        <f>IF(AG83="2",I83,0)</f>
        <v>0</v>
      </c>
      <c r="X83" s="42">
        <f>IF(AG83="0",J83,0)</f>
        <v>0</v>
      </c>
      <c r="Y83" s="34"/>
      <c r="Z83" s="19">
        <f>IF(AD83=0,J83,0)</f>
        <v>0</v>
      </c>
      <c r="AA83" s="19">
        <f>IF(AD83=15,J83,0)</f>
        <v>0</v>
      </c>
      <c r="AB83" s="19">
        <f>IF(AD83=21,J83,0)</f>
        <v>0</v>
      </c>
      <c r="AD83" s="42">
        <v>21</v>
      </c>
      <c r="AE83" s="42">
        <f>G83*0</f>
        <v>0</v>
      </c>
      <c r="AF83" s="42">
        <f>G83*(1-0)</f>
        <v>0</v>
      </c>
      <c r="AG83" s="37" t="s">
        <v>11</v>
      </c>
      <c r="AM83" s="42">
        <f>F83*AE83</f>
        <v>0</v>
      </c>
      <c r="AN83" s="42">
        <f>F83*AF83</f>
        <v>0</v>
      </c>
      <c r="AO83" s="43" t="s">
        <v>311</v>
      </c>
      <c r="AP83" s="43" t="s">
        <v>325</v>
      </c>
      <c r="AQ83" s="34" t="s">
        <v>328</v>
      </c>
      <c r="AS83" s="42">
        <f>AM83+AN83</f>
        <v>0</v>
      </c>
      <c r="AT83" s="42">
        <f>G83/(100-AU83)*100</f>
        <v>0</v>
      </c>
      <c r="AU83" s="42">
        <v>0</v>
      </c>
      <c r="AV83" s="42">
        <f>L83</f>
        <v>0</v>
      </c>
    </row>
    <row r="84" spans="1:37" ht="12.75">
      <c r="A84" s="5"/>
      <c r="B84" s="13"/>
      <c r="C84" s="13" t="s">
        <v>125</v>
      </c>
      <c r="D84" s="13" t="s">
        <v>226</v>
      </c>
      <c r="E84" s="5" t="s">
        <v>6</v>
      </c>
      <c r="F84" s="5" t="s">
        <v>6</v>
      </c>
      <c r="G84" s="27" t="s">
        <v>6</v>
      </c>
      <c r="H84" s="45">
        <f>SUM(H85:H88)</f>
        <v>0</v>
      </c>
      <c r="I84" s="45">
        <f>SUM(I85:I88)</f>
        <v>0</v>
      </c>
      <c r="J84" s="45">
        <f>H84+I84</f>
        <v>0</v>
      </c>
      <c r="K84" s="34"/>
      <c r="L84" s="45">
        <f>SUM(L85:L88)</f>
        <v>0.4615515</v>
      </c>
      <c r="M84" s="34"/>
      <c r="Y84" s="34"/>
      <c r="AI84" s="45">
        <f>SUM(Z85:Z88)</f>
        <v>0</v>
      </c>
      <c r="AJ84" s="45">
        <f>SUM(AA85:AA88)</f>
        <v>0</v>
      </c>
      <c r="AK84" s="45">
        <f>SUM(AB85:AB88)</f>
        <v>0</v>
      </c>
    </row>
    <row r="85" spans="1:48" ht="12.75">
      <c r="A85" s="4" t="s">
        <v>48</v>
      </c>
      <c r="B85" s="4"/>
      <c r="C85" s="4" t="s">
        <v>126</v>
      </c>
      <c r="D85" s="4" t="s">
        <v>227</v>
      </c>
      <c r="E85" s="4" t="s">
        <v>270</v>
      </c>
      <c r="F85" s="19">
        <v>18.4851</v>
      </c>
      <c r="G85" s="25">
        <v>0</v>
      </c>
      <c r="H85" s="19">
        <f>F85*AE85</f>
        <v>0</v>
      </c>
      <c r="I85" s="19">
        <f>J85-H85</f>
        <v>0</v>
      </c>
      <c r="J85" s="19">
        <f>F85*G85</f>
        <v>0</v>
      </c>
      <c r="K85" s="19">
        <v>0.015</v>
      </c>
      <c r="L85" s="19">
        <f>F85*K85</f>
        <v>0.2772765</v>
      </c>
      <c r="M85" s="37" t="s">
        <v>293</v>
      </c>
      <c r="P85" s="42">
        <f>IF(AG85="5",J85,0)</f>
        <v>0</v>
      </c>
      <c r="R85" s="42">
        <f>IF(AG85="1",H85,0)</f>
        <v>0</v>
      </c>
      <c r="S85" s="42">
        <f>IF(AG85="1",I85,0)</f>
        <v>0</v>
      </c>
      <c r="T85" s="42">
        <f>IF(AG85="7",H85,0)</f>
        <v>0</v>
      </c>
      <c r="U85" s="42">
        <f>IF(AG85="7",I85,0)</f>
        <v>0</v>
      </c>
      <c r="V85" s="42">
        <f>IF(AG85="2",H85,0)</f>
        <v>0</v>
      </c>
      <c r="W85" s="42">
        <f>IF(AG85="2",I85,0)</f>
        <v>0</v>
      </c>
      <c r="X85" s="42">
        <f>IF(AG85="0",J85,0)</f>
        <v>0</v>
      </c>
      <c r="Y85" s="34"/>
      <c r="Z85" s="19">
        <f>IF(AD85=0,J85,0)</f>
        <v>0</v>
      </c>
      <c r="AA85" s="19">
        <f>IF(AD85=15,J85,0)</f>
        <v>0</v>
      </c>
      <c r="AB85" s="19">
        <f>IF(AD85=21,J85,0)</f>
        <v>0</v>
      </c>
      <c r="AD85" s="42">
        <v>21</v>
      </c>
      <c r="AE85" s="42">
        <f>G85*0</f>
        <v>0</v>
      </c>
      <c r="AF85" s="42">
        <f>G85*(1-0)</f>
        <v>0</v>
      </c>
      <c r="AG85" s="37" t="s">
        <v>13</v>
      </c>
      <c r="AM85" s="42">
        <f>F85*AE85</f>
        <v>0</v>
      </c>
      <c r="AN85" s="42">
        <f>F85*AF85</f>
        <v>0</v>
      </c>
      <c r="AO85" s="43" t="s">
        <v>312</v>
      </c>
      <c r="AP85" s="43" t="s">
        <v>325</v>
      </c>
      <c r="AQ85" s="34" t="s">
        <v>328</v>
      </c>
      <c r="AS85" s="42">
        <f>AM85+AN85</f>
        <v>0</v>
      </c>
      <c r="AT85" s="42">
        <f>G85/(100-AU85)*100</f>
        <v>0</v>
      </c>
      <c r="AU85" s="42">
        <v>0</v>
      </c>
      <c r="AV85" s="42">
        <f>L85</f>
        <v>0.2772765</v>
      </c>
    </row>
    <row r="86" spans="1:48" ht="12.75">
      <c r="A86" s="4" t="s">
        <v>49</v>
      </c>
      <c r="B86" s="4"/>
      <c r="C86" s="4" t="s">
        <v>127</v>
      </c>
      <c r="D86" s="4" t="s">
        <v>228</v>
      </c>
      <c r="E86" s="4" t="s">
        <v>270</v>
      </c>
      <c r="F86" s="19">
        <v>18.4851</v>
      </c>
      <c r="G86" s="25">
        <v>0</v>
      </c>
      <c r="H86" s="19">
        <f>F86*AE86</f>
        <v>0</v>
      </c>
      <c r="I86" s="19">
        <f>J86-H86</f>
        <v>0</v>
      </c>
      <c r="J86" s="19">
        <f>F86*G86</f>
        <v>0</v>
      </c>
      <c r="K86" s="19">
        <v>0</v>
      </c>
      <c r="L86" s="19">
        <f>F86*K86</f>
        <v>0</v>
      </c>
      <c r="M86" s="37" t="s">
        <v>293</v>
      </c>
      <c r="P86" s="42">
        <f>IF(AG86="5",J86,0)</f>
        <v>0</v>
      </c>
      <c r="R86" s="42">
        <f>IF(AG86="1",H86,0)</f>
        <v>0</v>
      </c>
      <c r="S86" s="42">
        <f>IF(AG86="1",I86,0)</f>
        <v>0</v>
      </c>
      <c r="T86" s="42">
        <f>IF(AG86="7",H86,0)</f>
        <v>0</v>
      </c>
      <c r="U86" s="42">
        <f>IF(AG86="7",I86,0)</f>
        <v>0</v>
      </c>
      <c r="V86" s="42">
        <f>IF(AG86="2",H86,0)</f>
        <v>0</v>
      </c>
      <c r="W86" s="42">
        <f>IF(AG86="2",I86,0)</f>
        <v>0</v>
      </c>
      <c r="X86" s="42">
        <f>IF(AG86="0",J86,0)</f>
        <v>0</v>
      </c>
      <c r="Y86" s="34"/>
      <c r="Z86" s="19">
        <f>IF(AD86=0,J86,0)</f>
        <v>0</v>
      </c>
      <c r="AA86" s="19">
        <f>IF(AD86=15,J86,0)</f>
        <v>0</v>
      </c>
      <c r="AB86" s="19">
        <f>IF(AD86=21,J86,0)</f>
        <v>0</v>
      </c>
      <c r="AD86" s="42">
        <v>21</v>
      </c>
      <c r="AE86" s="42">
        <f>G86*0</f>
        <v>0</v>
      </c>
      <c r="AF86" s="42">
        <f>G86*(1-0)</f>
        <v>0</v>
      </c>
      <c r="AG86" s="37" t="s">
        <v>13</v>
      </c>
      <c r="AM86" s="42">
        <f>F86*AE86</f>
        <v>0</v>
      </c>
      <c r="AN86" s="42">
        <f>F86*AF86</f>
        <v>0</v>
      </c>
      <c r="AO86" s="43" t="s">
        <v>312</v>
      </c>
      <c r="AP86" s="43" t="s">
        <v>325</v>
      </c>
      <c r="AQ86" s="34" t="s">
        <v>328</v>
      </c>
      <c r="AS86" s="42">
        <f>AM86+AN86</f>
        <v>0</v>
      </c>
      <c r="AT86" s="42">
        <f>G86/(100-AU86)*100</f>
        <v>0</v>
      </c>
      <c r="AU86" s="42">
        <v>0</v>
      </c>
      <c r="AV86" s="42">
        <f>L86</f>
        <v>0</v>
      </c>
    </row>
    <row r="87" spans="1:48" ht="12.75">
      <c r="A87" s="4" t="s">
        <v>50</v>
      </c>
      <c r="B87" s="4"/>
      <c r="C87" s="4" t="s">
        <v>128</v>
      </c>
      <c r="D87" s="4" t="s">
        <v>229</v>
      </c>
      <c r="E87" s="4" t="s">
        <v>273</v>
      </c>
      <c r="F87" s="19">
        <v>2.835</v>
      </c>
      <c r="G87" s="25">
        <v>0</v>
      </c>
      <c r="H87" s="19">
        <f>F87*AE87</f>
        <v>0</v>
      </c>
      <c r="I87" s="19">
        <f>J87-H87</f>
        <v>0</v>
      </c>
      <c r="J87" s="19">
        <f>F87*G87</f>
        <v>0</v>
      </c>
      <c r="K87" s="19">
        <v>0.065</v>
      </c>
      <c r="L87" s="19">
        <f>F87*K87</f>
        <v>0.184275</v>
      </c>
      <c r="M87" s="37" t="s">
        <v>293</v>
      </c>
      <c r="P87" s="42">
        <f>IF(AG87="5",J87,0)</f>
        <v>0</v>
      </c>
      <c r="R87" s="42">
        <f>IF(AG87="1",H87,0)</f>
        <v>0</v>
      </c>
      <c r="S87" s="42">
        <f>IF(AG87="1",I87,0)</f>
        <v>0</v>
      </c>
      <c r="T87" s="42">
        <f>IF(AG87="7",H87,0)</f>
        <v>0</v>
      </c>
      <c r="U87" s="42">
        <f>IF(AG87="7",I87,0)</f>
        <v>0</v>
      </c>
      <c r="V87" s="42">
        <f>IF(AG87="2",H87,0)</f>
        <v>0</v>
      </c>
      <c r="W87" s="42">
        <f>IF(AG87="2",I87,0)</f>
        <v>0</v>
      </c>
      <c r="X87" s="42">
        <f>IF(AG87="0",J87,0)</f>
        <v>0</v>
      </c>
      <c r="Y87" s="34"/>
      <c r="Z87" s="19">
        <f>IF(AD87=0,J87,0)</f>
        <v>0</v>
      </c>
      <c r="AA87" s="19">
        <f>IF(AD87=15,J87,0)</f>
        <v>0</v>
      </c>
      <c r="AB87" s="19">
        <f>IF(AD87=21,J87,0)</f>
        <v>0</v>
      </c>
      <c r="AD87" s="42">
        <v>21</v>
      </c>
      <c r="AE87" s="42">
        <f>G87*0</f>
        <v>0</v>
      </c>
      <c r="AF87" s="42">
        <f>G87*(1-0)</f>
        <v>0</v>
      </c>
      <c r="AG87" s="37" t="s">
        <v>13</v>
      </c>
      <c r="AM87" s="42">
        <f>F87*AE87</f>
        <v>0</v>
      </c>
      <c r="AN87" s="42">
        <f>F87*AF87</f>
        <v>0</v>
      </c>
      <c r="AO87" s="43" t="s">
        <v>312</v>
      </c>
      <c r="AP87" s="43" t="s">
        <v>325</v>
      </c>
      <c r="AQ87" s="34" t="s">
        <v>328</v>
      </c>
      <c r="AS87" s="42">
        <f>AM87+AN87</f>
        <v>0</v>
      </c>
      <c r="AT87" s="42">
        <f>G87/(100-AU87)*100</f>
        <v>0</v>
      </c>
      <c r="AU87" s="42">
        <v>0</v>
      </c>
      <c r="AV87" s="42">
        <f>L87</f>
        <v>0.184275</v>
      </c>
    </row>
    <row r="88" spans="1:48" ht="12.75">
      <c r="A88" s="4" t="s">
        <v>51</v>
      </c>
      <c r="B88" s="4"/>
      <c r="C88" s="4" t="s">
        <v>129</v>
      </c>
      <c r="D88" s="4" t="s">
        <v>230</v>
      </c>
      <c r="E88" s="4" t="s">
        <v>272</v>
      </c>
      <c r="F88" s="19">
        <v>0.46155</v>
      </c>
      <c r="G88" s="25">
        <v>0</v>
      </c>
      <c r="H88" s="19">
        <f>F88*AE88</f>
        <v>0</v>
      </c>
      <c r="I88" s="19">
        <f>J88-H88</f>
        <v>0</v>
      </c>
      <c r="J88" s="19">
        <f>F88*G88</f>
        <v>0</v>
      </c>
      <c r="K88" s="19">
        <v>0</v>
      </c>
      <c r="L88" s="19">
        <f>F88*K88</f>
        <v>0</v>
      </c>
      <c r="M88" s="37" t="s">
        <v>293</v>
      </c>
      <c r="P88" s="42">
        <f>IF(AG88="5",J88,0)</f>
        <v>0</v>
      </c>
      <c r="R88" s="42">
        <f>IF(AG88="1",H88,0)</f>
        <v>0</v>
      </c>
      <c r="S88" s="42">
        <f>IF(AG88="1",I88,0)</f>
        <v>0</v>
      </c>
      <c r="T88" s="42">
        <f>IF(AG88="7",H88,0)</f>
        <v>0</v>
      </c>
      <c r="U88" s="42">
        <f>IF(AG88="7",I88,0)</f>
        <v>0</v>
      </c>
      <c r="V88" s="42">
        <f>IF(AG88="2",H88,0)</f>
        <v>0</v>
      </c>
      <c r="W88" s="42">
        <f>IF(AG88="2",I88,0)</f>
        <v>0</v>
      </c>
      <c r="X88" s="42">
        <f>IF(AG88="0",J88,0)</f>
        <v>0</v>
      </c>
      <c r="Y88" s="34"/>
      <c r="Z88" s="19">
        <f>IF(AD88=0,J88,0)</f>
        <v>0</v>
      </c>
      <c r="AA88" s="19">
        <f>IF(AD88=15,J88,0)</f>
        <v>0</v>
      </c>
      <c r="AB88" s="19">
        <f>IF(AD88=21,J88,0)</f>
        <v>0</v>
      </c>
      <c r="AD88" s="42">
        <v>21</v>
      </c>
      <c r="AE88" s="42">
        <f>G88*0</f>
        <v>0</v>
      </c>
      <c r="AF88" s="42">
        <f>G88*(1-0)</f>
        <v>0</v>
      </c>
      <c r="AG88" s="37" t="s">
        <v>11</v>
      </c>
      <c r="AM88" s="42">
        <f>F88*AE88</f>
        <v>0</v>
      </c>
      <c r="AN88" s="42">
        <f>F88*AF88</f>
        <v>0</v>
      </c>
      <c r="AO88" s="43" t="s">
        <v>312</v>
      </c>
      <c r="AP88" s="43" t="s">
        <v>325</v>
      </c>
      <c r="AQ88" s="34" t="s">
        <v>328</v>
      </c>
      <c r="AS88" s="42">
        <f>AM88+AN88</f>
        <v>0</v>
      </c>
      <c r="AT88" s="42">
        <f>G88/(100-AU88)*100</f>
        <v>0</v>
      </c>
      <c r="AU88" s="42">
        <v>0</v>
      </c>
      <c r="AV88" s="42">
        <f>L88</f>
        <v>0</v>
      </c>
    </row>
    <row r="89" spans="1:37" ht="12.75">
      <c r="A89" s="5"/>
      <c r="B89" s="13"/>
      <c r="C89" s="13" t="s">
        <v>130</v>
      </c>
      <c r="D89" s="13" t="s">
        <v>231</v>
      </c>
      <c r="E89" s="5" t="s">
        <v>6</v>
      </c>
      <c r="F89" s="5" t="s">
        <v>6</v>
      </c>
      <c r="G89" s="27" t="s">
        <v>6</v>
      </c>
      <c r="H89" s="45">
        <f>SUM(H90:H90)</f>
        <v>0</v>
      </c>
      <c r="I89" s="45">
        <f>SUM(I90:I90)</f>
        <v>0</v>
      </c>
      <c r="J89" s="45">
        <f>H89+I89</f>
        <v>0</v>
      </c>
      <c r="K89" s="34"/>
      <c r="L89" s="45">
        <f>SUM(L90:L90)</f>
        <v>0.32200067200000004</v>
      </c>
      <c r="M89" s="34"/>
      <c r="Y89" s="34"/>
      <c r="AI89" s="45">
        <f>SUM(Z90:Z90)</f>
        <v>0</v>
      </c>
      <c r="AJ89" s="45">
        <f>SUM(AA90:AA90)</f>
        <v>0</v>
      </c>
      <c r="AK89" s="45">
        <f>SUM(AB90:AB90)</f>
        <v>0</v>
      </c>
    </row>
    <row r="90" spans="1:48" ht="12.75">
      <c r="A90" s="4" t="s">
        <v>52</v>
      </c>
      <c r="B90" s="4"/>
      <c r="C90" s="4" t="s">
        <v>131</v>
      </c>
      <c r="D90" s="4" t="s">
        <v>487</v>
      </c>
      <c r="E90" s="4" t="s">
        <v>273</v>
      </c>
      <c r="F90" s="19">
        <v>2012.5042</v>
      </c>
      <c r="G90" s="25">
        <v>0</v>
      </c>
      <c r="H90" s="19">
        <f>F90*AE90</f>
        <v>0</v>
      </c>
      <c r="I90" s="19">
        <f>J90-H90</f>
        <v>0</v>
      </c>
      <c r="J90" s="19">
        <f>F90*G90</f>
        <v>0</v>
      </c>
      <c r="K90" s="19">
        <v>0.00016</v>
      </c>
      <c r="L90" s="19">
        <f>F90*K90</f>
        <v>0.32200067200000004</v>
      </c>
      <c r="M90" s="37" t="s">
        <v>293</v>
      </c>
      <c r="P90" s="42">
        <f>IF(AG90="5",J90,0)</f>
        <v>0</v>
      </c>
      <c r="R90" s="42">
        <f>IF(AG90="1",H90,0)</f>
        <v>0</v>
      </c>
      <c r="S90" s="42">
        <f>IF(AG90="1",I90,0)</f>
        <v>0</v>
      </c>
      <c r="T90" s="42">
        <f>IF(AG90="7",H90,0)</f>
        <v>0</v>
      </c>
      <c r="U90" s="42">
        <f>IF(AG90="7",I90,0)</f>
        <v>0</v>
      </c>
      <c r="V90" s="42">
        <f>IF(AG90="2",H90,0)</f>
        <v>0</v>
      </c>
      <c r="W90" s="42">
        <f>IF(AG90="2",I90,0)</f>
        <v>0</v>
      </c>
      <c r="X90" s="42">
        <f>IF(AG90="0",J90,0)</f>
        <v>0</v>
      </c>
      <c r="Y90" s="34"/>
      <c r="Z90" s="19">
        <f>IF(AD90=0,J90,0)</f>
        <v>0</v>
      </c>
      <c r="AA90" s="19">
        <f>IF(AD90=15,J90,0)</f>
        <v>0</v>
      </c>
      <c r="AB90" s="19">
        <f>IF(AD90=21,J90,0)</f>
        <v>0</v>
      </c>
      <c r="AD90" s="42">
        <v>21</v>
      </c>
      <c r="AE90" s="42">
        <f>G90*0.157925643102575</f>
        <v>0</v>
      </c>
      <c r="AF90" s="42">
        <f>G90*(1-0.157925643102575)</f>
        <v>0</v>
      </c>
      <c r="AG90" s="37" t="s">
        <v>13</v>
      </c>
      <c r="AM90" s="42">
        <f>F90*AE90</f>
        <v>0</v>
      </c>
      <c r="AN90" s="42">
        <f>F90*AF90</f>
        <v>0</v>
      </c>
      <c r="AO90" s="43" t="s">
        <v>313</v>
      </c>
      <c r="AP90" s="43" t="s">
        <v>326</v>
      </c>
      <c r="AQ90" s="34" t="s">
        <v>328</v>
      </c>
      <c r="AS90" s="42">
        <f>AM90+AN90</f>
        <v>0</v>
      </c>
      <c r="AT90" s="42">
        <f>G90/(100-AU90)*100</f>
        <v>0</v>
      </c>
      <c r="AU90" s="42">
        <v>0</v>
      </c>
      <c r="AV90" s="42">
        <f>L90</f>
        <v>0.32200067200000004</v>
      </c>
    </row>
    <row r="91" spans="3:13" ht="12.75">
      <c r="C91" s="14" t="s">
        <v>74</v>
      </c>
      <c r="D91" s="116" t="s">
        <v>232</v>
      </c>
      <c r="E91" s="117"/>
      <c r="F91" s="117"/>
      <c r="G91" s="118"/>
      <c r="H91" s="117"/>
      <c r="I91" s="117"/>
      <c r="J91" s="117"/>
      <c r="K91" s="117"/>
      <c r="L91" s="117"/>
      <c r="M91" s="117"/>
    </row>
    <row r="92" spans="1:37" ht="12.75">
      <c r="A92" s="5"/>
      <c r="B92" s="13"/>
      <c r="C92" s="13" t="s">
        <v>132</v>
      </c>
      <c r="D92" s="13" t="s">
        <v>233</v>
      </c>
      <c r="E92" s="5" t="s">
        <v>6</v>
      </c>
      <c r="F92" s="5" t="s">
        <v>6</v>
      </c>
      <c r="G92" s="27" t="s">
        <v>6</v>
      </c>
      <c r="H92" s="45">
        <f>SUM(H93:H101)</f>
        <v>0</v>
      </c>
      <c r="I92" s="45">
        <f>SUM(I93:I101)</f>
        <v>0</v>
      </c>
      <c r="J92" s="45">
        <f>H92+I92</f>
        <v>0</v>
      </c>
      <c r="K92" s="34"/>
      <c r="L92" s="45">
        <f>SUM(L93:L101)</f>
        <v>6.5720768</v>
      </c>
      <c r="M92" s="34"/>
      <c r="Y92" s="34"/>
      <c r="AI92" s="45">
        <f>SUM(Z93:Z101)</f>
        <v>0</v>
      </c>
      <c r="AJ92" s="45">
        <f>SUM(AA93:AA101)</f>
        <v>0</v>
      </c>
      <c r="AK92" s="45">
        <f>SUM(AB93:AB101)</f>
        <v>0</v>
      </c>
    </row>
    <row r="93" spans="1:48" ht="12.75">
      <c r="A93" s="6" t="s">
        <v>53</v>
      </c>
      <c r="B93" s="6"/>
      <c r="C93" s="6" t="s">
        <v>133</v>
      </c>
      <c r="D93" s="6" t="s">
        <v>488</v>
      </c>
      <c r="E93" s="6" t="s">
        <v>275</v>
      </c>
      <c r="F93" s="20">
        <v>2</v>
      </c>
      <c r="G93" s="28">
        <v>0</v>
      </c>
      <c r="H93" s="20">
        <f>F93*AE93</f>
        <v>0</v>
      </c>
      <c r="I93" s="20">
        <f>J93-H93</f>
        <v>0</v>
      </c>
      <c r="J93" s="20">
        <f>F93*G93</f>
        <v>0</v>
      </c>
      <c r="K93" s="20">
        <v>0.415</v>
      </c>
      <c r="L93" s="20">
        <f>F93*K93</f>
        <v>0.83</v>
      </c>
      <c r="M93" s="38"/>
      <c r="P93" s="42">
        <f>IF(AG93="5",J93,0)</f>
        <v>0</v>
      </c>
      <c r="R93" s="42">
        <f>IF(AG93="1",H93,0)</f>
        <v>0</v>
      </c>
      <c r="S93" s="42">
        <f>IF(AG93="1",I93,0)</f>
        <v>0</v>
      </c>
      <c r="T93" s="42">
        <f>IF(AG93="7",H93,0)</f>
        <v>0</v>
      </c>
      <c r="U93" s="42">
        <f>IF(AG93="7",I93,0)</f>
        <v>0</v>
      </c>
      <c r="V93" s="42">
        <f>IF(AG93="2",H93,0)</f>
        <v>0</v>
      </c>
      <c r="W93" s="42">
        <f>IF(AG93="2",I93,0)</f>
        <v>0</v>
      </c>
      <c r="X93" s="42">
        <f>IF(AG93="0",J93,0)</f>
        <v>0</v>
      </c>
      <c r="Y93" s="34"/>
      <c r="Z93" s="20">
        <f>IF(AD93=0,J93,0)</f>
        <v>0</v>
      </c>
      <c r="AA93" s="20">
        <f>IF(AD93=15,J93,0)</f>
        <v>0</v>
      </c>
      <c r="AB93" s="20">
        <f>IF(AD93=21,J93,0)</f>
        <v>0</v>
      </c>
      <c r="AD93" s="42">
        <v>21</v>
      </c>
      <c r="AE93" s="42">
        <f>G93*1</f>
        <v>0</v>
      </c>
      <c r="AF93" s="42">
        <f>G93*(1-1)</f>
        <v>0</v>
      </c>
      <c r="AG93" s="38" t="s">
        <v>7</v>
      </c>
      <c r="AM93" s="42">
        <f>F93*AE93</f>
        <v>0</v>
      </c>
      <c r="AN93" s="42">
        <f>F93*AF93</f>
        <v>0</v>
      </c>
      <c r="AO93" s="43" t="s">
        <v>314</v>
      </c>
      <c r="AP93" s="43" t="s">
        <v>327</v>
      </c>
      <c r="AQ93" s="34" t="s">
        <v>328</v>
      </c>
      <c r="AS93" s="42">
        <f>AM93+AN93</f>
        <v>0</v>
      </c>
      <c r="AT93" s="42">
        <f>G93/(100-AU93)*100</f>
        <v>0</v>
      </c>
      <c r="AU93" s="42">
        <v>0</v>
      </c>
      <c r="AV93" s="42">
        <f>L93</f>
        <v>0.83</v>
      </c>
    </row>
    <row r="94" spans="3:13" ht="12.75">
      <c r="C94" s="14" t="s">
        <v>74</v>
      </c>
      <c r="D94" s="116" t="s">
        <v>234</v>
      </c>
      <c r="E94" s="117"/>
      <c r="F94" s="117"/>
      <c r="G94" s="118"/>
      <c r="H94" s="117"/>
      <c r="I94" s="117"/>
      <c r="J94" s="117"/>
      <c r="K94" s="117"/>
      <c r="L94" s="117"/>
      <c r="M94" s="117"/>
    </row>
    <row r="95" spans="1:48" ht="12.75">
      <c r="A95" s="4" t="s">
        <v>54</v>
      </c>
      <c r="B95" s="4"/>
      <c r="C95" s="4" t="s">
        <v>134</v>
      </c>
      <c r="D95" s="4" t="s">
        <v>235</v>
      </c>
      <c r="E95" s="4" t="s">
        <v>273</v>
      </c>
      <c r="F95" s="19">
        <v>285.96</v>
      </c>
      <c r="G95" s="25">
        <v>0</v>
      </c>
      <c r="H95" s="19">
        <f>F95*AE95</f>
        <v>0</v>
      </c>
      <c r="I95" s="19">
        <f>J95-H95</f>
        <v>0</v>
      </c>
      <c r="J95" s="19">
        <f>F95*G95</f>
        <v>0</v>
      </c>
      <c r="K95" s="19">
        <v>0.02008</v>
      </c>
      <c r="L95" s="19">
        <f>F95*K95</f>
        <v>5.7420767999999995</v>
      </c>
      <c r="M95" s="37" t="s">
        <v>293</v>
      </c>
      <c r="P95" s="42">
        <f>IF(AG95="5",J95,0)</f>
        <v>0</v>
      </c>
      <c r="R95" s="42">
        <f>IF(AG95="1",H95,0)</f>
        <v>0</v>
      </c>
      <c r="S95" s="42">
        <f>IF(AG95="1",I95,0)</f>
        <v>0</v>
      </c>
      <c r="T95" s="42">
        <f>IF(AG95="7",H95,0)</f>
        <v>0</v>
      </c>
      <c r="U95" s="42">
        <f>IF(AG95="7",I95,0)</f>
        <v>0</v>
      </c>
      <c r="V95" s="42">
        <f>IF(AG95="2",H95,0)</f>
        <v>0</v>
      </c>
      <c r="W95" s="42">
        <f>IF(AG95="2",I95,0)</f>
        <v>0</v>
      </c>
      <c r="X95" s="42">
        <f>IF(AG95="0",J95,0)</f>
        <v>0</v>
      </c>
      <c r="Y95" s="34"/>
      <c r="Z95" s="19">
        <f>IF(AD95=0,J95,0)</f>
        <v>0</v>
      </c>
      <c r="AA95" s="19">
        <f>IF(AD95=15,J95,0)</f>
        <v>0</v>
      </c>
      <c r="AB95" s="19">
        <f>IF(AD95=21,J95,0)</f>
        <v>0</v>
      </c>
      <c r="AD95" s="42">
        <v>21</v>
      </c>
      <c r="AE95" s="42">
        <f>G95*0.350776611621457</f>
        <v>0</v>
      </c>
      <c r="AF95" s="42">
        <f>G95*(1-0.350776611621457)</f>
        <v>0</v>
      </c>
      <c r="AG95" s="37" t="s">
        <v>7</v>
      </c>
      <c r="AM95" s="42">
        <f>F95*AE95</f>
        <v>0</v>
      </c>
      <c r="AN95" s="42">
        <f>F95*AF95</f>
        <v>0</v>
      </c>
      <c r="AO95" s="43" t="s">
        <v>314</v>
      </c>
      <c r="AP95" s="43" t="s">
        <v>327</v>
      </c>
      <c r="AQ95" s="34" t="s">
        <v>328</v>
      </c>
      <c r="AS95" s="42">
        <f>AM95+AN95</f>
        <v>0</v>
      </c>
      <c r="AT95" s="42">
        <f>G95/(100-AU95)*100</f>
        <v>0</v>
      </c>
      <c r="AU95" s="42">
        <v>0</v>
      </c>
      <c r="AV95" s="42">
        <f>L95</f>
        <v>5.7420767999999995</v>
      </c>
    </row>
    <row r="96" spans="4:7" ht="12.75">
      <c r="D96" s="16" t="s">
        <v>236</v>
      </c>
      <c r="G96" s="26"/>
    </row>
    <row r="97" spans="3:13" ht="12.75">
      <c r="C97" s="14" t="s">
        <v>74</v>
      </c>
      <c r="D97" s="116" t="s">
        <v>237</v>
      </c>
      <c r="E97" s="117"/>
      <c r="F97" s="117"/>
      <c r="G97" s="118"/>
      <c r="H97" s="117"/>
      <c r="I97" s="117"/>
      <c r="J97" s="117"/>
      <c r="K97" s="117"/>
      <c r="L97" s="117"/>
      <c r="M97" s="117"/>
    </row>
    <row r="98" spans="1:48" ht="12.75">
      <c r="A98" s="4" t="s">
        <v>55</v>
      </c>
      <c r="B98" s="4"/>
      <c r="C98" s="4" t="s">
        <v>135</v>
      </c>
      <c r="D98" s="4" t="s">
        <v>238</v>
      </c>
      <c r="E98" s="4" t="s">
        <v>273</v>
      </c>
      <c r="F98" s="19">
        <v>285.96</v>
      </c>
      <c r="G98" s="25">
        <v>0</v>
      </c>
      <c r="H98" s="19">
        <f>F98*AE98</f>
        <v>0</v>
      </c>
      <c r="I98" s="19">
        <f>J98-H98</f>
        <v>0</v>
      </c>
      <c r="J98" s="19">
        <f>F98*G98</f>
        <v>0</v>
      </c>
      <c r="K98" s="19">
        <v>0</v>
      </c>
      <c r="L98" s="19">
        <f>F98*K98</f>
        <v>0</v>
      </c>
      <c r="M98" s="37" t="s">
        <v>293</v>
      </c>
      <c r="P98" s="42">
        <f>IF(AG98="5",J98,0)</f>
        <v>0</v>
      </c>
      <c r="R98" s="42">
        <f>IF(AG98="1",H98,0)</f>
        <v>0</v>
      </c>
      <c r="S98" s="42">
        <f>IF(AG98="1",I98,0)</f>
        <v>0</v>
      </c>
      <c r="T98" s="42">
        <f>IF(AG98="7",H98,0)</f>
        <v>0</v>
      </c>
      <c r="U98" s="42">
        <f>IF(AG98="7",I98,0)</f>
        <v>0</v>
      </c>
      <c r="V98" s="42">
        <f>IF(AG98="2",H98,0)</f>
        <v>0</v>
      </c>
      <c r="W98" s="42">
        <f>IF(AG98="2",I98,0)</f>
        <v>0</v>
      </c>
      <c r="X98" s="42">
        <f>IF(AG98="0",J98,0)</f>
        <v>0</v>
      </c>
      <c r="Y98" s="34"/>
      <c r="Z98" s="19">
        <f>IF(AD98=0,J98,0)</f>
        <v>0</v>
      </c>
      <c r="AA98" s="19">
        <f>IF(AD98=15,J98,0)</f>
        <v>0</v>
      </c>
      <c r="AB98" s="19">
        <f>IF(AD98=21,J98,0)</f>
        <v>0</v>
      </c>
      <c r="AD98" s="42">
        <v>21</v>
      </c>
      <c r="AE98" s="42">
        <f>G98*0</f>
        <v>0</v>
      </c>
      <c r="AF98" s="42">
        <f>G98*(1-0)</f>
        <v>0</v>
      </c>
      <c r="AG98" s="37" t="s">
        <v>7</v>
      </c>
      <c r="AM98" s="42">
        <f>F98*AE98</f>
        <v>0</v>
      </c>
      <c r="AN98" s="42">
        <f>F98*AF98</f>
        <v>0</v>
      </c>
      <c r="AO98" s="43" t="s">
        <v>314</v>
      </c>
      <c r="AP98" s="43" t="s">
        <v>327</v>
      </c>
      <c r="AQ98" s="34" t="s">
        <v>328</v>
      </c>
      <c r="AS98" s="42">
        <f>AM98+AN98</f>
        <v>0</v>
      </c>
      <c r="AT98" s="42">
        <f>G98/(100-AU98)*100</f>
        <v>0</v>
      </c>
      <c r="AU98" s="42">
        <v>0</v>
      </c>
      <c r="AV98" s="42">
        <f>L98</f>
        <v>0</v>
      </c>
    </row>
    <row r="99" spans="4:7" ht="12.75">
      <c r="D99" s="16" t="s">
        <v>489</v>
      </c>
      <c r="G99" s="26"/>
    </row>
    <row r="100" spans="3:13" ht="12.75">
      <c r="C100" s="14" t="s">
        <v>74</v>
      </c>
      <c r="D100" s="116" t="s">
        <v>239</v>
      </c>
      <c r="E100" s="117"/>
      <c r="F100" s="117"/>
      <c r="G100" s="118"/>
      <c r="H100" s="117"/>
      <c r="I100" s="117"/>
      <c r="J100" s="117"/>
      <c r="K100" s="117"/>
      <c r="L100" s="117"/>
      <c r="M100" s="117"/>
    </row>
    <row r="101" spans="1:48" ht="12.75">
      <c r="A101" s="4" t="s">
        <v>56</v>
      </c>
      <c r="B101" s="4"/>
      <c r="C101" s="4" t="s">
        <v>136</v>
      </c>
      <c r="D101" s="4" t="s">
        <v>240</v>
      </c>
      <c r="E101" s="4" t="s">
        <v>273</v>
      </c>
      <c r="F101" s="19">
        <v>285.96</v>
      </c>
      <c r="G101" s="25">
        <v>0</v>
      </c>
      <c r="H101" s="19">
        <f>F101*AE101</f>
        <v>0</v>
      </c>
      <c r="I101" s="19">
        <f>J101-H101</f>
        <v>0</v>
      </c>
      <c r="J101" s="19">
        <f>F101*G101</f>
        <v>0</v>
      </c>
      <c r="K101" s="19">
        <v>0</v>
      </c>
      <c r="L101" s="19">
        <f>F101*K101</f>
        <v>0</v>
      </c>
      <c r="M101" s="37" t="s">
        <v>293</v>
      </c>
      <c r="P101" s="42">
        <f>IF(AG101="5",J101,0)</f>
        <v>0</v>
      </c>
      <c r="R101" s="42">
        <f>IF(AG101="1",H101,0)</f>
        <v>0</v>
      </c>
      <c r="S101" s="42">
        <f>IF(AG101="1",I101,0)</f>
        <v>0</v>
      </c>
      <c r="T101" s="42">
        <f>IF(AG101="7",H101,0)</f>
        <v>0</v>
      </c>
      <c r="U101" s="42">
        <f>IF(AG101="7",I101,0)</f>
        <v>0</v>
      </c>
      <c r="V101" s="42">
        <f>IF(AG101="2",H101,0)</f>
        <v>0</v>
      </c>
      <c r="W101" s="42">
        <f>IF(AG101="2",I101,0)</f>
        <v>0</v>
      </c>
      <c r="X101" s="42">
        <f>IF(AG101="0",J101,0)</f>
        <v>0</v>
      </c>
      <c r="Y101" s="34"/>
      <c r="Z101" s="19">
        <f>IF(AD101=0,J101,0)</f>
        <v>0</v>
      </c>
      <c r="AA101" s="19">
        <f>IF(AD101=15,J101,0)</f>
        <v>0</v>
      </c>
      <c r="AB101" s="19">
        <f>IF(AD101=21,J101,0)</f>
        <v>0</v>
      </c>
      <c r="AD101" s="42">
        <v>21</v>
      </c>
      <c r="AE101" s="42">
        <f>G101*0</f>
        <v>0</v>
      </c>
      <c r="AF101" s="42">
        <f>G101*(1-0)</f>
        <v>0</v>
      </c>
      <c r="AG101" s="37" t="s">
        <v>7</v>
      </c>
      <c r="AM101" s="42">
        <f>F101*AE101</f>
        <v>0</v>
      </c>
      <c r="AN101" s="42">
        <f>F101*AF101</f>
        <v>0</v>
      </c>
      <c r="AO101" s="43" t="s">
        <v>314</v>
      </c>
      <c r="AP101" s="43" t="s">
        <v>327</v>
      </c>
      <c r="AQ101" s="34" t="s">
        <v>328</v>
      </c>
      <c r="AS101" s="42">
        <f>AM101+AN101</f>
        <v>0</v>
      </c>
      <c r="AT101" s="42">
        <f>G101/(100-AU101)*100</f>
        <v>0</v>
      </c>
      <c r="AU101" s="42">
        <v>0</v>
      </c>
      <c r="AV101" s="42">
        <f>L101</f>
        <v>0</v>
      </c>
    </row>
    <row r="102" spans="4:7" ht="12.75">
      <c r="D102" s="16" t="s">
        <v>489</v>
      </c>
      <c r="G102" s="26"/>
    </row>
    <row r="103" spans="3:13" ht="12.75">
      <c r="C103" s="14" t="s">
        <v>74</v>
      </c>
      <c r="D103" s="116" t="s">
        <v>239</v>
      </c>
      <c r="E103" s="117"/>
      <c r="F103" s="117"/>
      <c r="G103" s="118"/>
      <c r="H103" s="117"/>
      <c r="I103" s="117"/>
      <c r="J103" s="117"/>
      <c r="K103" s="117"/>
      <c r="L103" s="117"/>
      <c r="M103" s="117"/>
    </row>
    <row r="104" spans="1:37" ht="12.75">
      <c r="A104" s="5"/>
      <c r="B104" s="13"/>
      <c r="C104" s="13" t="s">
        <v>137</v>
      </c>
      <c r="D104" s="13" t="s">
        <v>241</v>
      </c>
      <c r="E104" s="5" t="s">
        <v>6</v>
      </c>
      <c r="F104" s="5" t="s">
        <v>6</v>
      </c>
      <c r="G104" s="27" t="s">
        <v>6</v>
      </c>
      <c r="H104" s="45">
        <f>SUM(H105:H112)</f>
        <v>0</v>
      </c>
      <c r="I104" s="45">
        <f>SUM(I105:I112)</f>
        <v>0</v>
      </c>
      <c r="J104" s="45">
        <f>H104+I104</f>
        <v>0</v>
      </c>
      <c r="K104" s="34"/>
      <c r="L104" s="45">
        <f>SUM(L105:L112)</f>
        <v>11.8230684</v>
      </c>
      <c r="M104" s="34"/>
      <c r="Y104" s="34"/>
      <c r="AI104" s="45">
        <f>SUM(Z105:Z112)</f>
        <v>0</v>
      </c>
      <c r="AJ104" s="45">
        <f>SUM(AA105:AA112)</f>
        <v>0</v>
      </c>
      <c r="AK104" s="45">
        <f>SUM(AB105:AB112)</f>
        <v>0</v>
      </c>
    </row>
    <row r="105" spans="1:48" ht="12.75">
      <c r="A105" s="4" t="s">
        <v>57</v>
      </c>
      <c r="B105" s="4"/>
      <c r="C105" s="4" t="s">
        <v>138</v>
      </c>
      <c r="D105" s="4" t="s">
        <v>242</v>
      </c>
      <c r="E105" s="4" t="s">
        <v>273</v>
      </c>
      <c r="F105" s="19">
        <v>3.96</v>
      </c>
      <c r="G105" s="25">
        <v>0</v>
      </c>
      <c r="H105" s="19">
        <f>F105*AE105</f>
        <v>0</v>
      </c>
      <c r="I105" s="19">
        <f>J105-H105</f>
        <v>0</v>
      </c>
      <c r="J105" s="19">
        <f>F105*G105</f>
        <v>0</v>
      </c>
      <c r="K105" s="19">
        <v>0.06804</v>
      </c>
      <c r="L105" s="19">
        <f>F105*K105</f>
        <v>0.2694384</v>
      </c>
      <c r="M105" s="37" t="s">
        <v>293</v>
      </c>
      <c r="P105" s="42">
        <f>IF(AG105="5",J105,0)</f>
        <v>0</v>
      </c>
      <c r="R105" s="42">
        <f>IF(AG105="1",H105,0)</f>
        <v>0</v>
      </c>
      <c r="S105" s="42">
        <f>IF(AG105="1",I105,0)</f>
        <v>0</v>
      </c>
      <c r="T105" s="42">
        <f>IF(AG105="7",H105,0)</f>
        <v>0</v>
      </c>
      <c r="U105" s="42">
        <f>IF(AG105="7",I105,0)</f>
        <v>0</v>
      </c>
      <c r="V105" s="42">
        <f>IF(AG105="2",H105,0)</f>
        <v>0</v>
      </c>
      <c r="W105" s="42">
        <f>IF(AG105="2",I105,0)</f>
        <v>0</v>
      </c>
      <c r="X105" s="42">
        <f>IF(AG105="0",J105,0)</f>
        <v>0</v>
      </c>
      <c r="Y105" s="34"/>
      <c r="Z105" s="19">
        <f>IF(AD105=0,J105,0)</f>
        <v>0</v>
      </c>
      <c r="AA105" s="19">
        <f>IF(AD105=15,J105,0)</f>
        <v>0</v>
      </c>
      <c r="AB105" s="19">
        <f>IF(AD105=21,J105,0)</f>
        <v>0</v>
      </c>
      <c r="AD105" s="42">
        <v>21</v>
      </c>
      <c r="AE105" s="42">
        <f>G105*0.225946791862285</f>
        <v>0</v>
      </c>
      <c r="AF105" s="42">
        <f>G105*(1-0.225946791862285)</f>
        <v>0</v>
      </c>
      <c r="AG105" s="37" t="s">
        <v>7</v>
      </c>
      <c r="AM105" s="42">
        <f>F105*AE105</f>
        <v>0</v>
      </c>
      <c r="AN105" s="42">
        <f>F105*AF105</f>
        <v>0</v>
      </c>
      <c r="AO105" s="43" t="s">
        <v>315</v>
      </c>
      <c r="AP105" s="43" t="s">
        <v>327</v>
      </c>
      <c r="AQ105" s="34" t="s">
        <v>328</v>
      </c>
      <c r="AS105" s="42">
        <f>AM105+AN105</f>
        <v>0</v>
      </c>
      <c r="AT105" s="42">
        <f>G105/(100-AU105)*100</f>
        <v>0</v>
      </c>
      <c r="AU105" s="42">
        <v>0</v>
      </c>
      <c r="AV105" s="42">
        <f>L105</f>
        <v>0.2694384</v>
      </c>
    </row>
    <row r="106" spans="1:48" ht="12.75">
      <c r="A106" s="4" t="s">
        <v>58</v>
      </c>
      <c r="B106" s="4"/>
      <c r="C106" s="4" t="s">
        <v>139</v>
      </c>
      <c r="D106" s="4" t="s">
        <v>243</v>
      </c>
      <c r="E106" s="4" t="s">
        <v>275</v>
      </c>
      <c r="F106" s="19">
        <v>16</v>
      </c>
      <c r="G106" s="25">
        <v>0</v>
      </c>
      <c r="H106" s="19">
        <f>F106*AE106</f>
        <v>0</v>
      </c>
      <c r="I106" s="19">
        <f>J106-H106</f>
        <v>0</v>
      </c>
      <c r="J106" s="19">
        <f>F106*G106</f>
        <v>0</v>
      </c>
      <c r="K106" s="19">
        <v>0</v>
      </c>
      <c r="L106" s="19">
        <f>F106*K106</f>
        <v>0</v>
      </c>
      <c r="M106" s="37" t="s">
        <v>293</v>
      </c>
      <c r="P106" s="42">
        <f>IF(AG106="5",J106,0)</f>
        <v>0</v>
      </c>
      <c r="R106" s="42">
        <f>IF(AG106="1",H106,0)</f>
        <v>0</v>
      </c>
      <c r="S106" s="42">
        <f>IF(AG106="1",I106,0)</f>
        <v>0</v>
      </c>
      <c r="T106" s="42">
        <f>IF(AG106="7",H106,0)</f>
        <v>0</v>
      </c>
      <c r="U106" s="42">
        <f>IF(AG106="7",I106,0)</f>
        <v>0</v>
      </c>
      <c r="V106" s="42">
        <f>IF(AG106="2",H106,0)</f>
        <v>0</v>
      </c>
      <c r="W106" s="42">
        <f>IF(AG106="2",I106,0)</f>
        <v>0</v>
      </c>
      <c r="X106" s="42">
        <f>IF(AG106="0",J106,0)</f>
        <v>0</v>
      </c>
      <c r="Y106" s="34"/>
      <c r="Z106" s="19">
        <f>IF(AD106=0,J106,0)</f>
        <v>0</v>
      </c>
      <c r="AA106" s="19">
        <f>IF(AD106=15,J106,0)</f>
        <v>0</v>
      </c>
      <c r="AB106" s="19">
        <f>IF(AD106=21,J106,0)</f>
        <v>0</v>
      </c>
      <c r="AD106" s="42">
        <v>21</v>
      </c>
      <c r="AE106" s="42">
        <f>G106*0</f>
        <v>0</v>
      </c>
      <c r="AF106" s="42">
        <f>G106*(1-0)</f>
        <v>0</v>
      </c>
      <c r="AG106" s="37" t="s">
        <v>7</v>
      </c>
      <c r="AM106" s="42">
        <f>F106*AE106</f>
        <v>0</v>
      </c>
      <c r="AN106" s="42">
        <f>F106*AF106</f>
        <v>0</v>
      </c>
      <c r="AO106" s="43" t="s">
        <v>315</v>
      </c>
      <c r="AP106" s="43" t="s">
        <v>327</v>
      </c>
      <c r="AQ106" s="34" t="s">
        <v>328</v>
      </c>
      <c r="AS106" s="42">
        <f>AM106+AN106</f>
        <v>0</v>
      </c>
      <c r="AT106" s="42">
        <f>G106/(100-AU106)*100</f>
        <v>0</v>
      </c>
      <c r="AU106" s="42">
        <v>0</v>
      </c>
      <c r="AV106" s="42">
        <f>L106</f>
        <v>0</v>
      </c>
    </row>
    <row r="107" spans="1:48" ht="12.75">
      <c r="A107" s="4" t="s">
        <v>59</v>
      </c>
      <c r="B107" s="4"/>
      <c r="C107" s="4" t="s">
        <v>140</v>
      </c>
      <c r="D107" s="4" t="s">
        <v>244</v>
      </c>
      <c r="E107" s="4" t="s">
        <v>272</v>
      </c>
      <c r="F107" s="19">
        <v>0.72024</v>
      </c>
      <c r="G107" s="25">
        <v>0</v>
      </c>
      <c r="H107" s="19">
        <f>F107*AE107</f>
        <v>0</v>
      </c>
      <c r="I107" s="19">
        <f>J107-H107</f>
        <v>0</v>
      </c>
      <c r="J107" s="19">
        <f>F107*G107</f>
        <v>0</v>
      </c>
      <c r="K107" s="19">
        <v>0</v>
      </c>
      <c r="L107" s="19">
        <f>F107*K107</f>
        <v>0</v>
      </c>
      <c r="M107" s="37" t="s">
        <v>293</v>
      </c>
      <c r="P107" s="42">
        <f>IF(AG107="5",J107,0)</f>
        <v>0</v>
      </c>
      <c r="R107" s="42">
        <f>IF(AG107="1",H107,0)</f>
        <v>0</v>
      </c>
      <c r="S107" s="42">
        <f>IF(AG107="1",I107,0)</f>
        <v>0</v>
      </c>
      <c r="T107" s="42">
        <f>IF(AG107="7",H107,0)</f>
        <v>0</v>
      </c>
      <c r="U107" s="42">
        <f>IF(AG107="7",I107,0)</f>
        <v>0</v>
      </c>
      <c r="V107" s="42">
        <f>IF(AG107="2",H107,0)</f>
        <v>0</v>
      </c>
      <c r="W107" s="42">
        <f>IF(AG107="2",I107,0)</f>
        <v>0</v>
      </c>
      <c r="X107" s="42">
        <f>IF(AG107="0",J107,0)</f>
        <v>0</v>
      </c>
      <c r="Y107" s="34"/>
      <c r="Z107" s="19">
        <f>IF(AD107=0,J107,0)</f>
        <v>0</v>
      </c>
      <c r="AA107" s="19">
        <f>IF(AD107=15,J107,0)</f>
        <v>0</v>
      </c>
      <c r="AB107" s="19">
        <f>IF(AD107=21,J107,0)</f>
        <v>0</v>
      </c>
      <c r="AD107" s="42">
        <v>21</v>
      </c>
      <c r="AE107" s="42">
        <f>G107*0</f>
        <v>0</v>
      </c>
      <c r="AF107" s="42">
        <f>G107*(1-0)</f>
        <v>0</v>
      </c>
      <c r="AG107" s="37" t="s">
        <v>11</v>
      </c>
      <c r="AM107" s="42">
        <f>F107*AE107</f>
        <v>0</v>
      </c>
      <c r="AN107" s="42">
        <f>F107*AF107</f>
        <v>0</v>
      </c>
      <c r="AO107" s="43" t="s">
        <v>315</v>
      </c>
      <c r="AP107" s="43" t="s">
        <v>327</v>
      </c>
      <c r="AQ107" s="34" t="s">
        <v>328</v>
      </c>
      <c r="AS107" s="42">
        <f>AM107+AN107</f>
        <v>0</v>
      </c>
      <c r="AT107" s="42">
        <f>G107/(100-AU107)*100</f>
        <v>0</v>
      </c>
      <c r="AU107" s="42">
        <v>0</v>
      </c>
      <c r="AV107" s="42">
        <f>L107</f>
        <v>0</v>
      </c>
    </row>
    <row r="108" spans="1:48" ht="12.75">
      <c r="A108" s="4" t="s">
        <v>60</v>
      </c>
      <c r="B108" s="4"/>
      <c r="C108" s="4" t="s">
        <v>141</v>
      </c>
      <c r="D108" s="4" t="s">
        <v>245</v>
      </c>
      <c r="E108" s="4" t="s">
        <v>272</v>
      </c>
      <c r="F108" s="19">
        <v>0.72024</v>
      </c>
      <c r="G108" s="25">
        <v>0</v>
      </c>
      <c r="H108" s="19">
        <f>F108*AE108</f>
        <v>0</v>
      </c>
      <c r="I108" s="19">
        <f>J108-H108</f>
        <v>0</v>
      </c>
      <c r="J108" s="19">
        <f>F108*G108</f>
        <v>0</v>
      </c>
      <c r="K108" s="19">
        <v>0</v>
      </c>
      <c r="L108" s="19">
        <f>F108*K108</f>
        <v>0</v>
      </c>
      <c r="M108" s="37" t="s">
        <v>293</v>
      </c>
      <c r="P108" s="42">
        <f>IF(AG108="5",J108,0)</f>
        <v>0</v>
      </c>
      <c r="R108" s="42">
        <f>IF(AG108="1",H108,0)</f>
        <v>0</v>
      </c>
      <c r="S108" s="42">
        <f>IF(AG108="1",I108,0)</f>
        <v>0</v>
      </c>
      <c r="T108" s="42">
        <f>IF(AG108="7",H108,0)</f>
        <v>0</v>
      </c>
      <c r="U108" s="42">
        <f>IF(AG108="7",I108,0)</f>
        <v>0</v>
      </c>
      <c r="V108" s="42">
        <f>IF(AG108="2",H108,0)</f>
        <v>0</v>
      </c>
      <c r="W108" s="42">
        <f>IF(AG108="2",I108,0)</f>
        <v>0</v>
      </c>
      <c r="X108" s="42">
        <f>IF(AG108="0",J108,0)</f>
        <v>0</v>
      </c>
      <c r="Y108" s="34"/>
      <c r="Z108" s="19">
        <f>IF(AD108=0,J108,0)</f>
        <v>0</v>
      </c>
      <c r="AA108" s="19">
        <f>IF(AD108=15,J108,0)</f>
        <v>0</v>
      </c>
      <c r="AB108" s="19">
        <f>IF(AD108=21,J108,0)</f>
        <v>0</v>
      </c>
      <c r="AD108" s="42">
        <v>21</v>
      </c>
      <c r="AE108" s="42">
        <f>G108*0</f>
        <v>0</v>
      </c>
      <c r="AF108" s="42">
        <f>G108*(1-0)</f>
        <v>0</v>
      </c>
      <c r="AG108" s="37" t="s">
        <v>11</v>
      </c>
      <c r="AM108" s="42">
        <f>F108*AE108</f>
        <v>0</v>
      </c>
      <c r="AN108" s="42">
        <f>F108*AF108</f>
        <v>0</v>
      </c>
      <c r="AO108" s="43" t="s">
        <v>315</v>
      </c>
      <c r="AP108" s="43" t="s">
        <v>327</v>
      </c>
      <c r="AQ108" s="34" t="s">
        <v>328</v>
      </c>
      <c r="AS108" s="42">
        <f>AM108+AN108</f>
        <v>0</v>
      </c>
      <c r="AT108" s="42">
        <f>G108/(100-AU108)*100</f>
        <v>0</v>
      </c>
      <c r="AU108" s="42">
        <v>0</v>
      </c>
      <c r="AV108" s="42">
        <f>L108</f>
        <v>0</v>
      </c>
    </row>
    <row r="109" spans="1:48" ht="12.75">
      <c r="A109" s="4" t="s">
        <v>61</v>
      </c>
      <c r="B109" s="4"/>
      <c r="C109" s="4" t="s">
        <v>142</v>
      </c>
      <c r="D109" s="4" t="s">
        <v>246</v>
      </c>
      <c r="E109" s="4" t="s">
        <v>270</v>
      </c>
      <c r="F109" s="19">
        <v>105.033</v>
      </c>
      <c r="G109" s="25">
        <v>0</v>
      </c>
      <c r="H109" s="19">
        <f>F109*AE109</f>
        <v>0</v>
      </c>
      <c r="I109" s="19">
        <f>J109-H109</f>
        <v>0</v>
      </c>
      <c r="J109" s="19">
        <f>F109*G109</f>
        <v>0</v>
      </c>
      <c r="K109" s="19">
        <v>0.11</v>
      </c>
      <c r="L109" s="19">
        <f>F109*K109</f>
        <v>11.55363</v>
      </c>
      <c r="M109" s="37" t="s">
        <v>293</v>
      </c>
      <c r="P109" s="42">
        <f>IF(AG109="5",J109,0)</f>
        <v>0</v>
      </c>
      <c r="R109" s="42">
        <f>IF(AG109="1",H109,0)</f>
        <v>0</v>
      </c>
      <c r="S109" s="42">
        <f>IF(AG109="1",I109,0)</f>
        <v>0</v>
      </c>
      <c r="T109" s="42">
        <f>IF(AG109="7",H109,0)</f>
        <v>0</v>
      </c>
      <c r="U109" s="42">
        <f>IF(AG109="7",I109,0)</f>
        <v>0</v>
      </c>
      <c r="V109" s="42">
        <f>IF(AG109="2",H109,0)</f>
        <v>0</v>
      </c>
      <c r="W109" s="42">
        <f>IF(AG109="2",I109,0)</f>
        <v>0</v>
      </c>
      <c r="X109" s="42">
        <f>IF(AG109="0",J109,0)</f>
        <v>0</v>
      </c>
      <c r="Y109" s="34"/>
      <c r="Z109" s="19">
        <f>IF(AD109=0,J109,0)</f>
        <v>0</v>
      </c>
      <c r="AA109" s="19">
        <f>IF(AD109=15,J109,0)</f>
        <v>0</v>
      </c>
      <c r="AB109" s="19">
        <f>IF(AD109=21,J109,0)</f>
        <v>0</v>
      </c>
      <c r="AD109" s="42">
        <v>21</v>
      </c>
      <c r="AE109" s="42">
        <f>G109*0</f>
        <v>0</v>
      </c>
      <c r="AF109" s="42">
        <f>G109*(1-0)</f>
        <v>0</v>
      </c>
      <c r="AG109" s="37" t="s">
        <v>7</v>
      </c>
      <c r="AM109" s="42">
        <f>F109*AE109</f>
        <v>0</v>
      </c>
      <c r="AN109" s="42">
        <f>F109*AF109</f>
        <v>0</v>
      </c>
      <c r="AO109" s="43" t="s">
        <v>315</v>
      </c>
      <c r="AP109" s="43" t="s">
        <v>327</v>
      </c>
      <c r="AQ109" s="34" t="s">
        <v>328</v>
      </c>
      <c r="AS109" s="42">
        <f>AM109+AN109</f>
        <v>0</v>
      </c>
      <c r="AT109" s="42">
        <f>G109/(100-AU109)*100</f>
        <v>0</v>
      </c>
      <c r="AU109" s="42">
        <v>0</v>
      </c>
      <c r="AV109" s="42">
        <f>L109</f>
        <v>11.55363</v>
      </c>
    </row>
    <row r="110" spans="3:13" ht="12.75">
      <c r="C110" s="14" t="s">
        <v>74</v>
      </c>
      <c r="D110" s="116" t="s">
        <v>247</v>
      </c>
      <c r="E110" s="117"/>
      <c r="F110" s="117"/>
      <c r="G110" s="118"/>
      <c r="H110" s="117"/>
      <c r="I110" s="117"/>
      <c r="J110" s="117"/>
      <c r="K110" s="117"/>
      <c r="L110" s="117"/>
      <c r="M110" s="117"/>
    </row>
    <row r="111" spans="1:48" ht="12.75">
      <c r="A111" s="4" t="s">
        <v>62</v>
      </c>
      <c r="B111" s="4"/>
      <c r="C111" s="4" t="s">
        <v>143</v>
      </c>
      <c r="D111" s="4" t="s">
        <v>248</v>
      </c>
      <c r="E111" s="4" t="s">
        <v>272</v>
      </c>
      <c r="F111" s="19">
        <v>11.82307</v>
      </c>
      <c r="G111" s="25">
        <v>0</v>
      </c>
      <c r="H111" s="19">
        <f>F111*AE111</f>
        <v>0</v>
      </c>
      <c r="I111" s="19">
        <f>J111-H111</f>
        <v>0</v>
      </c>
      <c r="J111" s="19">
        <f>F111*G111</f>
        <v>0</v>
      </c>
      <c r="K111" s="19">
        <v>0</v>
      </c>
      <c r="L111" s="19">
        <f>F111*K111</f>
        <v>0</v>
      </c>
      <c r="M111" s="37" t="s">
        <v>293</v>
      </c>
      <c r="P111" s="42">
        <f>IF(AG111="5",J111,0)</f>
        <v>0</v>
      </c>
      <c r="R111" s="42">
        <f>IF(AG111="1",H111,0)</f>
        <v>0</v>
      </c>
      <c r="S111" s="42">
        <f>IF(AG111="1",I111,0)</f>
        <v>0</v>
      </c>
      <c r="T111" s="42">
        <f>IF(AG111="7",H111,0)</f>
        <v>0</v>
      </c>
      <c r="U111" s="42">
        <f>IF(AG111="7",I111,0)</f>
        <v>0</v>
      </c>
      <c r="V111" s="42">
        <f>IF(AG111="2",H111,0)</f>
        <v>0</v>
      </c>
      <c r="W111" s="42">
        <f>IF(AG111="2",I111,0)</f>
        <v>0</v>
      </c>
      <c r="X111" s="42">
        <f>IF(AG111="0",J111,0)</f>
        <v>0</v>
      </c>
      <c r="Y111" s="34"/>
      <c r="Z111" s="19">
        <f>IF(AD111=0,J111,0)</f>
        <v>0</v>
      </c>
      <c r="AA111" s="19">
        <f>IF(AD111=15,J111,0)</f>
        <v>0</v>
      </c>
      <c r="AB111" s="19">
        <f>IF(AD111=21,J111,0)</f>
        <v>0</v>
      </c>
      <c r="AD111" s="42">
        <v>21</v>
      </c>
      <c r="AE111" s="42">
        <f>G111*0</f>
        <v>0</v>
      </c>
      <c r="AF111" s="42">
        <f>G111*(1-0)</f>
        <v>0</v>
      </c>
      <c r="AG111" s="37" t="s">
        <v>11</v>
      </c>
      <c r="AM111" s="42">
        <f>F111*AE111</f>
        <v>0</v>
      </c>
      <c r="AN111" s="42">
        <f>F111*AF111</f>
        <v>0</v>
      </c>
      <c r="AO111" s="43" t="s">
        <v>315</v>
      </c>
      <c r="AP111" s="43" t="s">
        <v>327</v>
      </c>
      <c r="AQ111" s="34" t="s">
        <v>328</v>
      </c>
      <c r="AS111" s="42">
        <f>AM111+AN111</f>
        <v>0</v>
      </c>
      <c r="AT111" s="42">
        <f>G111/(100-AU111)*100</f>
        <v>0</v>
      </c>
      <c r="AU111" s="42">
        <v>0</v>
      </c>
      <c r="AV111" s="42">
        <f>L111</f>
        <v>0</v>
      </c>
    </row>
    <row r="112" spans="1:48" ht="12.75">
      <c r="A112" s="4" t="s">
        <v>63</v>
      </c>
      <c r="B112" s="4"/>
      <c r="C112" s="4" t="s">
        <v>144</v>
      </c>
      <c r="D112" s="4" t="s">
        <v>249</v>
      </c>
      <c r="E112" s="4" t="s">
        <v>272</v>
      </c>
      <c r="F112" s="19">
        <v>11.82307</v>
      </c>
      <c r="G112" s="25">
        <v>0</v>
      </c>
      <c r="H112" s="19">
        <f>F112*AE112</f>
        <v>0</v>
      </c>
      <c r="I112" s="19">
        <f>J112-H112</f>
        <v>0</v>
      </c>
      <c r="J112" s="19">
        <f>F112*G112</f>
        <v>0</v>
      </c>
      <c r="K112" s="19">
        <v>0</v>
      </c>
      <c r="L112" s="19">
        <f>F112*K112</f>
        <v>0</v>
      </c>
      <c r="M112" s="37" t="s">
        <v>293</v>
      </c>
      <c r="P112" s="42">
        <f>IF(AG112="5",J112,0)</f>
        <v>0</v>
      </c>
      <c r="R112" s="42">
        <f>IF(AG112="1",H112,0)</f>
        <v>0</v>
      </c>
      <c r="S112" s="42">
        <f>IF(AG112="1",I112,0)</f>
        <v>0</v>
      </c>
      <c r="T112" s="42">
        <f>IF(AG112="7",H112,0)</f>
        <v>0</v>
      </c>
      <c r="U112" s="42">
        <f>IF(AG112="7",I112,0)</f>
        <v>0</v>
      </c>
      <c r="V112" s="42">
        <f>IF(AG112="2",H112,0)</f>
        <v>0</v>
      </c>
      <c r="W112" s="42">
        <f>IF(AG112="2",I112,0)</f>
        <v>0</v>
      </c>
      <c r="X112" s="42">
        <f>IF(AG112="0",J112,0)</f>
        <v>0</v>
      </c>
      <c r="Y112" s="34"/>
      <c r="Z112" s="19">
        <f>IF(AD112=0,J112,0)</f>
        <v>0</v>
      </c>
      <c r="AA112" s="19">
        <f>IF(AD112=15,J112,0)</f>
        <v>0</v>
      </c>
      <c r="AB112" s="19">
        <f>IF(AD112=21,J112,0)</f>
        <v>0</v>
      </c>
      <c r="AD112" s="42">
        <v>21</v>
      </c>
      <c r="AE112" s="42">
        <f>G112*0</f>
        <v>0</v>
      </c>
      <c r="AF112" s="42">
        <f>G112*(1-0)</f>
        <v>0</v>
      </c>
      <c r="AG112" s="37" t="s">
        <v>11</v>
      </c>
      <c r="AM112" s="42">
        <f>F112*AE112</f>
        <v>0</v>
      </c>
      <c r="AN112" s="42">
        <f>F112*AF112</f>
        <v>0</v>
      </c>
      <c r="AO112" s="43" t="s">
        <v>315</v>
      </c>
      <c r="AP112" s="43" t="s">
        <v>327</v>
      </c>
      <c r="AQ112" s="34" t="s">
        <v>328</v>
      </c>
      <c r="AS112" s="42">
        <f>AM112+AN112</f>
        <v>0</v>
      </c>
      <c r="AT112" s="42">
        <f>G112/(100-AU112)*100</f>
        <v>0</v>
      </c>
      <c r="AU112" s="42">
        <v>0</v>
      </c>
      <c r="AV112" s="42">
        <f>L112</f>
        <v>0</v>
      </c>
    </row>
    <row r="113" spans="1:37" ht="12.75">
      <c r="A113" s="5"/>
      <c r="B113" s="13"/>
      <c r="C113" s="13" t="s">
        <v>145</v>
      </c>
      <c r="D113" s="13" t="s">
        <v>250</v>
      </c>
      <c r="E113" s="5" t="s">
        <v>6</v>
      </c>
      <c r="F113" s="5" t="s">
        <v>6</v>
      </c>
      <c r="G113" s="27" t="s">
        <v>6</v>
      </c>
      <c r="H113" s="45">
        <f>SUM(H114:H118)</f>
        <v>0</v>
      </c>
      <c r="I113" s="45">
        <f>SUM(I114:I118)</f>
        <v>0</v>
      </c>
      <c r="J113" s="45">
        <f>H113+I113</f>
        <v>0</v>
      </c>
      <c r="K113" s="34"/>
      <c r="L113" s="45">
        <f>SUM(L114:L118)</f>
        <v>2.561495</v>
      </c>
      <c r="M113" s="34"/>
      <c r="Y113" s="34"/>
      <c r="AI113" s="45">
        <f>SUM(Z114:Z118)</f>
        <v>0</v>
      </c>
      <c r="AJ113" s="45">
        <f>SUM(AA114:AA118)</f>
        <v>0</v>
      </c>
      <c r="AK113" s="45">
        <f>SUM(AB114:AB118)</f>
        <v>0</v>
      </c>
    </row>
    <row r="114" spans="1:48" ht="12.75">
      <c r="A114" s="4" t="s">
        <v>64</v>
      </c>
      <c r="B114" s="4"/>
      <c r="C114" s="4" t="s">
        <v>146</v>
      </c>
      <c r="D114" s="4" t="s">
        <v>251</v>
      </c>
      <c r="E114" s="4" t="s">
        <v>274</v>
      </c>
      <c r="F114" s="19">
        <v>1</v>
      </c>
      <c r="G114" s="25">
        <v>0</v>
      </c>
      <c r="H114" s="19">
        <f>F114*AE114</f>
        <v>0</v>
      </c>
      <c r="I114" s="19">
        <f>J114-H114</f>
        <v>0</v>
      </c>
      <c r="J114" s="19">
        <f>F114*G114</f>
        <v>0</v>
      </c>
      <c r="K114" s="19">
        <v>0</v>
      </c>
      <c r="L114" s="19">
        <f>F114*K114</f>
        <v>0</v>
      </c>
      <c r="M114" s="37" t="s">
        <v>293</v>
      </c>
      <c r="P114" s="42">
        <f>IF(AG114="5",J114,0)</f>
        <v>0</v>
      </c>
      <c r="R114" s="42">
        <f>IF(AG114="1",H114,0)</f>
        <v>0</v>
      </c>
      <c r="S114" s="42">
        <f>IF(AG114="1",I114,0)</f>
        <v>0</v>
      </c>
      <c r="T114" s="42">
        <f>IF(AG114="7",H114,0)</f>
        <v>0</v>
      </c>
      <c r="U114" s="42">
        <f>IF(AG114="7",I114,0)</f>
        <v>0</v>
      </c>
      <c r="V114" s="42">
        <f>IF(AG114="2",H114,0)</f>
        <v>0</v>
      </c>
      <c r="W114" s="42">
        <f>IF(AG114="2",I114,0)</f>
        <v>0</v>
      </c>
      <c r="X114" s="42">
        <f>IF(AG114="0",J114,0)</f>
        <v>0</v>
      </c>
      <c r="Y114" s="34"/>
      <c r="Z114" s="19">
        <f>IF(AD114=0,J114,0)</f>
        <v>0</v>
      </c>
      <c r="AA114" s="19">
        <f>IF(AD114=15,J114,0)</f>
        <v>0</v>
      </c>
      <c r="AB114" s="19">
        <f>IF(AD114=21,J114,0)</f>
        <v>0</v>
      </c>
      <c r="AD114" s="42">
        <v>21</v>
      </c>
      <c r="AE114" s="42">
        <f>G114*0</f>
        <v>0</v>
      </c>
      <c r="AF114" s="42">
        <f>G114*(1-0)</f>
        <v>0</v>
      </c>
      <c r="AG114" s="37" t="s">
        <v>7</v>
      </c>
      <c r="AM114" s="42">
        <f>F114*AE114</f>
        <v>0</v>
      </c>
      <c r="AN114" s="42">
        <f>F114*AF114</f>
        <v>0</v>
      </c>
      <c r="AO114" s="43" t="s">
        <v>316</v>
      </c>
      <c r="AP114" s="43" t="s">
        <v>327</v>
      </c>
      <c r="AQ114" s="34" t="s">
        <v>328</v>
      </c>
      <c r="AS114" s="42">
        <f>AM114+AN114</f>
        <v>0</v>
      </c>
      <c r="AT114" s="42">
        <f>G114/(100-AU114)*100</f>
        <v>0</v>
      </c>
      <c r="AU114" s="42">
        <v>0</v>
      </c>
      <c r="AV114" s="42">
        <f>L114</f>
        <v>0</v>
      </c>
    </row>
    <row r="115" spans="4:7" ht="12.75">
      <c r="D115" s="16" t="s">
        <v>184</v>
      </c>
      <c r="G115" s="26"/>
    </row>
    <row r="116" spans="1:48" ht="12.75">
      <c r="A116" s="4" t="s">
        <v>65</v>
      </c>
      <c r="B116" s="4"/>
      <c r="C116" s="4" t="s">
        <v>147</v>
      </c>
      <c r="D116" s="4" t="s">
        <v>252</v>
      </c>
      <c r="E116" s="4" t="s">
        <v>273</v>
      </c>
      <c r="F116" s="19">
        <v>256.1495</v>
      </c>
      <c r="G116" s="25">
        <v>0</v>
      </c>
      <c r="H116" s="19">
        <f>F116*AE116</f>
        <v>0</v>
      </c>
      <c r="I116" s="19">
        <f>J116-H116</f>
        <v>0</v>
      </c>
      <c r="J116" s="19">
        <f>F116*G116</f>
        <v>0</v>
      </c>
      <c r="K116" s="19">
        <v>0.01</v>
      </c>
      <c r="L116" s="19">
        <f>F116*K116</f>
        <v>2.561495</v>
      </c>
      <c r="M116" s="37" t="s">
        <v>293</v>
      </c>
      <c r="P116" s="42">
        <f>IF(AG116="5",J116,0)</f>
        <v>0</v>
      </c>
      <c r="R116" s="42">
        <f>IF(AG116="1",H116,0)</f>
        <v>0</v>
      </c>
      <c r="S116" s="42">
        <f>IF(AG116="1",I116,0)</f>
        <v>0</v>
      </c>
      <c r="T116" s="42">
        <f>IF(AG116="7",H116,0)</f>
        <v>0</v>
      </c>
      <c r="U116" s="42">
        <f>IF(AG116="7",I116,0)</f>
        <v>0</v>
      </c>
      <c r="V116" s="42">
        <f>IF(AG116="2",H116,0)</f>
        <v>0</v>
      </c>
      <c r="W116" s="42">
        <f>IF(AG116="2",I116,0)</f>
        <v>0</v>
      </c>
      <c r="X116" s="42">
        <f>IF(AG116="0",J116,0)</f>
        <v>0</v>
      </c>
      <c r="Y116" s="34"/>
      <c r="Z116" s="19">
        <f>IF(AD116=0,J116,0)</f>
        <v>0</v>
      </c>
      <c r="AA116" s="19">
        <f>IF(AD116=15,J116,0)</f>
        <v>0</v>
      </c>
      <c r="AB116" s="19">
        <f>IF(AD116=21,J116,0)</f>
        <v>0</v>
      </c>
      <c r="AD116" s="42">
        <v>21</v>
      </c>
      <c r="AE116" s="42">
        <f>G116*0</f>
        <v>0</v>
      </c>
      <c r="AF116" s="42">
        <f>G116*(1-0)</f>
        <v>0</v>
      </c>
      <c r="AG116" s="37" t="s">
        <v>7</v>
      </c>
      <c r="AM116" s="42">
        <f>F116*AE116</f>
        <v>0</v>
      </c>
      <c r="AN116" s="42">
        <f>F116*AF116</f>
        <v>0</v>
      </c>
      <c r="AO116" s="43" t="s">
        <v>316</v>
      </c>
      <c r="AP116" s="43" t="s">
        <v>327</v>
      </c>
      <c r="AQ116" s="34" t="s">
        <v>328</v>
      </c>
      <c r="AS116" s="42">
        <f>AM116+AN116</f>
        <v>0</v>
      </c>
      <c r="AT116" s="42">
        <f>G116/(100-AU116)*100</f>
        <v>0</v>
      </c>
      <c r="AU116" s="42">
        <v>0</v>
      </c>
      <c r="AV116" s="42">
        <f>L116</f>
        <v>2.561495</v>
      </c>
    </row>
    <row r="117" spans="1:48" ht="12.75">
      <c r="A117" s="4" t="s">
        <v>66</v>
      </c>
      <c r="B117" s="4"/>
      <c r="C117" s="4" t="s">
        <v>148</v>
      </c>
      <c r="D117" s="4" t="s">
        <v>253</v>
      </c>
      <c r="E117" s="4" t="s">
        <v>272</v>
      </c>
      <c r="F117" s="19">
        <v>2.5615</v>
      </c>
      <c r="G117" s="25">
        <v>0</v>
      </c>
      <c r="H117" s="19">
        <f>F117*AE117</f>
        <v>0</v>
      </c>
      <c r="I117" s="19">
        <f>J117-H117</f>
        <v>0</v>
      </c>
      <c r="J117" s="19">
        <f>F117*G117</f>
        <v>0</v>
      </c>
      <c r="K117" s="19">
        <v>0</v>
      </c>
      <c r="L117" s="19">
        <f>F117*K117</f>
        <v>0</v>
      </c>
      <c r="M117" s="37" t="s">
        <v>293</v>
      </c>
      <c r="P117" s="42">
        <f>IF(AG117="5",J117,0)</f>
        <v>0</v>
      </c>
      <c r="R117" s="42">
        <f>IF(AG117="1",H117,0)</f>
        <v>0</v>
      </c>
      <c r="S117" s="42">
        <f>IF(AG117="1",I117,0)</f>
        <v>0</v>
      </c>
      <c r="T117" s="42">
        <f>IF(AG117="7",H117,0)</f>
        <v>0</v>
      </c>
      <c r="U117" s="42">
        <f>IF(AG117="7",I117,0)</f>
        <v>0</v>
      </c>
      <c r="V117" s="42">
        <f>IF(AG117="2",H117,0)</f>
        <v>0</v>
      </c>
      <c r="W117" s="42">
        <f>IF(AG117="2",I117,0)</f>
        <v>0</v>
      </c>
      <c r="X117" s="42">
        <f>IF(AG117="0",J117,0)</f>
        <v>0</v>
      </c>
      <c r="Y117" s="34"/>
      <c r="Z117" s="19">
        <f>IF(AD117=0,J117,0)</f>
        <v>0</v>
      </c>
      <c r="AA117" s="19">
        <f>IF(AD117=15,J117,0)</f>
        <v>0</v>
      </c>
      <c r="AB117" s="19">
        <f>IF(AD117=21,J117,0)</f>
        <v>0</v>
      </c>
      <c r="AD117" s="42">
        <v>21</v>
      </c>
      <c r="AE117" s="42">
        <f>G117*0</f>
        <v>0</v>
      </c>
      <c r="AF117" s="42">
        <f>G117*(1-0)</f>
        <v>0</v>
      </c>
      <c r="AG117" s="37" t="s">
        <v>11</v>
      </c>
      <c r="AM117" s="42">
        <f>F117*AE117</f>
        <v>0</v>
      </c>
      <c r="AN117" s="42">
        <f>F117*AF117</f>
        <v>0</v>
      </c>
      <c r="AO117" s="43" t="s">
        <v>316</v>
      </c>
      <c r="AP117" s="43" t="s">
        <v>327</v>
      </c>
      <c r="AQ117" s="34" t="s">
        <v>328</v>
      </c>
      <c r="AS117" s="42">
        <f>AM117+AN117</f>
        <v>0</v>
      </c>
      <c r="AT117" s="42">
        <f>G117/(100-AU117)*100</f>
        <v>0</v>
      </c>
      <c r="AU117" s="42">
        <v>0</v>
      </c>
      <c r="AV117" s="42">
        <f>L117</f>
        <v>0</v>
      </c>
    </row>
    <row r="118" spans="1:48" ht="12.75">
      <c r="A118" s="4" t="s">
        <v>67</v>
      </c>
      <c r="B118" s="4"/>
      <c r="C118" s="4" t="s">
        <v>149</v>
      </c>
      <c r="D118" s="4" t="s">
        <v>254</v>
      </c>
      <c r="E118" s="4" t="s">
        <v>272</v>
      </c>
      <c r="F118" s="19">
        <v>2.5615</v>
      </c>
      <c r="G118" s="25">
        <v>0</v>
      </c>
      <c r="H118" s="19">
        <f>F118*AE118</f>
        <v>0</v>
      </c>
      <c r="I118" s="19">
        <f>J118-H118</f>
        <v>0</v>
      </c>
      <c r="J118" s="19">
        <f>F118*G118</f>
        <v>0</v>
      </c>
      <c r="K118" s="19">
        <v>0</v>
      </c>
      <c r="L118" s="19">
        <f>F118*K118</f>
        <v>0</v>
      </c>
      <c r="M118" s="37" t="s">
        <v>293</v>
      </c>
      <c r="P118" s="42">
        <f>IF(AG118="5",J118,0)</f>
        <v>0</v>
      </c>
      <c r="R118" s="42">
        <f>IF(AG118="1",H118,0)</f>
        <v>0</v>
      </c>
      <c r="S118" s="42">
        <f>IF(AG118="1",I118,0)</f>
        <v>0</v>
      </c>
      <c r="T118" s="42">
        <f>IF(AG118="7",H118,0)</f>
        <v>0</v>
      </c>
      <c r="U118" s="42">
        <f>IF(AG118="7",I118,0)</f>
        <v>0</v>
      </c>
      <c r="V118" s="42">
        <f>IF(AG118="2",H118,0)</f>
        <v>0</v>
      </c>
      <c r="W118" s="42">
        <f>IF(AG118="2",I118,0)</f>
        <v>0</v>
      </c>
      <c r="X118" s="42">
        <f>IF(AG118="0",J118,0)</f>
        <v>0</v>
      </c>
      <c r="Y118" s="34"/>
      <c r="Z118" s="19">
        <f>IF(AD118=0,J118,0)</f>
        <v>0</v>
      </c>
      <c r="AA118" s="19">
        <f>IF(AD118=15,J118,0)</f>
        <v>0</v>
      </c>
      <c r="AB118" s="19">
        <f>IF(AD118=21,J118,0)</f>
        <v>0</v>
      </c>
      <c r="AD118" s="42">
        <v>21</v>
      </c>
      <c r="AE118" s="42">
        <f>G118*0</f>
        <v>0</v>
      </c>
      <c r="AF118" s="42">
        <f>G118*(1-0)</f>
        <v>0</v>
      </c>
      <c r="AG118" s="37" t="s">
        <v>11</v>
      </c>
      <c r="AM118" s="42">
        <f>F118*AE118</f>
        <v>0</v>
      </c>
      <c r="AN118" s="42">
        <f>F118*AF118</f>
        <v>0</v>
      </c>
      <c r="AO118" s="43" t="s">
        <v>316</v>
      </c>
      <c r="AP118" s="43" t="s">
        <v>327</v>
      </c>
      <c r="AQ118" s="34" t="s">
        <v>328</v>
      </c>
      <c r="AS118" s="42">
        <f>AM118+AN118</f>
        <v>0</v>
      </c>
      <c r="AT118" s="42">
        <f>G118/(100-AU118)*100</f>
        <v>0</v>
      </c>
      <c r="AU118" s="42">
        <v>0</v>
      </c>
      <c r="AV118" s="42">
        <f>L118</f>
        <v>0</v>
      </c>
    </row>
    <row r="119" spans="1:37" ht="12.75">
      <c r="A119" s="5"/>
      <c r="B119" s="13"/>
      <c r="C119" s="13" t="s">
        <v>150</v>
      </c>
      <c r="D119" s="13" t="s">
        <v>255</v>
      </c>
      <c r="E119" s="5" t="s">
        <v>6</v>
      </c>
      <c r="F119" s="5" t="s">
        <v>6</v>
      </c>
      <c r="G119" s="27" t="s">
        <v>6</v>
      </c>
      <c r="H119" s="45">
        <f>SUM(H120:H120)</f>
        <v>0</v>
      </c>
      <c r="I119" s="45">
        <f>SUM(I120:I120)</f>
        <v>0</v>
      </c>
      <c r="J119" s="45">
        <f>H119+I119</f>
        <v>0</v>
      </c>
      <c r="K119" s="34"/>
      <c r="L119" s="45">
        <f>SUM(L120:L120)</f>
        <v>0</v>
      </c>
      <c r="M119" s="34"/>
      <c r="Y119" s="34"/>
      <c r="AI119" s="45">
        <f>SUM(Z120:Z120)</f>
        <v>0</v>
      </c>
      <c r="AJ119" s="45">
        <f>SUM(AA120:AA120)</f>
        <v>0</v>
      </c>
      <c r="AK119" s="45">
        <f>SUM(AB120:AB120)</f>
        <v>0</v>
      </c>
    </row>
    <row r="120" spans="1:48" ht="12.75">
      <c r="A120" s="4" t="s">
        <v>68</v>
      </c>
      <c r="B120" s="4"/>
      <c r="C120" s="4" t="s">
        <v>151</v>
      </c>
      <c r="D120" s="4" t="s">
        <v>256</v>
      </c>
      <c r="E120" s="4" t="s">
        <v>272</v>
      </c>
      <c r="F120" s="19">
        <v>5.74208</v>
      </c>
      <c r="G120" s="25">
        <v>0</v>
      </c>
      <c r="H120" s="19">
        <f>F120*AE120</f>
        <v>0</v>
      </c>
      <c r="I120" s="19">
        <f>J120-H120</f>
        <v>0</v>
      </c>
      <c r="J120" s="19">
        <f>F120*G120</f>
        <v>0</v>
      </c>
      <c r="K120" s="19">
        <v>0</v>
      </c>
      <c r="L120" s="19">
        <f>F120*K120</f>
        <v>0</v>
      </c>
      <c r="M120" s="37" t="s">
        <v>293</v>
      </c>
      <c r="P120" s="42">
        <f>IF(AG120="5",J120,0)</f>
        <v>0</v>
      </c>
      <c r="R120" s="42">
        <f>IF(AG120="1",H120,0)</f>
        <v>0</v>
      </c>
      <c r="S120" s="42">
        <f>IF(AG120="1",I120,0)</f>
        <v>0</v>
      </c>
      <c r="T120" s="42">
        <f>IF(AG120="7",H120,0)</f>
        <v>0</v>
      </c>
      <c r="U120" s="42">
        <f>IF(AG120="7",I120,0)</f>
        <v>0</v>
      </c>
      <c r="V120" s="42">
        <f>IF(AG120="2",H120,0)</f>
        <v>0</v>
      </c>
      <c r="W120" s="42">
        <f>IF(AG120="2",I120,0)</f>
        <v>0</v>
      </c>
      <c r="X120" s="42">
        <f>IF(AG120="0",J120,0)</f>
        <v>0</v>
      </c>
      <c r="Y120" s="34"/>
      <c r="Z120" s="19">
        <f>IF(AD120=0,J120,0)</f>
        <v>0</v>
      </c>
      <c r="AA120" s="19">
        <f>IF(AD120=15,J120,0)</f>
        <v>0</v>
      </c>
      <c r="AB120" s="19">
        <f>IF(AD120=21,J120,0)</f>
        <v>0</v>
      </c>
      <c r="AD120" s="42">
        <v>21</v>
      </c>
      <c r="AE120" s="42">
        <f>G120*0</f>
        <v>0</v>
      </c>
      <c r="AF120" s="42">
        <f>G120*(1-0)</f>
        <v>0</v>
      </c>
      <c r="AG120" s="37" t="s">
        <v>11</v>
      </c>
      <c r="AM120" s="42">
        <f>F120*AE120</f>
        <v>0</v>
      </c>
      <c r="AN120" s="42">
        <f>F120*AF120</f>
        <v>0</v>
      </c>
      <c r="AO120" s="43" t="s">
        <v>317</v>
      </c>
      <c r="AP120" s="43" t="s">
        <v>327</v>
      </c>
      <c r="AQ120" s="34" t="s">
        <v>328</v>
      </c>
      <c r="AS120" s="42">
        <f>AM120+AN120</f>
        <v>0</v>
      </c>
      <c r="AT120" s="42">
        <f>G120/(100-AU120)*100</f>
        <v>0</v>
      </c>
      <c r="AU120" s="42">
        <v>0</v>
      </c>
      <c r="AV120" s="42">
        <f>L120</f>
        <v>0</v>
      </c>
    </row>
    <row r="121" spans="3:13" ht="12.75">
      <c r="C121" s="14" t="s">
        <v>74</v>
      </c>
      <c r="D121" s="116" t="s">
        <v>239</v>
      </c>
      <c r="E121" s="117"/>
      <c r="F121" s="117"/>
      <c r="G121" s="118"/>
      <c r="H121" s="117"/>
      <c r="I121" s="117"/>
      <c r="J121" s="117"/>
      <c r="K121" s="117"/>
      <c r="L121" s="117"/>
      <c r="M121" s="117"/>
    </row>
    <row r="122" spans="1:37" ht="12.75">
      <c r="A122" s="5"/>
      <c r="B122" s="13"/>
      <c r="C122" s="13" t="s">
        <v>152</v>
      </c>
      <c r="D122" s="13" t="s">
        <v>257</v>
      </c>
      <c r="E122" s="5" t="s">
        <v>6</v>
      </c>
      <c r="F122" s="5" t="s">
        <v>6</v>
      </c>
      <c r="G122" s="27" t="s">
        <v>6</v>
      </c>
      <c r="H122" s="45">
        <f>SUM(H123:H123)</f>
        <v>0</v>
      </c>
      <c r="I122" s="45">
        <f>SUM(I123:I123)</f>
        <v>0</v>
      </c>
      <c r="J122" s="45">
        <f>H122+I122</f>
        <v>0</v>
      </c>
      <c r="K122" s="34"/>
      <c r="L122" s="45">
        <f>SUM(L123:L123)</f>
        <v>0.29943</v>
      </c>
      <c r="M122" s="34"/>
      <c r="Y122" s="34"/>
      <c r="AI122" s="45">
        <f>SUM(Z123:Z123)</f>
        <v>0</v>
      </c>
      <c r="AJ122" s="45">
        <f>SUM(AA123:AA123)</f>
        <v>0</v>
      </c>
      <c r="AK122" s="45">
        <f>SUM(AB123:AB123)</f>
        <v>0</v>
      </c>
    </row>
    <row r="123" spans="1:48" ht="12.75">
      <c r="A123" s="4" t="s">
        <v>69</v>
      </c>
      <c r="B123" s="4"/>
      <c r="C123" s="4" t="s">
        <v>153</v>
      </c>
      <c r="D123" s="4" t="s">
        <v>258</v>
      </c>
      <c r="E123" s="4" t="s">
        <v>274</v>
      </c>
      <c r="F123" s="19">
        <v>1</v>
      </c>
      <c r="G123" s="25">
        <v>0</v>
      </c>
      <c r="H123" s="19">
        <f>F123*AE123</f>
        <v>0</v>
      </c>
      <c r="I123" s="19">
        <f>J123-H123</f>
        <v>0</v>
      </c>
      <c r="J123" s="19">
        <f>F123*G123</f>
        <v>0</v>
      </c>
      <c r="K123" s="19">
        <v>0.29943</v>
      </c>
      <c r="L123" s="19">
        <f>F123*K123</f>
        <v>0.29943</v>
      </c>
      <c r="M123" s="37" t="s">
        <v>293</v>
      </c>
      <c r="P123" s="42">
        <f>IF(AG123="5",J123,0)</f>
        <v>0</v>
      </c>
      <c r="R123" s="42">
        <f>IF(AG123="1",H123,0)</f>
        <v>0</v>
      </c>
      <c r="S123" s="42">
        <f>IF(AG123="1",I123,0)</f>
        <v>0</v>
      </c>
      <c r="T123" s="42">
        <f>IF(AG123="7",H123,0)</f>
        <v>0</v>
      </c>
      <c r="U123" s="42">
        <f>IF(AG123="7",I123,0)</f>
        <v>0</v>
      </c>
      <c r="V123" s="42">
        <f>IF(AG123="2",H123,0)</f>
        <v>0</v>
      </c>
      <c r="W123" s="42">
        <f>IF(AG123="2",I123,0)</f>
        <v>0</v>
      </c>
      <c r="X123" s="42">
        <f>IF(AG123="0",J123,0)</f>
        <v>0</v>
      </c>
      <c r="Y123" s="34"/>
      <c r="Z123" s="19">
        <f>IF(AD123=0,J123,0)</f>
        <v>0</v>
      </c>
      <c r="AA123" s="19">
        <f>IF(AD123=15,J123,0)</f>
        <v>0</v>
      </c>
      <c r="AB123" s="19">
        <f>IF(AD123=21,J123,0)</f>
        <v>0</v>
      </c>
      <c r="AD123" s="42">
        <v>21</v>
      </c>
      <c r="AE123" s="42">
        <f>G123*0.212188324306327</f>
        <v>0</v>
      </c>
      <c r="AF123" s="42">
        <f>G123*(1-0.212188324306327)</f>
        <v>0</v>
      </c>
      <c r="AG123" s="37" t="s">
        <v>8</v>
      </c>
      <c r="AM123" s="42">
        <f>F123*AE123</f>
        <v>0</v>
      </c>
      <c r="AN123" s="42">
        <f>F123*AF123</f>
        <v>0</v>
      </c>
      <c r="AO123" s="43" t="s">
        <v>318</v>
      </c>
      <c r="AP123" s="43" t="s">
        <v>327</v>
      </c>
      <c r="AQ123" s="34" t="s">
        <v>328</v>
      </c>
      <c r="AS123" s="42">
        <f>AM123+AN123</f>
        <v>0</v>
      </c>
      <c r="AT123" s="42">
        <f>G123/(100-AU123)*100</f>
        <v>0</v>
      </c>
      <c r="AU123" s="42">
        <v>0</v>
      </c>
      <c r="AV123" s="42">
        <f>L123</f>
        <v>0.29943</v>
      </c>
    </row>
    <row r="124" spans="3:13" ht="12.75">
      <c r="C124" s="14" t="s">
        <v>74</v>
      </c>
      <c r="D124" s="116" t="s">
        <v>259</v>
      </c>
      <c r="E124" s="117"/>
      <c r="F124" s="117"/>
      <c r="G124" s="118"/>
      <c r="H124" s="117"/>
      <c r="I124" s="117"/>
      <c r="J124" s="117"/>
      <c r="K124" s="117"/>
      <c r="L124" s="117"/>
      <c r="M124" s="117"/>
    </row>
    <row r="125" spans="1:37" ht="12.75">
      <c r="A125" s="5"/>
      <c r="B125" s="13"/>
      <c r="C125" s="13" t="s">
        <v>154</v>
      </c>
      <c r="D125" s="13" t="s">
        <v>260</v>
      </c>
      <c r="E125" s="5" t="s">
        <v>6</v>
      </c>
      <c r="F125" s="5" t="s">
        <v>6</v>
      </c>
      <c r="G125" s="27" t="s">
        <v>6</v>
      </c>
      <c r="H125" s="45">
        <f>SUM(H126:H129)</f>
        <v>0</v>
      </c>
      <c r="I125" s="45">
        <f>SUM(I126:I129)</f>
        <v>0</v>
      </c>
      <c r="J125" s="45">
        <f>H125+I125</f>
        <v>0</v>
      </c>
      <c r="K125" s="34"/>
      <c r="L125" s="45">
        <f>SUM(L126:L129)</f>
        <v>0</v>
      </c>
      <c r="M125" s="34"/>
      <c r="Y125" s="34"/>
      <c r="AI125" s="45">
        <f>SUM(Z126:Z129)</f>
        <v>0</v>
      </c>
      <c r="AJ125" s="45">
        <f>SUM(AA126:AA129)</f>
        <v>0</v>
      </c>
      <c r="AK125" s="45">
        <f>SUM(AB126:AB129)</f>
        <v>0</v>
      </c>
    </row>
    <row r="126" spans="1:48" ht="12.75">
      <c r="A126" s="4" t="s">
        <v>70</v>
      </c>
      <c r="B126" s="4"/>
      <c r="C126" s="4" t="s">
        <v>155</v>
      </c>
      <c r="D126" s="4" t="s">
        <v>261</v>
      </c>
      <c r="E126" s="4" t="s">
        <v>272</v>
      </c>
      <c r="F126" s="19">
        <v>18.46974</v>
      </c>
      <c r="G126" s="25">
        <v>0</v>
      </c>
      <c r="H126" s="19">
        <f>F126*AE126</f>
        <v>0</v>
      </c>
      <c r="I126" s="19">
        <f>J126-H126</f>
        <v>0</v>
      </c>
      <c r="J126" s="19">
        <f>F126*G126</f>
        <v>0</v>
      </c>
      <c r="K126" s="19">
        <v>0</v>
      </c>
      <c r="L126" s="19">
        <f>F126*K126</f>
        <v>0</v>
      </c>
      <c r="M126" s="37" t="s">
        <v>293</v>
      </c>
      <c r="P126" s="42">
        <f>IF(AG126="5",J126,0)</f>
        <v>0</v>
      </c>
      <c r="R126" s="42">
        <f>IF(AG126="1",H126,0)</f>
        <v>0</v>
      </c>
      <c r="S126" s="42">
        <f>IF(AG126="1",I126,0)</f>
        <v>0</v>
      </c>
      <c r="T126" s="42">
        <f>IF(AG126="7",H126,0)</f>
        <v>0</v>
      </c>
      <c r="U126" s="42">
        <f>IF(AG126="7",I126,0)</f>
        <v>0</v>
      </c>
      <c r="V126" s="42">
        <f>IF(AG126="2",H126,0)</f>
        <v>0</v>
      </c>
      <c r="W126" s="42">
        <f>IF(AG126="2",I126,0)</f>
        <v>0</v>
      </c>
      <c r="X126" s="42">
        <f>IF(AG126="0",J126,0)</f>
        <v>0</v>
      </c>
      <c r="Y126" s="34"/>
      <c r="Z126" s="19">
        <f>IF(AD126=0,J126,0)</f>
        <v>0</v>
      </c>
      <c r="AA126" s="19">
        <f>IF(AD126=15,J126,0)</f>
        <v>0</v>
      </c>
      <c r="AB126" s="19">
        <f>IF(AD126=21,J126,0)</f>
        <v>0</v>
      </c>
      <c r="AD126" s="42">
        <v>21</v>
      </c>
      <c r="AE126" s="42">
        <f>G126*0</f>
        <v>0</v>
      </c>
      <c r="AF126" s="42">
        <f>G126*(1-0)</f>
        <v>0</v>
      </c>
      <c r="AG126" s="37" t="s">
        <v>11</v>
      </c>
      <c r="AM126" s="42">
        <f>F126*AE126</f>
        <v>0</v>
      </c>
      <c r="AN126" s="42">
        <f>F126*AF126</f>
        <v>0</v>
      </c>
      <c r="AO126" s="43" t="s">
        <v>319</v>
      </c>
      <c r="AP126" s="43" t="s">
        <v>327</v>
      </c>
      <c r="AQ126" s="34" t="s">
        <v>328</v>
      </c>
      <c r="AS126" s="42">
        <f>AM126+AN126</f>
        <v>0</v>
      </c>
      <c r="AT126" s="42">
        <f>G126/(100-AU126)*100</f>
        <v>0</v>
      </c>
      <c r="AU126" s="42">
        <v>0</v>
      </c>
      <c r="AV126" s="42">
        <f>L126</f>
        <v>0</v>
      </c>
    </row>
    <row r="127" spans="1:48" ht="12.75">
      <c r="A127" s="4" t="s">
        <v>71</v>
      </c>
      <c r="B127" s="4"/>
      <c r="C127" s="4" t="s">
        <v>156</v>
      </c>
      <c r="D127" s="4" t="s">
        <v>262</v>
      </c>
      <c r="E127" s="4" t="s">
        <v>272</v>
      </c>
      <c r="F127" s="19">
        <v>144.19593</v>
      </c>
      <c r="G127" s="25">
        <v>0</v>
      </c>
      <c r="H127" s="19">
        <f>F127*AE127</f>
        <v>0</v>
      </c>
      <c r="I127" s="19">
        <f>J127-H127</f>
        <v>0</v>
      </c>
      <c r="J127" s="19">
        <f>F127*G127</f>
        <v>0</v>
      </c>
      <c r="K127" s="19">
        <v>0</v>
      </c>
      <c r="L127" s="19">
        <f>F127*K127</f>
        <v>0</v>
      </c>
      <c r="M127" s="37" t="s">
        <v>293</v>
      </c>
      <c r="P127" s="42">
        <f>IF(AG127="5",J127,0)</f>
        <v>0</v>
      </c>
      <c r="R127" s="42">
        <f>IF(AG127="1",H127,0)</f>
        <v>0</v>
      </c>
      <c r="S127" s="42">
        <f>IF(AG127="1",I127,0)</f>
        <v>0</v>
      </c>
      <c r="T127" s="42">
        <f>IF(AG127="7",H127,0)</f>
        <v>0</v>
      </c>
      <c r="U127" s="42">
        <f>IF(AG127="7",I127,0)</f>
        <v>0</v>
      </c>
      <c r="V127" s="42">
        <f>IF(AG127="2",H127,0)</f>
        <v>0</v>
      </c>
      <c r="W127" s="42">
        <f>IF(AG127="2",I127,0)</f>
        <v>0</v>
      </c>
      <c r="X127" s="42">
        <f>IF(AG127="0",J127,0)</f>
        <v>0</v>
      </c>
      <c r="Y127" s="34"/>
      <c r="Z127" s="19">
        <f>IF(AD127=0,J127,0)</f>
        <v>0</v>
      </c>
      <c r="AA127" s="19">
        <f>IF(AD127=15,J127,0)</f>
        <v>0</v>
      </c>
      <c r="AB127" s="19">
        <f>IF(AD127=21,J127,0)</f>
        <v>0</v>
      </c>
      <c r="AD127" s="42">
        <v>21</v>
      </c>
      <c r="AE127" s="42">
        <f>G127*0</f>
        <v>0</v>
      </c>
      <c r="AF127" s="42">
        <f>G127*(1-0)</f>
        <v>0</v>
      </c>
      <c r="AG127" s="37" t="s">
        <v>11</v>
      </c>
      <c r="AM127" s="42">
        <f>F127*AE127</f>
        <v>0</v>
      </c>
      <c r="AN127" s="42">
        <f>F127*AF127</f>
        <v>0</v>
      </c>
      <c r="AO127" s="43" t="s">
        <v>319</v>
      </c>
      <c r="AP127" s="43" t="s">
        <v>327</v>
      </c>
      <c r="AQ127" s="34" t="s">
        <v>328</v>
      </c>
      <c r="AS127" s="42">
        <f>AM127+AN127</f>
        <v>0</v>
      </c>
      <c r="AT127" s="42">
        <f>G127/(100-AU127)*100</f>
        <v>0</v>
      </c>
      <c r="AU127" s="42">
        <v>0</v>
      </c>
      <c r="AV127" s="42">
        <f>L127</f>
        <v>0</v>
      </c>
    </row>
    <row r="128" spans="1:48" ht="12.75">
      <c r="A128" s="4" t="s">
        <v>72</v>
      </c>
      <c r="B128" s="4"/>
      <c r="C128" s="4" t="s">
        <v>157</v>
      </c>
      <c r="D128" s="4" t="s">
        <v>263</v>
      </c>
      <c r="E128" s="4" t="s">
        <v>272</v>
      </c>
      <c r="F128" s="19">
        <v>17.7918</v>
      </c>
      <c r="G128" s="25">
        <v>0</v>
      </c>
      <c r="H128" s="19">
        <f>F128*AE128</f>
        <v>0</v>
      </c>
      <c r="I128" s="19">
        <f>J128-H128</f>
        <v>0</v>
      </c>
      <c r="J128" s="19">
        <f>F128*G128</f>
        <v>0</v>
      </c>
      <c r="K128" s="19">
        <v>0</v>
      </c>
      <c r="L128" s="19">
        <f>F128*K128</f>
        <v>0</v>
      </c>
      <c r="M128" s="37" t="s">
        <v>293</v>
      </c>
      <c r="P128" s="42">
        <f>IF(AG128="5",J128,0)</f>
        <v>0</v>
      </c>
      <c r="R128" s="42">
        <f>IF(AG128="1",H128,0)</f>
        <v>0</v>
      </c>
      <c r="S128" s="42">
        <f>IF(AG128="1",I128,0)</f>
        <v>0</v>
      </c>
      <c r="T128" s="42">
        <f>IF(AG128="7",H128,0)</f>
        <v>0</v>
      </c>
      <c r="U128" s="42">
        <f>IF(AG128="7",I128,0)</f>
        <v>0</v>
      </c>
      <c r="V128" s="42">
        <f>IF(AG128="2",H128,0)</f>
        <v>0</v>
      </c>
      <c r="W128" s="42">
        <f>IF(AG128="2",I128,0)</f>
        <v>0</v>
      </c>
      <c r="X128" s="42">
        <f>IF(AG128="0",J128,0)</f>
        <v>0</v>
      </c>
      <c r="Y128" s="34"/>
      <c r="Z128" s="19">
        <f>IF(AD128=0,J128,0)</f>
        <v>0</v>
      </c>
      <c r="AA128" s="19">
        <f>IF(AD128=15,J128,0)</f>
        <v>0</v>
      </c>
      <c r="AB128" s="19">
        <f>IF(AD128=21,J128,0)</f>
        <v>0</v>
      </c>
      <c r="AD128" s="42">
        <v>21</v>
      </c>
      <c r="AE128" s="42">
        <f>G128*0</f>
        <v>0</v>
      </c>
      <c r="AF128" s="42">
        <f>G128*(1-0)</f>
        <v>0</v>
      </c>
      <c r="AG128" s="37" t="s">
        <v>11</v>
      </c>
      <c r="AM128" s="42">
        <f>F128*AE128</f>
        <v>0</v>
      </c>
      <c r="AN128" s="42">
        <f>F128*AF128</f>
        <v>0</v>
      </c>
      <c r="AO128" s="43" t="s">
        <v>319</v>
      </c>
      <c r="AP128" s="43" t="s">
        <v>327</v>
      </c>
      <c r="AQ128" s="34" t="s">
        <v>328</v>
      </c>
      <c r="AS128" s="42">
        <f>AM128+AN128</f>
        <v>0</v>
      </c>
      <c r="AT128" s="42">
        <f>G128/(100-AU128)*100</f>
        <v>0</v>
      </c>
      <c r="AU128" s="42">
        <v>0</v>
      </c>
      <c r="AV128" s="42">
        <f>L128</f>
        <v>0</v>
      </c>
    </row>
    <row r="129" spans="1:48" ht="12.75">
      <c r="A129" s="7" t="s">
        <v>73</v>
      </c>
      <c r="B129" s="7"/>
      <c r="C129" s="7" t="s">
        <v>158</v>
      </c>
      <c r="D129" s="7" t="s">
        <v>264</v>
      </c>
      <c r="E129" s="7" t="s">
        <v>272</v>
      </c>
      <c r="F129" s="21">
        <v>180.45747</v>
      </c>
      <c r="G129" s="29">
        <v>0</v>
      </c>
      <c r="H129" s="21">
        <f>F129*AE129</f>
        <v>0</v>
      </c>
      <c r="I129" s="21">
        <f>J129-H129</f>
        <v>0</v>
      </c>
      <c r="J129" s="21">
        <f>F129*G129</f>
        <v>0</v>
      </c>
      <c r="K129" s="21">
        <v>0</v>
      </c>
      <c r="L129" s="21">
        <f>F129*K129</f>
        <v>0</v>
      </c>
      <c r="M129" s="39" t="s">
        <v>293</v>
      </c>
      <c r="P129" s="42">
        <f>IF(AG129="5",J129,0)</f>
        <v>0</v>
      </c>
      <c r="R129" s="42">
        <f>IF(AG129="1",H129,0)</f>
        <v>0</v>
      </c>
      <c r="S129" s="42">
        <f>IF(AG129="1",I129,0)</f>
        <v>0</v>
      </c>
      <c r="T129" s="42">
        <f>IF(AG129="7",H129,0)</f>
        <v>0</v>
      </c>
      <c r="U129" s="42">
        <f>IF(AG129="7",I129,0)</f>
        <v>0</v>
      </c>
      <c r="V129" s="42">
        <f>IF(AG129="2",H129,0)</f>
        <v>0</v>
      </c>
      <c r="W129" s="42">
        <f>IF(AG129="2",I129,0)</f>
        <v>0</v>
      </c>
      <c r="X129" s="42">
        <f>IF(AG129="0",J129,0)</f>
        <v>0</v>
      </c>
      <c r="Y129" s="34"/>
      <c r="Z129" s="19">
        <f>IF(AD129=0,J129,0)</f>
        <v>0</v>
      </c>
      <c r="AA129" s="19">
        <f>IF(AD129=15,J129,0)</f>
        <v>0</v>
      </c>
      <c r="AB129" s="19">
        <f>IF(AD129=21,J129,0)</f>
        <v>0</v>
      </c>
      <c r="AD129" s="42">
        <v>21</v>
      </c>
      <c r="AE129" s="42">
        <f>G129*0</f>
        <v>0</v>
      </c>
      <c r="AF129" s="42">
        <f>G129*(1-0)</f>
        <v>0</v>
      </c>
      <c r="AG129" s="37" t="s">
        <v>11</v>
      </c>
      <c r="AM129" s="42">
        <f>F129*AE129</f>
        <v>0</v>
      </c>
      <c r="AN129" s="42">
        <f>F129*AF129</f>
        <v>0</v>
      </c>
      <c r="AO129" s="43" t="s">
        <v>319</v>
      </c>
      <c r="AP129" s="43" t="s">
        <v>327</v>
      </c>
      <c r="AQ129" s="34" t="s">
        <v>328</v>
      </c>
      <c r="AS129" s="42">
        <f>AM129+AN129</f>
        <v>0</v>
      </c>
      <c r="AT129" s="42">
        <f>G129/(100-AU129)*100</f>
        <v>0</v>
      </c>
      <c r="AU129" s="42">
        <v>0</v>
      </c>
      <c r="AV129" s="42">
        <f>L129</f>
        <v>0</v>
      </c>
    </row>
    <row r="130" spans="1:13" ht="12.75">
      <c r="A130" s="8"/>
      <c r="B130" s="8"/>
      <c r="C130" s="8"/>
      <c r="D130" s="8"/>
      <c r="E130" s="8"/>
      <c r="F130" s="8"/>
      <c r="G130" s="8"/>
      <c r="H130" s="119" t="s">
        <v>282</v>
      </c>
      <c r="I130" s="120"/>
      <c r="J130" s="46">
        <f>J12+J19+J26+J29+J33+J36+J51+J68+J78+J84+J89+J92+J104+J113+J119+J122+J125</f>
        <v>0</v>
      </c>
      <c r="K130" s="8"/>
      <c r="L130" s="8"/>
      <c r="M130" s="8"/>
    </row>
    <row r="131" ht="11.25" customHeight="1">
      <c r="A131" s="9" t="s">
        <v>74</v>
      </c>
    </row>
    <row r="132" spans="1:13" ht="51" customHeight="1">
      <c r="A132" s="104" t="s">
        <v>75</v>
      </c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</row>
  </sheetData>
  <sheetProtection password="F05E" sheet="1" objects="1" scenarios="1"/>
  <mergeCells count="41">
    <mergeCell ref="D121:M121"/>
    <mergeCell ref="D124:M124"/>
    <mergeCell ref="H130:I130"/>
    <mergeCell ref="A132:M132"/>
    <mergeCell ref="D91:M91"/>
    <mergeCell ref="D94:M94"/>
    <mergeCell ref="D97:M97"/>
    <mergeCell ref="D100:M100"/>
    <mergeCell ref="D103:M103"/>
    <mergeCell ref="D110:M110"/>
    <mergeCell ref="H10:J10"/>
    <mergeCell ref="K10:L10"/>
    <mergeCell ref="D14:M14"/>
    <mergeCell ref="D17:M17"/>
    <mergeCell ref="D48:M48"/>
    <mergeCell ref="D72:M72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G1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0" style="0" hidden="1" customWidth="1"/>
  </cols>
  <sheetData>
    <row r="1" spans="1:7" ht="72.75" customHeight="1">
      <c r="A1" s="88" t="s">
        <v>329</v>
      </c>
      <c r="B1" s="89"/>
      <c r="C1" s="89"/>
      <c r="D1" s="89"/>
      <c r="E1" s="89"/>
      <c r="F1" s="89"/>
      <c r="G1" s="89"/>
    </row>
    <row r="2" spans="1:8" ht="12.75">
      <c r="A2" s="90" t="s">
        <v>1</v>
      </c>
      <c r="B2" s="94" t="str">
        <f>'Stavební rozpočet'!D2</f>
        <v>Gymnázium Brandýs</v>
      </c>
      <c r="C2" s="120"/>
      <c r="D2" s="100" t="s">
        <v>283</v>
      </c>
      <c r="E2" s="100" t="str">
        <f>'Stavební rozpočet'!J2</f>
        <v> </v>
      </c>
      <c r="F2" s="91"/>
      <c r="G2" s="101"/>
      <c r="H2" s="40"/>
    </row>
    <row r="3" spans="1:8" ht="12.75">
      <c r="A3" s="92"/>
      <c r="B3" s="95"/>
      <c r="C3" s="95"/>
      <c r="D3" s="93"/>
      <c r="E3" s="93"/>
      <c r="F3" s="93"/>
      <c r="G3" s="102"/>
      <c r="H3" s="40"/>
    </row>
    <row r="4" spans="1:8" ht="12.75">
      <c r="A4" s="103" t="s">
        <v>2</v>
      </c>
      <c r="B4" s="104" t="str">
        <f>'Stavební rozpočet'!D4</f>
        <v>Rekonstrukce střechy</v>
      </c>
      <c r="C4" s="93"/>
      <c r="D4" s="104" t="s">
        <v>284</v>
      </c>
      <c r="E4" s="104" t="str">
        <f>'Stavební rozpočet'!J4</f>
        <v>CHMELS - projekty a systémy s.r.o.</v>
      </c>
      <c r="F4" s="93"/>
      <c r="G4" s="102"/>
      <c r="H4" s="40"/>
    </row>
    <row r="5" spans="1:8" ht="12.75">
      <c r="A5" s="92"/>
      <c r="B5" s="93"/>
      <c r="C5" s="93"/>
      <c r="D5" s="93"/>
      <c r="E5" s="93"/>
      <c r="F5" s="93"/>
      <c r="G5" s="102"/>
      <c r="H5" s="40"/>
    </row>
    <row r="6" spans="1:8" ht="12.75">
      <c r="A6" s="103" t="s">
        <v>3</v>
      </c>
      <c r="B6" s="104" t="str">
        <f>'Stavební rozpočet'!D6</f>
        <v>Brandýs nad Labem - Stará Boleslav, Královická 668</v>
      </c>
      <c r="C6" s="93"/>
      <c r="D6" s="104" t="s">
        <v>285</v>
      </c>
      <c r="E6" s="104" t="str">
        <f>'Stavební rozpočet'!J6</f>
        <v> </v>
      </c>
      <c r="F6" s="93"/>
      <c r="G6" s="102"/>
      <c r="H6" s="40"/>
    </row>
    <row r="7" spans="1:8" ht="12.75">
      <c r="A7" s="92"/>
      <c r="B7" s="93"/>
      <c r="C7" s="93"/>
      <c r="D7" s="93"/>
      <c r="E7" s="93"/>
      <c r="F7" s="93"/>
      <c r="G7" s="102"/>
      <c r="H7" s="40"/>
    </row>
    <row r="8" spans="1:8" ht="12.75">
      <c r="A8" s="103" t="s">
        <v>286</v>
      </c>
      <c r="B8" s="104" t="str">
        <f>'Stavební rozpočet'!J8</f>
        <v> </v>
      </c>
      <c r="C8" s="93"/>
      <c r="D8" s="105" t="s">
        <v>268</v>
      </c>
      <c r="E8" s="104" t="str">
        <f>'Stavební rozpočet'!G8</f>
        <v>13.06.2017</v>
      </c>
      <c r="F8" s="93"/>
      <c r="G8" s="102"/>
      <c r="H8" s="40"/>
    </row>
    <row r="9" spans="1:8" ht="12.75">
      <c r="A9" s="109"/>
      <c r="B9" s="110"/>
      <c r="C9" s="110"/>
      <c r="D9" s="110"/>
      <c r="E9" s="110"/>
      <c r="F9" s="110"/>
      <c r="G9" s="121"/>
      <c r="H9" s="40"/>
    </row>
    <row r="10" spans="1:8" ht="12.75">
      <c r="A10" s="47" t="s">
        <v>76</v>
      </c>
      <c r="B10" s="49" t="s">
        <v>77</v>
      </c>
      <c r="C10" s="50" t="s">
        <v>330</v>
      </c>
      <c r="D10" s="51" t="s">
        <v>331</v>
      </c>
      <c r="E10" s="51" t="s">
        <v>332</v>
      </c>
      <c r="F10" s="51" t="s">
        <v>333</v>
      </c>
      <c r="G10" s="53" t="s">
        <v>334</v>
      </c>
      <c r="H10" s="41"/>
    </row>
    <row r="11" spans="1:9" ht="12.75">
      <c r="A11" s="48"/>
      <c r="B11" s="48" t="s">
        <v>37</v>
      </c>
      <c r="C11" s="48" t="s">
        <v>164</v>
      </c>
      <c r="D11" s="54">
        <f>'Stavební rozpočet'!H12</f>
        <v>0</v>
      </c>
      <c r="E11" s="54">
        <f>'Stavební rozpočet'!I12</f>
        <v>0</v>
      </c>
      <c r="F11" s="54">
        <f aca="true" t="shared" si="0" ref="F11:F27">D11+E11</f>
        <v>0</v>
      </c>
      <c r="G11" s="54">
        <f>'Stavební rozpočet'!L12</f>
        <v>19.0987723064</v>
      </c>
      <c r="H11" s="42" t="s">
        <v>335</v>
      </c>
      <c r="I11" s="42">
        <f aca="true" t="shared" si="1" ref="I11:I27">IF(H11="F",0,F11)</f>
        <v>0</v>
      </c>
    </row>
    <row r="12" spans="1:9" ht="12.75">
      <c r="A12" s="17"/>
      <c r="B12" s="17" t="s">
        <v>68</v>
      </c>
      <c r="C12" s="17" t="s">
        <v>171</v>
      </c>
      <c r="D12" s="42">
        <f>'Stavební rozpočet'!H19</f>
        <v>0</v>
      </c>
      <c r="E12" s="42">
        <f>'Stavební rozpočet'!I19</f>
        <v>0</v>
      </c>
      <c r="F12" s="42">
        <f t="shared" si="0"/>
        <v>0</v>
      </c>
      <c r="G12" s="42">
        <f>'Stavební rozpočet'!L19</f>
        <v>9.162798519999999</v>
      </c>
      <c r="H12" s="42" t="s">
        <v>335</v>
      </c>
      <c r="I12" s="42">
        <f t="shared" si="1"/>
        <v>0</v>
      </c>
    </row>
    <row r="13" spans="1:9" ht="12.75">
      <c r="A13" s="17"/>
      <c r="B13" s="17" t="s">
        <v>84</v>
      </c>
      <c r="C13" s="17" t="s">
        <v>176</v>
      </c>
      <c r="D13" s="42">
        <f>'Stavební rozpočet'!H26</f>
        <v>0</v>
      </c>
      <c r="E13" s="42">
        <f>'Stavební rozpočet'!I26</f>
        <v>0</v>
      </c>
      <c r="F13" s="42">
        <f t="shared" si="0"/>
        <v>0</v>
      </c>
      <c r="G13" s="42">
        <f>'Stavební rozpočet'!L26</f>
        <v>1.8283105390000003</v>
      </c>
      <c r="H13" s="42" t="s">
        <v>335</v>
      </c>
      <c r="I13" s="42">
        <f t="shared" si="1"/>
        <v>0</v>
      </c>
    </row>
    <row r="14" spans="1:9" ht="12.75">
      <c r="A14" s="17"/>
      <c r="B14" s="17" t="s">
        <v>86</v>
      </c>
      <c r="C14" s="17" t="s">
        <v>178</v>
      </c>
      <c r="D14" s="42">
        <f>'Stavební rozpočet'!H29</f>
        <v>0</v>
      </c>
      <c r="E14" s="42">
        <f>'Stavební rozpočet'!I29</f>
        <v>0</v>
      </c>
      <c r="F14" s="42">
        <f t="shared" si="0"/>
        <v>0</v>
      </c>
      <c r="G14" s="42">
        <f>'Stavební rozpočet'!L29</f>
        <v>0.2096</v>
      </c>
      <c r="H14" s="42" t="s">
        <v>335</v>
      </c>
      <c r="I14" s="42">
        <f t="shared" si="1"/>
        <v>0</v>
      </c>
    </row>
    <row r="15" spans="1:9" ht="12.75">
      <c r="A15" s="17"/>
      <c r="B15" s="17" t="s">
        <v>90</v>
      </c>
      <c r="C15" s="17" t="s">
        <v>182</v>
      </c>
      <c r="D15" s="42">
        <f>'Stavební rozpočet'!H33</f>
        <v>0</v>
      </c>
      <c r="E15" s="42">
        <f>'Stavební rozpočet'!I33</f>
        <v>0</v>
      </c>
      <c r="F15" s="42">
        <f t="shared" si="0"/>
        <v>0</v>
      </c>
      <c r="G15" s="42">
        <f>'Stavební rozpočet'!L33</f>
        <v>0</v>
      </c>
      <c r="H15" s="42" t="s">
        <v>335</v>
      </c>
      <c r="I15" s="42">
        <f t="shared" si="1"/>
        <v>0</v>
      </c>
    </row>
    <row r="16" spans="1:9" ht="12.75">
      <c r="A16" s="17"/>
      <c r="B16" s="17" t="s">
        <v>92</v>
      </c>
      <c r="C16" s="17" t="s">
        <v>185</v>
      </c>
      <c r="D16" s="42">
        <f>'Stavební rozpočet'!H36</f>
        <v>0</v>
      </c>
      <c r="E16" s="42">
        <f>'Stavební rozpočet'!I36</f>
        <v>0</v>
      </c>
      <c r="F16" s="42">
        <f t="shared" si="0"/>
        <v>0</v>
      </c>
      <c r="G16" s="42">
        <f>'Stavební rozpočet'!L36</f>
        <v>39.192519469100006</v>
      </c>
      <c r="H16" s="42" t="s">
        <v>335</v>
      </c>
      <c r="I16" s="42">
        <f t="shared" si="1"/>
        <v>0</v>
      </c>
    </row>
    <row r="17" spans="1:9" ht="12.75">
      <c r="A17" s="17"/>
      <c r="B17" s="17" t="s">
        <v>101</v>
      </c>
      <c r="C17" s="17" t="s">
        <v>198</v>
      </c>
      <c r="D17" s="42">
        <f>'Stavební rozpočet'!H51</f>
        <v>0</v>
      </c>
      <c r="E17" s="42">
        <f>'Stavební rozpočet'!I51</f>
        <v>0</v>
      </c>
      <c r="F17" s="42">
        <f t="shared" si="0"/>
        <v>0</v>
      </c>
      <c r="G17" s="42">
        <f>'Stavební rozpočet'!L51</f>
        <v>10.88382423</v>
      </c>
      <c r="H17" s="42" t="s">
        <v>335</v>
      </c>
      <c r="I17" s="42">
        <f t="shared" si="1"/>
        <v>0</v>
      </c>
    </row>
    <row r="18" spans="1:9" ht="12.75">
      <c r="A18" s="17"/>
      <c r="B18" s="17" t="s">
        <v>111</v>
      </c>
      <c r="C18" s="17" t="s">
        <v>212</v>
      </c>
      <c r="D18" s="42">
        <f>'Stavební rozpočet'!H68</f>
        <v>0</v>
      </c>
      <c r="E18" s="42">
        <f>'Stavební rozpočet'!I68</f>
        <v>0</v>
      </c>
      <c r="F18" s="42">
        <f t="shared" si="0"/>
        <v>0</v>
      </c>
      <c r="G18" s="42">
        <f>'Stavební rozpočet'!L68</f>
        <v>237.73605338800002</v>
      </c>
      <c r="H18" s="42" t="s">
        <v>335</v>
      </c>
      <c r="I18" s="42">
        <f t="shared" si="1"/>
        <v>0</v>
      </c>
    </row>
    <row r="19" spans="1:9" ht="12.75">
      <c r="A19" s="17"/>
      <c r="B19" s="17" t="s">
        <v>119</v>
      </c>
      <c r="C19" s="17" t="s">
        <v>221</v>
      </c>
      <c r="D19" s="42">
        <f>'Stavební rozpočet'!H78</f>
        <v>0</v>
      </c>
      <c r="E19" s="42">
        <f>'Stavební rozpočet'!I78</f>
        <v>0</v>
      </c>
      <c r="F19" s="42">
        <f t="shared" si="0"/>
        <v>0</v>
      </c>
      <c r="G19" s="42">
        <f>'Stavební rozpočet'!L78</f>
        <v>0.14558895</v>
      </c>
      <c r="H19" s="42" t="s">
        <v>335</v>
      </c>
      <c r="I19" s="42">
        <f t="shared" si="1"/>
        <v>0</v>
      </c>
    </row>
    <row r="20" spans="1:9" ht="12.75">
      <c r="A20" s="17"/>
      <c r="B20" s="17" t="s">
        <v>125</v>
      </c>
      <c r="C20" s="17" t="s">
        <v>226</v>
      </c>
      <c r="D20" s="42">
        <f>'Stavební rozpočet'!H84</f>
        <v>0</v>
      </c>
      <c r="E20" s="42">
        <f>'Stavební rozpočet'!I84</f>
        <v>0</v>
      </c>
      <c r="F20" s="42">
        <f t="shared" si="0"/>
        <v>0</v>
      </c>
      <c r="G20" s="42">
        <f>'Stavební rozpočet'!L84</f>
        <v>0.4615515</v>
      </c>
      <c r="H20" s="42" t="s">
        <v>335</v>
      </c>
      <c r="I20" s="42">
        <f t="shared" si="1"/>
        <v>0</v>
      </c>
    </row>
    <row r="21" spans="1:9" ht="12.75">
      <c r="A21" s="17"/>
      <c r="B21" s="17" t="s">
        <v>130</v>
      </c>
      <c r="C21" s="17" t="s">
        <v>231</v>
      </c>
      <c r="D21" s="42">
        <f>'Stavební rozpočet'!H89</f>
        <v>0</v>
      </c>
      <c r="E21" s="42">
        <f>'Stavební rozpočet'!I89</f>
        <v>0</v>
      </c>
      <c r="F21" s="42">
        <f t="shared" si="0"/>
        <v>0</v>
      </c>
      <c r="G21" s="42">
        <f>'Stavební rozpočet'!L89</f>
        <v>0.32200067200000004</v>
      </c>
      <c r="H21" s="42" t="s">
        <v>335</v>
      </c>
      <c r="I21" s="42">
        <f t="shared" si="1"/>
        <v>0</v>
      </c>
    </row>
    <row r="22" spans="1:9" ht="12.75">
      <c r="A22" s="17"/>
      <c r="B22" s="17" t="s">
        <v>132</v>
      </c>
      <c r="C22" s="17" t="s">
        <v>233</v>
      </c>
      <c r="D22" s="42">
        <f>'Stavební rozpočet'!H92</f>
        <v>0</v>
      </c>
      <c r="E22" s="42">
        <f>'Stavební rozpočet'!I92</f>
        <v>0</v>
      </c>
      <c r="F22" s="42">
        <f t="shared" si="0"/>
        <v>0</v>
      </c>
      <c r="G22" s="42">
        <f>'Stavební rozpočet'!L92</f>
        <v>6.5720768</v>
      </c>
      <c r="H22" s="42" t="s">
        <v>335</v>
      </c>
      <c r="I22" s="42">
        <f t="shared" si="1"/>
        <v>0</v>
      </c>
    </row>
    <row r="23" spans="1:9" ht="12.75">
      <c r="A23" s="17"/>
      <c r="B23" s="17" t="s">
        <v>137</v>
      </c>
      <c r="C23" s="17" t="s">
        <v>241</v>
      </c>
      <c r="D23" s="42">
        <f>'Stavební rozpočet'!H104</f>
        <v>0</v>
      </c>
      <c r="E23" s="42">
        <f>'Stavební rozpočet'!I104</f>
        <v>0</v>
      </c>
      <c r="F23" s="42">
        <f t="shared" si="0"/>
        <v>0</v>
      </c>
      <c r="G23" s="42">
        <f>'Stavební rozpočet'!L104</f>
        <v>11.8230684</v>
      </c>
      <c r="H23" s="42" t="s">
        <v>335</v>
      </c>
      <c r="I23" s="42">
        <f t="shared" si="1"/>
        <v>0</v>
      </c>
    </row>
    <row r="24" spans="1:9" ht="12.75">
      <c r="A24" s="17"/>
      <c r="B24" s="17" t="s">
        <v>145</v>
      </c>
      <c r="C24" s="17" t="s">
        <v>250</v>
      </c>
      <c r="D24" s="42">
        <f>'Stavební rozpočet'!H113</f>
        <v>0</v>
      </c>
      <c r="E24" s="42">
        <f>'Stavební rozpočet'!I113</f>
        <v>0</v>
      </c>
      <c r="F24" s="42">
        <f t="shared" si="0"/>
        <v>0</v>
      </c>
      <c r="G24" s="42">
        <f>'Stavební rozpočet'!L113</f>
        <v>2.561495</v>
      </c>
      <c r="H24" s="42" t="s">
        <v>335</v>
      </c>
      <c r="I24" s="42">
        <f t="shared" si="1"/>
        <v>0</v>
      </c>
    </row>
    <row r="25" spans="1:9" ht="12.75">
      <c r="A25" s="17"/>
      <c r="B25" s="17" t="s">
        <v>150</v>
      </c>
      <c r="C25" s="17" t="s">
        <v>255</v>
      </c>
      <c r="D25" s="42">
        <f>'Stavební rozpočet'!H119</f>
        <v>0</v>
      </c>
      <c r="E25" s="42">
        <f>'Stavební rozpočet'!I119</f>
        <v>0</v>
      </c>
      <c r="F25" s="42">
        <f t="shared" si="0"/>
        <v>0</v>
      </c>
      <c r="G25" s="42">
        <f>'Stavební rozpočet'!L119</f>
        <v>0</v>
      </c>
      <c r="H25" s="42" t="s">
        <v>335</v>
      </c>
      <c r="I25" s="42">
        <f t="shared" si="1"/>
        <v>0</v>
      </c>
    </row>
    <row r="26" spans="1:9" ht="12.75">
      <c r="A26" s="17"/>
      <c r="B26" s="17" t="s">
        <v>152</v>
      </c>
      <c r="C26" s="17" t="s">
        <v>257</v>
      </c>
      <c r="D26" s="42">
        <f>'Stavební rozpočet'!H122</f>
        <v>0</v>
      </c>
      <c r="E26" s="42">
        <f>'Stavební rozpočet'!I122</f>
        <v>0</v>
      </c>
      <c r="F26" s="42">
        <f t="shared" si="0"/>
        <v>0</v>
      </c>
      <c r="G26" s="42">
        <f>'Stavební rozpočet'!L122</f>
        <v>0.29943</v>
      </c>
      <c r="H26" s="42" t="s">
        <v>335</v>
      </c>
      <c r="I26" s="42">
        <f t="shared" si="1"/>
        <v>0</v>
      </c>
    </row>
    <row r="27" spans="1:9" ht="12.75">
      <c r="A27" s="17"/>
      <c r="B27" s="17" t="s">
        <v>154</v>
      </c>
      <c r="C27" s="17" t="s">
        <v>260</v>
      </c>
      <c r="D27" s="42">
        <f>'Stavební rozpočet'!H125</f>
        <v>0</v>
      </c>
      <c r="E27" s="42">
        <f>'Stavební rozpočet'!I125</f>
        <v>0</v>
      </c>
      <c r="F27" s="42">
        <f t="shared" si="0"/>
        <v>0</v>
      </c>
      <c r="G27" s="42">
        <f>'Stavební rozpočet'!L125</f>
        <v>0</v>
      </c>
      <c r="H27" s="42" t="s">
        <v>335</v>
      </c>
      <c r="I27" s="42">
        <f t="shared" si="1"/>
        <v>0</v>
      </c>
    </row>
    <row r="29" spans="5:6" ht="12.75">
      <c r="E29" s="52" t="s">
        <v>282</v>
      </c>
      <c r="F29" s="55">
        <f>SUM(I11:I27)</f>
        <v>0</v>
      </c>
    </row>
  </sheetData>
  <sheetProtection sheet="1" objects="1" scenarios="1"/>
  <mergeCells count="17">
    <mergeCell ref="A6:A7"/>
    <mergeCell ref="B6:C7"/>
    <mergeCell ref="D6:D7"/>
    <mergeCell ref="E6:G7"/>
    <mergeCell ref="A8:A9"/>
    <mergeCell ref="B8:C9"/>
    <mergeCell ref="D8:D9"/>
    <mergeCell ref="E8:G9"/>
    <mergeCell ref="A1:G1"/>
    <mergeCell ref="A2:A3"/>
    <mergeCell ref="B2:C3"/>
    <mergeCell ref="D2:D3"/>
    <mergeCell ref="E2:G3"/>
    <mergeCell ref="A4:A5"/>
    <mergeCell ref="B4:C5"/>
    <mergeCell ref="D4:D5"/>
    <mergeCell ref="E4:G5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D213" sqref="D213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52.421875" style="0" customWidth="1"/>
    <col min="5" max="5" width="14.57421875" style="0" customWidth="1"/>
    <col min="6" max="6" width="24.140625" style="0" customWidth="1"/>
    <col min="7" max="7" width="20.421875" style="0" customWidth="1"/>
    <col min="8" max="8" width="16.421875" style="0" customWidth="1"/>
  </cols>
  <sheetData>
    <row r="1" spans="1:8" ht="72.75" customHeight="1">
      <c r="A1" s="88" t="s">
        <v>336</v>
      </c>
      <c r="B1" s="89"/>
      <c r="C1" s="89"/>
      <c r="D1" s="89"/>
      <c r="E1" s="89"/>
      <c r="F1" s="89"/>
      <c r="G1" s="89"/>
      <c r="H1" s="89"/>
    </row>
    <row r="2" spans="1:9" ht="12.75">
      <c r="A2" s="90" t="s">
        <v>1</v>
      </c>
      <c r="B2" s="91"/>
      <c r="C2" s="94" t="str">
        <f>'Stavební rozpočet'!D2</f>
        <v>Gymnázium Brandýs</v>
      </c>
      <c r="D2" s="120"/>
      <c r="E2" s="100" t="s">
        <v>283</v>
      </c>
      <c r="F2" s="100" t="str">
        <f>'Stavební rozpočet'!J2</f>
        <v> </v>
      </c>
      <c r="G2" s="91"/>
      <c r="H2" s="101"/>
      <c r="I2" s="40"/>
    </row>
    <row r="3" spans="1:9" ht="12.75">
      <c r="A3" s="92"/>
      <c r="B3" s="93"/>
      <c r="C3" s="95"/>
      <c r="D3" s="95"/>
      <c r="E3" s="93"/>
      <c r="F3" s="93"/>
      <c r="G3" s="93"/>
      <c r="H3" s="102"/>
      <c r="I3" s="40"/>
    </row>
    <row r="4" spans="1:9" ht="12.75">
      <c r="A4" s="103" t="s">
        <v>2</v>
      </c>
      <c r="B4" s="93"/>
      <c r="C4" s="104" t="str">
        <f>'Stavební rozpočet'!D4</f>
        <v>Rekonstrukce střechy</v>
      </c>
      <c r="D4" s="93"/>
      <c r="E4" s="104" t="s">
        <v>284</v>
      </c>
      <c r="F4" s="104" t="str">
        <f>'Stavební rozpočet'!J4</f>
        <v>CHMELS - projekty a systémy s.r.o.</v>
      </c>
      <c r="G4" s="93"/>
      <c r="H4" s="102"/>
      <c r="I4" s="40"/>
    </row>
    <row r="5" spans="1:9" ht="12.75">
      <c r="A5" s="92"/>
      <c r="B5" s="93"/>
      <c r="C5" s="93"/>
      <c r="D5" s="93"/>
      <c r="E5" s="93"/>
      <c r="F5" s="93"/>
      <c r="G5" s="93"/>
      <c r="H5" s="102"/>
      <c r="I5" s="40"/>
    </row>
    <row r="6" spans="1:9" ht="12.75">
      <c r="A6" s="103" t="s">
        <v>3</v>
      </c>
      <c r="B6" s="93"/>
      <c r="C6" s="104" t="str">
        <f>'Stavební rozpočet'!D6</f>
        <v>Brandýs nad Labem - Stará Boleslav, Královická 668</v>
      </c>
      <c r="D6" s="93"/>
      <c r="E6" s="104" t="s">
        <v>285</v>
      </c>
      <c r="F6" s="104" t="str">
        <f>'Stavební rozpočet'!J6</f>
        <v> </v>
      </c>
      <c r="G6" s="93"/>
      <c r="H6" s="102"/>
      <c r="I6" s="40"/>
    </row>
    <row r="7" spans="1:9" ht="12.75">
      <c r="A7" s="92"/>
      <c r="B7" s="93"/>
      <c r="C7" s="93"/>
      <c r="D7" s="93"/>
      <c r="E7" s="93"/>
      <c r="F7" s="93"/>
      <c r="G7" s="93"/>
      <c r="H7" s="102"/>
      <c r="I7" s="40"/>
    </row>
    <row r="8" spans="1:9" ht="12.75">
      <c r="A8" s="103" t="s">
        <v>286</v>
      </c>
      <c r="B8" s="93"/>
      <c r="C8" s="104" t="str">
        <f>'Stavební rozpočet'!J8</f>
        <v> </v>
      </c>
      <c r="D8" s="93"/>
      <c r="E8" s="104" t="s">
        <v>268</v>
      </c>
      <c r="F8" s="104" t="str">
        <f>'Stavební rozpočet'!G8</f>
        <v>13.06.2017</v>
      </c>
      <c r="G8" s="93"/>
      <c r="H8" s="102"/>
      <c r="I8" s="40"/>
    </row>
    <row r="9" spans="1:9" ht="12.75">
      <c r="A9" s="109"/>
      <c r="B9" s="110"/>
      <c r="C9" s="110"/>
      <c r="D9" s="110"/>
      <c r="E9" s="110"/>
      <c r="F9" s="110"/>
      <c r="G9" s="110"/>
      <c r="H9" s="121"/>
      <c r="I9" s="40"/>
    </row>
    <row r="10" spans="1:9" ht="12.75">
      <c r="A10" s="49" t="s">
        <v>5</v>
      </c>
      <c r="B10" s="50" t="s">
        <v>76</v>
      </c>
      <c r="C10" s="50" t="s">
        <v>77</v>
      </c>
      <c r="D10" s="50" t="s">
        <v>162</v>
      </c>
      <c r="E10" s="50" t="s">
        <v>269</v>
      </c>
      <c r="F10" s="50" t="s">
        <v>163</v>
      </c>
      <c r="G10" s="58" t="s">
        <v>276</v>
      </c>
      <c r="H10" s="47" t="s">
        <v>426</v>
      </c>
      <c r="I10" s="41"/>
    </row>
    <row r="11" spans="1:8" ht="12.75">
      <c r="A11" s="56" t="s">
        <v>7</v>
      </c>
      <c r="B11" s="56"/>
      <c r="C11" s="56" t="s">
        <v>78</v>
      </c>
      <c r="D11" s="56" t="s">
        <v>165</v>
      </c>
      <c r="E11" s="56" t="s">
        <v>270</v>
      </c>
      <c r="F11" s="56" t="s">
        <v>337</v>
      </c>
      <c r="G11" s="59">
        <v>11.8</v>
      </c>
      <c r="H11" s="60" t="s">
        <v>293</v>
      </c>
    </row>
    <row r="12" spans="3:7" ht="12.75" customHeight="1">
      <c r="C12" s="57" t="s">
        <v>74</v>
      </c>
      <c r="D12" s="116" t="s">
        <v>166</v>
      </c>
      <c r="E12" s="117"/>
      <c r="F12" s="117"/>
      <c r="G12" s="117"/>
    </row>
    <row r="13" spans="1:8" ht="12.75">
      <c r="A13" s="4" t="s">
        <v>8</v>
      </c>
      <c r="B13" s="4"/>
      <c r="C13" s="4" t="s">
        <v>79</v>
      </c>
      <c r="D13" s="4" t="s">
        <v>167</v>
      </c>
      <c r="E13" s="4" t="s">
        <v>271</v>
      </c>
      <c r="G13" s="19">
        <v>9.09608</v>
      </c>
      <c r="H13" s="37" t="s">
        <v>293</v>
      </c>
    </row>
    <row r="14" spans="4:7" ht="12.75">
      <c r="D14" s="16" t="s">
        <v>168</v>
      </c>
      <c r="F14" s="4" t="s">
        <v>338</v>
      </c>
      <c r="G14" s="19">
        <v>8.28495</v>
      </c>
    </row>
    <row r="15" spans="1:7" ht="12.75">
      <c r="A15" s="4"/>
      <c r="B15" s="4"/>
      <c r="C15" s="4"/>
      <c r="D15" s="4"/>
      <c r="E15" s="4"/>
      <c r="F15" s="4" t="s">
        <v>339</v>
      </c>
      <c r="G15" s="19">
        <v>0.19294</v>
      </c>
    </row>
    <row r="16" spans="1:7" ht="12.75">
      <c r="A16" s="4"/>
      <c r="B16" s="4"/>
      <c r="C16" s="4"/>
      <c r="D16" s="4"/>
      <c r="E16" s="4"/>
      <c r="F16" s="4" t="s">
        <v>340</v>
      </c>
      <c r="G16" s="19">
        <v>0.28463</v>
      </c>
    </row>
    <row r="17" spans="1:7" ht="12.75">
      <c r="A17" s="4"/>
      <c r="B17" s="4"/>
      <c r="C17" s="4"/>
      <c r="D17" s="4"/>
      <c r="E17" s="4"/>
      <c r="F17" s="4" t="s">
        <v>341</v>
      </c>
      <c r="G17" s="19">
        <v>0.05231</v>
      </c>
    </row>
    <row r="18" spans="1:7" ht="12.75">
      <c r="A18" s="4"/>
      <c r="B18" s="4"/>
      <c r="C18" s="4"/>
      <c r="D18" s="4"/>
      <c r="E18" s="4"/>
      <c r="F18" s="4" t="s">
        <v>342</v>
      </c>
      <c r="G18" s="19">
        <v>0.28125</v>
      </c>
    </row>
    <row r="19" spans="3:7" ht="12.75" customHeight="1">
      <c r="C19" s="57" t="s">
        <v>74</v>
      </c>
      <c r="D19" s="116" t="s">
        <v>169</v>
      </c>
      <c r="E19" s="117"/>
      <c r="F19" s="117"/>
      <c r="G19" s="117"/>
    </row>
    <row r="20" spans="1:8" ht="12.75">
      <c r="A20" s="4" t="s">
        <v>9</v>
      </c>
      <c r="B20" s="4"/>
      <c r="C20" s="4" t="s">
        <v>80</v>
      </c>
      <c r="D20" s="4" t="s">
        <v>170</v>
      </c>
      <c r="E20" s="4" t="s">
        <v>272</v>
      </c>
      <c r="G20" s="19">
        <v>9.1673</v>
      </c>
      <c r="H20" s="37" t="s">
        <v>293</v>
      </c>
    </row>
    <row r="21" spans="1:8" ht="12.75">
      <c r="A21" s="4" t="s">
        <v>10</v>
      </c>
      <c r="B21" s="4"/>
      <c r="C21" s="4" t="s">
        <v>81</v>
      </c>
      <c r="D21" s="4" t="s">
        <v>172</v>
      </c>
      <c r="E21" s="4" t="s">
        <v>273</v>
      </c>
      <c r="G21" s="19">
        <v>256.1495</v>
      </c>
      <c r="H21" s="37" t="s">
        <v>293</v>
      </c>
    </row>
    <row r="22" spans="6:7" ht="12.75">
      <c r="F22" s="4" t="s">
        <v>343</v>
      </c>
      <c r="G22" s="19">
        <v>205.5895</v>
      </c>
    </row>
    <row r="23" spans="1:7" ht="12.75">
      <c r="A23" s="4"/>
      <c r="B23" s="4"/>
      <c r="C23" s="4"/>
      <c r="D23" s="4"/>
      <c r="E23" s="4"/>
      <c r="F23" s="4" t="s">
        <v>344</v>
      </c>
      <c r="G23" s="19">
        <v>5.145</v>
      </c>
    </row>
    <row r="24" spans="1:7" ht="12.75">
      <c r="A24" s="4"/>
      <c r="B24" s="4"/>
      <c r="C24" s="4"/>
      <c r="D24" s="4"/>
      <c r="E24" s="4"/>
      <c r="F24" s="4" t="s">
        <v>345</v>
      </c>
      <c r="G24" s="19">
        <v>8.93</v>
      </c>
    </row>
    <row r="25" spans="1:7" ht="12.75">
      <c r="A25" s="4"/>
      <c r="B25" s="4"/>
      <c r="C25" s="4"/>
      <c r="D25" s="4"/>
      <c r="E25" s="4"/>
      <c r="F25" s="4" t="s">
        <v>346</v>
      </c>
      <c r="G25" s="19">
        <v>7.59</v>
      </c>
    </row>
    <row r="26" spans="1:7" ht="12.75">
      <c r="A26" s="4"/>
      <c r="B26" s="4"/>
      <c r="C26" s="4"/>
      <c r="D26" s="4"/>
      <c r="E26" s="4"/>
      <c r="F26" s="4" t="s">
        <v>347</v>
      </c>
      <c r="G26" s="19">
        <v>1.395</v>
      </c>
    </row>
    <row r="27" spans="1:7" ht="12.75">
      <c r="A27" s="4"/>
      <c r="B27" s="4"/>
      <c r="C27" s="4"/>
      <c r="D27" s="4"/>
      <c r="E27" s="4"/>
      <c r="F27" s="4" t="s">
        <v>348</v>
      </c>
      <c r="G27" s="19">
        <v>7.5</v>
      </c>
    </row>
    <row r="28" spans="1:7" ht="12.75">
      <c r="A28" s="4"/>
      <c r="B28" s="4"/>
      <c r="C28" s="4"/>
      <c r="D28" s="4"/>
      <c r="E28" s="4"/>
      <c r="F28" s="4" t="s">
        <v>349</v>
      </c>
      <c r="G28" s="19">
        <v>20</v>
      </c>
    </row>
    <row r="29" spans="1:8" ht="12.75">
      <c r="A29" s="4" t="s">
        <v>11</v>
      </c>
      <c r="B29" s="4"/>
      <c r="C29" s="4" t="s">
        <v>82</v>
      </c>
      <c r="D29" s="4" t="s">
        <v>173</v>
      </c>
      <c r="E29" s="4" t="s">
        <v>273</v>
      </c>
      <c r="G29" s="19">
        <v>20</v>
      </c>
      <c r="H29" s="37" t="s">
        <v>293</v>
      </c>
    </row>
    <row r="30" spans="4:7" ht="12.75">
      <c r="D30" s="16" t="s">
        <v>174</v>
      </c>
      <c r="F30" s="4" t="s">
        <v>350</v>
      </c>
      <c r="G30" s="19">
        <v>20</v>
      </c>
    </row>
    <row r="31" spans="1:8" ht="12.75">
      <c r="A31" s="4" t="s">
        <v>12</v>
      </c>
      <c r="B31" s="4"/>
      <c r="C31" s="4" t="s">
        <v>83</v>
      </c>
      <c r="D31" s="4" t="s">
        <v>175</v>
      </c>
      <c r="E31" s="4" t="s">
        <v>273</v>
      </c>
      <c r="G31" s="19">
        <v>681.735</v>
      </c>
      <c r="H31" s="37" t="s">
        <v>293</v>
      </c>
    </row>
    <row r="32" spans="4:7" ht="12.75">
      <c r="D32" s="16" t="s">
        <v>174</v>
      </c>
      <c r="F32" s="4" t="s">
        <v>351</v>
      </c>
      <c r="G32" s="19">
        <v>681.735</v>
      </c>
    </row>
    <row r="33" spans="1:8" ht="12.75">
      <c r="A33" s="4" t="s">
        <v>13</v>
      </c>
      <c r="B33" s="4"/>
      <c r="C33" s="4" t="s">
        <v>80</v>
      </c>
      <c r="D33" s="4" t="s">
        <v>170</v>
      </c>
      <c r="E33" s="4" t="s">
        <v>272</v>
      </c>
      <c r="G33" s="19">
        <v>9.1628</v>
      </c>
      <c r="H33" s="37" t="s">
        <v>293</v>
      </c>
    </row>
    <row r="34" spans="1:8" ht="12.75">
      <c r="A34" s="4" t="s">
        <v>14</v>
      </c>
      <c r="B34" s="4"/>
      <c r="C34" s="4" t="s">
        <v>85</v>
      </c>
      <c r="D34" s="4" t="s">
        <v>484</v>
      </c>
      <c r="E34" s="4" t="s">
        <v>273</v>
      </c>
      <c r="G34" s="19">
        <v>279.9863</v>
      </c>
      <c r="H34" s="37" t="s">
        <v>293</v>
      </c>
    </row>
    <row r="35" spans="4:7" ht="12.75">
      <c r="D35" s="16" t="s">
        <v>177</v>
      </c>
      <c r="F35" s="4" t="s">
        <v>352</v>
      </c>
      <c r="G35" s="19">
        <v>279.9863</v>
      </c>
    </row>
    <row r="36" spans="1:8" ht="12.75">
      <c r="A36" s="4" t="s">
        <v>15</v>
      </c>
      <c r="B36" s="4"/>
      <c r="C36" s="4" t="s">
        <v>87</v>
      </c>
      <c r="D36" s="4" t="s">
        <v>179</v>
      </c>
      <c r="E36" s="4" t="s">
        <v>270</v>
      </c>
      <c r="F36" s="4" t="s">
        <v>353</v>
      </c>
      <c r="G36" s="19">
        <v>162.09</v>
      </c>
      <c r="H36" s="37" t="s">
        <v>293</v>
      </c>
    </row>
    <row r="37" spans="1:8" ht="12.75">
      <c r="A37" s="4" t="s">
        <v>16</v>
      </c>
      <c r="B37" s="4"/>
      <c r="C37" s="4" t="s">
        <v>88</v>
      </c>
      <c r="D37" s="4" t="s">
        <v>180</v>
      </c>
      <c r="E37" s="4" t="s">
        <v>270</v>
      </c>
      <c r="G37" s="19">
        <v>160</v>
      </c>
      <c r="H37" s="37" t="s">
        <v>293</v>
      </c>
    </row>
    <row r="38" spans="6:7" ht="12.75">
      <c r="F38" s="4" t="s">
        <v>354</v>
      </c>
      <c r="G38" s="19">
        <v>60</v>
      </c>
    </row>
    <row r="39" spans="1:7" ht="12.75">
      <c r="A39" s="4"/>
      <c r="B39" s="4"/>
      <c r="C39" s="4"/>
      <c r="D39" s="4"/>
      <c r="E39" s="4"/>
      <c r="F39" s="4" t="s">
        <v>355</v>
      </c>
      <c r="G39" s="19">
        <v>100</v>
      </c>
    </row>
    <row r="40" spans="1:8" ht="12.75">
      <c r="A40" s="4" t="s">
        <v>17</v>
      </c>
      <c r="B40" s="4"/>
      <c r="C40" s="4" t="s">
        <v>89</v>
      </c>
      <c r="D40" s="4" t="s">
        <v>181</v>
      </c>
      <c r="E40" s="4" t="s">
        <v>272</v>
      </c>
      <c r="G40" s="19">
        <v>0.2096</v>
      </c>
      <c r="H40" s="37" t="s">
        <v>293</v>
      </c>
    </row>
    <row r="41" spans="1:8" ht="12.75">
      <c r="A41" s="4" t="s">
        <v>18</v>
      </c>
      <c r="B41" s="4"/>
      <c r="C41" s="4" t="s">
        <v>91</v>
      </c>
      <c r="D41" s="4" t="s">
        <v>183</v>
      </c>
      <c r="E41" s="4" t="s">
        <v>274</v>
      </c>
      <c r="G41" s="19">
        <v>1</v>
      </c>
      <c r="H41" s="37" t="s">
        <v>293</v>
      </c>
    </row>
    <row r="42" spans="4:7" ht="12.75">
      <c r="D42" s="16" t="s">
        <v>184</v>
      </c>
      <c r="G42" s="19">
        <v>0</v>
      </c>
    </row>
    <row r="43" spans="1:8" ht="12.75">
      <c r="A43" s="4" t="s">
        <v>19</v>
      </c>
      <c r="B43" s="4"/>
      <c r="C43" s="4" t="s">
        <v>93</v>
      </c>
      <c r="D43" s="4" t="s">
        <v>186</v>
      </c>
      <c r="E43" s="4" t="s">
        <v>273</v>
      </c>
      <c r="G43" s="19">
        <v>2012.5042</v>
      </c>
      <c r="H43" s="37" t="s">
        <v>293</v>
      </c>
    </row>
    <row r="44" spans="4:7" ht="12.75">
      <c r="D44" s="16" t="s">
        <v>187</v>
      </c>
      <c r="F44" s="4" t="s">
        <v>352</v>
      </c>
      <c r="G44" s="19">
        <v>279.9863</v>
      </c>
    </row>
    <row r="45" spans="1:7" ht="12.75">
      <c r="A45" s="4"/>
      <c r="B45" s="4"/>
      <c r="C45" s="4"/>
      <c r="D45" s="4"/>
      <c r="E45" s="4"/>
      <c r="F45" s="4" t="s">
        <v>356</v>
      </c>
      <c r="G45" s="19">
        <v>639.6606</v>
      </c>
    </row>
    <row r="46" spans="1:7" ht="12.75">
      <c r="A46" s="4"/>
      <c r="B46" s="4"/>
      <c r="C46" s="4"/>
      <c r="D46" s="4"/>
      <c r="E46" s="4"/>
      <c r="F46" s="4" t="s">
        <v>357</v>
      </c>
      <c r="G46" s="19">
        <v>17.69</v>
      </c>
    </row>
    <row r="47" spans="1:7" ht="12.75">
      <c r="A47" s="4"/>
      <c r="B47" s="4"/>
      <c r="C47" s="4"/>
      <c r="D47" s="4"/>
      <c r="E47" s="4"/>
      <c r="F47" s="4" t="s">
        <v>358</v>
      </c>
      <c r="G47" s="19">
        <v>275.1051</v>
      </c>
    </row>
    <row r="48" spans="1:7" ht="12.75">
      <c r="A48" s="4"/>
      <c r="B48" s="4"/>
      <c r="C48" s="4"/>
      <c r="D48" s="4"/>
      <c r="E48" s="4"/>
      <c r="F48" s="4" t="s">
        <v>359</v>
      </c>
      <c r="G48" s="19">
        <v>405.0789</v>
      </c>
    </row>
    <row r="49" spans="1:7" ht="12.75">
      <c r="A49" s="4"/>
      <c r="B49" s="4"/>
      <c r="C49" s="4"/>
      <c r="D49" s="4"/>
      <c r="E49" s="4"/>
      <c r="F49" s="4" t="s">
        <v>360</v>
      </c>
      <c r="G49" s="19">
        <v>148.05</v>
      </c>
    </row>
    <row r="50" spans="1:7" ht="12.75">
      <c r="A50" s="4"/>
      <c r="B50" s="4"/>
      <c r="C50" s="4"/>
      <c r="D50" s="4"/>
      <c r="E50" s="4"/>
      <c r="F50" s="4" t="s">
        <v>361</v>
      </c>
      <c r="G50" s="19">
        <v>246.9333</v>
      </c>
    </row>
    <row r="51" spans="1:8" ht="12.75">
      <c r="A51" s="4" t="s">
        <v>20</v>
      </c>
      <c r="B51" s="4"/>
      <c r="C51" s="4" t="s">
        <v>94</v>
      </c>
      <c r="D51" s="4" t="s">
        <v>186</v>
      </c>
      <c r="E51" s="4" t="s">
        <v>273</v>
      </c>
      <c r="G51" s="19">
        <v>434.78498</v>
      </c>
      <c r="H51" s="37" t="s">
        <v>293</v>
      </c>
    </row>
    <row r="52" spans="4:7" ht="12.75">
      <c r="D52" s="16" t="s">
        <v>188</v>
      </c>
      <c r="F52" s="4" t="s">
        <v>362</v>
      </c>
      <c r="G52" s="19">
        <v>313.7712</v>
      </c>
    </row>
    <row r="53" spans="1:7" ht="12.75">
      <c r="A53" s="4"/>
      <c r="B53" s="4"/>
      <c r="C53" s="4"/>
      <c r="D53" s="4"/>
      <c r="E53" s="4"/>
      <c r="F53" s="4" t="s">
        <v>363</v>
      </c>
      <c r="G53" s="19">
        <v>694.6224</v>
      </c>
    </row>
    <row r="54" spans="1:7" ht="12.75">
      <c r="A54" s="4"/>
      <c r="B54" s="4"/>
      <c r="C54" s="4"/>
      <c r="D54" s="4"/>
      <c r="E54" s="4"/>
      <c r="F54" s="4" t="s">
        <v>364</v>
      </c>
      <c r="G54" s="19">
        <v>19.1906</v>
      </c>
    </row>
    <row r="55" spans="1:7" ht="12.75">
      <c r="A55" s="4"/>
      <c r="B55" s="4"/>
      <c r="C55" s="4"/>
      <c r="D55" s="4"/>
      <c r="E55" s="4"/>
      <c r="F55" s="4" t="s">
        <v>365</v>
      </c>
      <c r="G55" s="19">
        <v>294.1683</v>
      </c>
    </row>
    <row r="56" spans="1:7" ht="12.75">
      <c r="A56" s="4"/>
      <c r="B56" s="4"/>
      <c r="C56" s="4"/>
      <c r="D56" s="4"/>
      <c r="E56" s="4"/>
      <c r="F56" s="4" t="s">
        <v>366</v>
      </c>
      <c r="G56" s="19">
        <v>449.4234</v>
      </c>
    </row>
    <row r="57" spans="1:7" ht="12.75">
      <c r="A57" s="4"/>
      <c r="B57" s="4"/>
      <c r="C57" s="4"/>
      <c r="D57" s="4"/>
      <c r="E57" s="4"/>
      <c r="F57" s="4" t="s">
        <v>367</v>
      </c>
      <c r="G57" s="19">
        <v>154.7475</v>
      </c>
    </row>
    <row r="58" spans="1:7" ht="12.75">
      <c r="A58" s="4"/>
      <c r="B58" s="4"/>
      <c r="C58" s="4"/>
      <c r="D58" s="4"/>
      <c r="E58" s="4"/>
      <c r="F58" s="4" t="s">
        <v>368</v>
      </c>
      <c r="G58" s="19">
        <v>273.7092</v>
      </c>
    </row>
    <row r="59" spans="1:7" ht="12.75">
      <c r="A59" s="4"/>
      <c r="B59" s="4"/>
      <c r="C59" s="4"/>
      <c r="D59" s="4"/>
      <c r="E59" s="4"/>
      <c r="F59" s="4" t="s">
        <v>369</v>
      </c>
      <c r="G59" s="19">
        <v>-2012.5042</v>
      </c>
    </row>
    <row r="60" spans="1:7" ht="12.75">
      <c r="A60" s="4"/>
      <c r="B60" s="4"/>
      <c r="C60" s="4"/>
      <c r="D60" s="4"/>
      <c r="E60" s="4"/>
      <c r="F60" s="4" t="s">
        <v>370</v>
      </c>
      <c r="G60" s="19">
        <v>102.26025</v>
      </c>
    </row>
    <row r="61" spans="1:7" ht="12.75">
      <c r="A61" s="4"/>
      <c r="B61" s="4"/>
      <c r="C61" s="4"/>
      <c r="D61" s="4"/>
      <c r="E61" s="4"/>
      <c r="F61" s="4" t="s">
        <v>371</v>
      </c>
      <c r="G61" s="19">
        <v>14.07363</v>
      </c>
    </row>
    <row r="62" spans="1:7" ht="12.75">
      <c r="A62" s="4"/>
      <c r="B62" s="4"/>
      <c r="C62" s="4"/>
      <c r="D62" s="4"/>
      <c r="E62" s="4"/>
      <c r="F62" s="4" t="s">
        <v>372</v>
      </c>
      <c r="G62" s="19">
        <v>8.27557</v>
      </c>
    </row>
    <row r="63" spans="1:7" ht="12.75">
      <c r="A63" s="4"/>
      <c r="B63" s="4"/>
      <c r="C63" s="4"/>
      <c r="D63" s="4"/>
      <c r="E63" s="4"/>
      <c r="F63" s="4" t="s">
        <v>373</v>
      </c>
      <c r="G63" s="19">
        <v>5.358</v>
      </c>
    </row>
    <row r="64" spans="1:7" ht="12.75">
      <c r="A64" s="4"/>
      <c r="B64" s="4"/>
      <c r="C64" s="4"/>
      <c r="D64" s="4"/>
      <c r="E64" s="4"/>
      <c r="F64" s="4" t="s">
        <v>374</v>
      </c>
      <c r="G64" s="19">
        <v>20.76169</v>
      </c>
    </row>
    <row r="65" spans="1:7" ht="12.75">
      <c r="A65" s="4"/>
      <c r="B65" s="4"/>
      <c r="C65" s="4"/>
      <c r="D65" s="4"/>
      <c r="E65" s="4"/>
      <c r="F65" s="4" t="s">
        <v>375</v>
      </c>
      <c r="G65" s="19">
        <v>12.09216</v>
      </c>
    </row>
    <row r="66" spans="1:7" ht="12.75">
      <c r="A66" s="4"/>
      <c r="B66" s="4"/>
      <c r="C66" s="4"/>
      <c r="D66" s="4"/>
      <c r="E66" s="4"/>
      <c r="F66" s="4" t="s">
        <v>376</v>
      </c>
      <c r="G66" s="19">
        <v>17.76036</v>
      </c>
    </row>
    <row r="67" spans="1:7" ht="12.75">
      <c r="A67" s="4"/>
      <c r="B67" s="4"/>
      <c r="C67" s="4"/>
      <c r="D67" s="4"/>
      <c r="E67" s="4"/>
      <c r="F67" s="4" t="s">
        <v>377</v>
      </c>
      <c r="G67" s="19">
        <v>32.09146</v>
      </c>
    </row>
    <row r="68" spans="1:7" ht="12.75">
      <c r="A68" s="4"/>
      <c r="B68" s="4"/>
      <c r="C68" s="4"/>
      <c r="D68" s="4"/>
      <c r="E68" s="4"/>
      <c r="F68" s="4" t="s">
        <v>378</v>
      </c>
      <c r="G68" s="19">
        <v>6.73692</v>
      </c>
    </row>
    <row r="69" spans="1:7" ht="12.75">
      <c r="A69" s="4"/>
      <c r="B69" s="4"/>
      <c r="C69" s="4"/>
      <c r="D69" s="4"/>
      <c r="E69" s="4"/>
      <c r="F69" s="4" t="s">
        <v>379</v>
      </c>
      <c r="G69" s="19">
        <v>13.74539</v>
      </c>
    </row>
    <row r="70" spans="1:7" ht="12.75">
      <c r="A70" s="4"/>
      <c r="B70" s="4"/>
      <c r="C70" s="4"/>
      <c r="D70" s="4"/>
      <c r="E70" s="4"/>
      <c r="F70" s="4" t="s">
        <v>380</v>
      </c>
      <c r="G70" s="19">
        <v>7.60484</v>
      </c>
    </row>
    <row r="71" spans="1:7" ht="12.75">
      <c r="A71" s="4"/>
      <c r="B71" s="4"/>
      <c r="C71" s="4"/>
      <c r="D71" s="4"/>
      <c r="E71" s="4"/>
      <c r="F71" s="4" t="s">
        <v>381</v>
      </c>
      <c r="G71" s="19">
        <v>6.89631</v>
      </c>
    </row>
    <row r="72" spans="1:8" ht="12.75">
      <c r="A72" s="4" t="s">
        <v>21</v>
      </c>
      <c r="B72" s="4"/>
      <c r="C72" s="4" t="s">
        <v>95</v>
      </c>
      <c r="D72" s="4" t="s">
        <v>189</v>
      </c>
      <c r="E72" s="4" t="s">
        <v>273</v>
      </c>
      <c r="G72" s="19">
        <v>2012.5042</v>
      </c>
      <c r="H72" s="37" t="s">
        <v>293</v>
      </c>
    </row>
    <row r="73" spans="4:7" ht="12.75">
      <c r="D73" s="16" t="s">
        <v>190</v>
      </c>
      <c r="F73" s="4" t="s">
        <v>352</v>
      </c>
      <c r="G73" s="19">
        <v>279.9863</v>
      </c>
    </row>
    <row r="74" spans="1:7" ht="12.75">
      <c r="A74" s="4"/>
      <c r="B74" s="4"/>
      <c r="C74" s="4"/>
      <c r="D74" s="4"/>
      <c r="E74" s="4"/>
      <c r="F74" s="4" t="s">
        <v>356</v>
      </c>
      <c r="G74" s="19">
        <v>639.6606</v>
      </c>
    </row>
    <row r="75" spans="1:7" ht="12.75">
      <c r="A75" s="4"/>
      <c r="B75" s="4"/>
      <c r="C75" s="4"/>
      <c r="D75" s="4"/>
      <c r="E75" s="4"/>
      <c r="F75" s="4" t="s">
        <v>357</v>
      </c>
      <c r="G75" s="19">
        <v>17.69</v>
      </c>
    </row>
    <row r="76" spans="1:7" ht="12.75">
      <c r="A76" s="4"/>
      <c r="B76" s="4"/>
      <c r="C76" s="4"/>
      <c r="D76" s="4"/>
      <c r="E76" s="4"/>
      <c r="F76" s="4" t="s">
        <v>358</v>
      </c>
      <c r="G76" s="19">
        <v>275.1051</v>
      </c>
    </row>
    <row r="77" spans="1:7" ht="12.75">
      <c r="A77" s="4"/>
      <c r="B77" s="4"/>
      <c r="C77" s="4"/>
      <c r="D77" s="4"/>
      <c r="E77" s="4"/>
      <c r="F77" s="4" t="s">
        <v>359</v>
      </c>
      <c r="G77" s="19">
        <v>405.0789</v>
      </c>
    </row>
    <row r="78" spans="1:7" ht="12.75">
      <c r="A78" s="4"/>
      <c r="B78" s="4"/>
      <c r="C78" s="4"/>
      <c r="D78" s="4"/>
      <c r="E78" s="4"/>
      <c r="F78" s="4" t="s">
        <v>360</v>
      </c>
      <c r="G78" s="19">
        <v>148.05</v>
      </c>
    </row>
    <row r="79" spans="1:7" ht="12.75">
      <c r="A79" s="4"/>
      <c r="B79" s="4"/>
      <c r="C79" s="4"/>
      <c r="D79" s="4"/>
      <c r="E79" s="4"/>
      <c r="F79" s="4" t="s">
        <v>361</v>
      </c>
      <c r="G79" s="19">
        <v>246.9333</v>
      </c>
    </row>
    <row r="80" spans="1:8" ht="12.75">
      <c r="A80" s="4" t="s">
        <v>22</v>
      </c>
      <c r="B80" s="4"/>
      <c r="C80" s="4" t="s">
        <v>96</v>
      </c>
      <c r="D80" s="4" t="s">
        <v>191</v>
      </c>
      <c r="E80" s="4" t="s">
        <v>273</v>
      </c>
      <c r="G80" s="19">
        <v>2012.5042</v>
      </c>
      <c r="H80" s="37" t="s">
        <v>293</v>
      </c>
    </row>
    <row r="81" spans="4:7" ht="12.75">
      <c r="D81" s="16" t="s">
        <v>190</v>
      </c>
      <c r="F81" s="4" t="s">
        <v>352</v>
      </c>
      <c r="G81" s="19">
        <v>279.9863</v>
      </c>
    </row>
    <row r="82" spans="1:7" ht="12.75">
      <c r="A82" s="4"/>
      <c r="B82" s="4"/>
      <c r="C82" s="4"/>
      <c r="D82" s="4"/>
      <c r="E82" s="4"/>
      <c r="F82" s="4" t="s">
        <v>356</v>
      </c>
      <c r="G82" s="19">
        <v>639.6606</v>
      </c>
    </row>
    <row r="83" spans="1:7" ht="12.75">
      <c r="A83" s="4"/>
      <c r="B83" s="4"/>
      <c r="C83" s="4"/>
      <c r="D83" s="4"/>
      <c r="E83" s="4"/>
      <c r="F83" s="4" t="s">
        <v>357</v>
      </c>
      <c r="G83" s="19">
        <v>17.69</v>
      </c>
    </row>
    <row r="84" spans="1:7" ht="12.75">
      <c r="A84" s="4"/>
      <c r="B84" s="4"/>
      <c r="C84" s="4"/>
      <c r="D84" s="4"/>
      <c r="E84" s="4"/>
      <c r="F84" s="4" t="s">
        <v>358</v>
      </c>
      <c r="G84" s="19">
        <v>275.1051</v>
      </c>
    </row>
    <row r="85" spans="1:7" ht="12.75">
      <c r="A85" s="4"/>
      <c r="B85" s="4"/>
      <c r="C85" s="4"/>
      <c r="D85" s="4"/>
      <c r="E85" s="4"/>
      <c r="F85" s="4" t="s">
        <v>359</v>
      </c>
      <c r="G85" s="19">
        <v>405.0789</v>
      </c>
    </row>
    <row r="86" spans="1:7" ht="12.75">
      <c r="A86" s="4"/>
      <c r="B86" s="4"/>
      <c r="C86" s="4"/>
      <c r="D86" s="4"/>
      <c r="E86" s="4"/>
      <c r="F86" s="4" t="s">
        <v>360</v>
      </c>
      <c r="G86" s="19">
        <v>148.05</v>
      </c>
    </row>
    <row r="87" spans="1:7" ht="12.75">
      <c r="A87" s="4"/>
      <c r="B87" s="4"/>
      <c r="C87" s="4"/>
      <c r="D87" s="4"/>
      <c r="E87" s="4"/>
      <c r="F87" s="4" t="s">
        <v>361</v>
      </c>
      <c r="G87" s="19">
        <v>246.9333</v>
      </c>
    </row>
    <row r="88" spans="1:8" ht="12.75">
      <c r="A88" s="4" t="s">
        <v>23</v>
      </c>
      <c r="B88" s="4"/>
      <c r="C88" s="4" t="s">
        <v>97</v>
      </c>
      <c r="D88" s="4" t="s">
        <v>192</v>
      </c>
      <c r="E88" s="4" t="s">
        <v>273</v>
      </c>
      <c r="G88" s="19">
        <v>434.78498</v>
      </c>
      <c r="H88" s="37" t="s">
        <v>293</v>
      </c>
    </row>
    <row r="89" spans="4:7" ht="12.75">
      <c r="D89" s="16" t="s">
        <v>193</v>
      </c>
      <c r="F89" s="4" t="s">
        <v>382</v>
      </c>
      <c r="G89" s="19">
        <v>187.1284</v>
      </c>
    </row>
    <row r="90" spans="1:7" ht="12.75">
      <c r="A90" s="4"/>
      <c r="B90" s="4"/>
      <c r="C90" s="4"/>
      <c r="D90" s="4"/>
      <c r="E90" s="4"/>
      <c r="F90" s="4" t="s">
        <v>383</v>
      </c>
      <c r="G90" s="19">
        <v>102.26025</v>
      </c>
    </row>
    <row r="91" spans="1:7" ht="12.75">
      <c r="A91" s="4"/>
      <c r="B91" s="4"/>
      <c r="C91" s="4"/>
      <c r="D91" s="4"/>
      <c r="E91" s="4"/>
      <c r="F91" s="4" t="s">
        <v>371</v>
      </c>
      <c r="G91" s="19">
        <v>14.07363</v>
      </c>
    </row>
    <row r="92" spans="1:7" ht="12.75">
      <c r="A92" s="4"/>
      <c r="B92" s="4"/>
      <c r="C92" s="4"/>
      <c r="D92" s="4"/>
      <c r="E92" s="4"/>
      <c r="F92" s="4" t="s">
        <v>372</v>
      </c>
      <c r="G92" s="19">
        <v>8.27557</v>
      </c>
    </row>
    <row r="93" spans="1:7" ht="12.75">
      <c r="A93" s="4"/>
      <c r="B93" s="4"/>
      <c r="C93" s="4"/>
      <c r="D93" s="4"/>
      <c r="E93" s="4"/>
      <c r="F93" s="4" t="s">
        <v>373</v>
      </c>
      <c r="G93" s="19">
        <v>5.358</v>
      </c>
    </row>
    <row r="94" spans="1:7" ht="12.75">
      <c r="A94" s="4"/>
      <c r="B94" s="4"/>
      <c r="C94" s="4"/>
      <c r="D94" s="4"/>
      <c r="E94" s="4"/>
      <c r="F94" s="4" t="s">
        <v>374</v>
      </c>
      <c r="G94" s="19">
        <v>20.76169</v>
      </c>
    </row>
    <row r="95" spans="1:7" ht="12.75">
      <c r="A95" s="4"/>
      <c r="B95" s="4"/>
      <c r="C95" s="4"/>
      <c r="D95" s="4"/>
      <c r="E95" s="4"/>
      <c r="F95" s="4" t="s">
        <v>375</v>
      </c>
      <c r="G95" s="19">
        <v>12.09216</v>
      </c>
    </row>
    <row r="96" spans="1:7" ht="12.75">
      <c r="A96" s="4"/>
      <c r="B96" s="4"/>
      <c r="C96" s="4"/>
      <c r="D96" s="4"/>
      <c r="E96" s="4"/>
      <c r="F96" s="4" t="s">
        <v>376</v>
      </c>
      <c r="G96" s="19">
        <v>17.76036</v>
      </c>
    </row>
    <row r="97" spans="1:7" ht="12.75">
      <c r="A97" s="4"/>
      <c r="B97" s="4"/>
      <c r="C97" s="4"/>
      <c r="D97" s="4"/>
      <c r="E97" s="4"/>
      <c r="F97" s="4" t="s">
        <v>377</v>
      </c>
      <c r="G97" s="19">
        <v>32.09146</v>
      </c>
    </row>
    <row r="98" spans="1:7" ht="12.75">
      <c r="A98" s="4"/>
      <c r="B98" s="4"/>
      <c r="C98" s="4"/>
      <c r="D98" s="4"/>
      <c r="E98" s="4"/>
      <c r="F98" s="4" t="s">
        <v>378</v>
      </c>
      <c r="G98" s="19">
        <v>6.73692</v>
      </c>
    </row>
    <row r="99" spans="1:7" ht="12.75">
      <c r="A99" s="4"/>
      <c r="B99" s="4"/>
      <c r="C99" s="4"/>
      <c r="D99" s="4"/>
      <c r="E99" s="4"/>
      <c r="F99" s="4" t="s">
        <v>379</v>
      </c>
      <c r="G99" s="19">
        <v>13.74539</v>
      </c>
    </row>
    <row r="100" spans="1:7" ht="12.75">
      <c r="A100" s="4"/>
      <c r="B100" s="4"/>
      <c r="C100" s="4"/>
      <c r="D100" s="4"/>
      <c r="E100" s="4"/>
      <c r="F100" s="4" t="s">
        <v>380</v>
      </c>
      <c r="G100" s="19">
        <v>7.60484</v>
      </c>
    </row>
    <row r="101" spans="1:7" ht="12.75">
      <c r="A101" s="4"/>
      <c r="B101" s="4"/>
      <c r="C101" s="4"/>
      <c r="D101" s="4"/>
      <c r="E101" s="4"/>
      <c r="F101" s="4" t="s">
        <v>381</v>
      </c>
      <c r="G101" s="19">
        <v>6.89631</v>
      </c>
    </row>
    <row r="102" spans="1:8" ht="12.75">
      <c r="A102" s="4" t="s">
        <v>24</v>
      </c>
      <c r="B102" s="4"/>
      <c r="C102" s="4" t="s">
        <v>98</v>
      </c>
      <c r="D102" s="4" t="s">
        <v>194</v>
      </c>
      <c r="E102" s="4" t="s">
        <v>270</v>
      </c>
      <c r="F102" s="4" t="s">
        <v>384</v>
      </c>
      <c r="G102" s="19">
        <v>460.275</v>
      </c>
      <c r="H102" s="37" t="s">
        <v>293</v>
      </c>
    </row>
    <row r="103" spans="3:7" ht="25.5" customHeight="1">
      <c r="C103" s="57" t="s">
        <v>74</v>
      </c>
      <c r="D103" s="116" t="s">
        <v>195</v>
      </c>
      <c r="E103" s="117"/>
      <c r="F103" s="117"/>
      <c r="G103" s="117"/>
    </row>
    <row r="104" spans="1:8" ht="12.75">
      <c r="A104" s="4" t="s">
        <v>25</v>
      </c>
      <c r="B104" s="4"/>
      <c r="C104" s="4" t="s">
        <v>99</v>
      </c>
      <c r="D104" s="4" t="s">
        <v>196</v>
      </c>
      <c r="E104" s="4" t="s">
        <v>275</v>
      </c>
      <c r="F104" s="4" t="s">
        <v>385</v>
      </c>
      <c r="G104" s="19">
        <v>3.35417</v>
      </c>
      <c r="H104" s="37" t="s">
        <v>293</v>
      </c>
    </row>
    <row r="105" spans="1:8" ht="12.75">
      <c r="A105" s="4" t="s">
        <v>26</v>
      </c>
      <c r="B105" s="4"/>
      <c r="C105" s="4" t="s">
        <v>100</v>
      </c>
      <c r="D105" s="4" t="s">
        <v>197</v>
      </c>
      <c r="E105" s="4" t="s">
        <v>272</v>
      </c>
      <c r="G105" s="19">
        <v>14.78764</v>
      </c>
      <c r="H105" s="37" t="s">
        <v>293</v>
      </c>
    </row>
    <row r="106" spans="1:8" ht="12.75">
      <c r="A106" s="4" t="s">
        <v>27</v>
      </c>
      <c r="B106" s="4"/>
      <c r="C106" s="4" t="s">
        <v>102</v>
      </c>
      <c r="D106" s="4" t="s">
        <v>199</v>
      </c>
      <c r="E106" s="4" t="s">
        <v>270</v>
      </c>
      <c r="G106" s="19">
        <v>306.85</v>
      </c>
      <c r="H106" s="37" t="s">
        <v>293</v>
      </c>
    </row>
    <row r="107" spans="4:7" ht="12.75">
      <c r="D107" s="16" t="s">
        <v>200</v>
      </c>
      <c r="F107" s="4" t="s">
        <v>386</v>
      </c>
      <c r="G107" s="19">
        <v>306.85</v>
      </c>
    </row>
    <row r="108" spans="1:8" ht="12.75">
      <c r="A108" s="4" t="s">
        <v>28</v>
      </c>
      <c r="B108" s="4"/>
      <c r="C108" s="4" t="s">
        <v>103</v>
      </c>
      <c r="D108" s="4" t="s">
        <v>201</v>
      </c>
      <c r="E108" s="4" t="s">
        <v>270</v>
      </c>
      <c r="G108" s="19">
        <v>187.22</v>
      </c>
      <c r="H108" s="37" t="s">
        <v>293</v>
      </c>
    </row>
    <row r="109" spans="4:7" ht="12.75">
      <c r="D109" s="16" t="s">
        <v>200</v>
      </c>
      <c r="F109" s="4" t="s">
        <v>387</v>
      </c>
      <c r="G109" s="19">
        <v>24.55</v>
      </c>
    </row>
    <row r="110" spans="1:7" ht="12.75">
      <c r="A110" s="4"/>
      <c r="B110" s="4"/>
      <c r="C110" s="4"/>
      <c r="D110" s="4"/>
      <c r="E110" s="4"/>
      <c r="F110" s="4" t="s">
        <v>388</v>
      </c>
      <c r="G110" s="19">
        <v>14.3</v>
      </c>
    </row>
    <row r="111" spans="1:7" ht="12.75">
      <c r="A111" s="4"/>
      <c r="B111" s="4"/>
      <c r="C111" s="4"/>
      <c r="D111" s="4"/>
      <c r="E111" s="4"/>
      <c r="F111" s="4" t="s">
        <v>389</v>
      </c>
      <c r="G111" s="19">
        <v>17.95</v>
      </c>
    </row>
    <row r="112" spans="1:7" ht="12.75">
      <c r="A112" s="4"/>
      <c r="B112" s="4"/>
      <c r="C112" s="4"/>
      <c r="D112" s="4"/>
      <c r="E112" s="4"/>
      <c r="F112" s="4" t="s">
        <v>390</v>
      </c>
      <c r="G112" s="19">
        <v>19.07</v>
      </c>
    </row>
    <row r="113" spans="1:7" ht="12.75">
      <c r="A113" s="4"/>
      <c r="B113" s="4"/>
      <c r="C113" s="4"/>
      <c r="D113" s="4"/>
      <c r="E113" s="4"/>
      <c r="F113" s="4" t="s">
        <v>391</v>
      </c>
      <c r="G113" s="19">
        <v>16.06</v>
      </c>
    </row>
    <row r="114" spans="1:7" ht="12.75">
      <c r="A114" s="4"/>
      <c r="B114" s="4"/>
      <c r="C114" s="4"/>
      <c r="D114" s="4"/>
      <c r="E114" s="4"/>
      <c r="F114" s="4" t="s">
        <v>392</v>
      </c>
      <c r="G114" s="19">
        <v>18.86</v>
      </c>
    </row>
    <row r="115" spans="1:7" ht="12.75">
      <c r="A115" s="4"/>
      <c r="B115" s="4"/>
      <c r="C115" s="4"/>
      <c r="D115" s="4"/>
      <c r="E115" s="4"/>
      <c r="F115" s="4" t="s">
        <v>393</v>
      </c>
      <c r="G115" s="19">
        <v>13.82</v>
      </c>
    </row>
    <row r="116" spans="1:7" ht="12.75">
      <c r="A116" s="4"/>
      <c r="B116" s="4"/>
      <c r="C116" s="4"/>
      <c r="D116" s="4"/>
      <c r="E116" s="4"/>
      <c r="F116" s="4" t="s">
        <v>394</v>
      </c>
      <c r="G116" s="19">
        <v>31.47</v>
      </c>
    </row>
    <row r="117" spans="1:7" ht="12.75">
      <c r="A117" s="4"/>
      <c r="B117" s="4"/>
      <c r="C117" s="4"/>
      <c r="D117" s="4"/>
      <c r="E117" s="4"/>
      <c r="F117" s="4" t="s">
        <v>395</v>
      </c>
      <c r="G117" s="19">
        <v>13.82</v>
      </c>
    </row>
    <row r="118" spans="1:7" ht="12.75">
      <c r="A118" s="4"/>
      <c r="B118" s="4"/>
      <c r="C118" s="4"/>
      <c r="D118" s="4"/>
      <c r="E118" s="4"/>
      <c r="F118" s="4" t="s">
        <v>396</v>
      </c>
      <c r="G118" s="19">
        <v>17.32</v>
      </c>
    </row>
    <row r="119" spans="1:8" ht="12.75">
      <c r="A119" s="4" t="s">
        <v>29</v>
      </c>
      <c r="B119" s="4"/>
      <c r="C119" s="4" t="s">
        <v>104</v>
      </c>
      <c r="D119" s="4" t="s">
        <v>202</v>
      </c>
      <c r="E119" s="4" t="s">
        <v>270</v>
      </c>
      <c r="G119" s="19">
        <v>883.6222</v>
      </c>
      <c r="H119" s="37" t="s">
        <v>293</v>
      </c>
    </row>
    <row r="120" spans="4:7" ht="12.75">
      <c r="D120" s="16" t="s">
        <v>200</v>
      </c>
      <c r="F120" s="4" t="s">
        <v>386</v>
      </c>
      <c r="G120" s="19">
        <v>306.85</v>
      </c>
    </row>
    <row r="121" spans="1:7" ht="12.75">
      <c r="A121" s="4"/>
      <c r="B121" s="4"/>
      <c r="C121" s="4"/>
      <c r="D121" s="4"/>
      <c r="E121" s="4"/>
      <c r="F121" s="4" t="s">
        <v>397</v>
      </c>
      <c r="G121" s="19">
        <v>340.8675</v>
      </c>
    </row>
    <row r="122" spans="1:7" ht="12.75">
      <c r="A122" s="4"/>
      <c r="B122" s="4"/>
      <c r="C122" s="4"/>
      <c r="D122" s="4"/>
      <c r="E122" s="4"/>
      <c r="F122" s="4" t="s">
        <v>398</v>
      </c>
      <c r="G122" s="19">
        <v>14.5089</v>
      </c>
    </row>
    <row r="123" spans="1:7" ht="12.75">
      <c r="A123" s="4"/>
      <c r="B123" s="4"/>
      <c r="C123" s="4"/>
      <c r="D123" s="4"/>
      <c r="E123" s="4"/>
      <c r="F123" s="4" t="s">
        <v>399</v>
      </c>
      <c r="G123" s="19">
        <v>12.3516</v>
      </c>
    </row>
    <row r="124" spans="1:7" ht="12.75">
      <c r="A124" s="4"/>
      <c r="B124" s="4"/>
      <c r="C124" s="4"/>
      <c r="D124" s="4"/>
      <c r="E124" s="4"/>
      <c r="F124" s="4" t="s">
        <v>400</v>
      </c>
      <c r="G124" s="19">
        <v>25.1826</v>
      </c>
    </row>
    <row r="125" spans="1:7" ht="12.75">
      <c r="A125" s="4"/>
      <c r="B125" s="4"/>
      <c r="C125" s="4"/>
      <c r="D125" s="4"/>
      <c r="E125" s="4"/>
      <c r="F125" s="4" t="s">
        <v>401</v>
      </c>
      <c r="G125" s="19">
        <v>21.4038</v>
      </c>
    </row>
    <row r="126" spans="1:7" ht="12.75">
      <c r="A126" s="4"/>
      <c r="B126" s="4"/>
      <c r="C126" s="4"/>
      <c r="D126" s="4"/>
      <c r="E126" s="4"/>
      <c r="F126" s="4" t="s">
        <v>402</v>
      </c>
      <c r="G126" s="19">
        <v>18.048</v>
      </c>
    </row>
    <row r="127" spans="1:7" ht="12.75">
      <c r="A127" s="4"/>
      <c r="B127" s="4"/>
      <c r="C127" s="4"/>
      <c r="D127" s="4"/>
      <c r="E127" s="4"/>
      <c r="F127" s="4" t="s">
        <v>403</v>
      </c>
      <c r="G127" s="19">
        <v>26.508</v>
      </c>
    </row>
    <row r="128" spans="1:7" ht="12.75">
      <c r="A128" s="4"/>
      <c r="B128" s="4"/>
      <c r="C128" s="4"/>
      <c r="D128" s="4"/>
      <c r="E128" s="4"/>
      <c r="F128" s="4" t="s">
        <v>404</v>
      </c>
      <c r="G128" s="19">
        <v>2.79</v>
      </c>
    </row>
    <row r="129" spans="1:7" ht="12.75">
      <c r="A129" s="4"/>
      <c r="B129" s="4"/>
      <c r="C129" s="4"/>
      <c r="D129" s="4"/>
      <c r="E129" s="4"/>
      <c r="F129" s="4" t="s">
        <v>405</v>
      </c>
      <c r="G129" s="19">
        <v>15</v>
      </c>
    </row>
    <row r="130" spans="1:7" ht="12.75">
      <c r="A130" s="4"/>
      <c r="B130" s="4"/>
      <c r="C130" s="4"/>
      <c r="D130" s="4"/>
      <c r="E130" s="4"/>
      <c r="F130" s="4" t="s">
        <v>406</v>
      </c>
      <c r="G130" s="19">
        <v>47.8977</v>
      </c>
    </row>
    <row r="131" spans="1:7" ht="12.75">
      <c r="A131" s="4"/>
      <c r="B131" s="4"/>
      <c r="C131" s="4"/>
      <c r="D131" s="4"/>
      <c r="E131" s="4"/>
      <c r="F131" s="4" t="s">
        <v>407</v>
      </c>
      <c r="G131" s="19">
        <v>10.0551</v>
      </c>
    </row>
    <row r="132" spans="1:7" ht="12.75">
      <c r="A132" s="4"/>
      <c r="B132" s="4"/>
      <c r="C132" s="4"/>
      <c r="D132" s="4"/>
      <c r="E132" s="4"/>
      <c r="F132" s="4" t="s">
        <v>408</v>
      </c>
      <c r="G132" s="19">
        <v>20.5155</v>
      </c>
    </row>
    <row r="133" spans="1:7" ht="12.75">
      <c r="A133" s="4"/>
      <c r="B133" s="4"/>
      <c r="C133" s="4"/>
      <c r="D133" s="4"/>
      <c r="E133" s="4"/>
      <c r="F133" s="4" t="s">
        <v>409</v>
      </c>
      <c r="G133" s="19">
        <v>11.3505</v>
      </c>
    </row>
    <row r="134" spans="1:7" ht="12.75">
      <c r="A134" s="4"/>
      <c r="B134" s="4"/>
      <c r="C134" s="4"/>
      <c r="D134" s="4"/>
      <c r="E134" s="4"/>
      <c r="F134" s="4" t="s">
        <v>410</v>
      </c>
      <c r="G134" s="19">
        <v>10.293</v>
      </c>
    </row>
    <row r="135" spans="1:8" ht="12.75">
      <c r="A135" s="4" t="s">
        <v>30</v>
      </c>
      <c r="B135" s="4"/>
      <c r="C135" s="4" t="s">
        <v>105</v>
      </c>
      <c r="D135" s="4" t="s">
        <v>203</v>
      </c>
      <c r="E135" s="4" t="s">
        <v>270</v>
      </c>
      <c r="G135" s="19">
        <v>306.85</v>
      </c>
      <c r="H135" s="37" t="s">
        <v>293</v>
      </c>
    </row>
    <row r="136" spans="4:7" ht="12.75">
      <c r="D136" s="16" t="s">
        <v>204</v>
      </c>
      <c r="F136" s="4" t="s">
        <v>386</v>
      </c>
      <c r="G136" s="19">
        <v>306.85</v>
      </c>
    </row>
    <row r="137" spans="1:8" ht="12.75">
      <c r="A137" s="4" t="s">
        <v>31</v>
      </c>
      <c r="B137" s="4"/>
      <c r="C137" s="4" t="s">
        <v>106</v>
      </c>
      <c r="D137" s="4" t="s">
        <v>205</v>
      </c>
      <c r="E137" s="4" t="s">
        <v>270</v>
      </c>
      <c r="G137" s="19">
        <v>187.22</v>
      </c>
      <c r="H137" s="37" t="s">
        <v>293</v>
      </c>
    </row>
    <row r="138" spans="4:7" ht="12.75">
      <c r="D138" s="16" t="s">
        <v>206</v>
      </c>
      <c r="F138" s="4" t="s">
        <v>387</v>
      </c>
      <c r="G138" s="19">
        <v>24.55</v>
      </c>
    </row>
    <row r="139" spans="1:7" ht="12.75">
      <c r="A139" s="4"/>
      <c r="B139" s="4"/>
      <c r="C139" s="4"/>
      <c r="D139" s="4"/>
      <c r="E139" s="4"/>
      <c r="F139" s="4" t="s">
        <v>388</v>
      </c>
      <c r="G139" s="19">
        <v>14.3</v>
      </c>
    </row>
    <row r="140" spans="1:7" ht="12.75">
      <c r="A140" s="4"/>
      <c r="B140" s="4"/>
      <c r="C140" s="4"/>
      <c r="D140" s="4"/>
      <c r="E140" s="4"/>
      <c r="F140" s="4" t="s">
        <v>389</v>
      </c>
      <c r="G140" s="19">
        <v>17.95</v>
      </c>
    </row>
    <row r="141" spans="1:7" ht="12.75">
      <c r="A141" s="4"/>
      <c r="B141" s="4"/>
      <c r="C141" s="4"/>
      <c r="D141" s="4"/>
      <c r="E141" s="4"/>
      <c r="F141" s="4" t="s">
        <v>390</v>
      </c>
      <c r="G141" s="19">
        <v>19.07</v>
      </c>
    </row>
    <row r="142" spans="1:7" ht="12.75">
      <c r="A142" s="4"/>
      <c r="B142" s="4"/>
      <c r="C142" s="4"/>
      <c r="D142" s="4"/>
      <c r="E142" s="4"/>
      <c r="F142" s="4" t="s">
        <v>391</v>
      </c>
      <c r="G142" s="19">
        <v>16.06</v>
      </c>
    </row>
    <row r="143" spans="1:7" ht="12.75">
      <c r="A143" s="4"/>
      <c r="B143" s="4"/>
      <c r="C143" s="4"/>
      <c r="D143" s="4"/>
      <c r="E143" s="4"/>
      <c r="F143" s="4" t="s">
        <v>392</v>
      </c>
      <c r="G143" s="19">
        <v>18.86</v>
      </c>
    </row>
    <row r="144" spans="1:7" ht="12.75">
      <c r="A144" s="4"/>
      <c r="B144" s="4"/>
      <c r="C144" s="4"/>
      <c r="D144" s="4"/>
      <c r="E144" s="4"/>
      <c r="F144" s="4" t="s">
        <v>393</v>
      </c>
      <c r="G144" s="19">
        <v>13.82</v>
      </c>
    </row>
    <row r="145" spans="1:7" ht="12.75">
      <c r="A145" s="4"/>
      <c r="B145" s="4"/>
      <c r="C145" s="4"/>
      <c r="D145" s="4"/>
      <c r="E145" s="4"/>
      <c r="F145" s="4" t="s">
        <v>394</v>
      </c>
      <c r="G145" s="19">
        <v>31.47</v>
      </c>
    </row>
    <row r="146" spans="1:7" ht="12.75">
      <c r="A146" s="4"/>
      <c r="B146" s="4"/>
      <c r="C146" s="4"/>
      <c r="D146" s="4"/>
      <c r="E146" s="4"/>
      <c r="F146" s="4" t="s">
        <v>395</v>
      </c>
      <c r="G146" s="19">
        <v>13.82</v>
      </c>
    </row>
    <row r="147" spans="1:7" ht="12.75">
      <c r="A147" s="4"/>
      <c r="B147" s="4"/>
      <c r="C147" s="4"/>
      <c r="D147" s="4"/>
      <c r="E147" s="4"/>
      <c r="F147" s="4" t="s">
        <v>396</v>
      </c>
      <c r="G147" s="19">
        <v>17.32</v>
      </c>
    </row>
    <row r="148" spans="1:8" ht="12.75">
      <c r="A148" s="4" t="s">
        <v>32</v>
      </c>
      <c r="B148" s="4"/>
      <c r="C148" s="4" t="s">
        <v>107</v>
      </c>
      <c r="D148" s="4" t="s">
        <v>207</v>
      </c>
      <c r="E148" s="4" t="s">
        <v>270</v>
      </c>
      <c r="G148" s="19">
        <v>17.79</v>
      </c>
      <c r="H148" s="37" t="s">
        <v>293</v>
      </c>
    </row>
    <row r="149" spans="4:7" ht="12.75">
      <c r="D149" s="16" t="s">
        <v>208</v>
      </c>
      <c r="F149" s="4" t="s">
        <v>411</v>
      </c>
      <c r="G149" s="19">
        <v>2.79</v>
      </c>
    </row>
    <row r="150" spans="1:7" ht="12.75">
      <c r="A150" s="4"/>
      <c r="B150" s="4"/>
      <c r="C150" s="4"/>
      <c r="D150" s="4"/>
      <c r="E150" s="4"/>
      <c r="F150" s="4" t="s">
        <v>412</v>
      </c>
      <c r="G150" s="19">
        <v>15</v>
      </c>
    </row>
    <row r="151" spans="1:8" ht="12.75">
      <c r="A151" s="4" t="s">
        <v>33</v>
      </c>
      <c r="B151" s="4"/>
      <c r="C151" s="4" t="s">
        <v>108</v>
      </c>
      <c r="D151" s="4" t="s">
        <v>209</v>
      </c>
      <c r="E151" s="4" t="s">
        <v>270</v>
      </c>
      <c r="G151" s="19">
        <v>865.8322</v>
      </c>
      <c r="H151" s="37" t="s">
        <v>293</v>
      </c>
    </row>
    <row r="152" spans="4:7" ht="25.5">
      <c r="D152" s="16" t="s">
        <v>210</v>
      </c>
      <c r="F152" s="4" t="s">
        <v>386</v>
      </c>
      <c r="G152" s="19">
        <v>306.85</v>
      </c>
    </row>
    <row r="153" spans="1:7" ht="12.75">
      <c r="A153" s="4"/>
      <c r="B153" s="4"/>
      <c r="C153" s="4"/>
      <c r="D153" s="4"/>
      <c r="E153" s="4"/>
      <c r="F153" s="4" t="s">
        <v>397</v>
      </c>
      <c r="G153" s="19">
        <v>340.8675</v>
      </c>
    </row>
    <row r="154" spans="1:7" ht="12.75">
      <c r="A154" s="4"/>
      <c r="B154" s="4"/>
      <c r="C154" s="4"/>
      <c r="D154" s="4"/>
      <c r="E154" s="4"/>
      <c r="F154" s="4" t="s">
        <v>398</v>
      </c>
      <c r="G154" s="19">
        <v>14.5089</v>
      </c>
    </row>
    <row r="155" spans="1:7" ht="12.75">
      <c r="A155" s="4"/>
      <c r="B155" s="4"/>
      <c r="C155" s="4"/>
      <c r="D155" s="4"/>
      <c r="E155" s="4"/>
      <c r="F155" s="4" t="s">
        <v>399</v>
      </c>
      <c r="G155" s="19">
        <v>12.3516</v>
      </c>
    </row>
    <row r="156" spans="1:7" ht="12.75">
      <c r="A156" s="4"/>
      <c r="B156" s="4"/>
      <c r="C156" s="4"/>
      <c r="D156" s="4"/>
      <c r="E156" s="4"/>
      <c r="F156" s="4" t="s">
        <v>400</v>
      </c>
      <c r="G156" s="19">
        <v>25.1826</v>
      </c>
    </row>
    <row r="157" spans="1:7" ht="12.75">
      <c r="A157" s="4"/>
      <c r="B157" s="4"/>
      <c r="C157" s="4"/>
      <c r="D157" s="4"/>
      <c r="E157" s="4"/>
      <c r="F157" s="4" t="s">
        <v>401</v>
      </c>
      <c r="G157" s="19">
        <v>21.4038</v>
      </c>
    </row>
    <row r="158" spans="1:7" ht="12.75">
      <c r="A158" s="4"/>
      <c r="B158" s="4"/>
      <c r="C158" s="4"/>
      <c r="D158" s="4"/>
      <c r="E158" s="4"/>
      <c r="F158" s="4" t="s">
        <v>402</v>
      </c>
      <c r="G158" s="19">
        <v>18.048</v>
      </c>
    </row>
    <row r="159" spans="1:7" ht="12.75">
      <c r="A159" s="4"/>
      <c r="B159" s="4"/>
      <c r="C159" s="4"/>
      <c r="D159" s="4"/>
      <c r="E159" s="4"/>
      <c r="F159" s="4" t="s">
        <v>403</v>
      </c>
      <c r="G159" s="19">
        <v>26.508</v>
      </c>
    </row>
    <row r="160" spans="1:7" ht="12.75">
      <c r="A160" s="4"/>
      <c r="B160" s="4"/>
      <c r="C160" s="4"/>
      <c r="D160" s="4"/>
      <c r="E160" s="4"/>
      <c r="F160" s="4" t="s">
        <v>406</v>
      </c>
      <c r="G160" s="19">
        <v>47.8977</v>
      </c>
    </row>
    <row r="161" spans="1:7" ht="12.75">
      <c r="A161" s="4"/>
      <c r="B161" s="4"/>
      <c r="C161" s="4"/>
      <c r="D161" s="4"/>
      <c r="E161" s="4"/>
      <c r="F161" s="4" t="s">
        <v>407</v>
      </c>
      <c r="G161" s="19">
        <v>10.0551</v>
      </c>
    </row>
    <row r="162" spans="1:7" ht="12.75">
      <c r="A162" s="4"/>
      <c r="B162" s="4"/>
      <c r="C162" s="4"/>
      <c r="D162" s="4"/>
      <c r="E162" s="4"/>
      <c r="F162" s="4" t="s">
        <v>408</v>
      </c>
      <c r="G162" s="19">
        <v>20.5155</v>
      </c>
    </row>
    <row r="163" spans="1:7" ht="12.75">
      <c r="A163" s="4"/>
      <c r="B163" s="4"/>
      <c r="C163" s="4"/>
      <c r="D163" s="4"/>
      <c r="E163" s="4"/>
      <c r="F163" s="4" t="s">
        <v>409</v>
      </c>
      <c r="G163" s="19">
        <v>11.3505</v>
      </c>
    </row>
    <row r="164" spans="1:7" ht="12.75">
      <c r="A164" s="4"/>
      <c r="B164" s="4"/>
      <c r="C164" s="4"/>
      <c r="D164" s="4"/>
      <c r="E164" s="4"/>
      <c r="F164" s="4" t="s">
        <v>410</v>
      </c>
      <c r="G164" s="19">
        <v>10.293</v>
      </c>
    </row>
    <row r="165" spans="1:8" ht="12.75">
      <c r="A165" s="4" t="s">
        <v>34</v>
      </c>
      <c r="B165" s="4"/>
      <c r="C165" s="4" t="s">
        <v>109</v>
      </c>
      <c r="D165" s="4" t="s">
        <v>490</v>
      </c>
      <c r="E165" s="4" t="s">
        <v>275</v>
      </c>
      <c r="F165" s="4" t="s">
        <v>413</v>
      </c>
      <c r="G165" s="19">
        <v>12</v>
      </c>
      <c r="H165" s="37" t="s">
        <v>293</v>
      </c>
    </row>
    <row r="166" spans="1:8" ht="12.75">
      <c r="A166" s="4" t="s">
        <v>35</v>
      </c>
      <c r="B166" s="4"/>
      <c r="C166" s="4" t="s">
        <v>110</v>
      </c>
      <c r="D166" s="4" t="s">
        <v>211</v>
      </c>
      <c r="E166" s="4" t="s">
        <v>272</v>
      </c>
      <c r="G166" s="19">
        <v>0.0498</v>
      </c>
      <c r="H166" s="37" t="s">
        <v>293</v>
      </c>
    </row>
    <row r="167" spans="1:8" ht="12.75">
      <c r="A167" s="4" t="s">
        <v>36</v>
      </c>
      <c r="B167" s="4"/>
      <c r="C167" s="4" t="s">
        <v>112</v>
      </c>
      <c r="D167" s="4" t="s">
        <v>213</v>
      </c>
      <c r="E167" s="4" t="s">
        <v>273</v>
      </c>
      <c r="G167" s="19">
        <v>2012.5042</v>
      </c>
      <c r="H167" s="37" t="s">
        <v>293</v>
      </c>
    </row>
    <row r="168" spans="6:7" ht="12.75">
      <c r="F168" s="4" t="s">
        <v>352</v>
      </c>
      <c r="G168" s="19">
        <v>279.9863</v>
      </c>
    </row>
    <row r="169" spans="1:7" ht="12.75">
      <c r="A169" s="4"/>
      <c r="B169" s="4"/>
      <c r="C169" s="4"/>
      <c r="D169" s="4"/>
      <c r="E169" s="4"/>
      <c r="F169" s="4" t="s">
        <v>356</v>
      </c>
      <c r="G169" s="19">
        <v>639.6606</v>
      </c>
    </row>
    <row r="170" spans="1:7" ht="12.75">
      <c r="A170" s="4"/>
      <c r="B170" s="4"/>
      <c r="C170" s="4"/>
      <c r="D170" s="4"/>
      <c r="E170" s="4"/>
      <c r="F170" s="4" t="s">
        <v>357</v>
      </c>
      <c r="G170" s="19">
        <v>17.69</v>
      </c>
    </row>
    <row r="171" spans="1:7" ht="12.75">
      <c r="A171" s="4"/>
      <c r="B171" s="4"/>
      <c r="C171" s="4"/>
      <c r="D171" s="4"/>
      <c r="E171" s="4"/>
      <c r="F171" s="4" t="s">
        <v>358</v>
      </c>
      <c r="G171" s="19">
        <v>275.1051</v>
      </c>
    </row>
    <row r="172" spans="1:7" ht="12.75">
      <c r="A172" s="4"/>
      <c r="B172" s="4"/>
      <c r="C172" s="4"/>
      <c r="D172" s="4"/>
      <c r="E172" s="4"/>
      <c r="F172" s="4" t="s">
        <v>359</v>
      </c>
      <c r="G172" s="19">
        <v>405.0789</v>
      </c>
    </row>
    <row r="173" spans="1:7" ht="12.75">
      <c r="A173" s="4"/>
      <c r="B173" s="4"/>
      <c r="C173" s="4"/>
      <c r="D173" s="4"/>
      <c r="E173" s="4"/>
      <c r="F173" s="4" t="s">
        <v>360</v>
      </c>
      <c r="G173" s="19">
        <v>148.05</v>
      </c>
    </row>
    <row r="174" spans="1:7" ht="12.75">
      <c r="A174" s="4"/>
      <c r="B174" s="4"/>
      <c r="C174" s="4"/>
      <c r="D174" s="4"/>
      <c r="E174" s="4"/>
      <c r="F174" s="4" t="s">
        <v>361</v>
      </c>
      <c r="G174" s="19">
        <v>246.9333</v>
      </c>
    </row>
    <row r="175" spans="1:8" ht="12.75">
      <c r="A175" s="4" t="s">
        <v>37</v>
      </c>
      <c r="B175" s="4"/>
      <c r="C175" s="4" t="s">
        <v>113</v>
      </c>
      <c r="D175" s="4" t="s">
        <v>485</v>
      </c>
      <c r="E175" s="4" t="s">
        <v>273</v>
      </c>
      <c r="G175" s="19">
        <v>2012.5042</v>
      </c>
      <c r="H175" s="37" t="s">
        <v>293</v>
      </c>
    </row>
    <row r="176" spans="4:7" ht="12.75">
      <c r="D176" s="16" t="s">
        <v>214</v>
      </c>
      <c r="F176" s="4" t="s">
        <v>352</v>
      </c>
      <c r="G176" s="19">
        <v>279.9863</v>
      </c>
    </row>
    <row r="177" spans="1:7" ht="12.75">
      <c r="A177" s="4"/>
      <c r="B177" s="4"/>
      <c r="C177" s="4"/>
      <c r="D177" s="4"/>
      <c r="E177" s="4"/>
      <c r="F177" s="4" t="s">
        <v>356</v>
      </c>
      <c r="G177" s="19">
        <v>639.6606</v>
      </c>
    </row>
    <row r="178" spans="1:7" ht="12.75">
      <c r="A178" s="4"/>
      <c r="B178" s="4"/>
      <c r="C178" s="4"/>
      <c r="D178" s="4"/>
      <c r="E178" s="4"/>
      <c r="F178" s="4" t="s">
        <v>357</v>
      </c>
      <c r="G178" s="19">
        <v>17.69</v>
      </c>
    </row>
    <row r="179" spans="1:7" ht="12.75">
      <c r="A179" s="4"/>
      <c r="B179" s="4"/>
      <c r="C179" s="4"/>
      <c r="D179" s="4"/>
      <c r="E179" s="4"/>
      <c r="F179" s="4" t="s">
        <v>358</v>
      </c>
      <c r="G179" s="19">
        <v>275.1051</v>
      </c>
    </row>
    <row r="180" spans="1:7" ht="12.75">
      <c r="A180" s="4"/>
      <c r="B180" s="4"/>
      <c r="C180" s="4"/>
      <c r="D180" s="4"/>
      <c r="E180" s="4"/>
      <c r="F180" s="4" t="s">
        <v>359</v>
      </c>
      <c r="G180" s="19">
        <v>405.0789</v>
      </c>
    </row>
    <row r="181" spans="1:7" ht="12.75">
      <c r="A181" s="4"/>
      <c r="B181" s="4"/>
      <c r="C181" s="4"/>
      <c r="D181" s="4"/>
      <c r="E181" s="4"/>
      <c r="F181" s="4" t="s">
        <v>360</v>
      </c>
      <c r="G181" s="19">
        <v>148.05</v>
      </c>
    </row>
    <row r="182" spans="1:7" ht="12.75">
      <c r="A182" s="4"/>
      <c r="B182" s="4"/>
      <c r="C182" s="4"/>
      <c r="D182" s="4"/>
      <c r="E182" s="4"/>
      <c r="F182" s="4" t="s">
        <v>361</v>
      </c>
      <c r="G182" s="19">
        <v>246.9333</v>
      </c>
    </row>
    <row r="183" spans="3:7" ht="12.75" customHeight="1">
      <c r="C183" s="57" t="s">
        <v>74</v>
      </c>
      <c r="D183" s="116" t="s">
        <v>215</v>
      </c>
      <c r="E183" s="117"/>
      <c r="F183" s="117"/>
      <c r="G183" s="117"/>
    </row>
    <row r="184" spans="1:8" ht="12.75">
      <c r="A184" s="4" t="s">
        <v>38</v>
      </c>
      <c r="B184" s="4"/>
      <c r="C184" s="4" t="s">
        <v>115</v>
      </c>
      <c r="D184" s="4" t="s">
        <v>217</v>
      </c>
      <c r="E184" s="4" t="s">
        <v>270</v>
      </c>
      <c r="F184" s="4" t="s">
        <v>414</v>
      </c>
      <c r="G184" s="19">
        <v>18.4851</v>
      </c>
      <c r="H184" s="37" t="s">
        <v>293</v>
      </c>
    </row>
    <row r="185" spans="1:8" ht="12.75">
      <c r="A185" s="4" t="s">
        <v>39</v>
      </c>
      <c r="B185" s="4"/>
      <c r="C185" s="4" t="s">
        <v>116</v>
      </c>
      <c r="D185" s="4" t="s">
        <v>218</v>
      </c>
      <c r="E185" s="4" t="s">
        <v>275</v>
      </c>
      <c r="G185" s="19">
        <v>16</v>
      </c>
      <c r="H185" s="37" t="s">
        <v>293</v>
      </c>
    </row>
    <row r="186" spans="6:7" ht="12.75">
      <c r="F186" s="4" t="s">
        <v>415</v>
      </c>
      <c r="G186" s="19">
        <v>6</v>
      </c>
    </row>
    <row r="187" spans="1:7" ht="12.75">
      <c r="A187" s="4"/>
      <c r="B187" s="4"/>
      <c r="C187" s="4"/>
      <c r="D187" s="4"/>
      <c r="E187" s="4"/>
      <c r="F187" s="4" t="s">
        <v>416</v>
      </c>
      <c r="G187" s="19">
        <v>10</v>
      </c>
    </row>
    <row r="188" spans="1:8" ht="12.75">
      <c r="A188" s="4" t="s">
        <v>40</v>
      </c>
      <c r="B188" s="4"/>
      <c r="C188" s="4" t="s">
        <v>117</v>
      </c>
      <c r="D188" s="4" t="s">
        <v>219</v>
      </c>
      <c r="E188" s="4" t="s">
        <v>275</v>
      </c>
      <c r="F188" s="4" t="s">
        <v>7</v>
      </c>
      <c r="G188" s="19">
        <v>1</v>
      </c>
      <c r="H188" s="37" t="s">
        <v>293</v>
      </c>
    </row>
    <row r="189" spans="1:8" ht="12.75">
      <c r="A189" s="4" t="s">
        <v>41</v>
      </c>
      <c r="B189" s="4"/>
      <c r="C189" s="4" t="s">
        <v>118</v>
      </c>
      <c r="D189" s="4" t="s">
        <v>220</v>
      </c>
      <c r="E189" s="4" t="s">
        <v>272</v>
      </c>
      <c r="G189" s="19">
        <v>0.44168</v>
      </c>
      <c r="H189" s="37" t="s">
        <v>293</v>
      </c>
    </row>
    <row r="190" spans="1:8" ht="12.75">
      <c r="A190" s="4" t="s">
        <v>42</v>
      </c>
      <c r="B190" s="4"/>
      <c r="C190" s="4" t="s">
        <v>120</v>
      </c>
      <c r="D190" s="4" t="s">
        <v>222</v>
      </c>
      <c r="E190" s="4" t="s">
        <v>275</v>
      </c>
      <c r="F190" s="4" t="s">
        <v>413</v>
      </c>
      <c r="G190" s="19">
        <v>12</v>
      </c>
      <c r="H190" s="37" t="s">
        <v>293</v>
      </c>
    </row>
    <row r="191" spans="1:8" ht="12.75">
      <c r="A191" s="6" t="s">
        <v>43</v>
      </c>
      <c r="B191" s="6"/>
      <c r="C191" s="6" t="s">
        <v>121</v>
      </c>
      <c r="D191" s="6" t="s">
        <v>486</v>
      </c>
      <c r="E191" s="6" t="s">
        <v>275</v>
      </c>
      <c r="F191" s="6" t="s">
        <v>417</v>
      </c>
      <c r="G191" s="20">
        <v>16</v>
      </c>
      <c r="H191" s="38" t="s">
        <v>293</v>
      </c>
    </row>
    <row r="192" spans="1:8" ht="12.75">
      <c r="A192" s="4" t="s">
        <v>44</v>
      </c>
      <c r="B192" s="4"/>
      <c r="C192" s="4" t="s">
        <v>122</v>
      </c>
      <c r="D192" s="4" t="s">
        <v>223</v>
      </c>
      <c r="E192" s="4" t="s">
        <v>275</v>
      </c>
      <c r="F192" s="4" t="s">
        <v>417</v>
      </c>
      <c r="G192" s="19">
        <v>16</v>
      </c>
      <c r="H192" s="37" t="s">
        <v>293</v>
      </c>
    </row>
    <row r="193" spans="1:8" ht="12.75">
      <c r="A193" s="4" t="s">
        <v>45</v>
      </c>
      <c r="B193" s="4"/>
      <c r="C193" s="4" t="s">
        <v>123</v>
      </c>
      <c r="D193" s="4" t="s">
        <v>224</v>
      </c>
      <c r="E193" s="4" t="s">
        <v>273</v>
      </c>
      <c r="F193" s="4" t="s">
        <v>418</v>
      </c>
      <c r="G193" s="19">
        <v>2.835</v>
      </c>
      <c r="H193" s="37" t="s">
        <v>293</v>
      </c>
    </row>
    <row r="194" spans="1:8" ht="12.75">
      <c r="A194" s="4" t="s">
        <v>46</v>
      </c>
      <c r="B194" s="4"/>
      <c r="C194" s="4" t="s">
        <v>124</v>
      </c>
      <c r="D194" s="4" t="s">
        <v>225</v>
      </c>
      <c r="E194" s="4" t="s">
        <v>272</v>
      </c>
      <c r="G194" s="19">
        <v>0.14559</v>
      </c>
      <c r="H194" s="37" t="s">
        <v>293</v>
      </c>
    </row>
    <row r="195" spans="1:8" ht="12.75">
      <c r="A195" s="4" t="s">
        <v>47</v>
      </c>
      <c r="B195" s="4"/>
      <c r="C195" s="4" t="s">
        <v>126</v>
      </c>
      <c r="D195" s="4" t="s">
        <v>227</v>
      </c>
      <c r="E195" s="4" t="s">
        <v>270</v>
      </c>
      <c r="F195" s="4" t="s">
        <v>414</v>
      </c>
      <c r="G195" s="19">
        <v>18.4851</v>
      </c>
      <c r="H195" s="37" t="s">
        <v>293</v>
      </c>
    </row>
    <row r="196" spans="1:8" ht="12.75">
      <c r="A196" s="4" t="s">
        <v>48</v>
      </c>
      <c r="B196" s="4"/>
      <c r="C196" s="4" t="s">
        <v>127</v>
      </c>
      <c r="D196" s="4" t="s">
        <v>228</v>
      </c>
      <c r="E196" s="4" t="s">
        <v>270</v>
      </c>
      <c r="F196" s="4" t="s">
        <v>414</v>
      </c>
      <c r="G196" s="19">
        <v>18.4851</v>
      </c>
      <c r="H196" s="37" t="s">
        <v>293</v>
      </c>
    </row>
    <row r="197" spans="1:8" ht="12.75">
      <c r="A197" s="4" t="s">
        <v>49</v>
      </c>
      <c r="B197" s="4"/>
      <c r="C197" s="4" t="s">
        <v>128</v>
      </c>
      <c r="D197" s="4" t="s">
        <v>229</v>
      </c>
      <c r="E197" s="4" t="s">
        <v>273</v>
      </c>
      <c r="F197" s="4" t="s">
        <v>418</v>
      </c>
      <c r="G197" s="19">
        <v>2.835</v>
      </c>
      <c r="H197" s="37" t="s">
        <v>293</v>
      </c>
    </row>
    <row r="198" spans="1:8" ht="12.75">
      <c r="A198" s="4" t="s">
        <v>50</v>
      </c>
      <c r="B198" s="4"/>
      <c r="C198" s="4" t="s">
        <v>129</v>
      </c>
      <c r="D198" s="4" t="s">
        <v>230</v>
      </c>
      <c r="E198" s="4" t="s">
        <v>272</v>
      </c>
      <c r="G198" s="19">
        <v>0.46155</v>
      </c>
      <c r="H198" s="37" t="s">
        <v>293</v>
      </c>
    </row>
    <row r="199" spans="1:8" ht="12.75">
      <c r="A199" s="6" t="s">
        <v>51</v>
      </c>
      <c r="B199" s="6"/>
      <c r="C199" s="6" t="s">
        <v>133</v>
      </c>
      <c r="D199" s="6" t="s">
        <v>488</v>
      </c>
      <c r="E199" s="6" t="s">
        <v>275</v>
      </c>
      <c r="G199" s="20">
        <v>2</v>
      </c>
      <c r="H199" s="38"/>
    </row>
    <row r="200" spans="3:7" ht="12.75" customHeight="1">
      <c r="C200" s="57" t="s">
        <v>74</v>
      </c>
      <c r="D200" s="116" t="s">
        <v>234</v>
      </c>
      <c r="E200" s="117"/>
      <c r="F200" s="117"/>
      <c r="G200" s="117"/>
    </row>
    <row r="201" spans="1:8" ht="12.75">
      <c r="A201" s="4" t="s">
        <v>52</v>
      </c>
      <c r="B201" s="4"/>
      <c r="C201" s="4" t="s">
        <v>134</v>
      </c>
      <c r="D201" s="4" t="s">
        <v>235</v>
      </c>
      <c r="E201" s="4" t="s">
        <v>273</v>
      </c>
      <c r="G201" s="19">
        <v>285.96</v>
      </c>
      <c r="H201" s="37" t="s">
        <v>293</v>
      </c>
    </row>
    <row r="202" spans="4:7" ht="12.75">
      <c r="D202" s="16" t="s">
        <v>236</v>
      </c>
      <c r="F202" s="4" t="s">
        <v>419</v>
      </c>
      <c r="G202" s="19">
        <v>55.09</v>
      </c>
    </row>
    <row r="203" spans="1:7" ht="12.75">
      <c r="A203" s="4"/>
      <c r="B203" s="4"/>
      <c r="C203" s="4"/>
      <c r="D203" s="4"/>
      <c r="E203" s="4"/>
      <c r="F203" s="4" t="s">
        <v>420</v>
      </c>
      <c r="G203" s="19">
        <v>108.63</v>
      </c>
    </row>
    <row r="204" spans="1:7" ht="12.75">
      <c r="A204" s="4"/>
      <c r="B204" s="4"/>
      <c r="C204" s="4"/>
      <c r="D204" s="4"/>
      <c r="E204" s="4"/>
      <c r="F204" s="4" t="s">
        <v>421</v>
      </c>
      <c r="G204" s="19">
        <v>122.24</v>
      </c>
    </row>
    <row r="205" spans="3:7" ht="12.75" customHeight="1">
      <c r="C205" s="57" t="s">
        <v>74</v>
      </c>
      <c r="D205" s="116" t="s">
        <v>237</v>
      </c>
      <c r="E205" s="117"/>
      <c r="F205" s="117"/>
      <c r="G205" s="117"/>
    </row>
    <row r="206" spans="1:8" ht="12.75">
      <c r="A206" s="4" t="s">
        <v>53</v>
      </c>
      <c r="B206" s="4"/>
      <c r="C206" s="4" t="s">
        <v>135</v>
      </c>
      <c r="D206" s="4" t="s">
        <v>238</v>
      </c>
      <c r="E206" s="4" t="s">
        <v>273</v>
      </c>
      <c r="G206" s="19">
        <v>285.96</v>
      </c>
      <c r="H206" s="37" t="s">
        <v>293</v>
      </c>
    </row>
    <row r="207" spans="4:7" ht="12.75">
      <c r="D207" s="16" t="s">
        <v>489</v>
      </c>
      <c r="F207" s="4" t="s">
        <v>419</v>
      </c>
      <c r="G207" s="19">
        <v>55.09</v>
      </c>
    </row>
    <row r="208" spans="1:7" ht="12.75">
      <c r="A208" s="4"/>
      <c r="B208" s="4"/>
      <c r="C208" s="4"/>
      <c r="D208" s="4"/>
      <c r="E208" s="4"/>
      <c r="F208" s="4" t="s">
        <v>420</v>
      </c>
      <c r="G208" s="19">
        <v>108.63</v>
      </c>
    </row>
    <row r="209" spans="1:7" ht="12.75">
      <c r="A209" s="4"/>
      <c r="B209" s="4"/>
      <c r="C209" s="4"/>
      <c r="D209" s="4"/>
      <c r="E209" s="4"/>
      <c r="F209" s="4" t="s">
        <v>421</v>
      </c>
      <c r="G209" s="19">
        <v>122.24</v>
      </c>
    </row>
    <row r="210" spans="3:7" ht="12.75" customHeight="1">
      <c r="C210" s="57" t="s">
        <v>74</v>
      </c>
      <c r="D210" s="116" t="s">
        <v>239</v>
      </c>
      <c r="E210" s="117"/>
      <c r="F210" s="117"/>
      <c r="G210" s="117"/>
    </row>
    <row r="211" spans="1:8" ht="12.75">
      <c r="A211" s="4" t="s">
        <v>54</v>
      </c>
      <c r="B211" s="4"/>
      <c r="C211" s="4" t="s">
        <v>136</v>
      </c>
      <c r="D211" s="4" t="s">
        <v>240</v>
      </c>
      <c r="E211" s="4" t="s">
        <v>273</v>
      </c>
      <c r="G211" s="19">
        <v>285.96</v>
      </c>
      <c r="H211" s="37" t="s">
        <v>293</v>
      </c>
    </row>
    <row r="212" spans="4:7" ht="12.75">
      <c r="D212" s="16" t="s">
        <v>489</v>
      </c>
      <c r="F212" s="4" t="s">
        <v>419</v>
      </c>
      <c r="G212" s="19">
        <v>55.09</v>
      </c>
    </row>
    <row r="213" spans="1:7" ht="12.75">
      <c r="A213" s="4"/>
      <c r="B213" s="4"/>
      <c r="C213" s="4"/>
      <c r="D213" s="4"/>
      <c r="E213" s="4"/>
      <c r="F213" s="4" t="s">
        <v>420</v>
      </c>
      <c r="G213" s="19">
        <v>108.63</v>
      </c>
    </row>
    <row r="214" spans="1:7" ht="12.75">
      <c r="A214" s="4"/>
      <c r="B214" s="4"/>
      <c r="C214" s="4"/>
      <c r="D214" s="4"/>
      <c r="E214" s="4"/>
      <c r="F214" s="4" t="s">
        <v>421</v>
      </c>
      <c r="G214" s="19">
        <v>122.24</v>
      </c>
    </row>
    <row r="215" spans="3:7" ht="12.75" customHeight="1">
      <c r="C215" s="57" t="s">
        <v>74</v>
      </c>
      <c r="D215" s="116" t="s">
        <v>239</v>
      </c>
      <c r="E215" s="117"/>
      <c r="F215" s="117"/>
      <c r="G215" s="117"/>
    </row>
    <row r="216" spans="1:8" ht="12.75">
      <c r="A216" s="4" t="s">
        <v>55</v>
      </c>
      <c r="B216" s="4"/>
      <c r="C216" s="4" t="s">
        <v>138</v>
      </c>
      <c r="D216" s="4" t="s">
        <v>242</v>
      </c>
      <c r="E216" s="4" t="s">
        <v>273</v>
      </c>
      <c r="F216" s="4" t="s">
        <v>422</v>
      </c>
      <c r="G216" s="19">
        <v>3.96</v>
      </c>
      <c r="H216" s="37" t="s">
        <v>293</v>
      </c>
    </row>
    <row r="217" spans="1:8" ht="12.75">
      <c r="A217" s="4" t="s">
        <v>56</v>
      </c>
      <c r="B217" s="4"/>
      <c r="C217" s="4" t="s">
        <v>139</v>
      </c>
      <c r="D217" s="4" t="s">
        <v>243</v>
      </c>
      <c r="E217" s="4" t="s">
        <v>275</v>
      </c>
      <c r="F217" s="4" t="s">
        <v>22</v>
      </c>
      <c r="G217" s="19">
        <v>16</v>
      </c>
      <c r="H217" s="37" t="s">
        <v>293</v>
      </c>
    </row>
    <row r="218" spans="1:8" ht="12.75">
      <c r="A218" s="4" t="s">
        <v>57</v>
      </c>
      <c r="B218" s="4"/>
      <c r="C218" s="4" t="s">
        <v>140</v>
      </c>
      <c r="D218" s="4" t="s">
        <v>244</v>
      </c>
      <c r="E218" s="4" t="s">
        <v>272</v>
      </c>
      <c r="G218" s="19">
        <v>0.72024</v>
      </c>
      <c r="H218" s="37" t="s">
        <v>293</v>
      </c>
    </row>
    <row r="219" spans="1:8" ht="12.75">
      <c r="A219" s="4" t="s">
        <v>58</v>
      </c>
      <c r="B219" s="4"/>
      <c r="C219" s="4" t="s">
        <v>141</v>
      </c>
      <c r="D219" s="4" t="s">
        <v>245</v>
      </c>
      <c r="E219" s="4" t="s">
        <v>272</v>
      </c>
      <c r="G219" s="19">
        <v>0.72024</v>
      </c>
      <c r="H219" s="37" t="s">
        <v>293</v>
      </c>
    </row>
    <row r="220" spans="1:8" ht="12.75">
      <c r="A220" s="4" t="s">
        <v>59</v>
      </c>
      <c r="B220" s="4"/>
      <c r="C220" s="4" t="s">
        <v>146</v>
      </c>
      <c r="D220" s="4" t="s">
        <v>251</v>
      </c>
      <c r="E220" s="4" t="s">
        <v>274</v>
      </c>
      <c r="G220" s="19">
        <v>1</v>
      </c>
      <c r="H220" s="37" t="s">
        <v>293</v>
      </c>
    </row>
    <row r="221" spans="4:7" ht="12.75">
      <c r="D221" s="16" t="s">
        <v>184</v>
      </c>
      <c r="G221" s="19">
        <v>0</v>
      </c>
    </row>
    <row r="222" spans="1:8" ht="12.75">
      <c r="A222" s="4" t="s">
        <v>60</v>
      </c>
      <c r="B222" s="4"/>
      <c r="C222" s="4" t="s">
        <v>147</v>
      </c>
      <c r="D222" s="4" t="s">
        <v>252</v>
      </c>
      <c r="E222" s="4" t="s">
        <v>273</v>
      </c>
      <c r="G222" s="19">
        <v>256.1495</v>
      </c>
      <c r="H222" s="37" t="s">
        <v>293</v>
      </c>
    </row>
    <row r="223" spans="6:7" ht="12.75">
      <c r="F223" s="4" t="s">
        <v>343</v>
      </c>
      <c r="G223" s="19">
        <v>205.5895</v>
      </c>
    </row>
    <row r="224" spans="1:7" ht="12.75">
      <c r="A224" s="4"/>
      <c r="B224" s="4"/>
      <c r="C224" s="4"/>
      <c r="D224" s="4"/>
      <c r="E224" s="4"/>
      <c r="F224" s="4" t="s">
        <v>344</v>
      </c>
      <c r="G224" s="19">
        <v>5.145</v>
      </c>
    </row>
    <row r="225" spans="1:7" ht="12.75">
      <c r="A225" s="4"/>
      <c r="B225" s="4"/>
      <c r="C225" s="4"/>
      <c r="D225" s="4"/>
      <c r="E225" s="4"/>
      <c r="F225" s="4" t="s">
        <v>345</v>
      </c>
      <c r="G225" s="19">
        <v>8.93</v>
      </c>
    </row>
    <row r="226" spans="1:7" ht="12.75">
      <c r="A226" s="4"/>
      <c r="B226" s="4"/>
      <c r="C226" s="4"/>
      <c r="D226" s="4"/>
      <c r="E226" s="4"/>
      <c r="F226" s="4" t="s">
        <v>346</v>
      </c>
      <c r="G226" s="19">
        <v>7.59</v>
      </c>
    </row>
    <row r="227" spans="1:7" ht="12.75">
      <c r="A227" s="4"/>
      <c r="B227" s="4"/>
      <c r="C227" s="4"/>
      <c r="D227" s="4"/>
      <c r="E227" s="4"/>
      <c r="F227" s="4" t="s">
        <v>347</v>
      </c>
      <c r="G227" s="19">
        <v>1.395</v>
      </c>
    </row>
    <row r="228" spans="1:7" ht="12.75">
      <c r="A228" s="4"/>
      <c r="B228" s="4"/>
      <c r="C228" s="4"/>
      <c r="D228" s="4"/>
      <c r="E228" s="4"/>
      <c r="F228" s="4" t="s">
        <v>348</v>
      </c>
      <c r="G228" s="19">
        <v>7.5</v>
      </c>
    </row>
    <row r="229" spans="1:7" ht="12.75">
      <c r="A229" s="4"/>
      <c r="B229" s="4"/>
      <c r="C229" s="4"/>
      <c r="D229" s="4"/>
      <c r="E229" s="4"/>
      <c r="F229" s="4" t="s">
        <v>349</v>
      </c>
      <c r="G229" s="19">
        <v>20</v>
      </c>
    </row>
    <row r="230" spans="1:8" ht="12.75">
      <c r="A230" s="4" t="s">
        <v>61</v>
      </c>
      <c r="B230" s="4"/>
      <c r="C230" s="4" t="s">
        <v>151</v>
      </c>
      <c r="D230" s="4" t="s">
        <v>256</v>
      </c>
      <c r="E230" s="4" t="s">
        <v>272</v>
      </c>
      <c r="G230" s="19">
        <v>5.74208</v>
      </c>
      <c r="H230" s="37" t="s">
        <v>293</v>
      </c>
    </row>
    <row r="231" spans="3:7" ht="12.75" customHeight="1">
      <c r="C231" s="57" t="s">
        <v>74</v>
      </c>
      <c r="D231" s="116" t="s">
        <v>239</v>
      </c>
      <c r="E231" s="117"/>
      <c r="F231" s="117"/>
      <c r="G231" s="117"/>
    </row>
    <row r="232" spans="1:8" ht="12.75">
      <c r="A232" s="4" t="s">
        <v>62</v>
      </c>
      <c r="B232" s="4"/>
      <c r="C232" s="4" t="s">
        <v>153</v>
      </c>
      <c r="D232" s="4" t="s">
        <v>258</v>
      </c>
      <c r="E232" s="4" t="s">
        <v>274</v>
      </c>
      <c r="F232" s="4" t="s">
        <v>7</v>
      </c>
      <c r="G232" s="19">
        <v>1</v>
      </c>
      <c r="H232" s="37" t="s">
        <v>293</v>
      </c>
    </row>
    <row r="233" spans="3:7" ht="12.75" customHeight="1">
      <c r="C233" s="57" t="s">
        <v>74</v>
      </c>
      <c r="D233" s="116" t="s">
        <v>259</v>
      </c>
      <c r="E233" s="117"/>
      <c r="F233" s="117"/>
      <c r="G233" s="117"/>
    </row>
    <row r="234" spans="1:8" ht="12.75">
      <c r="A234" s="4" t="s">
        <v>63</v>
      </c>
      <c r="B234" s="4"/>
      <c r="C234" s="4" t="s">
        <v>155</v>
      </c>
      <c r="D234" s="4" t="s">
        <v>261</v>
      </c>
      <c r="E234" s="4" t="s">
        <v>272</v>
      </c>
      <c r="G234" s="19">
        <v>18.46974</v>
      </c>
      <c r="H234" s="37" t="s">
        <v>293</v>
      </c>
    </row>
    <row r="235" spans="1:8" ht="12.75">
      <c r="A235" s="4" t="s">
        <v>64</v>
      </c>
      <c r="B235" s="4"/>
      <c r="C235" s="4" t="s">
        <v>156</v>
      </c>
      <c r="D235" s="4" t="s">
        <v>262</v>
      </c>
      <c r="E235" s="4" t="s">
        <v>272</v>
      </c>
      <c r="G235" s="19">
        <v>144.19593</v>
      </c>
      <c r="H235" s="37" t="s">
        <v>293</v>
      </c>
    </row>
    <row r="236" spans="1:8" ht="12.75">
      <c r="A236" s="4" t="s">
        <v>65</v>
      </c>
      <c r="B236" s="4"/>
      <c r="C236" s="4" t="s">
        <v>157</v>
      </c>
      <c r="D236" s="4" t="s">
        <v>263</v>
      </c>
      <c r="E236" s="4" t="s">
        <v>272</v>
      </c>
      <c r="G236" s="19">
        <v>17.7918</v>
      </c>
      <c r="H236" s="37" t="s">
        <v>293</v>
      </c>
    </row>
    <row r="237" spans="1:8" ht="12.75">
      <c r="A237" s="4" t="s">
        <v>66</v>
      </c>
      <c r="B237" s="4"/>
      <c r="C237" s="4" t="s">
        <v>158</v>
      </c>
      <c r="D237" s="4" t="s">
        <v>264</v>
      </c>
      <c r="E237" s="4" t="s">
        <v>272</v>
      </c>
      <c r="G237" s="19">
        <v>180.45747</v>
      </c>
      <c r="H237" s="37" t="s">
        <v>293</v>
      </c>
    </row>
    <row r="238" spans="6:7" ht="12.75">
      <c r="F238" s="4" t="s">
        <v>423</v>
      </c>
      <c r="G238" s="19">
        <v>18.46974</v>
      </c>
    </row>
    <row r="239" spans="1:7" ht="12.75">
      <c r="A239" s="4"/>
      <c r="B239" s="4"/>
      <c r="C239" s="4"/>
      <c r="D239" s="4"/>
      <c r="E239" s="4"/>
      <c r="F239" s="4" t="s">
        <v>424</v>
      </c>
      <c r="G239" s="19">
        <v>144.19593</v>
      </c>
    </row>
    <row r="240" spans="1:7" ht="12.75">
      <c r="A240" s="4"/>
      <c r="B240" s="4"/>
      <c r="C240" s="4"/>
      <c r="D240" s="4"/>
      <c r="E240" s="4"/>
      <c r="F240" s="4" t="s">
        <v>425</v>
      </c>
      <c r="G240" s="19">
        <v>17.7918</v>
      </c>
    </row>
    <row r="242" ht="11.25" customHeight="1">
      <c r="A242" s="9" t="s">
        <v>74</v>
      </c>
    </row>
    <row r="243" spans="1:7" ht="63.75" customHeight="1">
      <c r="A243" s="104" t="s">
        <v>75</v>
      </c>
      <c r="B243" s="93"/>
      <c r="C243" s="93"/>
      <c r="D243" s="93"/>
      <c r="E243" s="93"/>
      <c r="F243" s="93"/>
      <c r="G243" s="93"/>
    </row>
  </sheetData>
  <sheetProtection password="F05E" sheet="1" objects="1" scenarios="1"/>
  <mergeCells count="28">
    <mergeCell ref="D210:G210"/>
    <mergeCell ref="D215:G215"/>
    <mergeCell ref="D231:G231"/>
    <mergeCell ref="D233:G233"/>
    <mergeCell ref="A243:G243"/>
    <mergeCell ref="D12:G12"/>
    <mergeCell ref="D19:G19"/>
    <mergeCell ref="D103:G103"/>
    <mergeCell ref="D183:G183"/>
    <mergeCell ref="D200:G200"/>
    <mergeCell ref="D205:G205"/>
    <mergeCell ref="A6:B7"/>
    <mergeCell ref="C6:D7"/>
    <mergeCell ref="E6:E7"/>
    <mergeCell ref="F6:H7"/>
    <mergeCell ref="A8:B9"/>
    <mergeCell ref="C8:D9"/>
    <mergeCell ref="E8:E9"/>
    <mergeCell ref="F8:H9"/>
    <mergeCell ref="A1:H1"/>
    <mergeCell ref="A2:B3"/>
    <mergeCell ref="C2:D3"/>
    <mergeCell ref="E2:E3"/>
    <mergeCell ref="F2:H3"/>
    <mergeCell ref="A4:B5"/>
    <mergeCell ref="C4:D5"/>
    <mergeCell ref="E4:E5"/>
    <mergeCell ref="F4:H5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87"/>
      <c r="B1" s="61"/>
      <c r="C1" s="122" t="s">
        <v>442</v>
      </c>
      <c r="D1" s="89"/>
      <c r="E1" s="89"/>
      <c r="F1" s="89"/>
      <c r="G1" s="89"/>
      <c r="H1" s="89"/>
      <c r="I1" s="89"/>
    </row>
    <row r="2" spans="1:10" ht="12.75">
      <c r="A2" s="90" t="s">
        <v>1</v>
      </c>
      <c r="B2" s="91"/>
      <c r="C2" s="94" t="str">
        <f>'Stavební rozpočet'!D2</f>
        <v>Gymnázium Brandýs</v>
      </c>
      <c r="D2" s="120"/>
      <c r="E2" s="100" t="s">
        <v>283</v>
      </c>
      <c r="F2" s="100" t="str">
        <f>'Stavební rozpočet'!J2</f>
        <v> </v>
      </c>
      <c r="G2" s="91"/>
      <c r="H2" s="100" t="s">
        <v>467</v>
      </c>
      <c r="I2" s="123"/>
      <c r="J2" s="40"/>
    </row>
    <row r="3" spans="1:10" ht="12.75">
      <c r="A3" s="92"/>
      <c r="B3" s="93"/>
      <c r="C3" s="95"/>
      <c r="D3" s="95"/>
      <c r="E3" s="93"/>
      <c r="F3" s="93"/>
      <c r="G3" s="93"/>
      <c r="H3" s="93"/>
      <c r="I3" s="102"/>
      <c r="J3" s="40"/>
    </row>
    <row r="4" spans="1:10" ht="12.75">
      <c r="A4" s="103" t="s">
        <v>2</v>
      </c>
      <c r="B4" s="93"/>
      <c r="C4" s="104" t="str">
        <f>'Stavební rozpočet'!D4</f>
        <v>Rekonstrukce střechy</v>
      </c>
      <c r="D4" s="93"/>
      <c r="E4" s="104" t="s">
        <v>284</v>
      </c>
      <c r="F4" s="104" t="str">
        <f>'Stavební rozpočet'!J4</f>
        <v>CHMELS - projekty a systémy s.r.o.</v>
      </c>
      <c r="G4" s="93"/>
      <c r="H4" s="104" t="s">
        <v>467</v>
      </c>
      <c r="I4" s="124" t="s">
        <v>471</v>
      </c>
      <c r="J4" s="40"/>
    </row>
    <row r="5" spans="1:10" ht="12.75">
      <c r="A5" s="92"/>
      <c r="B5" s="93"/>
      <c r="C5" s="93"/>
      <c r="D5" s="93"/>
      <c r="E5" s="93"/>
      <c r="F5" s="93"/>
      <c r="G5" s="93"/>
      <c r="H5" s="93"/>
      <c r="I5" s="102"/>
      <c r="J5" s="40"/>
    </row>
    <row r="6" spans="1:10" ht="12.75">
      <c r="A6" s="103" t="s">
        <v>3</v>
      </c>
      <c r="B6" s="93"/>
      <c r="C6" s="104" t="str">
        <f>'Stavební rozpočet'!D6</f>
        <v>Brandýs nad Labem - Stará Boleslav, Královická 668</v>
      </c>
      <c r="D6" s="93"/>
      <c r="E6" s="104" t="s">
        <v>285</v>
      </c>
      <c r="F6" s="104" t="str">
        <f>'Stavební rozpočet'!J6</f>
        <v> </v>
      </c>
      <c r="G6" s="93"/>
      <c r="H6" s="104" t="s">
        <v>467</v>
      </c>
      <c r="I6" s="124"/>
      <c r="J6" s="40"/>
    </row>
    <row r="7" spans="1:10" ht="12.75">
      <c r="A7" s="92"/>
      <c r="B7" s="93"/>
      <c r="C7" s="93"/>
      <c r="D7" s="93"/>
      <c r="E7" s="93"/>
      <c r="F7" s="93"/>
      <c r="G7" s="93"/>
      <c r="H7" s="93"/>
      <c r="I7" s="102"/>
      <c r="J7" s="40"/>
    </row>
    <row r="8" spans="1:10" ht="12.75">
      <c r="A8" s="103" t="s">
        <v>266</v>
      </c>
      <c r="B8" s="93"/>
      <c r="C8" s="104" t="str">
        <f>'Stavební rozpočet'!G4</f>
        <v> </v>
      </c>
      <c r="D8" s="93"/>
      <c r="E8" s="104" t="s">
        <v>267</v>
      </c>
      <c r="F8" s="104" t="str">
        <f>'Stavební rozpočet'!G6</f>
        <v> </v>
      </c>
      <c r="G8" s="93"/>
      <c r="H8" s="105" t="s">
        <v>468</v>
      </c>
      <c r="I8" s="124" t="s">
        <v>73</v>
      </c>
      <c r="J8" s="40"/>
    </row>
    <row r="9" spans="1:10" ht="12.75">
      <c r="A9" s="92"/>
      <c r="B9" s="93"/>
      <c r="C9" s="93"/>
      <c r="D9" s="93"/>
      <c r="E9" s="93"/>
      <c r="F9" s="93"/>
      <c r="G9" s="93"/>
      <c r="H9" s="93"/>
      <c r="I9" s="102"/>
      <c r="J9" s="40"/>
    </row>
    <row r="10" spans="1:10" ht="12.75">
      <c r="A10" s="103" t="s">
        <v>4</v>
      </c>
      <c r="B10" s="93"/>
      <c r="C10" s="104">
        <f>'Stavební rozpočet'!D8</f>
        <v>8013</v>
      </c>
      <c r="D10" s="93"/>
      <c r="E10" s="104" t="s">
        <v>286</v>
      </c>
      <c r="F10" s="104" t="str">
        <f>'Stavební rozpočet'!J8</f>
        <v> </v>
      </c>
      <c r="G10" s="93"/>
      <c r="H10" s="105" t="s">
        <v>469</v>
      </c>
      <c r="I10" s="127" t="str">
        <f>'Stavební rozpočet'!G8</f>
        <v>13.06.2017</v>
      </c>
      <c r="J10" s="40"/>
    </row>
    <row r="11" spans="1:10" ht="12.75">
      <c r="A11" s="125"/>
      <c r="B11" s="126"/>
      <c r="C11" s="126"/>
      <c r="D11" s="126"/>
      <c r="E11" s="126"/>
      <c r="F11" s="126"/>
      <c r="G11" s="126"/>
      <c r="H11" s="126"/>
      <c r="I11" s="128"/>
      <c r="J11" s="40"/>
    </row>
    <row r="12" spans="1:9" ht="23.25" customHeight="1">
      <c r="A12" s="129" t="s">
        <v>427</v>
      </c>
      <c r="B12" s="130"/>
      <c r="C12" s="130"/>
      <c r="D12" s="130"/>
      <c r="E12" s="130"/>
      <c r="F12" s="130"/>
      <c r="G12" s="130"/>
      <c r="H12" s="130"/>
      <c r="I12" s="130"/>
    </row>
    <row r="13" spans="1:10" ht="26.25" customHeight="1">
      <c r="A13" s="62" t="s">
        <v>428</v>
      </c>
      <c r="B13" s="131" t="s">
        <v>440</v>
      </c>
      <c r="C13" s="132"/>
      <c r="D13" s="62" t="s">
        <v>443</v>
      </c>
      <c r="E13" s="131" t="s">
        <v>452</v>
      </c>
      <c r="F13" s="132"/>
      <c r="G13" s="62" t="s">
        <v>453</v>
      </c>
      <c r="H13" s="131" t="s">
        <v>470</v>
      </c>
      <c r="I13" s="132"/>
      <c r="J13" s="40"/>
    </row>
    <row r="14" spans="1:10" ht="15" customHeight="1">
      <c r="A14" s="63" t="s">
        <v>429</v>
      </c>
      <c r="B14" s="67" t="s">
        <v>441</v>
      </c>
      <c r="C14" s="71">
        <f>SUM('Stavební rozpočet'!R12:R129)</f>
        <v>0</v>
      </c>
      <c r="D14" s="133" t="s">
        <v>444</v>
      </c>
      <c r="E14" s="134"/>
      <c r="F14" s="71">
        <f>VORN!I15</f>
        <v>0</v>
      </c>
      <c r="G14" s="133" t="s">
        <v>454</v>
      </c>
      <c r="H14" s="134"/>
      <c r="I14" s="71">
        <f>VORN!I21</f>
        <v>0</v>
      </c>
      <c r="J14" s="40"/>
    </row>
    <row r="15" spans="1:10" ht="15" customHeight="1">
      <c r="A15" s="64"/>
      <c r="B15" s="67" t="s">
        <v>287</v>
      </c>
      <c r="C15" s="71">
        <f>SUM('Stavební rozpočet'!S12:S129)</f>
        <v>0</v>
      </c>
      <c r="D15" s="133" t="s">
        <v>445</v>
      </c>
      <c r="E15" s="134"/>
      <c r="F15" s="71">
        <f>VORN!I16</f>
        <v>0</v>
      </c>
      <c r="G15" s="133" t="s">
        <v>455</v>
      </c>
      <c r="H15" s="134"/>
      <c r="I15" s="71">
        <f>VORN!I22</f>
        <v>0</v>
      </c>
      <c r="J15" s="40"/>
    </row>
    <row r="16" spans="1:10" ht="15" customHeight="1">
      <c r="A16" s="63" t="s">
        <v>430</v>
      </c>
      <c r="B16" s="67" t="s">
        <v>441</v>
      </c>
      <c r="C16" s="71">
        <f>SUM('Stavební rozpočet'!T12:T129)</f>
        <v>0</v>
      </c>
      <c r="D16" s="133" t="s">
        <v>446</v>
      </c>
      <c r="E16" s="134"/>
      <c r="F16" s="71">
        <f>VORN!I17</f>
        <v>0</v>
      </c>
      <c r="G16" s="133" t="s">
        <v>456</v>
      </c>
      <c r="H16" s="134"/>
      <c r="I16" s="71">
        <f>VORN!I23</f>
        <v>0</v>
      </c>
      <c r="J16" s="40"/>
    </row>
    <row r="17" spans="1:10" ht="15" customHeight="1">
      <c r="A17" s="64"/>
      <c r="B17" s="67" t="s">
        <v>287</v>
      </c>
      <c r="C17" s="71">
        <f>SUM('Stavební rozpočet'!U12:U129)</f>
        <v>0</v>
      </c>
      <c r="D17" s="133"/>
      <c r="E17" s="134"/>
      <c r="F17" s="72"/>
      <c r="G17" s="133" t="s">
        <v>457</v>
      </c>
      <c r="H17" s="134"/>
      <c r="I17" s="71">
        <f>VORN!I24</f>
        <v>0</v>
      </c>
      <c r="J17" s="40"/>
    </row>
    <row r="18" spans="1:10" ht="15" customHeight="1">
      <c r="A18" s="63" t="s">
        <v>431</v>
      </c>
      <c r="B18" s="67" t="s">
        <v>441</v>
      </c>
      <c r="C18" s="71">
        <f>SUM('Stavební rozpočet'!V12:V129)</f>
        <v>0</v>
      </c>
      <c r="D18" s="133"/>
      <c r="E18" s="134"/>
      <c r="F18" s="72"/>
      <c r="G18" s="133" t="s">
        <v>458</v>
      </c>
      <c r="H18" s="134"/>
      <c r="I18" s="71">
        <f>VORN!I25</f>
        <v>0</v>
      </c>
      <c r="J18" s="40"/>
    </row>
    <row r="19" spans="1:10" ht="15" customHeight="1">
      <c r="A19" s="64"/>
      <c r="B19" s="67" t="s">
        <v>287</v>
      </c>
      <c r="C19" s="71">
        <f>SUM('Stavební rozpočet'!W12:W129)</f>
        <v>0</v>
      </c>
      <c r="D19" s="133"/>
      <c r="E19" s="134"/>
      <c r="F19" s="72"/>
      <c r="G19" s="133" t="s">
        <v>459</v>
      </c>
      <c r="H19" s="134"/>
      <c r="I19" s="71">
        <f>VORN!I26</f>
        <v>0</v>
      </c>
      <c r="J19" s="40"/>
    </row>
    <row r="20" spans="1:10" ht="15" customHeight="1">
      <c r="A20" s="135" t="s">
        <v>432</v>
      </c>
      <c r="B20" s="136"/>
      <c r="C20" s="71">
        <f>SUM('Stavební rozpočet'!X12:X129)</f>
        <v>0</v>
      </c>
      <c r="D20" s="133"/>
      <c r="E20" s="134"/>
      <c r="F20" s="72"/>
      <c r="G20" s="133"/>
      <c r="H20" s="134"/>
      <c r="I20" s="72"/>
      <c r="J20" s="40"/>
    </row>
    <row r="21" spans="1:10" ht="15" customHeight="1">
      <c r="A21" s="135" t="s">
        <v>433</v>
      </c>
      <c r="B21" s="136"/>
      <c r="C21" s="71">
        <f>SUM('Stavební rozpočet'!P12:P129)</f>
        <v>0</v>
      </c>
      <c r="D21" s="133"/>
      <c r="E21" s="134"/>
      <c r="F21" s="72"/>
      <c r="G21" s="133"/>
      <c r="H21" s="134"/>
      <c r="I21" s="72"/>
      <c r="J21" s="40"/>
    </row>
    <row r="22" spans="1:10" ht="16.5" customHeight="1">
      <c r="A22" s="135" t="s">
        <v>434</v>
      </c>
      <c r="B22" s="136"/>
      <c r="C22" s="71">
        <f>SUM(C14:C21)</f>
        <v>0</v>
      </c>
      <c r="D22" s="135" t="s">
        <v>447</v>
      </c>
      <c r="E22" s="136"/>
      <c r="F22" s="71">
        <f>SUM(F14:F21)</f>
        <v>0</v>
      </c>
      <c r="G22" s="135" t="s">
        <v>460</v>
      </c>
      <c r="H22" s="136"/>
      <c r="I22" s="71">
        <f>SUM(I14:I21)</f>
        <v>0</v>
      </c>
      <c r="J22" s="40"/>
    </row>
    <row r="23" spans="1:10" ht="15" customHeight="1">
      <c r="A23" s="8"/>
      <c r="B23" s="8"/>
      <c r="C23" s="69"/>
      <c r="D23" s="135" t="s">
        <v>448</v>
      </c>
      <c r="E23" s="136"/>
      <c r="F23" s="73">
        <v>0</v>
      </c>
      <c r="G23" s="135" t="s">
        <v>461</v>
      </c>
      <c r="H23" s="136"/>
      <c r="I23" s="71">
        <v>0</v>
      </c>
      <c r="J23" s="40"/>
    </row>
    <row r="24" spans="4:10" ht="15" customHeight="1">
      <c r="D24" s="8"/>
      <c r="E24" s="8"/>
      <c r="F24" s="74"/>
      <c r="G24" s="135" t="s">
        <v>462</v>
      </c>
      <c r="H24" s="136"/>
      <c r="I24" s="71">
        <f>vorn_sum</f>
        <v>0</v>
      </c>
      <c r="J24" s="40"/>
    </row>
    <row r="25" spans="6:10" ht="15" customHeight="1">
      <c r="F25" s="75"/>
      <c r="G25" s="135" t="s">
        <v>463</v>
      </c>
      <c r="H25" s="136"/>
      <c r="I25" s="71">
        <v>0</v>
      </c>
      <c r="J25" s="40"/>
    </row>
    <row r="26" spans="1:9" ht="12.75">
      <c r="A26" s="61"/>
      <c r="B26" s="61"/>
      <c r="C26" s="61"/>
      <c r="G26" s="8"/>
      <c r="H26" s="8"/>
      <c r="I26" s="8"/>
    </row>
    <row r="27" spans="1:9" ht="15" customHeight="1">
      <c r="A27" s="137" t="s">
        <v>435</v>
      </c>
      <c r="B27" s="138"/>
      <c r="C27" s="76">
        <f>SUM('Stavební rozpočet'!Z12:Z129)</f>
        <v>0</v>
      </c>
      <c r="D27" s="70"/>
      <c r="E27" s="61"/>
      <c r="F27" s="61"/>
      <c r="G27" s="61"/>
      <c r="H27" s="61"/>
      <c r="I27" s="61"/>
    </row>
    <row r="28" spans="1:10" ht="15" customHeight="1">
      <c r="A28" s="137" t="s">
        <v>436</v>
      </c>
      <c r="B28" s="138"/>
      <c r="C28" s="76">
        <f>SUM('Stavební rozpočet'!AA12:AA129)</f>
        <v>0</v>
      </c>
      <c r="D28" s="137" t="s">
        <v>449</v>
      </c>
      <c r="E28" s="138"/>
      <c r="F28" s="76">
        <f>ROUND(C28*(15/100),2)</f>
        <v>0</v>
      </c>
      <c r="G28" s="137" t="s">
        <v>464</v>
      </c>
      <c r="H28" s="138"/>
      <c r="I28" s="76">
        <f>SUM(C27:C29)</f>
        <v>0</v>
      </c>
      <c r="J28" s="40"/>
    </row>
    <row r="29" spans="1:10" ht="15" customHeight="1">
      <c r="A29" s="137" t="s">
        <v>437</v>
      </c>
      <c r="B29" s="138"/>
      <c r="C29" s="76">
        <f>SUM('Stavební rozpočet'!AB12:AB129)+(F22+I22+F23+I23+I24+I25)</f>
        <v>0</v>
      </c>
      <c r="D29" s="137" t="s">
        <v>450</v>
      </c>
      <c r="E29" s="138"/>
      <c r="F29" s="76">
        <f>ROUND(C29*(21/100),2)</f>
        <v>0</v>
      </c>
      <c r="G29" s="137" t="s">
        <v>465</v>
      </c>
      <c r="H29" s="138"/>
      <c r="I29" s="76">
        <f>SUM(F28:F29)+I28</f>
        <v>0</v>
      </c>
      <c r="J29" s="40"/>
    </row>
    <row r="30" spans="1:9" ht="12.75">
      <c r="A30" s="65"/>
      <c r="B30" s="65"/>
      <c r="C30" s="65"/>
      <c r="D30" s="65"/>
      <c r="E30" s="65"/>
      <c r="F30" s="65"/>
      <c r="G30" s="65"/>
      <c r="H30" s="65"/>
      <c r="I30" s="65"/>
    </row>
    <row r="31" spans="1:10" ht="14.25" customHeight="1">
      <c r="A31" s="139" t="s">
        <v>438</v>
      </c>
      <c r="B31" s="140"/>
      <c r="C31" s="141"/>
      <c r="D31" s="139" t="s">
        <v>451</v>
      </c>
      <c r="E31" s="140"/>
      <c r="F31" s="141"/>
      <c r="G31" s="139" t="s">
        <v>466</v>
      </c>
      <c r="H31" s="140"/>
      <c r="I31" s="141"/>
      <c r="J31" s="41"/>
    </row>
    <row r="32" spans="1:10" ht="14.25" customHeight="1">
      <c r="A32" s="142"/>
      <c r="B32" s="143"/>
      <c r="C32" s="144"/>
      <c r="D32" s="142"/>
      <c r="E32" s="143"/>
      <c r="F32" s="144"/>
      <c r="G32" s="142"/>
      <c r="H32" s="143"/>
      <c r="I32" s="144"/>
      <c r="J32" s="41"/>
    </row>
    <row r="33" spans="1:10" ht="14.25" customHeight="1">
      <c r="A33" s="142"/>
      <c r="B33" s="143"/>
      <c r="C33" s="144"/>
      <c r="D33" s="142"/>
      <c r="E33" s="143"/>
      <c r="F33" s="144"/>
      <c r="G33" s="142"/>
      <c r="H33" s="143"/>
      <c r="I33" s="144"/>
      <c r="J33" s="41"/>
    </row>
    <row r="34" spans="1:10" ht="14.25" customHeight="1">
      <c r="A34" s="142"/>
      <c r="B34" s="143"/>
      <c r="C34" s="144"/>
      <c r="D34" s="142"/>
      <c r="E34" s="143"/>
      <c r="F34" s="144"/>
      <c r="G34" s="142"/>
      <c r="H34" s="143"/>
      <c r="I34" s="144"/>
      <c r="J34" s="41"/>
    </row>
    <row r="35" spans="1:10" ht="14.25" customHeight="1">
      <c r="A35" s="145" t="s">
        <v>439</v>
      </c>
      <c r="B35" s="146"/>
      <c r="C35" s="147"/>
      <c r="D35" s="145" t="s">
        <v>439</v>
      </c>
      <c r="E35" s="146"/>
      <c r="F35" s="147"/>
      <c r="G35" s="145" t="s">
        <v>439</v>
      </c>
      <c r="H35" s="146"/>
      <c r="I35" s="147"/>
      <c r="J35" s="41"/>
    </row>
    <row r="36" spans="1:9" ht="11.25" customHeight="1">
      <c r="A36" s="66" t="s">
        <v>74</v>
      </c>
      <c r="B36" s="68"/>
      <c r="C36" s="68"/>
      <c r="D36" s="68"/>
      <c r="E36" s="68"/>
      <c r="F36" s="68"/>
      <c r="G36" s="68"/>
      <c r="H36" s="68"/>
      <c r="I36" s="68"/>
    </row>
    <row r="37" spans="1:9" ht="63.75" customHeight="1">
      <c r="A37" s="104" t="s">
        <v>75</v>
      </c>
      <c r="B37" s="93"/>
      <c r="C37" s="93"/>
      <c r="D37" s="93"/>
      <c r="E37" s="93"/>
      <c r="F37" s="93"/>
      <c r="G37" s="93"/>
      <c r="H37" s="93"/>
      <c r="I37" s="93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72.75" customHeight="1">
      <c r="A1" s="87"/>
      <c r="B1" s="61"/>
      <c r="C1" s="122" t="s">
        <v>480</v>
      </c>
      <c r="D1" s="89"/>
      <c r="E1" s="89"/>
      <c r="F1" s="89"/>
      <c r="G1" s="89"/>
      <c r="H1" s="89"/>
      <c r="I1" s="89"/>
    </row>
    <row r="2" spans="1:10" ht="12.75">
      <c r="A2" s="90" t="s">
        <v>1</v>
      </c>
      <c r="B2" s="91"/>
      <c r="C2" s="94" t="str">
        <f>'Stavební rozpočet'!D2</f>
        <v>Gymnázium Brandýs</v>
      </c>
      <c r="D2" s="120"/>
      <c r="E2" s="100" t="s">
        <v>283</v>
      </c>
      <c r="F2" s="100" t="str">
        <f>'Stavební rozpočet'!J2</f>
        <v> </v>
      </c>
      <c r="G2" s="91"/>
      <c r="H2" s="100" t="s">
        <v>467</v>
      </c>
      <c r="I2" s="123"/>
      <c r="J2" s="40"/>
    </row>
    <row r="3" spans="1:10" ht="12.75">
      <c r="A3" s="92"/>
      <c r="B3" s="93"/>
      <c r="C3" s="95"/>
      <c r="D3" s="95"/>
      <c r="E3" s="93"/>
      <c r="F3" s="93"/>
      <c r="G3" s="93"/>
      <c r="H3" s="93"/>
      <c r="I3" s="102"/>
      <c r="J3" s="40"/>
    </row>
    <row r="4" spans="1:10" ht="12.75">
      <c r="A4" s="103" t="s">
        <v>2</v>
      </c>
      <c r="B4" s="93"/>
      <c r="C4" s="104" t="str">
        <f>'Stavební rozpočet'!D4</f>
        <v>Rekonstrukce střechy</v>
      </c>
      <c r="D4" s="93"/>
      <c r="E4" s="104" t="s">
        <v>284</v>
      </c>
      <c r="F4" s="104" t="str">
        <f>'Stavební rozpočet'!J4</f>
        <v>CHMELS - projekty a systémy s.r.o.</v>
      </c>
      <c r="G4" s="93"/>
      <c r="H4" s="104" t="s">
        <v>467</v>
      </c>
      <c r="I4" s="124" t="s">
        <v>471</v>
      </c>
      <c r="J4" s="40"/>
    </row>
    <row r="5" spans="1:10" ht="12.75">
      <c r="A5" s="92"/>
      <c r="B5" s="93"/>
      <c r="C5" s="93"/>
      <c r="D5" s="93"/>
      <c r="E5" s="93"/>
      <c r="F5" s="93"/>
      <c r="G5" s="93"/>
      <c r="H5" s="93"/>
      <c r="I5" s="102"/>
      <c r="J5" s="40"/>
    </row>
    <row r="6" spans="1:10" ht="12.75">
      <c r="A6" s="103" t="s">
        <v>3</v>
      </c>
      <c r="B6" s="93"/>
      <c r="C6" s="104" t="str">
        <f>'Stavební rozpočet'!D6</f>
        <v>Brandýs nad Labem - Stará Boleslav, Královická 668</v>
      </c>
      <c r="D6" s="93"/>
      <c r="E6" s="104" t="s">
        <v>285</v>
      </c>
      <c r="F6" s="104" t="str">
        <f>'Stavební rozpočet'!J6</f>
        <v> </v>
      </c>
      <c r="G6" s="93"/>
      <c r="H6" s="104" t="s">
        <v>467</v>
      </c>
      <c r="I6" s="124"/>
      <c r="J6" s="40"/>
    </row>
    <row r="7" spans="1:10" ht="12.75">
      <c r="A7" s="92"/>
      <c r="B7" s="93"/>
      <c r="C7" s="93"/>
      <c r="D7" s="93"/>
      <c r="E7" s="93"/>
      <c r="F7" s="93"/>
      <c r="G7" s="93"/>
      <c r="H7" s="93"/>
      <c r="I7" s="102"/>
      <c r="J7" s="40"/>
    </row>
    <row r="8" spans="1:10" ht="12.75">
      <c r="A8" s="103" t="s">
        <v>266</v>
      </c>
      <c r="B8" s="93"/>
      <c r="C8" s="104" t="str">
        <f>'Stavební rozpočet'!G4</f>
        <v> </v>
      </c>
      <c r="D8" s="93"/>
      <c r="E8" s="104" t="s">
        <v>267</v>
      </c>
      <c r="F8" s="104" t="str">
        <f>'Stavební rozpočet'!G6</f>
        <v> </v>
      </c>
      <c r="G8" s="93"/>
      <c r="H8" s="105" t="s">
        <v>468</v>
      </c>
      <c r="I8" s="124" t="s">
        <v>73</v>
      </c>
      <c r="J8" s="40"/>
    </row>
    <row r="9" spans="1:10" ht="12.75">
      <c r="A9" s="92"/>
      <c r="B9" s="93"/>
      <c r="C9" s="93"/>
      <c r="D9" s="93"/>
      <c r="E9" s="93"/>
      <c r="F9" s="93"/>
      <c r="G9" s="93"/>
      <c r="H9" s="93"/>
      <c r="I9" s="102"/>
      <c r="J9" s="40"/>
    </row>
    <row r="10" spans="1:10" ht="12.75">
      <c r="A10" s="103" t="s">
        <v>4</v>
      </c>
      <c r="B10" s="93"/>
      <c r="C10" s="104">
        <f>'Stavební rozpočet'!D8</f>
        <v>8013</v>
      </c>
      <c r="D10" s="93"/>
      <c r="E10" s="104" t="s">
        <v>286</v>
      </c>
      <c r="F10" s="104" t="str">
        <f>'Stavební rozpočet'!J8</f>
        <v> </v>
      </c>
      <c r="G10" s="93"/>
      <c r="H10" s="105" t="s">
        <v>469</v>
      </c>
      <c r="I10" s="127" t="str">
        <f>'Stavební rozpočet'!G8</f>
        <v>13.06.2017</v>
      </c>
      <c r="J10" s="40"/>
    </row>
    <row r="11" spans="1:10" ht="12.75">
      <c r="A11" s="125"/>
      <c r="B11" s="126"/>
      <c r="C11" s="126"/>
      <c r="D11" s="126"/>
      <c r="E11" s="126"/>
      <c r="F11" s="126"/>
      <c r="G11" s="126"/>
      <c r="H11" s="126"/>
      <c r="I11" s="128"/>
      <c r="J11" s="40"/>
    </row>
    <row r="12" spans="1:9" ht="12.75">
      <c r="A12" s="8"/>
      <c r="B12" s="8"/>
      <c r="C12" s="8"/>
      <c r="D12" s="8"/>
      <c r="E12" s="8"/>
      <c r="F12" s="8"/>
      <c r="G12" s="8"/>
      <c r="H12" s="8"/>
      <c r="I12" s="8"/>
    </row>
    <row r="13" spans="1:9" ht="15" customHeight="1">
      <c r="A13" s="148" t="s">
        <v>472</v>
      </c>
      <c r="B13" s="149"/>
      <c r="C13" s="149"/>
      <c r="D13" s="149"/>
      <c r="E13" s="149"/>
      <c r="F13" s="78"/>
      <c r="G13" s="78"/>
      <c r="H13" s="78"/>
      <c r="I13" s="78"/>
    </row>
    <row r="14" spans="1:10" ht="12.75">
      <c r="A14" s="150" t="s">
        <v>473</v>
      </c>
      <c r="B14" s="151"/>
      <c r="C14" s="151"/>
      <c r="D14" s="151"/>
      <c r="E14" s="152"/>
      <c r="F14" s="79" t="s">
        <v>481</v>
      </c>
      <c r="G14" s="79" t="s">
        <v>482</v>
      </c>
      <c r="H14" s="79" t="s">
        <v>483</v>
      </c>
      <c r="I14" s="79" t="s">
        <v>481</v>
      </c>
      <c r="J14" s="41"/>
    </row>
    <row r="15" spans="1:10" ht="12.75">
      <c r="A15" s="153" t="s">
        <v>444</v>
      </c>
      <c r="B15" s="154"/>
      <c r="C15" s="154"/>
      <c r="D15" s="154"/>
      <c r="E15" s="155"/>
      <c r="F15" s="80">
        <v>0</v>
      </c>
      <c r="G15" s="83"/>
      <c r="H15" s="83"/>
      <c r="I15" s="80">
        <f>F15</f>
        <v>0</v>
      </c>
      <c r="J15" s="40"/>
    </row>
    <row r="16" spans="1:10" ht="12.75">
      <c r="A16" s="153" t="s">
        <v>445</v>
      </c>
      <c r="B16" s="154"/>
      <c r="C16" s="154"/>
      <c r="D16" s="154"/>
      <c r="E16" s="155"/>
      <c r="F16" s="80">
        <v>0</v>
      </c>
      <c r="G16" s="83"/>
      <c r="H16" s="83"/>
      <c r="I16" s="80">
        <f>F16</f>
        <v>0</v>
      </c>
      <c r="J16" s="40"/>
    </row>
    <row r="17" spans="1:10" ht="12.75">
      <c r="A17" s="156" t="s">
        <v>446</v>
      </c>
      <c r="B17" s="157"/>
      <c r="C17" s="157"/>
      <c r="D17" s="157"/>
      <c r="E17" s="158"/>
      <c r="F17" s="81">
        <v>0</v>
      </c>
      <c r="G17" s="84"/>
      <c r="H17" s="84"/>
      <c r="I17" s="81">
        <f>F17</f>
        <v>0</v>
      </c>
      <c r="J17" s="40"/>
    </row>
    <row r="18" spans="1:10" ht="12.75">
      <c r="A18" s="159" t="s">
        <v>474</v>
      </c>
      <c r="B18" s="160"/>
      <c r="C18" s="160"/>
      <c r="D18" s="160"/>
      <c r="E18" s="161"/>
      <c r="F18" s="82"/>
      <c r="G18" s="85"/>
      <c r="H18" s="85"/>
      <c r="I18" s="86">
        <f>SUM(I15:I17)</f>
        <v>0</v>
      </c>
      <c r="J18" s="41"/>
    </row>
    <row r="19" spans="1:9" ht="12.75">
      <c r="A19" s="77"/>
      <c r="B19" s="77"/>
      <c r="C19" s="77"/>
      <c r="D19" s="77"/>
      <c r="E19" s="77"/>
      <c r="F19" s="77"/>
      <c r="G19" s="77"/>
      <c r="H19" s="77"/>
      <c r="I19" s="77"/>
    </row>
    <row r="20" spans="1:10" ht="12.75">
      <c r="A20" s="150" t="s">
        <v>470</v>
      </c>
      <c r="B20" s="151"/>
      <c r="C20" s="151"/>
      <c r="D20" s="151"/>
      <c r="E20" s="152"/>
      <c r="F20" s="79" t="s">
        <v>481</v>
      </c>
      <c r="G20" s="79" t="s">
        <v>482</v>
      </c>
      <c r="H20" s="79" t="s">
        <v>483</v>
      </c>
      <c r="I20" s="79" t="s">
        <v>481</v>
      </c>
      <c r="J20" s="41"/>
    </row>
    <row r="21" spans="1:10" ht="12.75">
      <c r="A21" s="153" t="s">
        <v>454</v>
      </c>
      <c r="B21" s="154"/>
      <c r="C21" s="154"/>
      <c r="D21" s="154"/>
      <c r="E21" s="155"/>
      <c r="F21" s="83"/>
      <c r="G21" s="80">
        <v>2</v>
      </c>
      <c r="H21" s="80">
        <f>'Krycí list rozpočtu'!C22</f>
        <v>0</v>
      </c>
      <c r="I21" s="80">
        <f>(G21/100)*H21</f>
        <v>0</v>
      </c>
      <c r="J21" s="40"/>
    </row>
    <row r="22" spans="1:10" ht="12.75">
      <c r="A22" s="153" t="s">
        <v>455</v>
      </c>
      <c r="B22" s="154"/>
      <c r="C22" s="154"/>
      <c r="D22" s="154"/>
      <c r="E22" s="155"/>
      <c r="F22" s="80">
        <v>0</v>
      </c>
      <c r="G22" s="83"/>
      <c r="H22" s="83"/>
      <c r="I22" s="80">
        <f>F22</f>
        <v>0</v>
      </c>
      <c r="J22" s="40"/>
    </row>
    <row r="23" spans="1:10" ht="12.75">
      <c r="A23" s="153" t="s">
        <v>456</v>
      </c>
      <c r="B23" s="154"/>
      <c r="C23" s="154"/>
      <c r="D23" s="154"/>
      <c r="E23" s="155"/>
      <c r="F23" s="80">
        <v>0</v>
      </c>
      <c r="G23" s="83"/>
      <c r="H23" s="83"/>
      <c r="I23" s="80">
        <f>F23</f>
        <v>0</v>
      </c>
      <c r="J23" s="40"/>
    </row>
    <row r="24" spans="1:10" ht="12.75">
      <c r="A24" s="153" t="s">
        <v>457</v>
      </c>
      <c r="B24" s="154"/>
      <c r="C24" s="154"/>
      <c r="D24" s="154"/>
      <c r="E24" s="155"/>
      <c r="F24" s="80">
        <v>0</v>
      </c>
      <c r="G24" s="83"/>
      <c r="H24" s="83"/>
      <c r="I24" s="80">
        <f>F24</f>
        <v>0</v>
      </c>
      <c r="J24" s="40"/>
    </row>
    <row r="25" spans="1:10" ht="12.75">
      <c r="A25" s="153" t="s">
        <v>458</v>
      </c>
      <c r="B25" s="154"/>
      <c r="C25" s="154"/>
      <c r="D25" s="154"/>
      <c r="E25" s="155"/>
      <c r="F25" s="80">
        <v>0</v>
      </c>
      <c r="G25" s="83"/>
      <c r="H25" s="83"/>
      <c r="I25" s="80">
        <f>F25</f>
        <v>0</v>
      </c>
      <c r="J25" s="40"/>
    </row>
    <row r="26" spans="1:10" ht="12.75">
      <c r="A26" s="156" t="s">
        <v>459</v>
      </c>
      <c r="B26" s="157"/>
      <c r="C26" s="157"/>
      <c r="D26" s="157"/>
      <c r="E26" s="158"/>
      <c r="F26" s="81">
        <v>0</v>
      </c>
      <c r="G26" s="84"/>
      <c r="H26" s="84"/>
      <c r="I26" s="81">
        <f>F26</f>
        <v>0</v>
      </c>
      <c r="J26" s="40"/>
    </row>
    <row r="27" spans="1:10" ht="12.75">
      <c r="A27" s="159" t="s">
        <v>475</v>
      </c>
      <c r="B27" s="160"/>
      <c r="C27" s="160"/>
      <c r="D27" s="160"/>
      <c r="E27" s="161"/>
      <c r="F27" s="82"/>
      <c r="G27" s="85"/>
      <c r="H27" s="85"/>
      <c r="I27" s="86">
        <f>SUM(I21:I26)</f>
        <v>0</v>
      </c>
      <c r="J27" s="41"/>
    </row>
    <row r="28" spans="1:9" ht="12.75">
      <c r="A28" s="77"/>
      <c r="B28" s="77"/>
      <c r="C28" s="77"/>
      <c r="D28" s="77"/>
      <c r="E28" s="77"/>
      <c r="F28" s="77"/>
      <c r="G28" s="77"/>
      <c r="H28" s="77"/>
      <c r="I28" s="77"/>
    </row>
    <row r="29" spans="1:10" ht="15" customHeight="1">
      <c r="A29" s="162" t="s">
        <v>476</v>
      </c>
      <c r="B29" s="163"/>
      <c r="C29" s="163"/>
      <c r="D29" s="163"/>
      <c r="E29" s="164"/>
      <c r="F29" s="165">
        <f>I18+I27</f>
        <v>0</v>
      </c>
      <c r="G29" s="166"/>
      <c r="H29" s="166"/>
      <c r="I29" s="167"/>
      <c r="J29" s="41"/>
    </row>
    <row r="30" spans="1:9" ht="12.75">
      <c r="A30" s="68"/>
      <c r="B30" s="68"/>
      <c r="C30" s="68"/>
      <c r="D30" s="68"/>
      <c r="E30" s="68"/>
      <c r="F30" s="68"/>
      <c r="G30" s="68"/>
      <c r="H30" s="68"/>
      <c r="I30" s="68"/>
    </row>
    <row r="33" spans="1:9" ht="15" customHeight="1">
      <c r="A33" s="148" t="s">
        <v>477</v>
      </c>
      <c r="B33" s="149"/>
      <c r="C33" s="149"/>
      <c r="D33" s="149"/>
      <c r="E33" s="149"/>
      <c r="F33" s="78"/>
      <c r="G33" s="78"/>
      <c r="H33" s="78"/>
      <c r="I33" s="78"/>
    </row>
    <row r="34" spans="1:10" ht="12.75">
      <c r="A34" s="150" t="s">
        <v>478</v>
      </c>
      <c r="B34" s="151"/>
      <c r="C34" s="151"/>
      <c r="D34" s="151"/>
      <c r="E34" s="152"/>
      <c r="F34" s="79" t="s">
        <v>481</v>
      </c>
      <c r="G34" s="79" t="s">
        <v>482</v>
      </c>
      <c r="H34" s="79" t="s">
        <v>483</v>
      </c>
      <c r="I34" s="79" t="s">
        <v>481</v>
      </c>
      <c r="J34" s="41"/>
    </row>
    <row r="35" spans="1:10" ht="12.75">
      <c r="A35" s="156"/>
      <c r="B35" s="157"/>
      <c r="C35" s="157"/>
      <c r="D35" s="157"/>
      <c r="E35" s="158"/>
      <c r="F35" s="81">
        <v>0</v>
      </c>
      <c r="G35" s="84"/>
      <c r="H35" s="84"/>
      <c r="I35" s="81">
        <f>F35</f>
        <v>0</v>
      </c>
      <c r="J35" s="40"/>
    </row>
    <row r="36" spans="1:10" ht="12.75">
      <c r="A36" s="159" t="s">
        <v>479</v>
      </c>
      <c r="B36" s="160"/>
      <c r="C36" s="160"/>
      <c r="D36" s="160"/>
      <c r="E36" s="161"/>
      <c r="F36" s="82"/>
      <c r="G36" s="85"/>
      <c r="H36" s="85"/>
      <c r="I36" s="86">
        <f>SUM(I35:I35)</f>
        <v>0</v>
      </c>
      <c r="J36" s="41"/>
    </row>
    <row r="37" spans="1:9" ht="12.75">
      <c r="A37" s="68"/>
      <c r="B37" s="68"/>
      <c r="C37" s="68"/>
      <c r="D37" s="68"/>
      <c r="E37" s="68"/>
      <c r="F37" s="68"/>
      <c r="G37" s="68"/>
      <c r="H37" s="68"/>
      <c r="I37" s="68"/>
    </row>
  </sheetData>
  <sheetProtection/>
  <mergeCells count="51">
    <mergeCell ref="A35:E35"/>
    <mergeCell ref="A36:E36"/>
    <mergeCell ref="A26:E26"/>
    <mergeCell ref="A27:E27"/>
    <mergeCell ref="A29:E29"/>
    <mergeCell ref="F29:I29"/>
    <mergeCell ref="A33:E33"/>
    <mergeCell ref="A34:E34"/>
    <mergeCell ref="A20:E20"/>
    <mergeCell ref="A21:E21"/>
    <mergeCell ref="A22:E22"/>
    <mergeCell ref="A23:E23"/>
    <mergeCell ref="A24:E24"/>
    <mergeCell ref="A25:E25"/>
    <mergeCell ref="A13:E13"/>
    <mergeCell ref="A14:E14"/>
    <mergeCell ref="A15:E15"/>
    <mergeCell ref="A16:E16"/>
    <mergeCell ref="A17:E17"/>
    <mergeCell ref="A18:E18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Tomas Hladik</cp:lastModifiedBy>
  <dcterms:modified xsi:type="dcterms:W3CDTF">2018-05-03T05:10:29Z</dcterms:modified>
  <cp:category/>
  <cp:version/>
  <cp:contentType/>
  <cp:contentStatus/>
</cp:coreProperties>
</file>