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Můj disk\Rozpocty\393 Rekonstrukce gymnazia Hostivice (Petele)\nabidka\20230923\"/>
    </mc:Choice>
  </mc:AlternateContent>
  <xr:revisionPtr revIDLastSave="0" documentId="13_ncr:1_{C94C62DE-930E-446F-AA84-F50B44F09281}" xr6:coauthVersionLast="47" xr6:coauthVersionMax="47" xr10:uidLastSave="{00000000-0000-0000-0000-000000000000}"/>
  <bookViews>
    <workbookView xWindow="-110" yWindow="-110" windowWidth="38620" windowHeight="21220" activeTab="2" xr2:uid="{00000000-000D-0000-FFFF-FFFF00000000}"/>
  </bookViews>
  <sheets>
    <sheet name="Rekapitulace stavby" sheetId="1" r:id="rId1"/>
    <sheet name="01 - Bourací práce" sheetId="2" r:id="rId2"/>
    <sheet name="02 - Nové konstrukce" sheetId="3" r:id="rId3"/>
    <sheet name="zdravotechnika" sheetId="6" r:id="rId4"/>
    <sheet name="plyn" sheetId="7" r:id="rId5"/>
    <sheet name="vytapeni" sheetId="8" r:id="rId6"/>
    <sheet name="elektroinstalace" sheetId="9" r:id="rId7"/>
    <sheet name="slaboproud" sheetId="10" r:id="rId8"/>
    <sheet name="klimatizace" sheetId="11" r:id="rId9"/>
    <sheet name="vybaveni laboratori" sheetId="12" r:id="rId10"/>
    <sheet name="03 - Vedlejší rozpočtové ..." sheetId="4" r:id="rId11"/>
    <sheet name="Pokyny pro vyplnění" sheetId="5" r:id="rId12"/>
  </sheets>
  <externalReferences>
    <externalReference r:id="rId13"/>
  </externalReferences>
  <definedNames>
    <definedName name="_xlnm._FilterDatabase" localSheetId="1" hidden="1">'01 - Bourací práce'!$C$95:$K$362</definedName>
    <definedName name="_xlnm._FilterDatabase" localSheetId="2" hidden="1">'02 - Nové konstrukce'!$C$110:$K$1300</definedName>
    <definedName name="_xlnm._FilterDatabase" localSheetId="10" hidden="1">'03 - Vedlejší rozpočtové ...'!$C$84:$K$124</definedName>
    <definedName name="Excel_BuiltIn_Print_Area">#REF!</definedName>
    <definedName name="_xlnm.Print_Titles" localSheetId="1">'01 - Bourací práce'!$95:$95</definedName>
    <definedName name="_xlnm.Print_Titles" localSheetId="2">'02 - Nové konstrukce'!$110:$110</definedName>
    <definedName name="_xlnm.Print_Titles" localSheetId="10">'03 - Vedlejší rozpočtové ...'!$84:$84</definedName>
    <definedName name="_xlnm.Print_Titles" localSheetId="0">'Rekapitulace stavby'!$52:$52</definedName>
    <definedName name="_xlnm.Print_Titles" localSheetId="5">vytapeni!$1:$3</definedName>
    <definedName name="_xlnm.Print_Area" localSheetId="1">'01 - Bourací práce'!$C$4:$J$39,'01 - Bourací práce'!$C$45:$J$77,'01 - Bourací práce'!$C$83:$K$362</definedName>
    <definedName name="_xlnm.Print_Area" localSheetId="2">'02 - Nové konstrukce'!$C$4:$J$39,'02 - Nové konstrukce'!$C$45:$J$92,'02 - Nové konstrukce'!$C$98:$K$1300</definedName>
    <definedName name="_xlnm.Print_Area" localSheetId="10">'03 - Vedlejší rozpočtové ...'!$C$4:$J$39,'03 - Vedlejší rozpočtové ...'!$C$45:$J$66,'03 - Vedlejší rozpočtové ...'!$C$72:$K$124</definedName>
    <definedName name="_xlnm.Print_Area" localSheetId="8">klimatizace!$A$1:$L$47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5">vytapeni!$A$1:$I$111</definedName>
    <definedName name="_xlnm.Print_Area" localSheetId="3">zdravotechnika!$D$120:$J$150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6" i="3" l="1"/>
  <c r="I500" i="3"/>
  <c r="I496" i="3"/>
  <c r="I495" i="3"/>
  <c r="I492" i="3"/>
  <c r="I489" i="3"/>
  <c r="I488" i="3"/>
  <c r="I15" i="12"/>
  <c r="H15" i="12"/>
  <c r="G15" i="12"/>
  <c r="I14" i="12"/>
  <c r="H14" i="12"/>
  <c r="G14" i="12"/>
  <c r="I13" i="12"/>
  <c r="H13" i="12"/>
  <c r="G13" i="12"/>
  <c r="I12" i="12"/>
  <c r="I16" i="12" s="1"/>
  <c r="H12" i="12"/>
  <c r="H16" i="12" s="1"/>
  <c r="G12" i="12"/>
  <c r="G16" i="12" s="1"/>
  <c r="I9" i="12"/>
  <c r="H9" i="12"/>
  <c r="I8" i="12"/>
  <c r="H8" i="12"/>
  <c r="G8" i="12"/>
  <c r="I7" i="12"/>
  <c r="H7" i="12"/>
  <c r="G7" i="12"/>
  <c r="G9" i="12" s="1"/>
  <c r="K44" i="11"/>
  <c r="J44" i="11"/>
  <c r="J43" i="11"/>
  <c r="J42" i="11"/>
  <c r="J41" i="11"/>
  <c r="J40" i="11"/>
  <c r="J39" i="11"/>
  <c r="J38" i="11"/>
  <c r="A38" i="11"/>
  <c r="A39" i="11" s="1"/>
  <c r="A40" i="11" s="1"/>
  <c r="A41" i="11" s="1"/>
  <c r="A42" i="11" s="1"/>
  <c r="A43" i="11" s="1"/>
  <c r="J37" i="11"/>
  <c r="A37" i="11"/>
  <c r="J36" i="11"/>
  <c r="K31" i="11"/>
  <c r="J29" i="11"/>
  <c r="J28" i="11"/>
  <c r="J31" i="11" s="1"/>
  <c r="K22" i="11"/>
  <c r="J50" i="11" s="1"/>
  <c r="J21" i="11"/>
  <c r="J20" i="11"/>
  <c r="J19" i="11"/>
  <c r="J18" i="11"/>
  <c r="J17" i="11"/>
  <c r="J16" i="11"/>
  <c r="J15" i="11"/>
  <c r="J14" i="11"/>
  <c r="J13" i="11"/>
  <c r="A13" i="11"/>
  <c r="A14" i="11" s="1"/>
  <c r="A15" i="11" s="1"/>
  <c r="A16" i="11" s="1"/>
  <c r="A17" i="11" s="1"/>
  <c r="A18" i="11" s="1"/>
  <c r="A19" i="11" s="1"/>
  <c r="A20" i="11" s="1"/>
  <c r="A21" i="11" s="1"/>
  <c r="J12" i="11"/>
  <c r="J22" i="11" s="1"/>
  <c r="J49" i="11" s="1"/>
  <c r="E125" i="10"/>
  <c r="E124" i="10"/>
  <c r="E123" i="10"/>
  <c r="E122" i="10"/>
  <c r="E121" i="10"/>
  <c r="E120" i="10"/>
  <c r="E117" i="10"/>
  <c r="E116" i="10"/>
  <c r="E115" i="10"/>
  <c r="E114" i="10"/>
  <c r="E113" i="10"/>
  <c r="E112" i="10"/>
  <c r="E109" i="10"/>
  <c r="E108" i="10"/>
  <c r="E107" i="10"/>
  <c r="E106" i="10"/>
  <c r="E103" i="10"/>
  <c r="E102" i="10"/>
  <c r="E101" i="10"/>
  <c r="E100" i="10"/>
  <c r="E99" i="10"/>
  <c r="E98" i="10"/>
  <c r="E97" i="10"/>
  <c r="E96" i="10"/>
  <c r="E95" i="10"/>
  <c r="E94" i="10"/>
  <c r="E93" i="10"/>
  <c r="E90" i="10"/>
  <c r="E89" i="10"/>
  <c r="E88" i="10"/>
  <c r="E87" i="10"/>
  <c r="E86" i="10"/>
  <c r="E83" i="10"/>
  <c r="E82" i="10"/>
  <c r="E81" i="10"/>
  <c r="E80" i="10"/>
  <c r="E79" i="10"/>
  <c r="E78" i="10"/>
  <c r="E75" i="10"/>
  <c r="E74" i="10"/>
  <c r="E73" i="10"/>
  <c r="E72" i="10"/>
  <c r="E71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127" i="10" s="1"/>
  <c r="E128" i="10" s="1"/>
  <c r="F111" i="9"/>
  <c r="F110" i="9"/>
  <c r="F108" i="9"/>
  <c r="F106" i="9"/>
  <c r="F102" i="9"/>
  <c r="F101" i="9"/>
  <c r="F100" i="9"/>
  <c r="F96" i="9" s="1"/>
  <c r="F97" i="9"/>
  <c r="F94" i="9"/>
  <c r="F92" i="9"/>
  <c r="F91" i="9"/>
  <c r="F89" i="9"/>
  <c r="F87" i="9"/>
  <c r="F86" i="9"/>
  <c r="F85" i="9"/>
  <c r="F84" i="9"/>
  <c r="F83" i="9"/>
  <c r="F81" i="9"/>
  <c r="F79" i="9"/>
  <c r="F77" i="9"/>
  <c r="F75" i="9"/>
  <c r="F73" i="9"/>
  <c r="F67" i="9" s="1"/>
  <c r="F71" i="9"/>
  <c r="F69" i="9"/>
  <c r="F64" i="9"/>
  <c r="F63" i="9"/>
  <c r="F62" i="9"/>
  <c r="F61" i="9"/>
  <c r="F60" i="9"/>
  <c r="F59" i="9" s="1"/>
  <c r="F56" i="9"/>
  <c r="F55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5" i="9"/>
  <c r="F24" i="9"/>
  <c r="F23" i="9"/>
  <c r="F22" i="9"/>
  <c r="F20" i="9" s="1"/>
  <c r="F21" i="9"/>
  <c r="F17" i="9"/>
  <c r="F16" i="9"/>
  <c r="F15" i="9"/>
  <c r="F14" i="9"/>
  <c r="F13" i="9"/>
  <c r="F12" i="9"/>
  <c r="F11" i="9" s="1"/>
  <c r="I110" i="8"/>
  <c r="I109" i="8"/>
  <c r="I108" i="8"/>
  <c r="I107" i="8"/>
  <c r="I106" i="8"/>
  <c r="I111" i="8" s="1"/>
  <c r="I113" i="8" s="1"/>
  <c r="I105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4" i="8"/>
  <c r="I43" i="8"/>
  <c r="I42" i="8"/>
  <c r="I41" i="8"/>
  <c r="I40" i="8"/>
  <c r="I39" i="8"/>
  <c r="I38" i="8"/>
  <c r="I37" i="8"/>
  <c r="I36" i="8"/>
  <c r="I35" i="8"/>
  <c r="I32" i="8"/>
  <c r="I31" i="8"/>
  <c r="I30" i="8"/>
  <c r="I29" i="8"/>
  <c r="I28" i="8"/>
  <c r="I27" i="8"/>
  <c r="I26" i="8"/>
  <c r="I25" i="8"/>
  <c r="I24" i="8"/>
  <c r="I21" i="8"/>
  <c r="I20" i="8"/>
  <c r="I19" i="8"/>
  <c r="I18" i="8"/>
  <c r="I17" i="8"/>
  <c r="I16" i="8"/>
  <c r="I15" i="8"/>
  <c r="I14" i="8"/>
  <c r="I13" i="8"/>
  <c r="I12" i="8"/>
  <c r="I11" i="8"/>
  <c r="I8" i="8"/>
  <c r="I7" i="8"/>
  <c r="I102" i="8" s="1"/>
  <c r="I6" i="8"/>
  <c r="H32" i="7"/>
  <c r="H31" i="7"/>
  <c r="H30" i="7"/>
  <c r="H29" i="7"/>
  <c r="H27" i="7"/>
  <c r="H26" i="7"/>
  <c r="H24" i="7"/>
  <c r="H23" i="7"/>
  <c r="H22" i="7"/>
  <c r="H21" i="7"/>
  <c r="H20" i="7"/>
  <c r="H15" i="7" s="1"/>
  <c r="H19" i="7"/>
  <c r="H18" i="7"/>
  <c r="AA149" i="6"/>
  <c r="Z149" i="6"/>
  <c r="O149" i="6"/>
  <c r="G149" i="6"/>
  <c r="AE149" i="6" s="1"/>
  <c r="J147" i="6"/>
  <c r="G147" i="6"/>
  <c r="G145" i="6"/>
  <c r="J145" i="6" s="1"/>
  <c r="J142" i="6"/>
  <c r="G142" i="6"/>
  <c r="G140" i="6"/>
  <c r="J140" i="6" s="1"/>
  <c r="J139" i="6"/>
  <c r="G139" i="6"/>
  <c r="G138" i="6"/>
  <c r="J138" i="6" s="1"/>
  <c r="J137" i="6"/>
  <c r="G137" i="6"/>
  <c r="AA136" i="6"/>
  <c r="Z136" i="6"/>
  <c r="O136" i="6"/>
  <c r="G136" i="6"/>
  <c r="AF136" i="6" s="1"/>
  <c r="AA135" i="6"/>
  <c r="Z135" i="6"/>
  <c r="O135" i="6"/>
  <c r="G135" i="6"/>
  <c r="AF135" i="6" s="1"/>
  <c r="AA134" i="6"/>
  <c r="Z134" i="6"/>
  <c r="O134" i="6"/>
  <c r="G134" i="6"/>
  <c r="AF134" i="6" s="1"/>
  <c r="AA133" i="6"/>
  <c r="Z133" i="6"/>
  <c r="O133" i="6"/>
  <c r="G133" i="6"/>
  <c r="AF133" i="6" s="1"/>
  <c r="AA132" i="6"/>
  <c r="Z132" i="6"/>
  <c r="O132" i="6"/>
  <c r="G132" i="6"/>
  <c r="AF132" i="6" s="1"/>
  <c r="AA131" i="6"/>
  <c r="Z131" i="6"/>
  <c r="O131" i="6"/>
  <c r="G131" i="6"/>
  <c r="AF131" i="6" s="1"/>
  <c r="AA130" i="6"/>
  <c r="AJ122" i="6" s="1"/>
  <c r="Z130" i="6"/>
  <c r="O130" i="6"/>
  <c r="G130" i="6"/>
  <c r="AF130" i="6" s="1"/>
  <c r="F130" i="6"/>
  <c r="AA129" i="6"/>
  <c r="Z129" i="6"/>
  <c r="O129" i="6"/>
  <c r="J129" i="6"/>
  <c r="AB129" i="6" s="1"/>
  <c r="G129" i="6"/>
  <c r="AF129" i="6" s="1"/>
  <c r="J128" i="6"/>
  <c r="G128" i="6"/>
  <c r="AF127" i="6"/>
  <c r="AE127" i="6"/>
  <c r="AA127" i="6"/>
  <c r="Z127" i="6"/>
  <c r="O127" i="6"/>
  <c r="J127" i="6"/>
  <c r="AB127" i="6" s="1"/>
  <c r="G127" i="6"/>
  <c r="J126" i="6"/>
  <c r="G126" i="6"/>
  <c r="AA125" i="6"/>
  <c r="Z125" i="6"/>
  <c r="O125" i="6"/>
  <c r="J125" i="6"/>
  <c r="AB125" i="6" s="1"/>
  <c r="G125" i="6"/>
  <c r="AF125" i="6" s="1"/>
  <c r="J124" i="6"/>
  <c r="G124" i="6"/>
  <c r="AF123" i="6"/>
  <c r="AE123" i="6"/>
  <c r="AA123" i="6"/>
  <c r="Z123" i="6"/>
  <c r="AI122" i="6" s="1"/>
  <c r="O123" i="6"/>
  <c r="P122" i="6" s="1"/>
  <c r="U122" i="6" s="1"/>
  <c r="J123" i="6"/>
  <c r="AB123" i="6" s="1"/>
  <c r="G123" i="6"/>
  <c r="X122" i="6"/>
  <c r="W122" i="6"/>
  <c r="V122" i="6"/>
  <c r="T122" i="6"/>
  <c r="S122" i="6"/>
  <c r="R122" i="6"/>
  <c r="AF121" i="6"/>
  <c r="AE121" i="6"/>
  <c r="AA121" i="6"/>
  <c r="Z121" i="6"/>
  <c r="O121" i="6"/>
  <c r="J121" i="6"/>
  <c r="AB121" i="6" s="1"/>
  <c r="G121" i="6"/>
  <c r="AF120" i="6"/>
  <c r="AE120" i="6"/>
  <c r="AA120" i="6"/>
  <c r="Z120" i="6"/>
  <c r="AI80" i="6" s="1"/>
  <c r="O120" i="6"/>
  <c r="P80" i="6" s="1"/>
  <c r="U80" i="6" s="1"/>
  <c r="J120" i="6"/>
  <c r="AB120" i="6" s="1"/>
  <c r="G120" i="6"/>
  <c r="J119" i="6"/>
  <c r="G119" i="6"/>
  <c r="J118" i="6"/>
  <c r="G118" i="6"/>
  <c r="J117" i="6"/>
  <c r="G117" i="6"/>
  <c r="J116" i="6"/>
  <c r="G116" i="6"/>
  <c r="J114" i="6"/>
  <c r="G114" i="6"/>
  <c r="J113" i="6"/>
  <c r="G113" i="6"/>
  <c r="J112" i="6"/>
  <c r="G112" i="6"/>
  <c r="J109" i="6"/>
  <c r="G109" i="6"/>
  <c r="J108" i="6"/>
  <c r="G108" i="6"/>
  <c r="J105" i="6"/>
  <c r="G105" i="6"/>
  <c r="J104" i="6"/>
  <c r="G104" i="6"/>
  <c r="J103" i="6"/>
  <c r="G103" i="6"/>
  <c r="J102" i="6"/>
  <c r="G102" i="6"/>
  <c r="J101" i="6"/>
  <c r="G101" i="6"/>
  <c r="J100" i="6"/>
  <c r="G100" i="6"/>
  <c r="J99" i="6"/>
  <c r="G99" i="6"/>
  <c r="J98" i="6"/>
  <c r="G98" i="6"/>
  <c r="J96" i="6"/>
  <c r="G96" i="6"/>
  <c r="J95" i="6"/>
  <c r="G95" i="6"/>
  <c r="J94" i="6"/>
  <c r="G94" i="6"/>
  <c r="J93" i="6"/>
  <c r="G93" i="6"/>
  <c r="AA92" i="6"/>
  <c r="Z92" i="6"/>
  <c r="O92" i="6"/>
  <c r="J92" i="6"/>
  <c r="AB92" i="6" s="1"/>
  <c r="G92" i="6"/>
  <c r="AF92" i="6" s="1"/>
  <c r="AA91" i="6"/>
  <c r="Z91" i="6"/>
  <c r="O91" i="6"/>
  <c r="J91" i="6"/>
  <c r="AB91" i="6" s="1"/>
  <c r="G91" i="6"/>
  <c r="AF91" i="6" s="1"/>
  <c r="AA90" i="6"/>
  <c r="Z90" i="6"/>
  <c r="O90" i="6"/>
  <c r="J90" i="6"/>
  <c r="AB90" i="6" s="1"/>
  <c r="G90" i="6"/>
  <c r="AF90" i="6" s="1"/>
  <c r="AA89" i="6"/>
  <c r="Z89" i="6"/>
  <c r="O89" i="6"/>
  <c r="J89" i="6"/>
  <c r="AB89" i="6" s="1"/>
  <c r="G89" i="6"/>
  <c r="AF89" i="6" s="1"/>
  <c r="J87" i="6"/>
  <c r="G87" i="6"/>
  <c r="J86" i="6"/>
  <c r="G86" i="6"/>
  <c r="AA85" i="6"/>
  <c r="Z85" i="6"/>
  <c r="O85" i="6"/>
  <c r="J85" i="6"/>
  <c r="AB85" i="6" s="1"/>
  <c r="G85" i="6"/>
  <c r="AF85" i="6" s="1"/>
  <c r="AB84" i="6"/>
  <c r="AA84" i="6"/>
  <c r="Z84" i="6"/>
  <c r="O84" i="6"/>
  <c r="J84" i="6"/>
  <c r="G84" i="6"/>
  <c r="AF84" i="6" s="1"/>
  <c r="AA83" i="6"/>
  <c r="Z83" i="6"/>
  <c r="O83" i="6"/>
  <c r="J83" i="6"/>
  <c r="AB83" i="6" s="1"/>
  <c r="G83" i="6"/>
  <c r="AF83" i="6" s="1"/>
  <c r="AA82" i="6"/>
  <c r="Z82" i="6"/>
  <c r="O82" i="6"/>
  <c r="J82" i="6"/>
  <c r="AB82" i="6" s="1"/>
  <c r="G82" i="6"/>
  <c r="AF82" i="6" s="1"/>
  <c r="AF81" i="6"/>
  <c r="AE81" i="6"/>
  <c r="AB81" i="6"/>
  <c r="AA81" i="6"/>
  <c r="Z81" i="6"/>
  <c r="O81" i="6"/>
  <c r="AJ80" i="6"/>
  <c r="X80" i="6"/>
  <c r="W80" i="6"/>
  <c r="V80" i="6"/>
  <c r="T80" i="6"/>
  <c r="S80" i="6"/>
  <c r="R80" i="6"/>
  <c r="AF79" i="6"/>
  <c r="AE79" i="6"/>
  <c r="AA79" i="6"/>
  <c r="Z79" i="6"/>
  <c r="O79" i="6"/>
  <c r="J79" i="6"/>
  <c r="AB79" i="6" s="1"/>
  <c r="G79" i="6"/>
  <c r="J76" i="6"/>
  <c r="G76" i="6"/>
  <c r="AA75" i="6"/>
  <c r="Z75" i="6"/>
  <c r="O75" i="6"/>
  <c r="J75" i="6"/>
  <c r="AB75" i="6" s="1"/>
  <c r="G75" i="6"/>
  <c r="AF75" i="6" s="1"/>
  <c r="AA74" i="6"/>
  <c r="Z74" i="6"/>
  <c r="O74" i="6"/>
  <c r="G74" i="6"/>
  <c r="AF74" i="6" s="1"/>
  <c r="G72" i="6"/>
  <c r="J72" i="6" s="1"/>
  <c r="J69" i="6"/>
  <c r="G69" i="6"/>
  <c r="G66" i="6"/>
  <c r="J66" i="6" s="1"/>
  <c r="J64" i="6"/>
  <c r="G64" i="6"/>
  <c r="G60" i="6"/>
  <c r="J60" i="6" s="1"/>
  <c r="J58" i="6"/>
  <c r="G58" i="6"/>
  <c r="G56" i="6"/>
  <c r="J56" i="6" s="1"/>
  <c r="J55" i="6"/>
  <c r="G55" i="6"/>
  <c r="G54" i="6"/>
  <c r="J54" i="6" s="1"/>
  <c r="J53" i="6"/>
  <c r="G53" i="6"/>
  <c r="G51" i="6"/>
  <c r="J51" i="6" s="1"/>
  <c r="J49" i="6"/>
  <c r="G49" i="6"/>
  <c r="G47" i="6"/>
  <c r="J47" i="6" s="1"/>
  <c r="J46" i="6"/>
  <c r="G46" i="6"/>
  <c r="G45" i="6"/>
  <c r="J45" i="6" s="1"/>
  <c r="J44" i="6"/>
  <c r="G44" i="6"/>
  <c r="G42" i="6"/>
  <c r="J42" i="6" s="1"/>
  <c r="J41" i="6"/>
  <c r="G41" i="6"/>
  <c r="G36" i="6"/>
  <c r="J36" i="6" s="1"/>
  <c r="J32" i="6"/>
  <c r="G32" i="6"/>
  <c r="G31" i="6"/>
  <c r="J31" i="6" s="1"/>
  <c r="J30" i="6"/>
  <c r="G30" i="6"/>
  <c r="G29" i="6"/>
  <c r="J29" i="6" s="1"/>
  <c r="J28" i="6"/>
  <c r="G28" i="6"/>
  <c r="G27" i="6"/>
  <c r="J27" i="6" s="1"/>
  <c r="J25" i="6"/>
  <c r="G25" i="6"/>
  <c r="G21" i="6"/>
  <c r="J21" i="6" s="1"/>
  <c r="J20" i="6"/>
  <c r="G20" i="6"/>
  <c r="G19" i="6"/>
  <c r="J19" i="6" s="1"/>
  <c r="AA18" i="6"/>
  <c r="AJ12" i="6" s="1"/>
  <c r="Z18" i="6"/>
  <c r="O18" i="6"/>
  <c r="G18" i="6"/>
  <c r="AF18" i="6" s="1"/>
  <c r="F18" i="6"/>
  <c r="J18" i="6" s="1"/>
  <c r="AB18" i="6" s="1"/>
  <c r="AA17" i="6"/>
  <c r="Z17" i="6"/>
  <c r="O17" i="6"/>
  <c r="J17" i="6"/>
  <c r="AB17" i="6" s="1"/>
  <c r="G17" i="6"/>
  <c r="AF17" i="6" s="1"/>
  <c r="F17" i="6"/>
  <c r="AE16" i="6"/>
  <c r="AA16" i="6"/>
  <c r="Z16" i="6"/>
  <c r="O16" i="6"/>
  <c r="J16" i="6"/>
  <c r="AB16" i="6" s="1"/>
  <c r="G16" i="6"/>
  <c r="AF16" i="6" s="1"/>
  <c r="F16" i="6"/>
  <c r="AF15" i="6"/>
  <c r="AE15" i="6"/>
  <c r="AA15" i="6"/>
  <c r="Z15" i="6"/>
  <c r="AI12" i="6" s="1"/>
  <c r="O15" i="6"/>
  <c r="G15" i="6"/>
  <c r="F15" i="6"/>
  <c r="F74" i="6" s="1"/>
  <c r="J74" i="6" s="1"/>
  <c r="AB74" i="6" s="1"/>
  <c r="J14" i="6"/>
  <c r="G14" i="6"/>
  <c r="AE13" i="6"/>
  <c r="AA13" i="6"/>
  <c r="AA150" i="6" s="1"/>
  <c r="Z13" i="6"/>
  <c r="Z150" i="6" s="1"/>
  <c r="O13" i="6"/>
  <c r="P12" i="6" s="1"/>
  <c r="U12" i="6" s="1"/>
  <c r="J13" i="6"/>
  <c r="AB13" i="6" s="1"/>
  <c r="G13" i="6"/>
  <c r="AF13" i="6" s="1"/>
  <c r="F13" i="6"/>
  <c r="X12" i="6"/>
  <c r="W12" i="6"/>
  <c r="V12" i="6"/>
  <c r="T12" i="6"/>
  <c r="S12" i="6"/>
  <c r="R12" i="6"/>
  <c r="L12" i="6"/>
  <c r="F104" i="9" l="1"/>
  <c r="F113" i="9" s="1"/>
  <c r="J53" i="11"/>
  <c r="H17" i="12"/>
  <c r="G17" i="12"/>
  <c r="AK80" i="6"/>
  <c r="I17" i="12"/>
  <c r="AE17" i="6"/>
  <c r="AE74" i="6"/>
  <c r="AE75" i="6"/>
  <c r="J80" i="6"/>
  <c r="AE82" i="6"/>
  <c r="AE83" i="6"/>
  <c r="AE84" i="6"/>
  <c r="AE85" i="6"/>
  <c r="AE89" i="6"/>
  <c r="AE90" i="6"/>
  <c r="AE91" i="6"/>
  <c r="AE92" i="6"/>
  <c r="AE125" i="6"/>
  <c r="AE129" i="6"/>
  <c r="J130" i="6"/>
  <c r="AB130" i="6" s="1"/>
  <c r="AK122" i="6" s="1"/>
  <c r="J131" i="6"/>
  <c r="AB131" i="6" s="1"/>
  <c r="J132" i="6"/>
  <c r="AB132" i="6" s="1"/>
  <c r="J133" i="6"/>
  <c r="AB133" i="6" s="1"/>
  <c r="J134" i="6"/>
  <c r="AB134" i="6" s="1"/>
  <c r="J135" i="6"/>
  <c r="AB135" i="6" s="1"/>
  <c r="J136" i="6"/>
  <c r="AB136" i="6" s="1"/>
  <c r="AF149" i="6"/>
  <c r="J15" i="6"/>
  <c r="AE18" i="6"/>
  <c r="AE130" i="6"/>
  <c r="AE131" i="6"/>
  <c r="AE132" i="6"/>
  <c r="AE133" i="6"/>
  <c r="AE134" i="6"/>
  <c r="AE135" i="6"/>
  <c r="AE136" i="6"/>
  <c r="J149" i="6"/>
  <c r="AB149" i="6" s="1"/>
  <c r="J122" i="6" l="1"/>
  <c r="J12" i="6"/>
  <c r="J150" i="6" s="1"/>
  <c r="AB15" i="6"/>
  <c r="AK12" i="6" l="1"/>
  <c r="AB150" i="6"/>
  <c r="J37" i="4" l="1"/>
  <c r="J36" i="4"/>
  <c r="AY57" i="1"/>
  <c r="J35" i="4"/>
  <c r="AX57" i="1"/>
  <c r="BI123" i="4"/>
  <c r="BH123" i="4"/>
  <c r="BG123" i="4"/>
  <c r="BF123" i="4"/>
  <c r="T123" i="4"/>
  <c r="T122" i="4"/>
  <c r="R123" i="4"/>
  <c r="R122" i="4"/>
  <c r="P123" i="4"/>
  <c r="P122" i="4"/>
  <c r="BI120" i="4"/>
  <c r="BH120" i="4"/>
  <c r="BG120" i="4"/>
  <c r="BF120" i="4"/>
  <c r="T120" i="4"/>
  <c r="T119" i="4"/>
  <c r="R120" i="4"/>
  <c r="R119" i="4"/>
  <c r="P120" i="4"/>
  <c r="P119" i="4"/>
  <c r="BI117" i="4"/>
  <c r="BH117" i="4"/>
  <c r="BG117" i="4"/>
  <c r="BF117" i="4"/>
  <c r="T117" i="4"/>
  <c r="T116" i="4"/>
  <c r="R117" i="4"/>
  <c r="R116" i="4"/>
  <c r="P117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1" i="4"/>
  <c r="BH91" i="4"/>
  <c r="BG91" i="4"/>
  <c r="BF91" i="4"/>
  <c r="T91" i="4"/>
  <c r="R91" i="4"/>
  <c r="P91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82" i="4" s="1"/>
  <c r="J17" i="4"/>
  <c r="J12" i="4"/>
  <c r="J79" i="4" s="1"/>
  <c r="E7" i="4"/>
  <c r="E75" i="4"/>
  <c r="J37" i="3"/>
  <c r="J36" i="3"/>
  <c r="AY56" i="1" s="1"/>
  <c r="J35" i="3"/>
  <c r="AX56" i="1"/>
  <c r="BI1300" i="3"/>
  <c r="BH1300" i="3"/>
  <c r="BG1300" i="3"/>
  <c r="BF1300" i="3"/>
  <c r="T1300" i="3"/>
  <c r="R1300" i="3"/>
  <c r="P1300" i="3"/>
  <c r="BI1299" i="3"/>
  <c r="BH1299" i="3"/>
  <c r="BG1299" i="3"/>
  <c r="BF1299" i="3"/>
  <c r="T1299" i="3"/>
  <c r="R1299" i="3"/>
  <c r="P1299" i="3"/>
  <c r="BI1298" i="3"/>
  <c r="BH1298" i="3"/>
  <c r="BG1298" i="3"/>
  <c r="BF1298" i="3"/>
  <c r="T1298" i="3"/>
  <c r="R1298" i="3"/>
  <c r="P1298" i="3"/>
  <c r="BI1297" i="3"/>
  <c r="BH1297" i="3"/>
  <c r="BG1297" i="3"/>
  <c r="BF1297" i="3"/>
  <c r="T1297" i="3"/>
  <c r="R1297" i="3"/>
  <c r="P1297" i="3"/>
  <c r="BI1293" i="3"/>
  <c r="BH1293" i="3"/>
  <c r="BG1293" i="3"/>
  <c r="BF1293" i="3"/>
  <c r="T1293" i="3"/>
  <c r="T1292" i="3" s="1"/>
  <c r="R1293" i="3"/>
  <c r="R1292" i="3"/>
  <c r="P1293" i="3"/>
  <c r="P1292" i="3" s="1"/>
  <c r="BI1290" i="3"/>
  <c r="BH1290" i="3"/>
  <c r="BG1290" i="3"/>
  <c r="BF1290" i="3"/>
  <c r="T1290" i="3"/>
  <c r="R1290" i="3"/>
  <c r="P1290" i="3"/>
  <c r="BI1289" i="3"/>
  <c r="BH1289" i="3"/>
  <c r="BG1289" i="3"/>
  <c r="BF1289" i="3"/>
  <c r="T1289" i="3"/>
  <c r="R1289" i="3"/>
  <c r="P1289" i="3"/>
  <c r="BI1286" i="3"/>
  <c r="BH1286" i="3"/>
  <c r="BG1286" i="3"/>
  <c r="BF1286" i="3"/>
  <c r="T1286" i="3"/>
  <c r="R1286" i="3"/>
  <c r="P1286" i="3"/>
  <c r="BI1285" i="3"/>
  <c r="BH1285" i="3"/>
  <c r="BG1285" i="3"/>
  <c r="BF1285" i="3"/>
  <c r="T1285" i="3"/>
  <c r="R1285" i="3"/>
  <c r="P1285" i="3"/>
  <c r="BI1284" i="3"/>
  <c r="BH1284" i="3"/>
  <c r="BG1284" i="3"/>
  <c r="BF1284" i="3"/>
  <c r="T1284" i="3"/>
  <c r="R1284" i="3"/>
  <c r="P1284" i="3"/>
  <c r="BI1282" i="3"/>
  <c r="BH1282" i="3"/>
  <c r="BG1282" i="3"/>
  <c r="BF1282" i="3"/>
  <c r="T1282" i="3"/>
  <c r="R1282" i="3"/>
  <c r="P1282" i="3"/>
  <c r="BI1264" i="3"/>
  <c r="BH1264" i="3"/>
  <c r="BG1264" i="3"/>
  <c r="BF1264" i="3"/>
  <c r="T1264" i="3"/>
  <c r="R1264" i="3"/>
  <c r="P1264" i="3"/>
  <c r="BI1247" i="3"/>
  <c r="BH1247" i="3"/>
  <c r="BG1247" i="3"/>
  <c r="BF1247" i="3"/>
  <c r="T1247" i="3"/>
  <c r="R1247" i="3"/>
  <c r="P1247" i="3"/>
  <c r="BI1230" i="3"/>
  <c r="BH1230" i="3"/>
  <c r="BG1230" i="3"/>
  <c r="BF1230" i="3"/>
  <c r="T1230" i="3"/>
  <c r="R1230" i="3"/>
  <c r="P1230" i="3"/>
  <c r="BI1216" i="3"/>
  <c r="BH1216" i="3"/>
  <c r="BG1216" i="3"/>
  <c r="BF1216" i="3"/>
  <c r="T1216" i="3"/>
  <c r="R1216" i="3"/>
  <c r="P1216" i="3"/>
  <c r="BI1203" i="3"/>
  <c r="BH1203" i="3"/>
  <c r="BG1203" i="3"/>
  <c r="BF1203" i="3"/>
  <c r="T1203" i="3"/>
  <c r="R1203" i="3"/>
  <c r="P1203" i="3"/>
  <c r="BI1190" i="3"/>
  <c r="BH1190" i="3"/>
  <c r="BG1190" i="3"/>
  <c r="BF1190" i="3"/>
  <c r="T1190" i="3"/>
  <c r="R1190" i="3"/>
  <c r="P1190" i="3"/>
  <c r="BI1187" i="3"/>
  <c r="BH1187" i="3"/>
  <c r="BG1187" i="3"/>
  <c r="BF1187" i="3"/>
  <c r="T1187" i="3"/>
  <c r="R1187" i="3"/>
  <c r="P1187" i="3"/>
  <c r="BI1185" i="3"/>
  <c r="BH1185" i="3"/>
  <c r="BG1185" i="3"/>
  <c r="BF1185" i="3"/>
  <c r="T1185" i="3"/>
  <c r="R1185" i="3"/>
  <c r="P1185" i="3"/>
  <c r="BI1182" i="3"/>
  <c r="BH1182" i="3"/>
  <c r="BG1182" i="3"/>
  <c r="BF1182" i="3"/>
  <c r="T1182" i="3"/>
  <c r="R1182" i="3"/>
  <c r="P1182" i="3"/>
  <c r="BI1179" i="3"/>
  <c r="BH1179" i="3"/>
  <c r="BG1179" i="3"/>
  <c r="BF1179" i="3"/>
  <c r="T1179" i="3"/>
  <c r="R1179" i="3"/>
  <c r="P1179" i="3"/>
  <c r="BI1174" i="3"/>
  <c r="BH1174" i="3"/>
  <c r="BG1174" i="3"/>
  <c r="BF1174" i="3"/>
  <c r="T1174" i="3"/>
  <c r="R1174" i="3"/>
  <c r="P1174" i="3"/>
  <c r="BI1171" i="3"/>
  <c r="BH1171" i="3"/>
  <c r="BG1171" i="3"/>
  <c r="BF1171" i="3"/>
  <c r="T1171" i="3"/>
  <c r="R1171" i="3"/>
  <c r="P1171" i="3"/>
  <c r="BI1166" i="3"/>
  <c r="BH1166" i="3"/>
  <c r="BG1166" i="3"/>
  <c r="BF1166" i="3"/>
  <c r="T1166" i="3"/>
  <c r="R1166" i="3"/>
  <c r="P1166" i="3"/>
  <c r="BI1161" i="3"/>
  <c r="BH1161" i="3"/>
  <c r="BG1161" i="3"/>
  <c r="BF1161" i="3"/>
  <c r="T1161" i="3"/>
  <c r="R1161" i="3"/>
  <c r="P1161" i="3"/>
  <c r="BI1159" i="3"/>
  <c r="BH1159" i="3"/>
  <c r="BG1159" i="3"/>
  <c r="BF1159" i="3"/>
  <c r="T1159" i="3"/>
  <c r="R1159" i="3"/>
  <c r="P1159" i="3"/>
  <c r="BI1154" i="3"/>
  <c r="BH1154" i="3"/>
  <c r="BG1154" i="3"/>
  <c r="BF1154" i="3"/>
  <c r="T1154" i="3"/>
  <c r="R1154" i="3"/>
  <c r="P1154" i="3"/>
  <c r="BI1149" i="3"/>
  <c r="BH1149" i="3"/>
  <c r="BG1149" i="3"/>
  <c r="BF1149" i="3"/>
  <c r="T1149" i="3"/>
  <c r="R1149" i="3"/>
  <c r="P1149" i="3"/>
  <c r="BI1144" i="3"/>
  <c r="BH1144" i="3"/>
  <c r="BG1144" i="3"/>
  <c r="BF1144" i="3"/>
  <c r="T1144" i="3"/>
  <c r="R1144" i="3"/>
  <c r="P1144" i="3"/>
  <c r="BI1141" i="3"/>
  <c r="BH1141" i="3"/>
  <c r="BG1141" i="3"/>
  <c r="BF1141" i="3"/>
  <c r="T1141" i="3"/>
  <c r="R1141" i="3"/>
  <c r="P1141" i="3"/>
  <c r="BI1138" i="3"/>
  <c r="BH1138" i="3"/>
  <c r="BG1138" i="3"/>
  <c r="BF1138" i="3"/>
  <c r="T1138" i="3"/>
  <c r="R1138" i="3"/>
  <c r="P1138" i="3"/>
  <c r="BI1135" i="3"/>
  <c r="BH1135" i="3"/>
  <c r="BG1135" i="3"/>
  <c r="BF1135" i="3"/>
  <c r="T1135" i="3"/>
  <c r="R1135" i="3"/>
  <c r="P1135" i="3"/>
  <c r="BI1132" i="3"/>
  <c r="BH1132" i="3"/>
  <c r="BG1132" i="3"/>
  <c r="BF1132" i="3"/>
  <c r="T1132" i="3"/>
  <c r="R1132" i="3"/>
  <c r="P1132" i="3"/>
  <c r="BI1129" i="3"/>
  <c r="BH1129" i="3"/>
  <c r="BG1129" i="3"/>
  <c r="BF1129" i="3"/>
  <c r="T1129" i="3"/>
  <c r="R1129" i="3"/>
  <c r="P1129" i="3"/>
  <c r="BI1126" i="3"/>
  <c r="BH1126" i="3"/>
  <c r="BG1126" i="3"/>
  <c r="BF1126" i="3"/>
  <c r="T1126" i="3"/>
  <c r="R1126" i="3"/>
  <c r="P1126" i="3"/>
  <c r="BI1123" i="3"/>
  <c r="BH1123" i="3"/>
  <c r="BG1123" i="3"/>
  <c r="BF1123" i="3"/>
  <c r="T1123" i="3"/>
  <c r="R1123" i="3"/>
  <c r="P1123" i="3"/>
  <c r="BI1120" i="3"/>
  <c r="BH1120" i="3"/>
  <c r="BG1120" i="3"/>
  <c r="BF1120" i="3"/>
  <c r="T1120" i="3"/>
  <c r="R1120" i="3"/>
  <c r="P1120" i="3"/>
  <c r="BI1118" i="3"/>
  <c r="BH1118" i="3"/>
  <c r="BG1118" i="3"/>
  <c r="BF1118" i="3"/>
  <c r="T1118" i="3"/>
  <c r="R1118" i="3"/>
  <c r="P1118" i="3"/>
  <c r="BI1115" i="3"/>
  <c r="BH1115" i="3"/>
  <c r="BG1115" i="3"/>
  <c r="BF1115" i="3"/>
  <c r="T1115" i="3"/>
  <c r="R1115" i="3"/>
  <c r="P1115" i="3"/>
  <c r="BI1113" i="3"/>
  <c r="BH1113" i="3"/>
  <c r="BG1113" i="3"/>
  <c r="BF1113" i="3"/>
  <c r="T1113" i="3"/>
  <c r="R1113" i="3"/>
  <c r="P1113" i="3"/>
  <c r="BI1110" i="3"/>
  <c r="BH1110" i="3"/>
  <c r="BG1110" i="3"/>
  <c r="BF1110" i="3"/>
  <c r="T1110" i="3"/>
  <c r="R1110" i="3"/>
  <c r="P1110" i="3"/>
  <c r="BI1107" i="3"/>
  <c r="BH1107" i="3"/>
  <c r="BG1107" i="3"/>
  <c r="BF1107" i="3"/>
  <c r="T1107" i="3"/>
  <c r="R1107" i="3"/>
  <c r="P1107" i="3"/>
  <c r="BI1104" i="3"/>
  <c r="BH1104" i="3"/>
  <c r="BG1104" i="3"/>
  <c r="BF1104" i="3"/>
  <c r="T1104" i="3"/>
  <c r="R1104" i="3"/>
  <c r="P1104" i="3"/>
  <c r="BI1101" i="3"/>
  <c r="BH1101" i="3"/>
  <c r="BG1101" i="3"/>
  <c r="BF1101" i="3"/>
  <c r="T1101" i="3"/>
  <c r="R1101" i="3"/>
  <c r="P1101" i="3"/>
  <c r="BI1098" i="3"/>
  <c r="BH1098" i="3"/>
  <c r="BG1098" i="3"/>
  <c r="BF1098" i="3"/>
  <c r="T1098" i="3"/>
  <c r="R1098" i="3"/>
  <c r="P1098" i="3"/>
  <c r="BI1091" i="3"/>
  <c r="BH1091" i="3"/>
  <c r="BG1091" i="3"/>
  <c r="BF1091" i="3"/>
  <c r="T1091" i="3"/>
  <c r="R1091" i="3"/>
  <c r="P1091" i="3"/>
  <c r="BI1088" i="3"/>
  <c r="BH1088" i="3"/>
  <c r="BG1088" i="3"/>
  <c r="BF1088" i="3"/>
  <c r="T1088" i="3"/>
  <c r="R1088" i="3"/>
  <c r="P1088" i="3"/>
  <c r="BI1085" i="3"/>
  <c r="BH1085" i="3"/>
  <c r="BG1085" i="3"/>
  <c r="BF1085" i="3"/>
  <c r="T1085" i="3"/>
  <c r="R1085" i="3"/>
  <c r="P1085" i="3"/>
  <c r="BI1082" i="3"/>
  <c r="BH1082" i="3"/>
  <c r="BG1082" i="3"/>
  <c r="BF1082" i="3"/>
  <c r="T1082" i="3"/>
  <c r="R1082" i="3"/>
  <c r="P1082" i="3"/>
  <c r="BI1076" i="3"/>
  <c r="BH1076" i="3"/>
  <c r="BG1076" i="3"/>
  <c r="BF1076" i="3"/>
  <c r="T1076" i="3"/>
  <c r="R1076" i="3"/>
  <c r="P1076" i="3"/>
  <c r="BI1068" i="3"/>
  <c r="BH1068" i="3"/>
  <c r="BG1068" i="3"/>
  <c r="BF1068" i="3"/>
  <c r="T1068" i="3"/>
  <c r="R1068" i="3"/>
  <c r="P1068" i="3"/>
  <c r="BI1063" i="3"/>
  <c r="BH1063" i="3"/>
  <c r="BG1063" i="3"/>
  <c r="BF1063" i="3"/>
  <c r="T1063" i="3"/>
  <c r="R1063" i="3"/>
  <c r="P1063" i="3"/>
  <c r="BI1061" i="3"/>
  <c r="BH1061" i="3"/>
  <c r="BG1061" i="3"/>
  <c r="BF1061" i="3"/>
  <c r="T1061" i="3"/>
  <c r="R1061" i="3"/>
  <c r="P1061" i="3"/>
  <c r="BI1055" i="3"/>
  <c r="BH1055" i="3"/>
  <c r="BG1055" i="3"/>
  <c r="BF1055" i="3"/>
  <c r="T1055" i="3"/>
  <c r="R1055" i="3"/>
  <c r="P1055" i="3"/>
  <c r="BI1053" i="3"/>
  <c r="BH1053" i="3"/>
  <c r="BG1053" i="3"/>
  <c r="BF1053" i="3"/>
  <c r="T1053" i="3"/>
  <c r="R1053" i="3"/>
  <c r="P1053" i="3"/>
  <c r="BI1050" i="3"/>
  <c r="BH1050" i="3"/>
  <c r="BG1050" i="3"/>
  <c r="BF1050" i="3"/>
  <c r="T1050" i="3"/>
  <c r="R1050" i="3"/>
  <c r="P1050" i="3"/>
  <c r="BI1048" i="3"/>
  <c r="BH1048" i="3"/>
  <c r="BG1048" i="3"/>
  <c r="BF1048" i="3"/>
  <c r="T1048" i="3"/>
  <c r="R1048" i="3"/>
  <c r="P1048" i="3"/>
  <c r="BI1043" i="3"/>
  <c r="BH1043" i="3"/>
  <c r="BG1043" i="3"/>
  <c r="BF1043" i="3"/>
  <c r="T1043" i="3"/>
  <c r="R1043" i="3"/>
  <c r="P1043" i="3"/>
  <c r="BI1040" i="3"/>
  <c r="BH1040" i="3"/>
  <c r="BG1040" i="3"/>
  <c r="BF1040" i="3"/>
  <c r="T1040" i="3"/>
  <c r="R1040" i="3"/>
  <c r="P1040" i="3"/>
  <c r="BI1037" i="3"/>
  <c r="BH1037" i="3"/>
  <c r="BG1037" i="3"/>
  <c r="BF1037" i="3"/>
  <c r="T1037" i="3"/>
  <c r="R1037" i="3"/>
  <c r="P1037" i="3"/>
  <c r="BI1034" i="3"/>
  <c r="BH1034" i="3"/>
  <c r="BG1034" i="3"/>
  <c r="BF1034" i="3"/>
  <c r="T1034" i="3"/>
  <c r="R1034" i="3"/>
  <c r="P1034" i="3"/>
  <c r="BI1031" i="3"/>
  <c r="BH1031" i="3"/>
  <c r="BG1031" i="3"/>
  <c r="BF1031" i="3"/>
  <c r="T1031" i="3"/>
  <c r="R1031" i="3"/>
  <c r="P1031" i="3"/>
  <c r="BI1029" i="3"/>
  <c r="BH1029" i="3"/>
  <c r="BG1029" i="3"/>
  <c r="BF1029" i="3"/>
  <c r="T1029" i="3"/>
  <c r="R1029" i="3"/>
  <c r="P1029" i="3"/>
  <c r="BI1026" i="3"/>
  <c r="BH1026" i="3"/>
  <c r="BG1026" i="3"/>
  <c r="BF1026" i="3"/>
  <c r="T1026" i="3"/>
  <c r="R1026" i="3"/>
  <c r="P1026" i="3"/>
  <c r="BI1020" i="3"/>
  <c r="BH1020" i="3"/>
  <c r="BG1020" i="3"/>
  <c r="BF1020" i="3"/>
  <c r="T1020" i="3"/>
  <c r="R1020" i="3"/>
  <c r="P1020" i="3"/>
  <c r="BI1013" i="3"/>
  <c r="BH1013" i="3"/>
  <c r="BG1013" i="3"/>
  <c r="BF1013" i="3"/>
  <c r="T1013" i="3"/>
  <c r="R1013" i="3"/>
  <c r="P1013" i="3"/>
  <c r="BI1010" i="3"/>
  <c r="BH1010" i="3"/>
  <c r="BG1010" i="3"/>
  <c r="BF1010" i="3"/>
  <c r="T1010" i="3"/>
  <c r="R1010" i="3"/>
  <c r="P1010" i="3"/>
  <c r="BI1004" i="3"/>
  <c r="BH1004" i="3"/>
  <c r="BG1004" i="3"/>
  <c r="BF1004" i="3"/>
  <c r="T1004" i="3"/>
  <c r="R1004" i="3"/>
  <c r="P1004" i="3"/>
  <c r="BI1001" i="3"/>
  <c r="BH1001" i="3"/>
  <c r="BG1001" i="3"/>
  <c r="BF1001" i="3"/>
  <c r="T1001" i="3"/>
  <c r="R1001" i="3"/>
  <c r="P1001" i="3"/>
  <c r="BI1000" i="3"/>
  <c r="BH1000" i="3"/>
  <c r="BG1000" i="3"/>
  <c r="BF1000" i="3"/>
  <c r="T1000" i="3"/>
  <c r="R1000" i="3"/>
  <c r="P1000" i="3"/>
  <c r="BI999" i="3"/>
  <c r="BH999" i="3"/>
  <c r="BG999" i="3"/>
  <c r="BF999" i="3"/>
  <c r="T999" i="3"/>
  <c r="R999" i="3"/>
  <c r="P999" i="3"/>
  <c r="BI998" i="3"/>
  <c r="BH998" i="3"/>
  <c r="BG998" i="3"/>
  <c r="BF998" i="3"/>
  <c r="T998" i="3"/>
  <c r="R998" i="3"/>
  <c r="P998" i="3"/>
  <c r="BI997" i="3"/>
  <c r="BH997" i="3"/>
  <c r="BG997" i="3"/>
  <c r="BF997" i="3"/>
  <c r="T997" i="3"/>
  <c r="R997" i="3"/>
  <c r="P997" i="3"/>
  <c r="BI996" i="3"/>
  <c r="BH996" i="3"/>
  <c r="BG996" i="3"/>
  <c r="BF996" i="3"/>
  <c r="T996" i="3"/>
  <c r="R996" i="3"/>
  <c r="P996" i="3"/>
  <c r="BI995" i="3"/>
  <c r="BH995" i="3"/>
  <c r="BG995" i="3"/>
  <c r="BF995" i="3"/>
  <c r="T995" i="3"/>
  <c r="R995" i="3"/>
  <c r="P995" i="3"/>
  <c r="BI994" i="3"/>
  <c r="BH994" i="3"/>
  <c r="BG994" i="3"/>
  <c r="BF994" i="3"/>
  <c r="T994" i="3"/>
  <c r="R994" i="3"/>
  <c r="P994" i="3"/>
  <c r="BI993" i="3"/>
  <c r="BH993" i="3"/>
  <c r="BG993" i="3"/>
  <c r="BF993" i="3"/>
  <c r="T993" i="3"/>
  <c r="R993" i="3"/>
  <c r="P993" i="3"/>
  <c r="BI991" i="3"/>
  <c r="BH991" i="3"/>
  <c r="BG991" i="3"/>
  <c r="BF991" i="3"/>
  <c r="T991" i="3"/>
  <c r="R991" i="3"/>
  <c r="P991" i="3"/>
  <c r="BI989" i="3"/>
  <c r="BH989" i="3"/>
  <c r="BG989" i="3"/>
  <c r="BF989" i="3"/>
  <c r="T989" i="3"/>
  <c r="R989" i="3"/>
  <c r="P989" i="3"/>
  <c r="BI987" i="3"/>
  <c r="BH987" i="3"/>
  <c r="BG987" i="3"/>
  <c r="BF987" i="3"/>
  <c r="T987" i="3"/>
  <c r="R987" i="3"/>
  <c r="P987" i="3"/>
  <c r="BI985" i="3"/>
  <c r="BH985" i="3"/>
  <c r="BG985" i="3"/>
  <c r="BF985" i="3"/>
  <c r="T985" i="3"/>
  <c r="R985" i="3"/>
  <c r="P985" i="3"/>
  <c r="BI983" i="3"/>
  <c r="BH983" i="3"/>
  <c r="BG983" i="3"/>
  <c r="BF983" i="3"/>
  <c r="T983" i="3"/>
  <c r="R983" i="3"/>
  <c r="P983" i="3"/>
  <c r="BI981" i="3"/>
  <c r="BH981" i="3"/>
  <c r="BG981" i="3"/>
  <c r="BF981" i="3"/>
  <c r="T981" i="3"/>
  <c r="R981" i="3"/>
  <c r="P981" i="3"/>
  <c r="BI978" i="3"/>
  <c r="BH978" i="3"/>
  <c r="BG978" i="3"/>
  <c r="BF978" i="3"/>
  <c r="T978" i="3"/>
  <c r="R978" i="3"/>
  <c r="P978" i="3"/>
  <c r="BI973" i="3"/>
  <c r="BH973" i="3"/>
  <c r="BG973" i="3"/>
  <c r="BF973" i="3"/>
  <c r="T973" i="3"/>
  <c r="R973" i="3"/>
  <c r="P973" i="3"/>
  <c r="BI970" i="3"/>
  <c r="BH970" i="3"/>
  <c r="BG970" i="3"/>
  <c r="BF970" i="3"/>
  <c r="T970" i="3"/>
  <c r="R970" i="3"/>
  <c r="P970" i="3"/>
  <c r="BI965" i="3"/>
  <c r="BH965" i="3"/>
  <c r="BG965" i="3"/>
  <c r="BF965" i="3"/>
  <c r="T965" i="3"/>
  <c r="R965" i="3"/>
  <c r="P965" i="3"/>
  <c r="BI962" i="3"/>
  <c r="BH962" i="3"/>
  <c r="BG962" i="3"/>
  <c r="BF962" i="3"/>
  <c r="T962" i="3"/>
  <c r="R962" i="3"/>
  <c r="P962" i="3"/>
  <c r="BI942" i="3"/>
  <c r="BH942" i="3"/>
  <c r="BG942" i="3"/>
  <c r="BF942" i="3"/>
  <c r="T942" i="3"/>
  <c r="R942" i="3"/>
  <c r="P942" i="3"/>
  <c r="BI939" i="3"/>
  <c r="BH939" i="3"/>
  <c r="BG939" i="3"/>
  <c r="BF939" i="3"/>
  <c r="T939" i="3"/>
  <c r="R939" i="3"/>
  <c r="P939" i="3"/>
  <c r="BI930" i="3"/>
  <c r="BH930" i="3"/>
  <c r="BG930" i="3"/>
  <c r="BF930" i="3"/>
  <c r="T930" i="3"/>
  <c r="R930" i="3"/>
  <c r="P930" i="3"/>
  <c r="BI927" i="3"/>
  <c r="BH927" i="3"/>
  <c r="BG927" i="3"/>
  <c r="BF927" i="3"/>
  <c r="T927" i="3"/>
  <c r="R927" i="3"/>
  <c r="P927" i="3"/>
  <c r="BI924" i="3"/>
  <c r="BH924" i="3"/>
  <c r="BG924" i="3"/>
  <c r="BF924" i="3"/>
  <c r="T924" i="3"/>
  <c r="R924" i="3"/>
  <c r="P924" i="3"/>
  <c r="BI921" i="3"/>
  <c r="BH921" i="3"/>
  <c r="BG921" i="3"/>
  <c r="BF921" i="3"/>
  <c r="T921" i="3"/>
  <c r="R921" i="3"/>
  <c r="P921" i="3"/>
  <c r="BI916" i="3"/>
  <c r="BH916" i="3"/>
  <c r="BG916" i="3"/>
  <c r="BF916" i="3"/>
  <c r="T916" i="3"/>
  <c r="R916" i="3"/>
  <c r="P916" i="3"/>
  <c r="BI910" i="3"/>
  <c r="BH910" i="3"/>
  <c r="BG910" i="3"/>
  <c r="BF910" i="3"/>
  <c r="T910" i="3"/>
  <c r="R910" i="3"/>
  <c r="P910" i="3"/>
  <c r="BI904" i="3"/>
  <c r="BH904" i="3"/>
  <c r="BG904" i="3"/>
  <c r="BF904" i="3"/>
  <c r="T904" i="3"/>
  <c r="R904" i="3"/>
  <c r="P904" i="3"/>
  <c r="BI903" i="3"/>
  <c r="BH903" i="3"/>
  <c r="BG903" i="3"/>
  <c r="BF903" i="3"/>
  <c r="T903" i="3"/>
  <c r="R903" i="3"/>
  <c r="P903" i="3"/>
  <c r="BI900" i="3"/>
  <c r="BH900" i="3"/>
  <c r="BG900" i="3"/>
  <c r="BF900" i="3"/>
  <c r="T900" i="3"/>
  <c r="R900" i="3"/>
  <c r="P900" i="3"/>
  <c r="BI899" i="3"/>
  <c r="BH899" i="3"/>
  <c r="BG899" i="3"/>
  <c r="BF899" i="3"/>
  <c r="T899" i="3"/>
  <c r="R899" i="3"/>
  <c r="P899" i="3"/>
  <c r="BI896" i="3"/>
  <c r="BH896" i="3"/>
  <c r="BG896" i="3"/>
  <c r="BF896" i="3"/>
  <c r="T896" i="3"/>
  <c r="R896" i="3"/>
  <c r="P896" i="3"/>
  <c r="BI893" i="3"/>
  <c r="BH893" i="3"/>
  <c r="BG893" i="3"/>
  <c r="BF893" i="3"/>
  <c r="T893" i="3"/>
  <c r="R893" i="3"/>
  <c r="P893" i="3"/>
  <c r="BI891" i="3"/>
  <c r="BH891" i="3"/>
  <c r="BG891" i="3"/>
  <c r="BF891" i="3"/>
  <c r="T891" i="3"/>
  <c r="R891" i="3"/>
  <c r="P891" i="3"/>
  <c r="BI890" i="3"/>
  <c r="BH890" i="3"/>
  <c r="BG890" i="3"/>
  <c r="BF890" i="3"/>
  <c r="T890" i="3"/>
  <c r="R890" i="3"/>
  <c r="P890" i="3"/>
  <c r="BI889" i="3"/>
  <c r="BH889" i="3"/>
  <c r="BG889" i="3"/>
  <c r="BF889" i="3"/>
  <c r="T889" i="3"/>
  <c r="R889" i="3"/>
  <c r="P889" i="3"/>
  <c r="BI888" i="3"/>
  <c r="BH888" i="3"/>
  <c r="BG888" i="3"/>
  <c r="BF888" i="3"/>
  <c r="T888" i="3"/>
  <c r="R888" i="3"/>
  <c r="P888" i="3"/>
  <c r="BI887" i="3"/>
  <c r="BH887" i="3"/>
  <c r="BG887" i="3"/>
  <c r="BF887" i="3"/>
  <c r="T887" i="3"/>
  <c r="R887" i="3"/>
  <c r="P887" i="3"/>
  <c r="BI886" i="3"/>
  <c r="BH886" i="3"/>
  <c r="BG886" i="3"/>
  <c r="BF886" i="3"/>
  <c r="T886" i="3"/>
  <c r="R886" i="3"/>
  <c r="P886" i="3"/>
  <c r="BI882" i="3"/>
  <c r="BH882" i="3"/>
  <c r="BG882" i="3"/>
  <c r="BF882" i="3"/>
  <c r="T882" i="3"/>
  <c r="R882" i="3"/>
  <c r="P882" i="3"/>
  <c r="BI878" i="3"/>
  <c r="BH878" i="3"/>
  <c r="BG878" i="3"/>
  <c r="BF878" i="3"/>
  <c r="T878" i="3"/>
  <c r="R878" i="3"/>
  <c r="P878" i="3"/>
  <c r="BI877" i="3"/>
  <c r="BH877" i="3"/>
  <c r="BG877" i="3"/>
  <c r="BF877" i="3"/>
  <c r="T877" i="3"/>
  <c r="R877" i="3"/>
  <c r="P877" i="3"/>
  <c r="BI876" i="3"/>
  <c r="BH876" i="3"/>
  <c r="BG876" i="3"/>
  <c r="BF876" i="3"/>
  <c r="T876" i="3"/>
  <c r="R876" i="3"/>
  <c r="P876" i="3"/>
  <c r="BI875" i="3"/>
  <c r="BH875" i="3"/>
  <c r="BG875" i="3"/>
  <c r="BF875" i="3"/>
  <c r="T875" i="3"/>
  <c r="R875" i="3"/>
  <c r="P875" i="3"/>
  <c r="BI873" i="3"/>
  <c r="BH873" i="3"/>
  <c r="BG873" i="3"/>
  <c r="BF873" i="3"/>
  <c r="T873" i="3"/>
  <c r="R873" i="3"/>
  <c r="P873" i="3"/>
  <c r="BI871" i="3"/>
  <c r="BH871" i="3"/>
  <c r="BG871" i="3"/>
  <c r="BF871" i="3"/>
  <c r="T871" i="3"/>
  <c r="R871" i="3"/>
  <c r="P871" i="3"/>
  <c r="BI869" i="3"/>
  <c r="BH869" i="3"/>
  <c r="BG869" i="3"/>
  <c r="BF869" i="3"/>
  <c r="T869" i="3"/>
  <c r="R869" i="3"/>
  <c r="P869" i="3"/>
  <c r="BI868" i="3"/>
  <c r="BH868" i="3"/>
  <c r="BG868" i="3"/>
  <c r="BF868" i="3"/>
  <c r="T868" i="3"/>
  <c r="R868" i="3"/>
  <c r="P868" i="3"/>
  <c r="BI867" i="3"/>
  <c r="BH867" i="3"/>
  <c r="BG867" i="3"/>
  <c r="BF867" i="3"/>
  <c r="T867" i="3"/>
  <c r="R867" i="3"/>
  <c r="P867" i="3"/>
  <c r="BI864" i="3"/>
  <c r="BH864" i="3"/>
  <c r="BG864" i="3"/>
  <c r="BF864" i="3"/>
  <c r="T864" i="3"/>
  <c r="R864" i="3"/>
  <c r="P864" i="3"/>
  <c r="BI863" i="3"/>
  <c r="BH863" i="3"/>
  <c r="BG863" i="3"/>
  <c r="BF863" i="3"/>
  <c r="T863" i="3"/>
  <c r="R863" i="3"/>
  <c r="P863" i="3"/>
  <c r="BI861" i="3"/>
  <c r="BH861" i="3"/>
  <c r="BG861" i="3"/>
  <c r="BF861" i="3"/>
  <c r="T861" i="3"/>
  <c r="R861" i="3"/>
  <c r="P861" i="3"/>
  <c r="BI858" i="3"/>
  <c r="BH858" i="3"/>
  <c r="BG858" i="3"/>
  <c r="BF858" i="3"/>
  <c r="T858" i="3"/>
  <c r="R858" i="3"/>
  <c r="P858" i="3"/>
  <c r="BI857" i="3"/>
  <c r="BH857" i="3"/>
  <c r="BG857" i="3"/>
  <c r="BF857" i="3"/>
  <c r="T857" i="3"/>
  <c r="R857" i="3"/>
  <c r="P857" i="3"/>
  <c r="BI856" i="3"/>
  <c r="BH856" i="3"/>
  <c r="BG856" i="3"/>
  <c r="BF856" i="3"/>
  <c r="T856" i="3"/>
  <c r="R856" i="3"/>
  <c r="P856" i="3"/>
  <c r="BI855" i="3"/>
  <c r="BH855" i="3"/>
  <c r="BG855" i="3"/>
  <c r="BF855" i="3"/>
  <c r="T855" i="3"/>
  <c r="R855" i="3"/>
  <c r="P855" i="3"/>
  <c r="BI854" i="3"/>
  <c r="BH854" i="3"/>
  <c r="BG854" i="3"/>
  <c r="BF854" i="3"/>
  <c r="T854" i="3"/>
  <c r="R854" i="3"/>
  <c r="P854" i="3"/>
  <c r="BI852" i="3"/>
  <c r="BH852" i="3"/>
  <c r="BG852" i="3"/>
  <c r="BF852" i="3"/>
  <c r="T852" i="3"/>
  <c r="R852" i="3"/>
  <c r="P852" i="3"/>
  <c r="BI851" i="3"/>
  <c r="BH851" i="3"/>
  <c r="BG851" i="3"/>
  <c r="BF851" i="3"/>
  <c r="T851" i="3"/>
  <c r="R851" i="3"/>
  <c r="P851" i="3"/>
  <c r="BI850" i="3"/>
  <c r="BH850" i="3"/>
  <c r="BG850" i="3"/>
  <c r="BF850" i="3"/>
  <c r="T850" i="3"/>
  <c r="R850" i="3"/>
  <c r="P850" i="3"/>
  <c r="BI849" i="3"/>
  <c r="BH849" i="3"/>
  <c r="BG849" i="3"/>
  <c r="BF849" i="3"/>
  <c r="T849" i="3"/>
  <c r="R849" i="3"/>
  <c r="P849" i="3"/>
  <c r="BI848" i="3"/>
  <c r="BH848" i="3"/>
  <c r="BG848" i="3"/>
  <c r="BF848" i="3"/>
  <c r="T848" i="3"/>
  <c r="R848" i="3"/>
  <c r="P848" i="3"/>
  <c r="BI845" i="3"/>
  <c r="BH845" i="3"/>
  <c r="BG845" i="3"/>
  <c r="BF845" i="3"/>
  <c r="T845" i="3"/>
  <c r="R845" i="3"/>
  <c r="P845" i="3"/>
  <c r="BI844" i="3"/>
  <c r="BH844" i="3"/>
  <c r="BG844" i="3"/>
  <c r="BF844" i="3"/>
  <c r="T844" i="3"/>
  <c r="R844" i="3"/>
  <c r="P844" i="3"/>
  <c r="BI843" i="3"/>
  <c r="BH843" i="3"/>
  <c r="BG843" i="3"/>
  <c r="BF843" i="3"/>
  <c r="T843" i="3"/>
  <c r="R843" i="3"/>
  <c r="P843" i="3"/>
  <c r="BI842" i="3"/>
  <c r="BH842" i="3"/>
  <c r="BG842" i="3"/>
  <c r="BF842" i="3"/>
  <c r="T842" i="3"/>
  <c r="R842" i="3"/>
  <c r="P842" i="3"/>
  <c r="BI841" i="3"/>
  <c r="BH841" i="3"/>
  <c r="BG841" i="3"/>
  <c r="BF841" i="3"/>
  <c r="T841" i="3"/>
  <c r="R841" i="3"/>
  <c r="P841" i="3"/>
  <c r="BI838" i="3"/>
  <c r="BH838" i="3"/>
  <c r="BG838" i="3"/>
  <c r="BF838" i="3"/>
  <c r="T838" i="3"/>
  <c r="R838" i="3"/>
  <c r="P838" i="3"/>
  <c r="BI837" i="3"/>
  <c r="BH837" i="3"/>
  <c r="BG837" i="3"/>
  <c r="BF837" i="3"/>
  <c r="T837" i="3"/>
  <c r="R837" i="3"/>
  <c r="P837" i="3"/>
  <c r="BI834" i="3"/>
  <c r="BH834" i="3"/>
  <c r="BG834" i="3"/>
  <c r="BF834" i="3"/>
  <c r="T834" i="3"/>
  <c r="R834" i="3"/>
  <c r="P834" i="3"/>
  <c r="BI831" i="3"/>
  <c r="BH831" i="3"/>
  <c r="BG831" i="3"/>
  <c r="BF831" i="3"/>
  <c r="T831" i="3"/>
  <c r="R831" i="3"/>
  <c r="P831" i="3"/>
  <c r="BI828" i="3"/>
  <c r="BH828" i="3"/>
  <c r="BG828" i="3"/>
  <c r="BF828" i="3"/>
  <c r="T828" i="3"/>
  <c r="R828" i="3"/>
  <c r="P828" i="3"/>
  <c r="BI825" i="3"/>
  <c r="BH825" i="3"/>
  <c r="BG825" i="3"/>
  <c r="BF825" i="3"/>
  <c r="T825" i="3"/>
  <c r="R825" i="3"/>
  <c r="P825" i="3"/>
  <c r="BI822" i="3"/>
  <c r="BH822" i="3"/>
  <c r="BG822" i="3"/>
  <c r="BF822" i="3"/>
  <c r="T822" i="3"/>
  <c r="R822" i="3"/>
  <c r="P822" i="3"/>
  <c r="BI817" i="3"/>
  <c r="BH817" i="3"/>
  <c r="BG817" i="3"/>
  <c r="BF817" i="3"/>
  <c r="T817" i="3"/>
  <c r="R817" i="3"/>
  <c r="P817" i="3"/>
  <c r="BI815" i="3"/>
  <c r="BH815" i="3"/>
  <c r="BG815" i="3"/>
  <c r="BF815" i="3"/>
  <c r="T815" i="3"/>
  <c r="R815" i="3"/>
  <c r="P815" i="3"/>
  <c r="BI809" i="3"/>
  <c r="BH809" i="3"/>
  <c r="BG809" i="3"/>
  <c r="BF809" i="3"/>
  <c r="T809" i="3"/>
  <c r="R809" i="3"/>
  <c r="P809" i="3"/>
  <c r="BI807" i="3"/>
  <c r="BH807" i="3"/>
  <c r="BG807" i="3"/>
  <c r="BF807" i="3"/>
  <c r="T807" i="3"/>
  <c r="R807" i="3"/>
  <c r="P807" i="3"/>
  <c r="BI804" i="3"/>
  <c r="BH804" i="3"/>
  <c r="BG804" i="3"/>
  <c r="BF804" i="3"/>
  <c r="T804" i="3"/>
  <c r="R804" i="3"/>
  <c r="P804" i="3"/>
  <c r="BI803" i="3"/>
  <c r="BH803" i="3"/>
  <c r="BG803" i="3"/>
  <c r="BF803" i="3"/>
  <c r="T803" i="3"/>
  <c r="R803" i="3"/>
  <c r="P803" i="3"/>
  <c r="BI801" i="3"/>
  <c r="BH801" i="3"/>
  <c r="BG801" i="3"/>
  <c r="BF801" i="3"/>
  <c r="T801" i="3"/>
  <c r="R801" i="3"/>
  <c r="P801" i="3"/>
  <c r="BI799" i="3"/>
  <c r="BH799" i="3"/>
  <c r="BG799" i="3"/>
  <c r="BF799" i="3"/>
  <c r="T799" i="3"/>
  <c r="R799" i="3"/>
  <c r="P799" i="3"/>
  <c r="BI796" i="3"/>
  <c r="BH796" i="3"/>
  <c r="BG796" i="3"/>
  <c r="BF796" i="3"/>
  <c r="T796" i="3"/>
  <c r="R796" i="3"/>
  <c r="P796" i="3"/>
  <c r="BI795" i="3"/>
  <c r="BH795" i="3"/>
  <c r="BG795" i="3"/>
  <c r="BF795" i="3"/>
  <c r="T795" i="3"/>
  <c r="R795" i="3"/>
  <c r="P795" i="3"/>
  <c r="BI792" i="3"/>
  <c r="BH792" i="3"/>
  <c r="BG792" i="3"/>
  <c r="BF792" i="3"/>
  <c r="T792" i="3"/>
  <c r="R792" i="3"/>
  <c r="P792" i="3"/>
  <c r="BI791" i="3"/>
  <c r="BH791" i="3"/>
  <c r="BG791" i="3"/>
  <c r="BF791" i="3"/>
  <c r="T791" i="3"/>
  <c r="R791" i="3"/>
  <c r="P791" i="3"/>
  <c r="BI788" i="3"/>
  <c r="BH788" i="3"/>
  <c r="BG788" i="3"/>
  <c r="BF788" i="3"/>
  <c r="T788" i="3"/>
  <c r="R788" i="3"/>
  <c r="P788" i="3"/>
  <c r="BI787" i="3"/>
  <c r="BH787" i="3"/>
  <c r="BG787" i="3"/>
  <c r="BF787" i="3"/>
  <c r="T787" i="3"/>
  <c r="R787" i="3"/>
  <c r="P787" i="3"/>
  <c r="BI784" i="3"/>
  <c r="BH784" i="3"/>
  <c r="BG784" i="3"/>
  <c r="BF784" i="3"/>
  <c r="T784" i="3"/>
  <c r="R784" i="3"/>
  <c r="P784" i="3"/>
  <c r="BI781" i="3"/>
  <c r="BH781" i="3"/>
  <c r="BG781" i="3"/>
  <c r="BF781" i="3"/>
  <c r="T781" i="3"/>
  <c r="R781" i="3"/>
  <c r="P781" i="3"/>
  <c r="BI778" i="3"/>
  <c r="BH778" i="3"/>
  <c r="BG778" i="3"/>
  <c r="BF778" i="3"/>
  <c r="T778" i="3"/>
  <c r="R778" i="3"/>
  <c r="P778" i="3"/>
  <c r="BI775" i="3"/>
  <c r="BH775" i="3"/>
  <c r="BG775" i="3"/>
  <c r="BF775" i="3"/>
  <c r="T775" i="3"/>
  <c r="R775" i="3"/>
  <c r="P775" i="3"/>
  <c r="BI773" i="3"/>
  <c r="BH773" i="3"/>
  <c r="BG773" i="3"/>
  <c r="BF773" i="3"/>
  <c r="T773" i="3"/>
  <c r="R773" i="3"/>
  <c r="P773" i="3"/>
  <c r="BI770" i="3"/>
  <c r="BH770" i="3"/>
  <c r="BG770" i="3"/>
  <c r="BF770" i="3"/>
  <c r="T770" i="3"/>
  <c r="R770" i="3"/>
  <c r="P770" i="3"/>
  <c r="BI768" i="3"/>
  <c r="BH768" i="3"/>
  <c r="BG768" i="3"/>
  <c r="BF768" i="3"/>
  <c r="T768" i="3"/>
  <c r="R768" i="3"/>
  <c r="P768" i="3"/>
  <c r="BI765" i="3"/>
  <c r="BH765" i="3"/>
  <c r="BG765" i="3"/>
  <c r="BF765" i="3"/>
  <c r="T765" i="3"/>
  <c r="R765" i="3"/>
  <c r="P765" i="3"/>
  <c r="BI764" i="3"/>
  <c r="BH764" i="3"/>
  <c r="BG764" i="3"/>
  <c r="BF764" i="3"/>
  <c r="T764" i="3"/>
  <c r="R764" i="3"/>
  <c r="P764" i="3"/>
  <c r="BI763" i="3"/>
  <c r="BH763" i="3"/>
  <c r="BG763" i="3"/>
  <c r="BF763" i="3"/>
  <c r="T763" i="3"/>
  <c r="R763" i="3"/>
  <c r="P763" i="3"/>
  <c r="BI762" i="3"/>
  <c r="BH762" i="3"/>
  <c r="BG762" i="3"/>
  <c r="BF762" i="3"/>
  <c r="T762" i="3"/>
  <c r="R762" i="3"/>
  <c r="P762" i="3"/>
  <c r="BI760" i="3"/>
  <c r="BH760" i="3"/>
  <c r="BG760" i="3"/>
  <c r="BF760" i="3"/>
  <c r="T760" i="3"/>
  <c r="R760" i="3"/>
  <c r="P760" i="3"/>
  <c r="BI758" i="3"/>
  <c r="BH758" i="3"/>
  <c r="BG758" i="3"/>
  <c r="BF758" i="3"/>
  <c r="T758" i="3"/>
  <c r="R758" i="3"/>
  <c r="P758" i="3"/>
  <c r="BI756" i="3"/>
  <c r="BH756" i="3"/>
  <c r="BG756" i="3"/>
  <c r="BF756" i="3"/>
  <c r="T756" i="3"/>
  <c r="R756" i="3"/>
  <c r="P756" i="3"/>
  <c r="BI754" i="3"/>
  <c r="BH754" i="3"/>
  <c r="BG754" i="3"/>
  <c r="BF754" i="3"/>
  <c r="T754" i="3"/>
  <c r="R754" i="3"/>
  <c r="P754" i="3"/>
  <c r="BI751" i="3"/>
  <c r="BH751" i="3"/>
  <c r="BG751" i="3"/>
  <c r="BF751" i="3"/>
  <c r="T751" i="3"/>
  <c r="R751" i="3"/>
  <c r="P751" i="3"/>
  <c r="BI748" i="3"/>
  <c r="BH748" i="3"/>
  <c r="BG748" i="3"/>
  <c r="BF748" i="3"/>
  <c r="T748" i="3"/>
  <c r="R748" i="3"/>
  <c r="P748" i="3"/>
  <c r="BI746" i="3"/>
  <c r="BH746" i="3"/>
  <c r="BG746" i="3"/>
  <c r="BF746" i="3"/>
  <c r="T746" i="3"/>
  <c r="R746" i="3"/>
  <c r="P746" i="3"/>
  <c r="BI743" i="3"/>
  <c r="BH743" i="3"/>
  <c r="BG743" i="3"/>
  <c r="BF743" i="3"/>
  <c r="T743" i="3"/>
  <c r="R743" i="3"/>
  <c r="P743" i="3"/>
  <c r="BI740" i="3"/>
  <c r="BH740" i="3"/>
  <c r="BG740" i="3"/>
  <c r="BF740" i="3"/>
  <c r="T740" i="3"/>
  <c r="R740" i="3"/>
  <c r="P740" i="3"/>
  <c r="BI737" i="3"/>
  <c r="BH737" i="3"/>
  <c r="BG737" i="3"/>
  <c r="BF737" i="3"/>
  <c r="T737" i="3"/>
  <c r="R737" i="3"/>
  <c r="P737" i="3"/>
  <c r="BI734" i="3"/>
  <c r="BH734" i="3"/>
  <c r="BG734" i="3"/>
  <c r="BF734" i="3"/>
  <c r="T734" i="3"/>
  <c r="R734" i="3"/>
  <c r="P734" i="3"/>
  <c r="BI732" i="3"/>
  <c r="BH732" i="3"/>
  <c r="BG732" i="3"/>
  <c r="BF732" i="3"/>
  <c r="T732" i="3"/>
  <c r="R732" i="3"/>
  <c r="P732" i="3"/>
  <c r="BI729" i="3"/>
  <c r="BH729" i="3"/>
  <c r="BG729" i="3"/>
  <c r="BF729" i="3"/>
  <c r="T729" i="3"/>
  <c r="R729" i="3"/>
  <c r="P729" i="3"/>
  <c r="BI724" i="3"/>
  <c r="BH724" i="3"/>
  <c r="BG724" i="3"/>
  <c r="BF724" i="3"/>
  <c r="T724" i="3"/>
  <c r="R724" i="3"/>
  <c r="P724" i="3"/>
  <c r="BI721" i="3"/>
  <c r="BH721" i="3"/>
  <c r="BG721" i="3"/>
  <c r="BF721" i="3"/>
  <c r="T721" i="3"/>
  <c r="R721" i="3"/>
  <c r="P721" i="3"/>
  <c r="BI719" i="3"/>
  <c r="BH719" i="3"/>
  <c r="BG719" i="3"/>
  <c r="BF719" i="3"/>
  <c r="T719" i="3"/>
  <c r="R719" i="3"/>
  <c r="P719" i="3"/>
  <c r="BI716" i="3"/>
  <c r="BH716" i="3"/>
  <c r="BG716" i="3"/>
  <c r="BF716" i="3"/>
  <c r="T716" i="3"/>
  <c r="R716" i="3"/>
  <c r="P716" i="3"/>
  <c r="BI713" i="3"/>
  <c r="BH713" i="3"/>
  <c r="BG713" i="3"/>
  <c r="BF713" i="3"/>
  <c r="T713" i="3"/>
  <c r="R713" i="3"/>
  <c r="P713" i="3"/>
  <c r="BI710" i="3"/>
  <c r="BH710" i="3"/>
  <c r="BG710" i="3"/>
  <c r="BF710" i="3"/>
  <c r="T710" i="3"/>
  <c r="R710" i="3"/>
  <c r="P710" i="3"/>
  <c r="BI708" i="3"/>
  <c r="BH708" i="3"/>
  <c r="BG708" i="3"/>
  <c r="BF708" i="3"/>
  <c r="T708" i="3"/>
  <c r="R708" i="3"/>
  <c r="P708" i="3"/>
  <c r="BI705" i="3"/>
  <c r="BH705" i="3"/>
  <c r="BG705" i="3"/>
  <c r="BF705" i="3"/>
  <c r="T705" i="3"/>
  <c r="R705" i="3"/>
  <c r="P705" i="3"/>
  <c r="BI700" i="3"/>
  <c r="BH700" i="3"/>
  <c r="BG700" i="3"/>
  <c r="BF700" i="3"/>
  <c r="T700" i="3"/>
  <c r="R700" i="3"/>
  <c r="P700" i="3"/>
  <c r="BI695" i="3"/>
  <c r="BH695" i="3"/>
  <c r="BG695" i="3"/>
  <c r="BF695" i="3"/>
  <c r="T695" i="3"/>
  <c r="R695" i="3"/>
  <c r="P695" i="3"/>
  <c r="BI693" i="3"/>
  <c r="BH693" i="3"/>
  <c r="BG693" i="3"/>
  <c r="BF693" i="3"/>
  <c r="T693" i="3"/>
  <c r="R693" i="3"/>
  <c r="P693" i="3"/>
  <c r="BI688" i="3"/>
  <c r="BH688" i="3"/>
  <c r="BG688" i="3"/>
  <c r="BF688" i="3"/>
  <c r="T688" i="3"/>
  <c r="R688" i="3"/>
  <c r="P688" i="3"/>
  <c r="BI685" i="3"/>
  <c r="BH685" i="3"/>
  <c r="BG685" i="3"/>
  <c r="BF685" i="3"/>
  <c r="T685" i="3"/>
  <c r="R685" i="3"/>
  <c r="P685" i="3"/>
  <c r="BI684" i="3"/>
  <c r="BH684" i="3"/>
  <c r="BG684" i="3"/>
  <c r="BF684" i="3"/>
  <c r="T684" i="3"/>
  <c r="R684" i="3"/>
  <c r="P684" i="3"/>
  <c r="BI683" i="3"/>
  <c r="BH683" i="3"/>
  <c r="BG683" i="3"/>
  <c r="BF683" i="3"/>
  <c r="T683" i="3"/>
  <c r="R683" i="3"/>
  <c r="P683" i="3"/>
  <c r="BI678" i="3"/>
  <c r="BH678" i="3"/>
  <c r="BG678" i="3"/>
  <c r="BF678" i="3"/>
  <c r="T678" i="3"/>
  <c r="R678" i="3"/>
  <c r="P678" i="3"/>
  <c r="BI673" i="3"/>
  <c r="BH673" i="3"/>
  <c r="BG673" i="3"/>
  <c r="BF673" i="3"/>
  <c r="T673" i="3"/>
  <c r="R673" i="3"/>
  <c r="P673" i="3"/>
  <c r="BI670" i="3"/>
  <c r="BH670" i="3"/>
  <c r="BG670" i="3"/>
  <c r="BF670" i="3"/>
  <c r="T670" i="3"/>
  <c r="R670" i="3"/>
  <c r="P670" i="3"/>
  <c r="BI665" i="3"/>
  <c r="BH665" i="3"/>
  <c r="BG665" i="3"/>
  <c r="BF665" i="3"/>
  <c r="T665" i="3"/>
  <c r="R665" i="3"/>
  <c r="P665" i="3"/>
  <c r="BI664" i="3"/>
  <c r="BH664" i="3"/>
  <c r="BG664" i="3"/>
  <c r="BF664" i="3"/>
  <c r="T664" i="3"/>
  <c r="R664" i="3"/>
  <c r="P664" i="3"/>
  <c r="BI663" i="3"/>
  <c r="BH663" i="3"/>
  <c r="BG663" i="3"/>
  <c r="BF663" i="3"/>
  <c r="T663" i="3"/>
  <c r="R663" i="3"/>
  <c r="P663" i="3"/>
  <c r="BI658" i="3"/>
  <c r="BH658" i="3"/>
  <c r="BG658" i="3"/>
  <c r="BF658" i="3"/>
  <c r="T658" i="3"/>
  <c r="R658" i="3"/>
  <c r="P658" i="3"/>
  <c r="BI655" i="3"/>
  <c r="BH655" i="3"/>
  <c r="BG655" i="3"/>
  <c r="BF655" i="3"/>
  <c r="T655" i="3"/>
  <c r="R655" i="3"/>
  <c r="P655" i="3"/>
  <c r="BI653" i="3"/>
  <c r="BH653" i="3"/>
  <c r="BG653" i="3"/>
  <c r="BF653" i="3"/>
  <c r="T653" i="3"/>
  <c r="R653" i="3"/>
  <c r="P653" i="3"/>
  <c r="BI651" i="3"/>
  <c r="BH651" i="3"/>
  <c r="BG651" i="3"/>
  <c r="BF651" i="3"/>
  <c r="T651" i="3"/>
  <c r="R651" i="3"/>
  <c r="P651" i="3"/>
  <c r="BI648" i="3"/>
  <c r="BH648" i="3"/>
  <c r="BG648" i="3"/>
  <c r="BF648" i="3"/>
  <c r="T648" i="3"/>
  <c r="R648" i="3"/>
  <c r="P648" i="3"/>
  <c r="BI645" i="3"/>
  <c r="BH645" i="3"/>
  <c r="BG645" i="3"/>
  <c r="BF645" i="3"/>
  <c r="T645" i="3"/>
  <c r="R645" i="3"/>
  <c r="P645" i="3"/>
  <c r="BI643" i="3"/>
  <c r="BH643" i="3"/>
  <c r="BG643" i="3"/>
  <c r="BF643" i="3"/>
  <c r="T643" i="3"/>
  <c r="R643" i="3"/>
  <c r="P643" i="3"/>
  <c r="BI640" i="3"/>
  <c r="BH640" i="3"/>
  <c r="BG640" i="3"/>
  <c r="BF640" i="3"/>
  <c r="T640" i="3"/>
  <c r="R640" i="3"/>
  <c r="P640" i="3"/>
  <c r="BI638" i="3"/>
  <c r="BH638" i="3"/>
  <c r="BG638" i="3"/>
  <c r="BF638" i="3"/>
  <c r="T638" i="3"/>
  <c r="R638" i="3"/>
  <c r="P638" i="3"/>
  <c r="BI633" i="3"/>
  <c r="BH633" i="3"/>
  <c r="BG633" i="3"/>
  <c r="BF633" i="3"/>
  <c r="T633" i="3"/>
  <c r="R633" i="3"/>
  <c r="P633" i="3"/>
  <c r="BI631" i="3"/>
  <c r="BH631" i="3"/>
  <c r="BG631" i="3"/>
  <c r="BF631" i="3"/>
  <c r="T631" i="3"/>
  <c r="R631" i="3"/>
  <c r="P631" i="3"/>
  <c r="BI628" i="3"/>
  <c r="BH628" i="3"/>
  <c r="BG628" i="3"/>
  <c r="BF628" i="3"/>
  <c r="T628" i="3"/>
  <c r="R628" i="3"/>
  <c r="P628" i="3"/>
  <c r="BI625" i="3"/>
  <c r="BH625" i="3"/>
  <c r="BG625" i="3"/>
  <c r="BF625" i="3"/>
  <c r="T625" i="3"/>
  <c r="R625" i="3"/>
  <c r="P625" i="3"/>
  <c r="BI622" i="3"/>
  <c r="BH622" i="3"/>
  <c r="BG622" i="3"/>
  <c r="BF622" i="3"/>
  <c r="T622" i="3"/>
  <c r="R622" i="3"/>
  <c r="P622" i="3"/>
  <c r="BI619" i="3"/>
  <c r="BH619" i="3"/>
  <c r="BG619" i="3"/>
  <c r="BF619" i="3"/>
  <c r="T619" i="3"/>
  <c r="R619" i="3"/>
  <c r="P619" i="3"/>
  <c r="BI616" i="3"/>
  <c r="BH616" i="3"/>
  <c r="BG616" i="3"/>
  <c r="BF616" i="3"/>
  <c r="T616" i="3"/>
  <c r="R616" i="3"/>
  <c r="P616" i="3"/>
  <c r="BI613" i="3"/>
  <c r="BH613" i="3"/>
  <c r="BG613" i="3"/>
  <c r="BF613" i="3"/>
  <c r="T613" i="3"/>
  <c r="R613" i="3"/>
  <c r="P613" i="3"/>
  <c r="BI607" i="3"/>
  <c r="BH607" i="3"/>
  <c r="BG607" i="3"/>
  <c r="BF607" i="3"/>
  <c r="T607" i="3"/>
  <c r="R607" i="3"/>
  <c r="P607" i="3"/>
  <c r="BI604" i="3"/>
  <c r="BH604" i="3"/>
  <c r="BG604" i="3"/>
  <c r="BF604" i="3"/>
  <c r="T604" i="3"/>
  <c r="R604" i="3"/>
  <c r="P604" i="3"/>
  <c r="BI601" i="3"/>
  <c r="BH601" i="3"/>
  <c r="BG601" i="3"/>
  <c r="BF601" i="3"/>
  <c r="T601" i="3"/>
  <c r="R601" i="3"/>
  <c r="P601" i="3"/>
  <c r="BI596" i="3"/>
  <c r="BH596" i="3"/>
  <c r="BG596" i="3"/>
  <c r="BF596" i="3"/>
  <c r="T596" i="3"/>
  <c r="R596" i="3"/>
  <c r="P596" i="3"/>
  <c r="BI593" i="3"/>
  <c r="BH593" i="3"/>
  <c r="BG593" i="3"/>
  <c r="BF593" i="3"/>
  <c r="T593" i="3"/>
  <c r="R593" i="3"/>
  <c r="P593" i="3"/>
  <c r="BI590" i="3"/>
  <c r="BH590" i="3"/>
  <c r="BG590" i="3"/>
  <c r="BF590" i="3"/>
  <c r="T590" i="3"/>
  <c r="R590" i="3"/>
  <c r="P590" i="3"/>
  <c r="BI587" i="3"/>
  <c r="BH587" i="3"/>
  <c r="BG587" i="3"/>
  <c r="BF587" i="3"/>
  <c r="T587" i="3"/>
  <c r="R587" i="3"/>
  <c r="P587" i="3"/>
  <c r="BI574" i="3"/>
  <c r="BH574" i="3"/>
  <c r="BG574" i="3"/>
  <c r="BF574" i="3"/>
  <c r="T574" i="3"/>
  <c r="R574" i="3"/>
  <c r="P574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6" i="3"/>
  <c r="BH566" i="3"/>
  <c r="BG566" i="3"/>
  <c r="BF566" i="3"/>
  <c r="T566" i="3"/>
  <c r="R566" i="3"/>
  <c r="P566" i="3"/>
  <c r="BI563" i="3"/>
  <c r="BH563" i="3"/>
  <c r="BG563" i="3"/>
  <c r="BF563" i="3"/>
  <c r="T563" i="3"/>
  <c r="R563" i="3"/>
  <c r="P563" i="3"/>
  <c r="BI561" i="3"/>
  <c r="BH561" i="3"/>
  <c r="BG561" i="3"/>
  <c r="BF561" i="3"/>
  <c r="T561" i="3"/>
  <c r="R561" i="3"/>
  <c r="P561" i="3"/>
  <c r="BI556" i="3"/>
  <c r="BH556" i="3"/>
  <c r="BG556" i="3"/>
  <c r="BF556" i="3"/>
  <c r="T556" i="3"/>
  <c r="R556" i="3"/>
  <c r="P556" i="3"/>
  <c r="BI553" i="3"/>
  <c r="BH553" i="3"/>
  <c r="BG553" i="3"/>
  <c r="BF553" i="3"/>
  <c r="T553" i="3"/>
  <c r="R553" i="3"/>
  <c r="P553" i="3"/>
  <c r="BI550" i="3"/>
  <c r="BH550" i="3"/>
  <c r="BG550" i="3"/>
  <c r="BF550" i="3"/>
  <c r="T550" i="3"/>
  <c r="R550" i="3"/>
  <c r="P550" i="3"/>
  <c r="BI547" i="3"/>
  <c r="BH547" i="3"/>
  <c r="BG547" i="3"/>
  <c r="BF547" i="3"/>
  <c r="T547" i="3"/>
  <c r="R547" i="3"/>
  <c r="P547" i="3"/>
  <c r="BI544" i="3"/>
  <c r="BH544" i="3"/>
  <c r="BG544" i="3"/>
  <c r="BF544" i="3"/>
  <c r="T544" i="3"/>
  <c r="R544" i="3"/>
  <c r="P544" i="3"/>
  <c r="BI541" i="3"/>
  <c r="BH541" i="3"/>
  <c r="BG541" i="3"/>
  <c r="BF541" i="3"/>
  <c r="T541" i="3"/>
  <c r="R541" i="3"/>
  <c r="P541" i="3"/>
  <c r="BI538" i="3"/>
  <c r="BH538" i="3"/>
  <c r="BG538" i="3"/>
  <c r="BF538" i="3"/>
  <c r="T538" i="3"/>
  <c r="R538" i="3"/>
  <c r="P538" i="3"/>
  <c r="BI535" i="3"/>
  <c r="BH535" i="3"/>
  <c r="BG535" i="3"/>
  <c r="BF535" i="3"/>
  <c r="T535" i="3"/>
  <c r="R535" i="3"/>
  <c r="P535" i="3"/>
  <c r="BI532" i="3"/>
  <c r="BH532" i="3"/>
  <c r="BG532" i="3"/>
  <c r="BF532" i="3"/>
  <c r="T532" i="3"/>
  <c r="R532" i="3"/>
  <c r="P532" i="3"/>
  <c r="BI529" i="3"/>
  <c r="BH529" i="3"/>
  <c r="BG529" i="3"/>
  <c r="BF529" i="3"/>
  <c r="T529" i="3"/>
  <c r="R529" i="3"/>
  <c r="P529" i="3"/>
  <c r="BI524" i="3"/>
  <c r="BH524" i="3"/>
  <c r="BG524" i="3"/>
  <c r="BF524" i="3"/>
  <c r="T524" i="3"/>
  <c r="R524" i="3"/>
  <c r="P524" i="3"/>
  <c r="BI519" i="3"/>
  <c r="BH519" i="3"/>
  <c r="BG519" i="3"/>
  <c r="BF519" i="3"/>
  <c r="T519" i="3"/>
  <c r="R519" i="3"/>
  <c r="P519" i="3"/>
  <c r="BI511" i="3"/>
  <c r="BH511" i="3"/>
  <c r="BG511" i="3"/>
  <c r="BF511" i="3"/>
  <c r="T511" i="3"/>
  <c r="R511" i="3"/>
  <c r="P511" i="3"/>
  <c r="BI504" i="3"/>
  <c r="BH504" i="3"/>
  <c r="BG504" i="3"/>
  <c r="BF504" i="3"/>
  <c r="T504" i="3"/>
  <c r="R504" i="3"/>
  <c r="P504" i="3"/>
  <c r="BI502" i="3"/>
  <c r="BH502" i="3"/>
  <c r="BG502" i="3"/>
  <c r="BF502" i="3"/>
  <c r="T502" i="3"/>
  <c r="R502" i="3"/>
  <c r="P502" i="3"/>
  <c r="BI501" i="3"/>
  <c r="BH501" i="3"/>
  <c r="BG501" i="3"/>
  <c r="BF501" i="3"/>
  <c r="T501" i="3"/>
  <c r="R501" i="3"/>
  <c r="P501" i="3"/>
  <c r="BI500" i="3"/>
  <c r="BH500" i="3"/>
  <c r="BG500" i="3"/>
  <c r="BF500" i="3"/>
  <c r="T500" i="3"/>
  <c r="R500" i="3"/>
  <c r="P500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6" i="3"/>
  <c r="BH496" i="3"/>
  <c r="BG496" i="3"/>
  <c r="BF496" i="3"/>
  <c r="T496" i="3"/>
  <c r="R496" i="3"/>
  <c r="P496" i="3"/>
  <c r="BI495" i="3"/>
  <c r="BH495" i="3"/>
  <c r="BG495" i="3"/>
  <c r="BF495" i="3"/>
  <c r="T495" i="3"/>
  <c r="R495" i="3"/>
  <c r="P495" i="3"/>
  <c r="BI493" i="3"/>
  <c r="BH493" i="3"/>
  <c r="BG493" i="3"/>
  <c r="BF493" i="3"/>
  <c r="T493" i="3"/>
  <c r="R493" i="3"/>
  <c r="P493" i="3"/>
  <c r="BI492" i="3"/>
  <c r="BH492" i="3"/>
  <c r="BG492" i="3"/>
  <c r="BF492" i="3"/>
  <c r="T492" i="3"/>
  <c r="R492" i="3"/>
  <c r="P492" i="3"/>
  <c r="BI490" i="3"/>
  <c r="BH490" i="3"/>
  <c r="BG490" i="3"/>
  <c r="BF490" i="3"/>
  <c r="T490" i="3"/>
  <c r="R490" i="3"/>
  <c r="P490" i="3"/>
  <c r="BI489" i="3"/>
  <c r="BH489" i="3"/>
  <c r="BG489" i="3"/>
  <c r="BF489" i="3"/>
  <c r="T489" i="3"/>
  <c r="R489" i="3"/>
  <c r="P489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78" i="3"/>
  <c r="BH478" i="3"/>
  <c r="BG478" i="3"/>
  <c r="BF478" i="3"/>
  <c r="T478" i="3"/>
  <c r="R478" i="3"/>
  <c r="P478" i="3"/>
  <c r="BI472" i="3"/>
  <c r="BH472" i="3"/>
  <c r="BG472" i="3"/>
  <c r="BF472" i="3"/>
  <c r="T472" i="3"/>
  <c r="R472" i="3"/>
  <c r="P472" i="3"/>
  <c r="BI465" i="3"/>
  <c r="BH465" i="3"/>
  <c r="BG465" i="3"/>
  <c r="BF465" i="3"/>
  <c r="T465" i="3"/>
  <c r="R465" i="3"/>
  <c r="P465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1" i="3"/>
  <c r="BH441" i="3"/>
  <c r="BG441" i="3"/>
  <c r="BF441" i="3"/>
  <c r="T441" i="3"/>
  <c r="R441" i="3"/>
  <c r="P441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6" i="3"/>
  <c r="BH416" i="3"/>
  <c r="BG416" i="3"/>
  <c r="BF416" i="3"/>
  <c r="T416" i="3"/>
  <c r="T415" i="3"/>
  <c r="R416" i="3"/>
  <c r="R415" i="3" s="1"/>
  <c r="P416" i="3"/>
  <c r="P415" i="3"/>
  <c r="BI413" i="3"/>
  <c r="BH413" i="3"/>
  <c r="BG413" i="3"/>
  <c r="BF413" i="3"/>
  <c r="T413" i="3"/>
  <c r="R413" i="3"/>
  <c r="P413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8" i="3"/>
  <c r="BH398" i="3"/>
  <c r="BG398" i="3"/>
  <c r="BF398" i="3"/>
  <c r="T398" i="3"/>
  <c r="R398" i="3"/>
  <c r="P398" i="3"/>
  <c r="BI395" i="3"/>
  <c r="BH395" i="3"/>
  <c r="BG395" i="3"/>
  <c r="BF395" i="3"/>
  <c r="T395" i="3"/>
  <c r="R395" i="3"/>
  <c r="P395" i="3"/>
  <c r="BI394" i="3"/>
  <c r="BH394" i="3"/>
  <c r="BG394" i="3"/>
  <c r="BF394" i="3"/>
  <c r="T394" i="3"/>
  <c r="R394" i="3"/>
  <c r="P394" i="3"/>
  <c r="BI392" i="3"/>
  <c r="BH392" i="3"/>
  <c r="BG392" i="3"/>
  <c r="BF392" i="3"/>
  <c r="T392" i="3"/>
  <c r="R392" i="3"/>
  <c r="P392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6" i="3"/>
  <c r="BH366" i="3"/>
  <c r="BG366" i="3"/>
  <c r="BF366" i="3"/>
  <c r="T366" i="3"/>
  <c r="R366" i="3"/>
  <c r="P366" i="3"/>
  <c r="BI363" i="3"/>
  <c r="BH363" i="3"/>
  <c r="BG363" i="3"/>
  <c r="BF363" i="3"/>
  <c r="T363" i="3"/>
  <c r="R363" i="3"/>
  <c r="P363" i="3"/>
  <c r="BI360" i="3"/>
  <c r="BH360" i="3"/>
  <c r="BG360" i="3"/>
  <c r="BF360" i="3"/>
  <c r="T360" i="3"/>
  <c r="R360" i="3"/>
  <c r="P360" i="3"/>
  <c r="BI354" i="3"/>
  <c r="BH354" i="3"/>
  <c r="BG354" i="3"/>
  <c r="BF354" i="3"/>
  <c r="T354" i="3"/>
  <c r="R354" i="3"/>
  <c r="P354" i="3"/>
  <c r="BI348" i="3"/>
  <c r="BH348" i="3"/>
  <c r="BG348" i="3"/>
  <c r="BF348" i="3"/>
  <c r="T348" i="3"/>
  <c r="R348" i="3"/>
  <c r="P348" i="3"/>
  <c r="BI343" i="3"/>
  <c r="BH343" i="3"/>
  <c r="BG343" i="3"/>
  <c r="BF343" i="3"/>
  <c r="T343" i="3"/>
  <c r="R343" i="3"/>
  <c r="P343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4" i="3"/>
  <c r="BH284" i="3"/>
  <c r="BG284" i="3"/>
  <c r="BF284" i="3"/>
  <c r="T284" i="3"/>
  <c r="R284" i="3"/>
  <c r="P284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0" i="3"/>
  <c r="BH250" i="3"/>
  <c r="BG250" i="3"/>
  <c r="BF250" i="3"/>
  <c r="T250" i="3"/>
  <c r="R250" i="3"/>
  <c r="P250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R205" i="3"/>
  <c r="P205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4" i="3"/>
  <c r="BH184" i="3"/>
  <c r="BG184" i="3"/>
  <c r="BF184" i="3"/>
  <c r="T184" i="3"/>
  <c r="R184" i="3"/>
  <c r="P184" i="3"/>
  <c r="BI178" i="3"/>
  <c r="BH178" i="3"/>
  <c r="BG178" i="3"/>
  <c r="BF178" i="3"/>
  <c r="T178" i="3"/>
  <c r="R178" i="3"/>
  <c r="P178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J108" i="3"/>
  <c r="J107" i="3"/>
  <c r="F107" i="3"/>
  <c r="F105" i="3"/>
  <c r="E103" i="3"/>
  <c r="J55" i="3"/>
  <c r="J54" i="3"/>
  <c r="F54" i="3"/>
  <c r="F52" i="3"/>
  <c r="E50" i="3"/>
  <c r="J18" i="3"/>
  <c r="E18" i="3"/>
  <c r="F108" i="3"/>
  <c r="J17" i="3"/>
  <c r="J12" i="3"/>
  <c r="J105" i="3" s="1"/>
  <c r="E7" i="3"/>
  <c r="E48" i="3"/>
  <c r="J37" i="2"/>
  <c r="J36" i="2"/>
  <c r="AY55" i="1"/>
  <c r="J35" i="2"/>
  <c r="AX55" i="1" s="1"/>
  <c r="BI361" i="2"/>
  <c r="BH361" i="2"/>
  <c r="BG361" i="2"/>
  <c r="BF361" i="2"/>
  <c r="T361" i="2"/>
  <c r="T360" i="2"/>
  <c r="T359" i="2"/>
  <c r="R361" i="2"/>
  <c r="R360" i="2" s="1"/>
  <c r="R359" i="2" s="1"/>
  <c r="P361" i="2"/>
  <c r="P360" i="2" s="1"/>
  <c r="P359" i="2" s="1"/>
  <c r="BI356" i="2"/>
  <c r="BH356" i="2"/>
  <c r="BG356" i="2"/>
  <c r="BF356" i="2"/>
  <c r="T356" i="2"/>
  <c r="T355" i="2"/>
  <c r="R356" i="2"/>
  <c r="R355" i="2" s="1"/>
  <c r="P356" i="2"/>
  <c r="P355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4" i="2"/>
  <c r="BH344" i="2"/>
  <c r="BG344" i="2"/>
  <c r="BF344" i="2"/>
  <c r="T344" i="2"/>
  <c r="R344" i="2"/>
  <c r="P344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4" i="2"/>
  <c r="BH304" i="2"/>
  <c r="BG304" i="2"/>
  <c r="BF304" i="2"/>
  <c r="T304" i="2"/>
  <c r="R304" i="2"/>
  <c r="P304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T263" i="2" s="1"/>
  <c r="R264" i="2"/>
  <c r="R263" i="2"/>
  <c r="P264" i="2"/>
  <c r="P263" i="2" s="1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T258" i="2" s="1"/>
  <c r="R259" i="2"/>
  <c r="R258" i="2"/>
  <c r="P259" i="2"/>
  <c r="P258" i="2" s="1"/>
  <c r="BI257" i="2"/>
  <c r="BH257" i="2"/>
  <c r="BG257" i="2"/>
  <c r="BF257" i="2"/>
  <c r="T257" i="2"/>
  <c r="T256" i="2"/>
  <c r="R257" i="2"/>
  <c r="R256" i="2" s="1"/>
  <c r="P257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197" i="2"/>
  <c r="BH197" i="2"/>
  <c r="BG197" i="2"/>
  <c r="BF197" i="2"/>
  <c r="T197" i="2"/>
  <c r="R197" i="2"/>
  <c r="P197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0" i="2"/>
  <c r="BH110" i="2"/>
  <c r="BG110" i="2"/>
  <c r="BF110" i="2"/>
  <c r="T110" i="2"/>
  <c r="R110" i="2"/>
  <c r="P110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J93" i="2"/>
  <c r="J92" i="2"/>
  <c r="F92" i="2"/>
  <c r="F90" i="2"/>
  <c r="E88" i="2"/>
  <c r="J55" i="2"/>
  <c r="J54" i="2"/>
  <c r="F54" i="2"/>
  <c r="F52" i="2"/>
  <c r="E50" i="2"/>
  <c r="J18" i="2"/>
  <c r="E18" i="2"/>
  <c r="F93" i="2"/>
  <c r="J17" i="2"/>
  <c r="J12" i="2"/>
  <c r="J90" i="2"/>
  <c r="E7" i="2"/>
  <c r="E86" i="2" s="1"/>
  <c r="L50" i="1"/>
  <c r="AM50" i="1"/>
  <c r="AM49" i="1"/>
  <c r="L49" i="1"/>
  <c r="AM47" i="1"/>
  <c r="L47" i="1"/>
  <c r="L45" i="1"/>
  <c r="L44" i="1"/>
  <c r="BK322" i="2"/>
  <c r="J231" i="2"/>
  <c r="J154" i="2"/>
  <c r="J102" i="2"/>
  <c r="BK304" i="2"/>
  <c r="J197" i="2"/>
  <c r="AS54" i="1"/>
  <c r="BK328" i="2"/>
  <c r="J219" i="2"/>
  <c r="BK1293" i="3"/>
  <c r="J1113" i="3"/>
  <c r="BK978" i="3"/>
  <c r="J867" i="3"/>
  <c r="BK778" i="3"/>
  <c r="BK724" i="3"/>
  <c r="BK628" i="3"/>
  <c r="J465" i="3"/>
  <c r="BK395" i="3"/>
  <c r="J275" i="3"/>
  <c r="BK164" i="3"/>
  <c r="J117" i="3"/>
  <c r="J1174" i="3"/>
  <c r="BK1126" i="3"/>
  <c r="BK1026" i="3"/>
  <c r="J970" i="3"/>
  <c r="J873" i="3"/>
  <c r="BK843" i="3"/>
  <c r="J748" i="3"/>
  <c r="J693" i="3"/>
  <c r="J622" i="3"/>
  <c r="BK561" i="3"/>
  <c r="J490" i="3"/>
  <c r="BK408" i="3"/>
  <c r="J375" i="3"/>
  <c r="BK335" i="3"/>
  <c r="J284" i="3"/>
  <c r="BK220" i="3"/>
  <c r="BK172" i="3"/>
  <c r="BK1284" i="3"/>
  <c r="J1138" i="3"/>
  <c r="BK1088" i="3"/>
  <c r="J1048" i="3"/>
  <c r="J1000" i="3"/>
  <c r="J924" i="3"/>
  <c r="J868" i="3"/>
  <c r="J844" i="3"/>
  <c r="BK781" i="3"/>
  <c r="J688" i="3"/>
  <c r="J613" i="3"/>
  <c r="BK492" i="3"/>
  <c r="BK401" i="3"/>
  <c r="BK324" i="3"/>
  <c r="J155" i="3"/>
  <c r="J1091" i="3"/>
  <c r="BK1010" i="3"/>
  <c r="J927" i="3"/>
  <c r="BK856" i="3"/>
  <c r="BK822" i="3"/>
  <c r="J762" i="3"/>
  <c r="BK655" i="3"/>
  <c r="BK569" i="3"/>
  <c r="J394" i="3"/>
  <c r="BK267" i="3"/>
  <c r="BK169" i="3"/>
  <c r="BK91" i="4"/>
  <c r="BK114" i="4"/>
  <c r="J288" i="2"/>
  <c r="BK225" i="2"/>
  <c r="J141" i="2"/>
  <c r="J356" i="2"/>
  <c r="BK285" i="2"/>
  <c r="BK248" i="2"/>
  <c r="J165" i="2"/>
  <c r="J316" i="2"/>
  <c r="J217" i="2"/>
  <c r="BK99" i="2"/>
  <c r="J171" i="2"/>
  <c r="BK1216" i="3"/>
  <c r="J1040" i="3"/>
  <c r="BK921" i="3"/>
  <c r="J831" i="3"/>
  <c r="J754" i="3"/>
  <c r="BK664" i="3"/>
  <c r="J550" i="3"/>
  <c r="J453" i="3"/>
  <c r="BK366" i="3"/>
  <c r="BK261" i="3"/>
  <c r="BK178" i="3"/>
  <c r="J120" i="3"/>
  <c r="BK1182" i="3"/>
  <c r="J1107" i="3"/>
  <c r="BK989" i="3"/>
  <c r="J893" i="3"/>
  <c r="BK871" i="3"/>
  <c r="J815" i="3"/>
  <c r="BK719" i="3"/>
  <c r="J651" i="3"/>
  <c r="J574" i="3"/>
  <c r="J493" i="3"/>
  <c r="BK436" i="3"/>
  <c r="BK386" i="3"/>
  <c r="BK299" i="3"/>
  <c r="J223" i="3"/>
  <c r="BK1299" i="3"/>
  <c r="J1182" i="3"/>
  <c r="BK1118" i="3"/>
  <c r="J1068" i="3"/>
  <c r="J983" i="3"/>
  <c r="BK878" i="3"/>
  <c r="BK809" i="3"/>
  <c r="J768" i="3"/>
  <c r="BK734" i="3"/>
  <c r="J665" i="3"/>
  <c r="BK547" i="3"/>
  <c r="BK493" i="3"/>
  <c r="J428" i="3"/>
  <c r="J318" i="3"/>
  <c r="J197" i="3"/>
  <c r="J1293" i="3"/>
  <c r="J1118" i="3"/>
  <c r="BK997" i="3"/>
  <c r="BK893" i="3"/>
  <c r="J855" i="3"/>
  <c r="J801" i="3"/>
  <c r="BK751" i="3"/>
  <c r="BK651" i="3"/>
  <c r="BK541" i="3"/>
  <c r="J386" i="3"/>
  <c r="BK264" i="3"/>
  <c r="J191" i="3"/>
  <c r="BK99" i="4"/>
  <c r="J110" i="4"/>
  <c r="J344" i="2"/>
  <c r="J261" i="2"/>
  <c r="J191" i="2"/>
  <c r="BK119" i="2"/>
  <c r="J333" i="2"/>
  <c r="BK266" i="2"/>
  <c r="BK209" i="2"/>
  <c r="BK338" i="2"/>
  <c r="BK262" i="2"/>
  <c r="J160" i="2"/>
  <c r="BK356" i="2"/>
  <c r="BK245" i="2"/>
  <c r="J151" i="2"/>
  <c r="BK1135" i="3"/>
  <c r="BK998" i="3"/>
  <c r="BK848" i="3"/>
  <c r="J791" i="3"/>
  <c r="BK684" i="3"/>
  <c r="J625" i="3"/>
  <c r="BK504" i="3"/>
  <c r="BK410" i="3"/>
  <c r="BK284" i="3"/>
  <c r="BK158" i="3"/>
  <c r="BK1247" i="3"/>
  <c r="J1141" i="3"/>
  <c r="J1055" i="3"/>
  <c r="BK916" i="3"/>
  <c r="J869" i="3"/>
  <c r="BK763" i="3"/>
  <c r="J684" i="3"/>
  <c r="BK601" i="3"/>
  <c r="J529" i="3"/>
  <c r="J441" i="3"/>
  <c r="BK354" i="3"/>
  <c r="BK278" i="3"/>
  <c r="J169" i="3"/>
  <c r="J1264" i="3"/>
  <c r="BK1115" i="3"/>
  <c r="J1050" i="3"/>
  <c r="BK973" i="3"/>
  <c r="BK873" i="3"/>
  <c r="BK845" i="3"/>
  <c r="J788" i="3"/>
  <c r="J740" i="3"/>
  <c r="J678" i="3"/>
  <c r="J607" i="3"/>
  <c r="J501" i="3"/>
  <c r="BK433" i="3"/>
  <c r="BK343" i="3"/>
  <c r="BK149" i="3"/>
  <c r="J1290" i="3"/>
  <c r="J1088" i="3"/>
  <c r="BK996" i="3"/>
  <c r="J886" i="3"/>
  <c r="BK844" i="3"/>
  <c r="BK803" i="3"/>
  <c r="J760" i="3"/>
  <c r="J658" i="3"/>
  <c r="J590" i="3"/>
  <c r="J410" i="3"/>
  <c r="J220" i="3"/>
  <c r="J195" i="3"/>
  <c r="J105" i="4"/>
  <c r="J114" i="4"/>
  <c r="BK110" i="4"/>
  <c r="BK146" i="2"/>
  <c r="J214" i="2"/>
  <c r="J361" i="2"/>
  <c r="J203" i="2"/>
  <c r="BK1290" i="3"/>
  <c r="J1104" i="3"/>
  <c r="J965" i="3"/>
  <c r="BK877" i="3"/>
  <c r="BK787" i="3"/>
  <c r="BK688" i="3"/>
  <c r="J547" i="3"/>
  <c r="J443" i="3"/>
  <c r="J398" i="3"/>
  <c r="J278" i="3"/>
  <c r="BK495" i="3"/>
  <c r="BK381" i="3"/>
  <c r="BK294" i="3"/>
  <c r="J152" i="3"/>
  <c r="J1285" i="3"/>
  <c r="BK1063" i="3"/>
  <c r="J998" i="3"/>
  <c r="J916" i="3"/>
  <c r="J849" i="3"/>
  <c r="J778" i="3"/>
  <c r="J758" i="3"/>
  <c r="BK685" i="3"/>
  <c r="BK619" i="3"/>
  <c r="J497" i="3"/>
  <c r="BK392" i="3"/>
  <c r="BK250" i="3"/>
  <c r="BK146" i="3"/>
  <c r="BK361" i="2"/>
  <c r="J262" i="2"/>
  <c r="BK217" i="2"/>
  <c r="J138" i="2"/>
  <c r="BK349" i="2"/>
  <c r="J282" i="2"/>
  <c r="J251" i="2"/>
  <c r="BK176" i="2"/>
  <c r="BK277" i="2"/>
  <c r="BK222" i="2"/>
  <c r="J157" i="2"/>
  <c r="BK352" i="2"/>
  <c r="J310" i="2"/>
  <c r="BK157" i="2"/>
  <c r="J1171" i="3"/>
  <c r="J1034" i="3"/>
  <c r="J891" i="3"/>
  <c r="BK838" i="3"/>
  <c r="BK762" i="3"/>
  <c r="BK678" i="3"/>
  <c r="J553" i="3"/>
  <c r="BK519" i="3"/>
  <c r="BK428" i="3"/>
  <c r="BK308" i="3"/>
  <c r="BK184" i="3"/>
  <c r="BK123" i="3"/>
  <c r="BK1203" i="3"/>
  <c r="BK1144" i="3"/>
  <c r="BK1098" i="3"/>
  <c r="J978" i="3"/>
  <c r="BK900" i="3"/>
  <c r="BK868" i="3"/>
  <c r="J743" i="3"/>
  <c r="J648" i="3"/>
  <c r="J596" i="3"/>
  <c r="J538" i="3"/>
  <c r="J485" i="3"/>
  <c r="J401" i="3"/>
  <c r="BK273" i="3"/>
  <c r="J205" i="3"/>
  <c r="BK129" i="3"/>
  <c r="BK1185" i="3"/>
  <c r="BK1113" i="3"/>
  <c r="BK1034" i="3"/>
  <c r="J981" i="3"/>
  <c r="J877" i="3"/>
  <c r="J852" i="3"/>
  <c r="J803" i="3"/>
  <c r="BK737" i="3"/>
  <c r="J673" i="3"/>
  <c r="BK556" i="3"/>
  <c r="J498" i="3"/>
  <c r="J436" i="3"/>
  <c r="BK302" i="3"/>
  <c r="J236" i="3"/>
  <c r="BK1298" i="3"/>
  <c r="J1061" i="3"/>
  <c r="J995" i="3"/>
  <c r="J896" i="3"/>
  <c r="J843" i="3"/>
  <c r="BK791" i="3"/>
  <c r="J713" i="3"/>
  <c r="BK613" i="3"/>
  <c r="J445" i="3"/>
  <c r="J354" i="3"/>
  <c r="BK211" i="3"/>
  <c r="J112" i="4"/>
  <c r="J117" i="4"/>
  <c r="J91" i="4"/>
  <c r="J264" i="2"/>
  <c r="J209" i="2"/>
  <c r="BK133" i="2"/>
  <c r="BK331" i="2"/>
  <c r="BK274" i="2"/>
  <c r="BK219" i="2"/>
  <c r="J105" i="2"/>
  <c r="J274" i="2"/>
  <c r="BK171" i="2"/>
  <c r="J349" i="2"/>
  <c r="BK231" i="2"/>
  <c r="BK1297" i="3"/>
  <c r="BK1085" i="3"/>
  <c r="J962" i="3"/>
  <c r="BK841" i="3"/>
  <c r="BK788" i="3"/>
  <c r="BK732" i="3"/>
  <c r="BK640" i="3"/>
  <c r="J532" i="3"/>
  <c r="BK416" i="3"/>
  <c r="J329" i="3"/>
  <c r="J139" i="3"/>
  <c r="BK1190" i="3"/>
  <c r="BK1149" i="3"/>
  <c r="BK1123" i="3"/>
  <c r="BK1001" i="3"/>
  <c r="BK924" i="3"/>
  <c r="J876" i="3"/>
  <c r="J851" i="3"/>
  <c r="J746" i="3"/>
  <c r="J670" i="3"/>
  <c r="BK607" i="3"/>
  <c r="BK511" i="3"/>
  <c r="BK448" i="3"/>
  <c r="BK404" i="3"/>
  <c r="J343" i="3"/>
  <c r="BK289" i="3"/>
  <c r="J211" i="3"/>
  <c r="BK134" i="3"/>
  <c r="BK1171" i="3"/>
  <c r="BK1107" i="3"/>
  <c r="BK1043" i="3"/>
  <c r="BK993" i="3"/>
  <c r="BK889" i="3"/>
  <c r="BK849" i="3"/>
  <c r="J795" i="3"/>
  <c r="J724" i="3"/>
  <c r="J616" i="3"/>
  <c r="BK535" i="3"/>
  <c r="J483" i="3"/>
  <c r="J338" i="3"/>
  <c r="J227" i="3"/>
  <c r="BK1300" i="3"/>
  <c r="BK1179" i="3"/>
  <c r="J1001" i="3"/>
  <c r="BK985" i="3"/>
  <c r="J858" i="3"/>
  <c r="BK825" i="3"/>
  <c r="J764" i="3"/>
  <c r="BK663" i="3"/>
  <c r="J587" i="3"/>
  <c r="BK455" i="3"/>
  <c r="J348" i="3"/>
  <c r="J233" i="3"/>
  <c r="J158" i="3"/>
  <c r="J99" i="4"/>
  <c r="BK120" i="4"/>
  <c r="J319" i="2"/>
  <c r="BK241" i="2"/>
  <c r="J179" i="2"/>
  <c r="J99" i="2"/>
  <c r="J277" i="2"/>
  <c r="BK233" i="2"/>
  <c r="BK141" i="2"/>
  <c r="J285" i="2"/>
  <c r="J225" i="2"/>
  <c r="J130" i="2"/>
  <c r="J313" i="2"/>
  <c r="J222" i="2"/>
  <c r="BK1286" i="3"/>
  <c r="J1110" i="3"/>
  <c r="BK970" i="3"/>
  <c r="J834" i="3"/>
  <c r="J756" i="3"/>
  <c r="BK665" i="3"/>
  <c r="J556" i="3"/>
  <c r="BK483" i="3"/>
  <c r="J381" i="3"/>
  <c r="BK270" i="3"/>
  <c r="J129" i="3"/>
  <c r="J1166" i="3"/>
  <c r="J1120" i="3"/>
  <c r="J973" i="3"/>
  <c r="BK875" i="3"/>
  <c r="J845" i="3"/>
  <c r="BK740" i="3"/>
  <c r="BK653" i="3"/>
  <c r="BK593" i="3"/>
  <c r="J492" i="3"/>
  <c r="J420" i="3"/>
  <c r="J378" i="3"/>
  <c r="BK292" i="3"/>
  <c r="J213" i="3"/>
  <c r="J1298" i="3"/>
  <c r="J1179" i="3"/>
  <c r="BK1110" i="3"/>
  <c r="BK999" i="3"/>
  <c r="BK899" i="3"/>
  <c r="BK864" i="3"/>
  <c r="BK828" i="3"/>
  <c r="J784" i="3"/>
  <c r="BK729" i="3"/>
  <c r="J619" i="3"/>
  <c r="BK532" i="3"/>
  <c r="BK441" i="3"/>
  <c r="BK371" i="3"/>
  <c r="J310" i="3"/>
  <c r="BK191" i="3"/>
  <c r="BK137" i="3"/>
  <c r="BK1031" i="3"/>
  <c r="BK991" i="3"/>
  <c r="J903" i="3"/>
  <c r="BK852" i="3"/>
  <c r="BK784" i="3"/>
  <c r="J705" i="3"/>
  <c r="J640" i="3"/>
  <c r="BK544" i="3"/>
  <c r="J425" i="3"/>
  <c r="BK310" i="3"/>
  <c r="J123" i="4"/>
  <c r="J120" i="4"/>
  <c r="BK88" i="4"/>
  <c r="BK96" i="4"/>
  <c r="BK313" i="2"/>
  <c r="J233" i="2"/>
  <c r="J146" i="2"/>
  <c r="BK319" i="2"/>
  <c r="BK229" i="2"/>
  <c r="BK1166" i="3"/>
  <c r="BK1013" i="3"/>
  <c r="J930" i="3"/>
  <c r="BK842" i="3"/>
  <c r="BK760" i="3"/>
  <c r="J643" i="3"/>
  <c r="BK529" i="3"/>
  <c r="J423" i="3"/>
  <c r="J371" i="3"/>
  <c r="BK887" i="3"/>
  <c r="BK450" i="3"/>
  <c r="BK363" i="3"/>
  <c r="J258" i="3"/>
  <c r="BK139" i="3"/>
  <c r="BK1101" i="3"/>
  <c r="BK1020" i="3"/>
  <c r="BK965" i="3"/>
  <c r="BK861" i="3"/>
  <c r="BK807" i="3"/>
  <c r="J765" i="3"/>
  <c r="J664" i="3"/>
  <c r="J593" i="3"/>
  <c r="BK465" i="3"/>
  <c r="BK329" i="3"/>
  <c r="BK223" i="3"/>
  <c r="BK282" i="2"/>
  <c r="J248" i="2"/>
  <c r="J188" i="2"/>
  <c r="J116" i="2"/>
  <c r="J328" i="2"/>
  <c r="BK259" i="2"/>
  <c r="J211" i="2"/>
  <c r="J245" i="2"/>
  <c r="BK168" i="2"/>
  <c r="J110" i="2"/>
  <c r="BK236" i="2"/>
  <c r="BK116" i="2"/>
  <c r="J1149" i="3"/>
  <c r="J996" i="3"/>
  <c r="BK882" i="3"/>
  <c r="J825" i="3"/>
  <c r="J685" i="3"/>
  <c r="J571" i="3"/>
  <c r="BK498" i="3"/>
  <c r="J413" i="3"/>
  <c r="J264" i="3"/>
  <c r="BK152" i="3"/>
  <c r="BK1264" i="3"/>
  <c r="BK1159" i="3"/>
  <c r="J1115" i="3"/>
  <c r="J997" i="3"/>
  <c r="J921" i="3"/>
  <c r="J887" i="3"/>
  <c r="J857" i="3"/>
  <c r="J781" i="3"/>
  <c r="BK713" i="3"/>
  <c r="J628" i="3"/>
  <c r="J569" i="3"/>
  <c r="J495" i="3"/>
  <c r="J433" i="3"/>
  <c r="J383" i="3"/>
  <c r="J305" i="3"/>
  <c r="J261" i="3"/>
  <c r="J114" i="3"/>
  <c r="BK1174" i="3"/>
  <c r="BK1104" i="3"/>
  <c r="BK1061" i="3"/>
  <c r="J991" i="3"/>
  <c r="J890" i="3"/>
  <c r="J856" i="3"/>
  <c r="BK815" i="3"/>
  <c r="J763" i="3"/>
  <c r="J719" i="3"/>
  <c r="BK648" i="3"/>
  <c r="BK538" i="3"/>
  <c r="J448" i="3"/>
  <c r="BK360" i="3"/>
  <c r="BK195" i="3"/>
  <c r="J1289" i="3"/>
  <c r="J1129" i="3"/>
  <c r="J999" i="3"/>
  <c r="BK981" i="3"/>
  <c r="BK876" i="3"/>
  <c r="BK851" i="3"/>
  <c r="BK796" i="3"/>
  <c r="BK748" i="3"/>
  <c r="BK633" i="3"/>
  <c r="J496" i="3"/>
  <c r="BK375" i="3"/>
  <c r="BK236" i="3"/>
  <c r="BK117" i="3"/>
  <c r="J96" i="4"/>
  <c r="BK123" i="4"/>
  <c r="BK310" i="2"/>
  <c r="BK238" i="2"/>
  <c r="J168" i="2"/>
  <c r="J338" i="2"/>
  <c r="BK264" i="2"/>
  <c r="BK191" i="2"/>
  <c r="BK288" i="2"/>
  <c r="J236" i="2"/>
  <c r="BK125" i="2"/>
  <c r="J295" i="2"/>
  <c r="BK135" i="2"/>
  <c r="BK1154" i="3"/>
  <c r="J987" i="3"/>
  <c r="J875" i="3"/>
  <c r="BK765" i="3"/>
  <c r="J683" i="3"/>
  <c r="J563" i="3"/>
  <c r="BK502" i="3"/>
  <c r="J430" i="3"/>
  <c r="J299" i="3"/>
  <c r="BK155" i="3"/>
  <c r="J1286" i="3"/>
  <c r="BK1138" i="3"/>
  <c r="J1082" i="3"/>
  <c r="BK942" i="3"/>
  <c r="BK890" i="3"/>
  <c r="J861" i="3"/>
  <c r="BK792" i="3"/>
  <c r="J710" i="3"/>
  <c r="J631" i="3"/>
  <c r="BK563" i="3"/>
  <c r="BK496" i="3"/>
  <c r="J472" i="3"/>
  <c r="J416" i="3"/>
  <c r="J321" i="3"/>
  <c r="J250" i="3"/>
  <c r="J164" i="3"/>
  <c r="J1190" i="3"/>
  <c r="J1101" i="3"/>
  <c r="J1053" i="3"/>
  <c r="J1004" i="3"/>
  <c r="J900" i="3"/>
  <c r="J854" i="3"/>
  <c r="BK801" i="3"/>
  <c r="BK758" i="3"/>
  <c r="BK710" i="3"/>
  <c r="BK638" i="3"/>
  <c r="BK500" i="3"/>
  <c r="BK443" i="3"/>
  <c r="J366" i="3"/>
  <c r="J239" i="3"/>
  <c r="J146" i="3"/>
  <c r="BK1068" i="3"/>
  <c r="J1026" i="3"/>
  <c r="BK962" i="3"/>
  <c r="J871" i="3"/>
  <c r="J842" i="3"/>
  <c r="BK773" i="3"/>
  <c r="BK673" i="3"/>
  <c r="J601" i="3"/>
  <c r="BK490" i="3"/>
  <c r="J395" i="3"/>
  <c r="BK305" i="3"/>
  <c r="BK114" i="3"/>
  <c r="J88" i="4"/>
  <c r="BK112" i="4"/>
  <c r="BK295" i="2"/>
  <c r="J229" i="2"/>
  <c r="BK151" i="2"/>
  <c r="BK110" i="2"/>
  <c r="BK325" i="2"/>
  <c r="BK254" i="2"/>
  <c r="BK188" i="2"/>
  <c r="J325" i="2"/>
  <c r="BK251" i="2"/>
  <c r="J176" i="2"/>
  <c r="J331" i="2"/>
  <c r="BK185" i="2"/>
  <c r="BK1230" i="3"/>
  <c r="J1063" i="3"/>
  <c r="BK903" i="3"/>
  <c r="J822" i="3"/>
  <c r="J737" i="3"/>
  <c r="BK645" i="3"/>
  <c r="J544" i="3"/>
  <c r="J455" i="3"/>
  <c r="J335" i="3"/>
  <c r="J242" i="3"/>
  <c r="BK1289" i="3"/>
  <c r="J1154" i="3"/>
  <c r="BK1091" i="3"/>
  <c r="BK939" i="3"/>
  <c r="J888" i="3"/>
  <c r="BK834" i="3"/>
  <c r="J716" i="3"/>
  <c r="J645" i="3"/>
  <c r="J566" i="3"/>
  <c r="BK453" i="3"/>
  <c r="BK406" i="3"/>
  <c r="BK338" i="3"/>
  <c r="BK258" i="3"/>
  <c r="J137" i="3"/>
  <c r="J1187" i="3"/>
  <c r="J1098" i="3"/>
  <c r="BK1037" i="3"/>
  <c r="J985" i="3"/>
  <c r="BK888" i="3"/>
  <c r="BK850" i="3"/>
  <c r="BK799" i="3"/>
  <c r="BK756" i="3"/>
  <c r="BK693" i="3"/>
  <c r="BK643" i="3"/>
  <c r="J541" i="3"/>
  <c r="BK488" i="3"/>
  <c r="BK394" i="3"/>
  <c r="BK275" i="3"/>
  <c r="J1216" i="3"/>
  <c r="BK1055" i="3"/>
  <c r="BK1000" i="3"/>
  <c r="J942" i="3"/>
  <c r="BK857" i="3"/>
  <c r="BK831" i="3"/>
  <c r="BK768" i="3"/>
  <c r="J695" i="3"/>
  <c r="BK604" i="3"/>
  <c r="J478" i="3"/>
  <c r="J360" i="3"/>
  <c r="BK242" i="3"/>
  <c r="BK120" i="3"/>
  <c r="BK105" i="4"/>
  <c r="BK117" i="4"/>
  <c r="J128" i="2"/>
  <c r="BK271" i="2"/>
  <c r="BK179" i="2"/>
  <c r="J119" i="2"/>
  <c r="J304" i="2"/>
  <c r="BK143" i="2"/>
  <c r="J1247" i="3"/>
  <c r="J1043" i="3"/>
  <c r="J889" i="3"/>
  <c r="J828" i="3"/>
  <c r="J721" i="3"/>
  <c r="J561" i="3"/>
  <c r="BK489" i="3"/>
  <c r="J302" i="3"/>
  <c r="BK485" i="3"/>
  <c r="BK425" i="3"/>
  <c r="BK315" i="3"/>
  <c r="BK193" i="3"/>
  <c r="J1297" i="3"/>
  <c r="BK1050" i="3"/>
  <c r="J994" i="3"/>
  <c r="J899" i="3"/>
  <c r="BK854" i="3"/>
  <c r="BK795" i="3"/>
  <c r="J732" i="3"/>
  <c r="J653" i="3"/>
  <c r="BK430" i="3"/>
  <c r="J373" i="3"/>
  <c r="BK199" i="3"/>
  <c r="J101" i="4"/>
  <c r="BK298" i="2"/>
  <c r="BK211" i="2"/>
  <c r="BK130" i="2"/>
  <c r="BK336" i="2"/>
  <c r="J271" i="2"/>
  <c r="J238" i="2"/>
  <c r="J133" i="2"/>
  <c r="BK261" i="2"/>
  <c r="BK197" i="2"/>
  <c r="BK128" i="2"/>
  <c r="J257" i="2"/>
  <c r="BK138" i="2"/>
  <c r="J1284" i="3"/>
  <c r="BK1048" i="3"/>
  <c r="J939" i="3"/>
  <c r="J799" i="3"/>
  <c r="J751" i="3"/>
  <c r="J655" i="3"/>
  <c r="J535" i="3"/>
  <c r="BK445" i="3"/>
  <c r="J363" i="3"/>
  <c r="BK239" i="3"/>
  <c r="J134" i="3"/>
  <c r="J1185" i="3"/>
  <c r="J1135" i="3"/>
  <c r="BK1076" i="3"/>
  <c r="BK927" i="3"/>
  <c r="BK891" i="3"/>
  <c r="J864" i="3"/>
  <c r="BK817" i="3"/>
  <c r="BK721" i="3"/>
  <c r="J663" i="3"/>
  <c r="J604" i="3"/>
  <c r="BK501" i="3"/>
  <c r="J450" i="3"/>
  <c r="BK389" i="3"/>
  <c r="BK348" i="3"/>
  <c r="BK233" i="3"/>
  <c r="J149" i="3"/>
  <c r="J1203" i="3"/>
  <c r="BK1120" i="3"/>
  <c r="J1076" i="3"/>
  <c r="J1020" i="3"/>
  <c r="J904" i="3"/>
  <c r="J848" i="3"/>
  <c r="J796" i="3"/>
  <c r="BK754" i="3"/>
  <c r="J700" i="3"/>
  <c r="J633" i="3"/>
  <c r="J502" i="3"/>
  <c r="BK478" i="3"/>
  <c r="BK378" i="3"/>
  <c r="J267" i="3"/>
  <c r="J123" i="3"/>
  <c r="J1230" i="3"/>
  <c r="BK1029" i="3"/>
  <c r="J989" i="3"/>
  <c r="BK863" i="3"/>
  <c r="J837" i="3"/>
  <c r="BK770" i="3"/>
  <c r="BK670" i="3"/>
  <c r="BK596" i="3"/>
  <c r="BK420" i="3"/>
  <c r="J308" i="3"/>
  <c r="J193" i="3"/>
  <c r="J94" i="4"/>
  <c r="J107" i="4"/>
  <c r="J352" i="2"/>
  <c r="BK253" i="2"/>
  <c r="J185" i="2"/>
  <c r="BK105" i="2"/>
  <c r="J322" i="2"/>
  <c r="BK257" i="2"/>
  <c r="J143" i="2"/>
  <c r="J259" i="2"/>
  <c r="BK154" i="2"/>
  <c r="BK316" i="2"/>
  <c r="J206" i="2"/>
  <c r="BK1285" i="3"/>
  <c r="J1126" i="3"/>
  <c r="J1010" i="3"/>
  <c r="BK886" i="3"/>
  <c r="J809" i="3"/>
  <c r="BK705" i="3"/>
  <c r="BK590" i="3"/>
  <c r="BK472" i="3"/>
  <c r="J406" i="3"/>
  <c r="J273" i="3"/>
  <c r="BK230" i="3"/>
  <c r="BK125" i="3"/>
  <c r="J1161" i="3"/>
  <c r="J1132" i="3"/>
  <c r="BK1040" i="3"/>
  <c r="BK910" i="3"/>
  <c r="BK867" i="3"/>
  <c r="BK837" i="3"/>
  <c r="J770" i="3"/>
  <c r="BK695" i="3"/>
  <c r="BK625" i="3"/>
  <c r="BK553" i="3"/>
  <c r="J489" i="3"/>
  <c r="J392" i="3"/>
  <c r="BK373" i="3"/>
  <c r="J270" i="3"/>
  <c r="BK197" i="3"/>
  <c r="J1282" i="3"/>
  <c r="J1123" i="3"/>
  <c r="J1085" i="3"/>
  <c r="J1031" i="3"/>
  <c r="BK930" i="3"/>
  <c r="J863" i="3"/>
  <c r="J817" i="3"/>
  <c r="J787" i="3"/>
  <c r="BK746" i="3"/>
  <c r="BK683" i="3"/>
  <c r="BK566" i="3"/>
  <c r="J504" i="3"/>
  <c r="BK383" i="3"/>
  <c r="J289" i="3"/>
  <c r="J172" i="3"/>
  <c r="BK1282" i="3"/>
  <c r="BK1053" i="3"/>
  <c r="J993" i="3"/>
  <c r="BK904" i="3"/>
  <c r="J850" i="3"/>
  <c r="J792" i="3"/>
  <c r="J729" i="3"/>
  <c r="BK622" i="3"/>
  <c r="BK423" i="3"/>
  <c r="BK318" i="3"/>
  <c r="BK205" i="3"/>
  <c r="BK107" i="4"/>
  <c r="J102" i="4"/>
  <c r="BK101" i="4"/>
  <c r="J266" i="2"/>
  <c r="BK214" i="2"/>
  <c r="J135" i="2"/>
  <c r="BK344" i="2"/>
  <c r="J298" i="2"/>
  <c r="J241" i="2"/>
  <c r="BK160" i="2"/>
  <c r="BK292" i="2"/>
  <c r="BK203" i="2"/>
  <c r="BK102" i="2"/>
  <c r="J292" i="2"/>
  <c r="J1300" i="3"/>
  <c r="BK1161" i="3"/>
  <c r="J1037" i="3"/>
  <c r="J878" i="3"/>
  <c r="J775" i="3"/>
  <c r="BK708" i="3"/>
  <c r="BK574" i="3"/>
  <c r="J524" i="3"/>
  <c r="BK438" i="3"/>
  <c r="J324" i="3"/>
  <c r="BK227" i="3"/>
  <c r="BK1187" i="3"/>
  <c r="BK1129" i="3"/>
  <c r="BK994" i="3"/>
  <c r="BK896" i="3"/>
  <c r="BK858" i="3"/>
  <c r="BK804" i="3"/>
  <c r="J708" i="3"/>
  <c r="BK616" i="3"/>
  <c r="J500" i="3"/>
  <c r="J488" i="3"/>
  <c r="BK398" i="3"/>
  <c r="J315" i="3"/>
  <c r="J230" i="3"/>
  <c r="J125" i="3"/>
  <c r="BK1132" i="3"/>
  <c r="BK1082" i="3"/>
  <c r="J1029" i="3"/>
  <c r="J910" i="3"/>
  <c r="BK855" i="3"/>
  <c r="J804" i="3"/>
  <c r="BK764" i="3"/>
  <c r="BK716" i="3"/>
  <c r="BK658" i="3"/>
  <c r="BK550" i="3"/>
  <c r="BK497" i="3"/>
  <c r="J404" i="3"/>
  <c r="BK321" i="3"/>
  <c r="J199" i="3"/>
  <c r="J1299" i="3"/>
  <c r="J1144" i="3"/>
  <c r="J1013" i="3"/>
  <c r="BK983" i="3"/>
  <c r="BK869" i="3"/>
  <c r="J841" i="3"/>
  <c r="BK775" i="3"/>
  <c r="J734" i="3"/>
  <c r="BK631" i="3"/>
  <c r="J519" i="3"/>
  <c r="J389" i="3"/>
  <c r="J292" i="3"/>
  <c r="J178" i="3"/>
  <c r="BK94" i="4"/>
  <c r="BK206" i="2"/>
  <c r="BK333" i="2"/>
  <c r="J253" i="2"/>
  <c r="BK165" i="2"/>
  <c r="J336" i="2"/>
  <c r="J254" i="2"/>
  <c r="J125" i="2"/>
  <c r="BK1141" i="3"/>
  <c r="BK995" i="3"/>
  <c r="J807" i="3"/>
  <c r="BK743" i="3"/>
  <c r="BK587" i="3"/>
  <c r="J511" i="3"/>
  <c r="J408" i="3"/>
  <c r="J332" i="3"/>
  <c r="BK524" i="3"/>
  <c r="J438" i="3"/>
  <c r="BK332" i="3"/>
  <c r="BK213" i="3"/>
  <c r="J1159" i="3"/>
  <c r="BK1004" i="3"/>
  <c r="BK987" i="3"/>
  <c r="J882" i="3"/>
  <c r="J838" i="3"/>
  <c r="J773" i="3"/>
  <c r="BK700" i="3"/>
  <c r="J638" i="3"/>
  <c r="BK571" i="3"/>
  <c r="BK413" i="3"/>
  <c r="J294" i="3"/>
  <c r="J184" i="3"/>
  <c r="BK102" i="4"/>
  <c r="R113" i="3" l="1"/>
  <c r="T145" i="3"/>
  <c r="BK183" i="3"/>
  <c r="J183" i="3"/>
  <c r="J63" i="3" s="1"/>
  <c r="R232" i="3"/>
  <c r="T241" i="3"/>
  <c r="P359" i="3"/>
  <c r="P405" i="3"/>
  <c r="T419" i="3"/>
  <c r="T432" i="3"/>
  <c r="T487" i="3"/>
  <c r="T491" i="3"/>
  <c r="T494" i="3"/>
  <c r="T499" i="3"/>
  <c r="BK503" i="3"/>
  <c r="J503" i="3" s="1"/>
  <c r="J76" i="3" s="1"/>
  <c r="R615" i="3"/>
  <c r="R687" i="3"/>
  <c r="BK750" i="3"/>
  <c r="J750" i="3"/>
  <c r="J79" i="3"/>
  <c r="BK833" i="3"/>
  <c r="J833" i="3" s="1"/>
  <c r="J80" i="3" s="1"/>
  <c r="T895" i="3"/>
  <c r="R1003" i="3"/>
  <c r="R1100" i="3"/>
  <c r="R1125" i="3"/>
  <c r="R1143" i="3"/>
  <c r="R1181" i="3"/>
  <c r="R1189" i="3"/>
  <c r="P1229" i="3"/>
  <c r="R1281" i="3"/>
  <c r="R1296" i="3"/>
  <c r="BK87" i="4"/>
  <c r="P98" i="2"/>
  <c r="P134" i="2"/>
  <c r="T228" i="2"/>
  <c r="R244" i="2"/>
  <c r="R265" i="2"/>
  <c r="P291" i="2"/>
  <c r="P327" i="2"/>
  <c r="P343" i="2"/>
  <c r="T113" i="3"/>
  <c r="R145" i="3"/>
  <c r="P183" i="3"/>
  <c r="P232" i="3"/>
  <c r="BK241" i="3"/>
  <c r="J241" i="3"/>
  <c r="J65" i="3"/>
  <c r="R359" i="3"/>
  <c r="R405" i="3"/>
  <c r="BK419" i="3"/>
  <c r="J419" i="3"/>
  <c r="J70" i="3" s="1"/>
  <c r="P432" i="3"/>
  <c r="P487" i="3"/>
  <c r="P491" i="3"/>
  <c r="P494" i="3"/>
  <c r="BK499" i="3"/>
  <c r="J499" i="3" s="1"/>
  <c r="J75" i="3" s="1"/>
  <c r="R503" i="3"/>
  <c r="BK615" i="3"/>
  <c r="J615" i="3"/>
  <c r="J77" i="3"/>
  <c r="T687" i="3"/>
  <c r="P750" i="3"/>
  <c r="R833" i="3"/>
  <c r="R895" i="3"/>
  <c r="BK1003" i="3"/>
  <c r="J1003" i="3"/>
  <c r="J82" i="3"/>
  <c r="BK1100" i="3"/>
  <c r="J1100" i="3" s="1"/>
  <c r="J83" i="3" s="1"/>
  <c r="BK1125" i="3"/>
  <c r="J1125" i="3"/>
  <c r="J84" i="3" s="1"/>
  <c r="BK1143" i="3"/>
  <c r="J1143" i="3"/>
  <c r="J85" i="3"/>
  <c r="T1181" i="3"/>
  <c r="T1189" i="3"/>
  <c r="T1229" i="3"/>
  <c r="P1281" i="3"/>
  <c r="P1296" i="3"/>
  <c r="T87" i="4"/>
  <c r="P109" i="4"/>
  <c r="R109" i="4"/>
  <c r="BK134" i="2"/>
  <c r="J134" i="2"/>
  <c r="J62" i="2"/>
  <c r="T134" i="2"/>
  <c r="P228" i="2"/>
  <c r="BK244" i="2"/>
  <c r="J244" i="2"/>
  <c r="J65" i="2"/>
  <c r="P244" i="2"/>
  <c r="BK260" i="2"/>
  <c r="J260" i="2"/>
  <c r="J68" i="2"/>
  <c r="R260" i="2"/>
  <c r="BK265" i="2"/>
  <c r="J265" i="2"/>
  <c r="J70" i="2"/>
  <c r="BK291" i="2"/>
  <c r="J291" i="2"/>
  <c r="J71" i="2"/>
  <c r="R291" i="2"/>
  <c r="BK327" i="2"/>
  <c r="J327" i="2"/>
  <c r="J72" i="2"/>
  <c r="T327" i="2"/>
  <c r="R343" i="2"/>
  <c r="BK113" i="3"/>
  <c r="J113" i="3"/>
  <c r="J61" i="3"/>
  <c r="BK145" i="3"/>
  <c r="J145" i="3"/>
  <c r="J62" i="3"/>
  <c r="R183" i="3"/>
  <c r="BK232" i="3"/>
  <c r="J232" i="3"/>
  <c r="J64" i="3"/>
  <c r="R241" i="3"/>
  <c r="BK359" i="3"/>
  <c r="J359" i="3"/>
  <c r="J66" i="3"/>
  <c r="BK405" i="3"/>
  <c r="J405" i="3" s="1"/>
  <c r="J67" i="3" s="1"/>
  <c r="P419" i="3"/>
  <c r="R432" i="3"/>
  <c r="R487" i="3"/>
  <c r="R491" i="3"/>
  <c r="R494" i="3"/>
  <c r="R499" i="3"/>
  <c r="P503" i="3"/>
  <c r="T615" i="3"/>
  <c r="P687" i="3"/>
  <c r="R750" i="3"/>
  <c r="P833" i="3"/>
  <c r="P895" i="3"/>
  <c r="P1003" i="3"/>
  <c r="P1100" i="3"/>
  <c r="P1125" i="3"/>
  <c r="P1143" i="3"/>
  <c r="BK1181" i="3"/>
  <c r="J1181" i="3"/>
  <c r="J86" i="3" s="1"/>
  <c r="BK1189" i="3"/>
  <c r="J1189" i="3"/>
  <c r="J87" i="3"/>
  <c r="BK1229" i="3"/>
  <c r="J1229" i="3"/>
  <c r="J88" i="3"/>
  <c r="BK1281" i="3"/>
  <c r="J1281" i="3" s="1"/>
  <c r="J89" i="3" s="1"/>
  <c r="BK1296" i="3"/>
  <c r="J1296" i="3"/>
  <c r="J91" i="3" s="1"/>
  <c r="P87" i="4"/>
  <c r="P86" i="4"/>
  <c r="P85" i="4"/>
  <c r="AU57" i="1" s="1"/>
  <c r="BK98" i="2"/>
  <c r="R98" i="2"/>
  <c r="T98" i="2"/>
  <c r="T97" i="2" s="1"/>
  <c r="R134" i="2"/>
  <c r="BK228" i="2"/>
  <c r="J228" i="2"/>
  <c r="J63" i="2" s="1"/>
  <c r="R228" i="2"/>
  <c r="T244" i="2"/>
  <c r="P260" i="2"/>
  <c r="T260" i="2"/>
  <c r="P265" i="2"/>
  <c r="T265" i="2"/>
  <c r="T291" i="2"/>
  <c r="R327" i="2"/>
  <c r="BK343" i="2"/>
  <c r="J343" i="2"/>
  <c r="J73" i="2"/>
  <c r="T343" i="2"/>
  <c r="P113" i="3"/>
  <c r="P145" i="3"/>
  <c r="T183" i="3"/>
  <c r="T232" i="3"/>
  <c r="P241" i="3"/>
  <c r="T359" i="3"/>
  <c r="T405" i="3"/>
  <c r="R419" i="3"/>
  <c r="BK432" i="3"/>
  <c r="J432" i="3"/>
  <c r="J71" i="3"/>
  <c r="BK487" i="3"/>
  <c r="J487" i="3"/>
  <c r="J72" i="3" s="1"/>
  <c r="BK491" i="3"/>
  <c r="J491" i="3" s="1"/>
  <c r="J73" i="3" s="1"/>
  <c r="BK494" i="3"/>
  <c r="J494" i="3" s="1"/>
  <c r="J74" i="3" s="1"/>
  <c r="P499" i="3"/>
  <c r="T503" i="3"/>
  <c r="P615" i="3"/>
  <c r="BK687" i="3"/>
  <c r="J687" i="3"/>
  <c r="J78" i="3"/>
  <c r="T750" i="3"/>
  <c r="T833" i="3"/>
  <c r="BK895" i="3"/>
  <c r="T1003" i="3"/>
  <c r="T1100" i="3"/>
  <c r="T1125" i="3"/>
  <c r="T1143" i="3"/>
  <c r="P1181" i="3"/>
  <c r="P1189" i="3"/>
  <c r="R1229" i="3"/>
  <c r="T1281" i="3"/>
  <c r="T1296" i="3"/>
  <c r="R87" i="4"/>
  <c r="R86" i="4"/>
  <c r="R85" i="4" s="1"/>
  <c r="BK109" i="4"/>
  <c r="J109" i="4"/>
  <c r="J62" i="4"/>
  <c r="T109" i="4"/>
  <c r="BK415" i="3"/>
  <c r="J415" i="3"/>
  <c r="J68" i="3"/>
  <c r="BK119" i="4"/>
  <c r="J119" i="4"/>
  <c r="J64" i="4"/>
  <c r="BK263" i="2"/>
  <c r="J263" i="2" s="1"/>
  <c r="J69" i="2" s="1"/>
  <c r="BK355" i="2"/>
  <c r="J355" i="2"/>
  <c r="J74" i="2" s="1"/>
  <c r="BK360" i="2"/>
  <c r="J360" i="2"/>
  <c r="J76" i="2"/>
  <c r="BK1292" i="3"/>
  <c r="J1292" i="3"/>
  <c r="J90" i="3"/>
  <c r="BK116" i="4"/>
  <c r="J116" i="4" s="1"/>
  <c r="J63" i="4" s="1"/>
  <c r="BK256" i="2"/>
  <c r="J256" i="2"/>
  <c r="J66" i="2" s="1"/>
  <c r="BK258" i="2"/>
  <c r="J258" i="2"/>
  <c r="J67" i="2"/>
  <c r="BK122" i="4"/>
  <c r="J122" i="4"/>
  <c r="J65" i="4"/>
  <c r="J895" i="3"/>
  <c r="J81" i="3" s="1"/>
  <c r="BE105" i="4"/>
  <c r="E48" i="4"/>
  <c r="J52" i="4"/>
  <c r="F55" i="4"/>
  <c r="BE94" i="4"/>
  <c r="BE96" i="4"/>
  <c r="BE110" i="4"/>
  <c r="BE99" i="4"/>
  <c r="BE101" i="4"/>
  <c r="BE102" i="4"/>
  <c r="BE107" i="4"/>
  <c r="BE112" i="4"/>
  <c r="BE123" i="4"/>
  <c r="BE88" i="4"/>
  <c r="BE91" i="4"/>
  <c r="BE114" i="4"/>
  <c r="BE117" i="4"/>
  <c r="BE120" i="4"/>
  <c r="F55" i="3"/>
  <c r="BE123" i="3"/>
  <c r="BE137" i="3"/>
  <c r="BE149" i="3"/>
  <c r="BE152" i="3"/>
  <c r="BE172" i="3"/>
  <c r="BE227" i="3"/>
  <c r="BE239" i="3"/>
  <c r="BE258" i="3"/>
  <c r="BE273" i="3"/>
  <c r="BE275" i="3"/>
  <c r="BE284" i="3"/>
  <c r="BE289" i="3"/>
  <c r="BE294" i="3"/>
  <c r="BE299" i="3"/>
  <c r="BE302" i="3"/>
  <c r="BE315" i="3"/>
  <c r="BE321" i="3"/>
  <c r="BE332" i="3"/>
  <c r="BE335" i="3"/>
  <c r="BE338" i="3"/>
  <c r="BE363" i="3"/>
  <c r="BE366" i="3"/>
  <c r="BE371" i="3"/>
  <c r="BE378" i="3"/>
  <c r="BE381" i="3"/>
  <c r="BE398" i="3"/>
  <c r="BE401" i="3"/>
  <c r="BE406" i="3"/>
  <c r="BE416" i="3"/>
  <c r="BE433" i="3"/>
  <c r="BE436" i="3"/>
  <c r="BE438" i="3"/>
  <c r="BE441" i="3"/>
  <c r="BE445" i="3"/>
  <c r="BE450" i="3"/>
  <c r="BE472" i="3"/>
  <c r="BE483" i="3"/>
  <c r="BE485" i="3"/>
  <c r="BE488" i="3"/>
  <c r="BE492" i="3"/>
  <c r="BE498" i="3"/>
  <c r="BE500" i="3"/>
  <c r="BE501" i="3"/>
  <c r="BE504" i="3"/>
  <c r="BE524" i="3"/>
  <c r="BE535" i="3"/>
  <c r="BE547" i="3"/>
  <c r="BE550" i="3"/>
  <c r="BE553" i="3"/>
  <c r="BE563" i="3"/>
  <c r="BE571" i="3"/>
  <c r="BE607" i="3"/>
  <c r="BE625" i="3"/>
  <c r="BE640" i="3"/>
  <c r="BE643" i="3"/>
  <c r="BE645" i="3"/>
  <c r="BE665" i="3"/>
  <c r="BE683" i="3"/>
  <c r="BE688" i="3"/>
  <c r="BE708" i="3"/>
  <c r="BE713" i="3"/>
  <c r="BE719" i="3"/>
  <c r="BE721" i="3"/>
  <c r="BE737" i="3"/>
  <c r="BE743" i="3"/>
  <c r="BE754" i="3"/>
  <c r="BE770" i="3"/>
  <c r="BE787" i="3"/>
  <c r="BE809" i="3"/>
  <c r="BE834" i="3"/>
  <c r="BE845" i="3"/>
  <c r="BE863" i="3"/>
  <c r="BE864" i="3"/>
  <c r="BE873" i="3"/>
  <c r="BE900" i="3"/>
  <c r="BE910" i="3"/>
  <c r="BE921" i="3"/>
  <c r="BE970" i="3"/>
  <c r="BE1037" i="3"/>
  <c r="BE1040" i="3"/>
  <c r="BE1043" i="3"/>
  <c r="BE1076" i="3"/>
  <c r="BE1082" i="3"/>
  <c r="BE1107" i="3"/>
  <c r="BE1113" i="3"/>
  <c r="BE1123" i="3"/>
  <c r="BE1126" i="3"/>
  <c r="BE1132" i="3"/>
  <c r="BE1135" i="3"/>
  <c r="BE1138" i="3"/>
  <c r="BE1154" i="3"/>
  <c r="BE1171" i="3"/>
  <c r="BE1187" i="3"/>
  <c r="BE1247" i="3"/>
  <c r="BE1286" i="3"/>
  <c r="J98" i="2"/>
  <c r="J61" i="2"/>
  <c r="J52" i="3"/>
  <c r="E101" i="3"/>
  <c r="BE114" i="3"/>
  <c r="BE125" i="3"/>
  <c r="BE129" i="3"/>
  <c r="BE134" i="3"/>
  <c r="BE158" i="3"/>
  <c r="BE164" i="3"/>
  <c r="BE230" i="3"/>
  <c r="BE250" i="3"/>
  <c r="BE261" i="3"/>
  <c r="BE267" i="3"/>
  <c r="BE270" i="3"/>
  <c r="BE278" i="3"/>
  <c r="BE305" i="3"/>
  <c r="BE348" i="3"/>
  <c r="BE375" i="3"/>
  <c r="BE386" i="3"/>
  <c r="BE389" i="3"/>
  <c r="BE395" i="3"/>
  <c r="BE404" i="3"/>
  <c r="BE408" i="3"/>
  <c r="BE413" i="3"/>
  <c r="BE420" i="3"/>
  <c r="BE430" i="3"/>
  <c r="BE453" i="3"/>
  <c r="BE465" i="3"/>
  <c r="BE478" i="3"/>
  <c r="BE489" i="3"/>
  <c r="BE511" i="3"/>
  <c r="BE519" i="3"/>
  <c r="BE561" i="3"/>
  <c r="BE566" i="3"/>
  <c r="BE574" i="3"/>
  <c r="BE590" i="3"/>
  <c r="BE622" i="3"/>
  <c r="BE628" i="3"/>
  <c r="BE653" i="3"/>
  <c r="BE655" i="3"/>
  <c r="BE664" i="3"/>
  <c r="BE685" i="3"/>
  <c r="BE705" i="3"/>
  <c r="BE748" i="3"/>
  <c r="BE760" i="3"/>
  <c r="BE762" i="3"/>
  <c r="BE765" i="3"/>
  <c r="BE773" i="3"/>
  <c r="BE791" i="3"/>
  <c r="BE825" i="3"/>
  <c r="BE831" i="3"/>
  <c r="BE837" i="3"/>
  <c r="BE842" i="3"/>
  <c r="BE843" i="3"/>
  <c r="BE851" i="3"/>
  <c r="BE854" i="3"/>
  <c r="BE857" i="3"/>
  <c r="BE858" i="3"/>
  <c r="BE867" i="3"/>
  <c r="BE869" i="3"/>
  <c r="BE875" i="3"/>
  <c r="BE876" i="3"/>
  <c r="BE886" i="3"/>
  <c r="BE893" i="3"/>
  <c r="BE896" i="3"/>
  <c r="BE916" i="3"/>
  <c r="BE927" i="3"/>
  <c r="BE942" i="3"/>
  <c r="BE962" i="3"/>
  <c r="BE978" i="3"/>
  <c r="BE994" i="3"/>
  <c r="BE996" i="3"/>
  <c r="BE1010" i="3"/>
  <c r="BE1055" i="3"/>
  <c r="BE1141" i="3"/>
  <c r="BE1144" i="3"/>
  <c r="BE1149" i="3"/>
  <c r="BE1161" i="3"/>
  <c r="BE1185" i="3"/>
  <c r="BE1203" i="3"/>
  <c r="BE1285" i="3"/>
  <c r="BE1289" i="3"/>
  <c r="BE117" i="3"/>
  <c r="BE120" i="3"/>
  <c r="BE139" i="3"/>
  <c r="BE155" i="3"/>
  <c r="BE178" i="3"/>
  <c r="BE184" i="3"/>
  <c r="BE223" i="3"/>
  <c r="BE236" i="3"/>
  <c r="BE242" i="3"/>
  <c r="BE264" i="3"/>
  <c r="BE308" i="3"/>
  <c r="BE324" i="3"/>
  <c r="BE329" i="3"/>
  <c r="BE410" i="3"/>
  <c r="BE423" i="3"/>
  <c r="BE425" i="3"/>
  <c r="BE428" i="3"/>
  <c r="BE443" i="3"/>
  <c r="BE455" i="3"/>
  <c r="BE497" i="3"/>
  <c r="BE502" i="3"/>
  <c r="BE529" i="3"/>
  <c r="BE532" i="3"/>
  <c r="BE541" i="3"/>
  <c r="BE544" i="3"/>
  <c r="BE556" i="3"/>
  <c r="BE587" i="3"/>
  <c r="BE596" i="3"/>
  <c r="BE631" i="3"/>
  <c r="BE638" i="3"/>
  <c r="BE663" i="3"/>
  <c r="BE673" i="3"/>
  <c r="BE678" i="3"/>
  <c r="BE684" i="3"/>
  <c r="BE700" i="3"/>
  <c r="BE724" i="3"/>
  <c r="BE729" i="3"/>
  <c r="BE732" i="3"/>
  <c r="BE734" i="3"/>
  <c r="BE751" i="3"/>
  <c r="BE758" i="3"/>
  <c r="BE764" i="3"/>
  <c r="BE788" i="3"/>
  <c r="BE799" i="3"/>
  <c r="BE801" i="3"/>
  <c r="BE807" i="3"/>
  <c r="BE822" i="3"/>
  <c r="BE828" i="3"/>
  <c r="BE838" i="3"/>
  <c r="BE841" i="3"/>
  <c r="BE848" i="3"/>
  <c r="BE849" i="3"/>
  <c r="BE852" i="3"/>
  <c r="BE856" i="3"/>
  <c r="BE861" i="3"/>
  <c r="BE877" i="3"/>
  <c r="BE878" i="3"/>
  <c r="BE882" i="3"/>
  <c r="BE889" i="3"/>
  <c r="BE891" i="3"/>
  <c r="BE903" i="3"/>
  <c r="BE930" i="3"/>
  <c r="BE939" i="3"/>
  <c r="BE965" i="3"/>
  <c r="BE987" i="3"/>
  <c r="BE991" i="3"/>
  <c r="BE995" i="3"/>
  <c r="BE998" i="3"/>
  <c r="BE1004" i="3"/>
  <c r="BE1013" i="3"/>
  <c r="BE1031" i="3"/>
  <c r="BE1034" i="3"/>
  <c r="BE1048" i="3"/>
  <c r="BE1050" i="3"/>
  <c r="BE1061" i="3"/>
  <c r="BE1085" i="3"/>
  <c r="BE1101" i="3"/>
  <c r="BE1110" i="3"/>
  <c r="BE1216" i="3"/>
  <c r="BE1230" i="3"/>
  <c r="BE1282" i="3"/>
  <c r="BE1284" i="3"/>
  <c r="BE1290" i="3"/>
  <c r="BE1293" i="3"/>
  <c r="BE1297" i="3"/>
  <c r="BE1299" i="3"/>
  <c r="BE1300" i="3"/>
  <c r="BE146" i="3"/>
  <c r="BE169" i="3"/>
  <c r="BE191" i="3"/>
  <c r="BE193" i="3"/>
  <c r="BE195" i="3"/>
  <c r="BE197" i="3"/>
  <c r="BE199" i="3"/>
  <c r="BE205" i="3"/>
  <c r="BE211" i="3"/>
  <c r="BE213" i="3"/>
  <c r="BE220" i="3"/>
  <c r="BE233" i="3"/>
  <c r="BE292" i="3"/>
  <c r="BE310" i="3"/>
  <c r="BE318" i="3"/>
  <c r="BE343" i="3"/>
  <c r="BE354" i="3"/>
  <c r="BE360" i="3"/>
  <c r="BE373" i="3"/>
  <c r="BE383" i="3"/>
  <c r="BE392" i="3"/>
  <c r="BE394" i="3"/>
  <c r="BE448" i="3"/>
  <c r="BE490" i="3"/>
  <c r="BE493" i="3"/>
  <c r="BE495" i="3"/>
  <c r="BE496" i="3"/>
  <c r="BE538" i="3"/>
  <c r="BE569" i="3"/>
  <c r="BE593" i="3"/>
  <c r="BE601" i="3"/>
  <c r="BE604" i="3"/>
  <c r="BE613" i="3"/>
  <c r="BE616" i="3"/>
  <c r="BE619" i="3"/>
  <c r="BE633" i="3"/>
  <c r="BE648" i="3"/>
  <c r="BE651" i="3"/>
  <c r="BE658" i="3"/>
  <c r="BE670" i="3"/>
  <c r="BE693" i="3"/>
  <c r="BE695" i="3"/>
  <c r="BE710" i="3"/>
  <c r="BE716" i="3"/>
  <c r="BE740" i="3"/>
  <c r="BE746" i="3"/>
  <c r="BE756" i="3"/>
  <c r="BE763" i="3"/>
  <c r="BE768" i="3"/>
  <c r="BE775" i="3"/>
  <c r="BE778" i="3"/>
  <c r="BE781" i="3"/>
  <c r="BE784" i="3"/>
  <c r="BE792" i="3"/>
  <c r="BE795" i="3"/>
  <c r="BE796" i="3"/>
  <c r="BE803" i="3"/>
  <c r="BE804" i="3"/>
  <c r="BE815" i="3"/>
  <c r="BE817" i="3"/>
  <c r="BE844" i="3"/>
  <c r="BE850" i="3"/>
  <c r="BE855" i="3"/>
  <c r="BE868" i="3"/>
  <c r="BE871" i="3"/>
  <c r="BE887" i="3"/>
  <c r="BE888" i="3"/>
  <c r="BE890" i="3"/>
  <c r="BE899" i="3"/>
  <c r="BE904" i="3"/>
  <c r="BE924" i="3"/>
  <c r="BE973" i="3"/>
  <c r="BE981" i="3"/>
  <c r="BE983" i="3"/>
  <c r="BE985" i="3"/>
  <c r="BE989" i="3"/>
  <c r="BE993" i="3"/>
  <c r="BE997" i="3"/>
  <c r="BE999" i="3"/>
  <c r="BE1000" i="3"/>
  <c r="BE1001" i="3"/>
  <c r="BE1020" i="3"/>
  <c r="BE1026" i="3"/>
  <c r="BE1029" i="3"/>
  <c r="BE1053" i="3"/>
  <c r="BE1063" i="3"/>
  <c r="BE1068" i="3"/>
  <c r="BE1088" i="3"/>
  <c r="BE1091" i="3"/>
  <c r="BE1098" i="3"/>
  <c r="BE1104" i="3"/>
  <c r="BE1115" i="3"/>
  <c r="BE1118" i="3"/>
  <c r="BE1120" i="3"/>
  <c r="BE1129" i="3"/>
  <c r="BE1159" i="3"/>
  <c r="BE1166" i="3"/>
  <c r="BE1174" i="3"/>
  <c r="BE1179" i="3"/>
  <c r="BE1182" i="3"/>
  <c r="BE1190" i="3"/>
  <c r="BE1264" i="3"/>
  <c r="BE1298" i="3"/>
  <c r="E48" i="2"/>
  <c r="BE99" i="2"/>
  <c r="BE105" i="2"/>
  <c r="BE130" i="2"/>
  <c r="BE151" i="2"/>
  <c r="BE160" i="2"/>
  <c r="BE171" i="2"/>
  <c r="BE176" i="2"/>
  <c r="BE188" i="2"/>
  <c r="BE191" i="2"/>
  <c r="BE197" i="2"/>
  <c r="BE209" i="2"/>
  <c r="BE222" i="2"/>
  <c r="BE241" i="2"/>
  <c r="BE248" i="2"/>
  <c r="BE259" i="2"/>
  <c r="BE262" i="2"/>
  <c r="BE277" i="2"/>
  <c r="BE285" i="2"/>
  <c r="BE288" i="2"/>
  <c r="BE322" i="2"/>
  <c r="BE331" i="2"/>
  <c r="BE361" i="2"/>
  <c r="F55" i="2"/>
  <c r="BE116" i="2"/>
  <c r="BE133" i="2"/>
  <c r="BE138" i="2"/>
  <c r="BE141" i="2"/>
  <c r="BE146" i="2"/>
  <c r="BE179" i="2"/>
  <c r="BE206" i="2"/>
  <c r="BE217" i="2"/>
  <c r="BE229" i="2"/>
  <c r="BE231" i="2"/>
  <c r="BE233" i="2"/>
  <c r="BE238" i="2"/>
  <c r="BE245" i="2"/>
  <c r="BE254" i="2"/>
  <c r="BE264" i="2"/>
  <c r="BE266" i="2"/>
  <c r="BE282" i="2"/>
  <c r="BE295" i="2"/>
  <c r="BE298" i="2"/>
  <c r="BE319" i="2"/>
  <c r="BE328" i="2"/>
  <c r="BE344" i="2"/>
  <c r="BE352" i="2"/>
  <c r="BE356" i="2"/>
  <c r="J52" i="2"/>
  <c r="BE102" i="2"/>
  <c r="BE110" i="2"/>
  <c r="BE119" i="2"/>
  <c r="BE128" i="2"/>
  <c r="BE135" i="2"/>
  <c r="BE154" i="2"/>
  <c r="BE165" i="2"/>
  <c r="BE168" i="2"/>
  <c r="BE185" i="2"/>
  <c r="BE211" i="2"/>
  <c r="BE214" i="2"/>
  <c r="BE225" i="2"/>
  <c r="BE236" i="2"/>
  <c r="BE251" i="2"/>
  <c r="BE292" i="2"/>
  <c r="BE310" i="2"/>
  <c r="BE316" i="2"/>
  <c r="BE325" i="2"/>
  <c r="BE125" i="2"/>
  <c r="BE143" i="2"/>
  <c r="BE157" i="2"/>
  <c r="BE203" i="2"/>
  <c r="BE219" i="2"/>
  <c r="BE253" i="2"/>
  <c r="BE257" i="2"/>
  <c r="BE261" i="2"/>
  <c r="BE271" i="2"/>
  <c r="BE274" i="2"/>
  <c r="BE304" i="2"/>
  <c r="BE313" i="2"/>
  <c r="BE333" i="2"/>
  <c r="BE336" i="2"/>
  <c r="BE338" i="2"/>
  <c r="BE349" i="2"/>
  <c r="F36" i="4"/>
  <c r="BC57" i="1"/>
  <c r="F36" i="3"/>
  <c r="BC56" i="1" s="1"/>
  <c r="F34" i="4"/>
  <c r="BA57" i="1"/>
  <c r="F36" i="2"/>
  <c r="BC55" i="1"/>
  <c r="F37" i="4"/>
  <c r="BD57" i="1"/>
  <c r="F35" i="3"/>
  <c r="BB56" i="1" s="1"/>
  <c r="J34" i="2"/>
  <c r="AW55" i="1"/>
  <c r="F35" i="2"/>
  <c r="BB55" i="1"/>
  <c r="F35" i="4"/>
  <c r="BB57" i="1"/>
  <c r="J34" i="4"/>
  <c r="AW57" i="1"/>
  <c r="F37" i="2"/>
  <c r="BD55" i="1"/>
  <c r="F34" i="2"/>
  <c r="BA55" i="1"/>
  <c r="F34" i="3"/>
  <c r="BA56" i="1" s="1"/>
  <c r="F37" i="3"/>
  <c r="BD56" i="1" s="1"/>
  <c r="J34" i="3"/>
  <c r="AW56" i="1" s="1"/>
  <c r="BK112" i="3" l="1"/>
  <c r="J112" i="3" s="1"/>
  <c r="J60" i="3" s="1"/>
  <c r="BK418" i="3"/>
  <c r="J418" i="3" s="1"/>
  <c r="J69" i="3" s="1"/>
  <c r="T243" i="2"/>
  <c r="T96" i="2"/>
  <c r="P243" i="2"/>
  <c r="R418" i="3"/>
  <c r="R97" i="2"/>
  <c r="P418" i="3"/>
  <c r="P112" i="3"/>
  <c r="T112" i="3"/>
  <c r="R243" i="2"/>
  <c r="BK86" i="4"/>
  <c r="J86" i="4" s="1"/>
  <c r="J60" i="4" s="1"/>
  <c r="T418" i="3"/>
  <c r="BK97" i="2"/>
  <c r="J97" i="2" s="1"/>
  <c r="J60" i="2" s="1"/>
  <c r="T86" i="4"/>
  <c r="T85" i="4"/>
  <c r="P97" i="2"/>
  <c r="P96" i="2"/>
  <c r="AU55" i="1"/>
  <c r="R112" i="3"/>
  <c r="R111" i="3" s="1"/>
  <c r="J87" i="4"/>
  <c r="J61" i="4"/>
  <c r="BK243" i="2"/>
  <c r="J243" i="2" s="1"/>
  <c r="J64" i="2" s="1"/>
  <c r="BK359" i="2"/>
  <c r="J359" i="2"/>
  <c r="J75" i="2" s="1"/>
  <c r="J33" i="3"/>
  <c r="AV56" i="1" s="1"/>
  <c r="AT56" i="1" s="1"/>
  <c r="F33" i="4"/>
  <c r="AZ57" i="1" s="1"/>
  <c r="BB54" i="1"/>
  <c r="W31" i="1" s="1"/>
  <c r="J33" i="2"/>
  <c r="AV55" i="1" s="1"/>
  <c r="AT55" i="1" s="1"/>
  <c r="BA54" i="1"/>
  <c r="AW54" i="1" s="1"/>
  <c r="AK30" i="1" s="1"/>
  <c r="J33" i="4"/>
  <c r="AV57" i="1"/>
  <c r="AT57" i="1"/>
  <c r="F33" i="3"/>
  <c r="AZ56" i="1" s="1"/>
  <c r="F33" i="2"/>
  <c r="AZ55" i="1"/>
  <c r="BC54" i="1"/>
  <c r="W32" i="1" s="1"/>
  <c r="BD54" i="1"/>
  <c r="W33" i="1" s="1"/>
  <c r="BK111" i="3" l="1"/>
  <c r="J111" i="3" s="1"/>
  <c r="J59" i="3" s="1"/>
  <c r="P111" i="3"/>
  <c r="AU56" i="1"/>
  <c r="T111" i="3"/>
  <c r="R96" i="2"/>
  <c r="BK96" i="2"/>
  <c r="J96" i="2"/>
  <c r="J59" i="2"/>
  <c r="BK85" i="4"/>
  <c r="J85" i="4" s="1"/>
  <c r="J59" i="4" s="1"/>
  <c r="W30" i="1"/>
  <c r="J30" i="3"/>
  <c r="AG56" i="1" s="1"/>
  <c r="AN56" i="1" s="1"/>
  <c r="AY54" i="1"/>
  <c r="AX54" i="1"/>
  <c r="AZ54" i="1"/>
  <c r="W29" i="1" s="1"/>
  <c r="AU54" i="1"/>
  <c r="J39" i="3" l="1"/>
  <c r="J30" i="4"/>
  <c r="AG57" i="1"/>
  <c r="J30" i="2"/>
  <c r="AG55" i="1" s="1"/>
  <c r="AN55" i="1" s="1"/>
  <c r="AV54" i="1"/>
  <c r="AK29" i="1" s="1"/>
  <c r="J39" i="2" l="1"/>
  <c r="J39" i="4"/>
  <c r="AN57" i="1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<sst xmlns="http://schemas.openxmlformats.org/spreadsheetml/2006/main" count="16836" uniqueCount="3525">
  <si>
    <t>Export Komplet</t>
  </si>
  <si>
    <t>VZ</t>
  </si>
  <si>
    <t>2.0</t>
  </si>
  <si>
    <t>ZAMOK</t>
  </si>
  <si>
    <t>False</t>
  </si>
  <si>
    <t>{376644c3-97aa-4ce3-8223-2b7b3e77f5e1}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</si>
  <si>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</si>
  <si>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</si>
  <si>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</si>
  <si>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</si>
  <si>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</si>
  <si>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</si>
  <si>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</si>
  <si>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</si>
  <si>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22/393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</si>
  <si>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</si>
  <si>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</si>
  <si>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gymnáziu Hostivice - rekonstrukce gymnázia II.etapa</t>
  </si>
  <si>
    <t>KSO:</t>
  </si>
  <si>
    <t/>
  </si>
  <si>
    <t>CC-CZ:</t>
  </si>
  <si>
    <t>Místo:</t>
  </si>
  <si>
    <t>Gymnázium Hostivice, Komenského 141</t>
  </si>
  <si>
    <t>Datum:</t>
  </si>
  <si>
    <t>9. 12. 2022</t>
  </si>
  <si>
    <t>Zadavatel:</t>
  </si>
  <si>
    <t>IČ:</t>
  </si>
  <si>
    <t>Středočeský kraj, Zborovská 81/11, Praha 5</t>
  </si>
  <si>
    <t>DIČ:</t>
  </si>
  <si>
    <t>Uchazeč:</t>
  </si>
  <si>
    <t>Vyplň údaj</t>
  </si>
  <si>
    <t>Projektant:</t>
  </si>
  <si>
    <t>13309099</t>
  </si>
  <si>
    <t>Ing. Petr Petele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</si>
  <si>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</si>
  <si>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</si>
  <si>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</si>
  <si>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</si>
  <si>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</si>
  <si>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</si>
  <si>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</si>
  <si>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</si>
  <si>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</si>
  <si>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</si>
  <si>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</si>
  <si>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</si>
  <si>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</si>
  <si>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</si>
  <si>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</si>
  <si>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</si>
  <si>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</si>
  <si>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</si>
  <si>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</si>
  <si>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</si>
  <si>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</si>
  <si>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</si>
  <si>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</si>
  <si>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</si>
  <si>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</si>
  <si>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</si>
  <si>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</si>
  <si>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</si>
  <si>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</si>
  <si>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</si>
  <si>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</si>
  <si>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</si>
  <si>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</si>
  <si>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</si>
  <si>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</si>
  <si>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</si>
  <si>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</si>
  <si>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</si>
  <si>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</si>
  <si>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</si>
  <si>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</si>
  <si>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</si>
  <si>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</si>
  <si>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</si>
  <si>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</si>
  <si>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</si>
  <si>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</si>
  <si>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{95006946-8438-4894-a214-3208d70c8c0b}</t>
  </si>
  <si>
    <t>2</t>
  </si>
  <si>
    <t>02</t>
  </si>
  <si>
    <t>Nové konstrukce</t>
  </si>
  <si>
    <t>{7e9ba591-a401-4da8-bbee-eb727b4de791}</t>
  </si>
  <si>
    <t>03</t>
  </si>
  <si>
    <t>Vedlejší rozpočtové náklady</t>
  </si>
  <si>
    <t>{f0bf325a-89a5-4427-80a3-9f46b972c136}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</si>
  <si>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</si>
  <si>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</si>
  <si>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</si>
  <si>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</si>
  <si>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</si>
  <si>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</si>
  <si>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</si>
  <si>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</si>
  <si>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</si>
  <si>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</si>
  <si>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</si>
  <si>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</si>
  <si>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</si>
  <si>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720 - Zdravotechnika</t>
  </si>
  <si>
    <t xml:space="preserve">    730 - Ústřední vytápění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</si>
  <si>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</si>
  <si>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</si>
  <si>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</si>
  <si>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</si>
  <si>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</si>
  <si>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</si>
  <si>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771 - Podlahy z dlaždic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</si>
  <si>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</si>
  <si>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</si>
  <si>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</si>
  <si>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</si>
  <si>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</si>
  <si>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</si>
  <si>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</si>
  <si>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</si>
  <si>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</si>
  <si>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</si>
  <si>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</si>
  <si>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</si>
  <si>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</si>
  <si>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</si>
  <si>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</si>
  <si>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</si>
  <si>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</si>
  <si>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</si>
  <si>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</si>
  <si>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</si>
  <si>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</si>
  <si>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</si>
  <si>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</si>
  <si>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2022 02</t>
  </si>
  <si>
    <t>4</t>
  </si>
  <si>
    <t>1410644782</t>
  </si>
  <si>
    <t>Online PSC</t>
  </si>
  <si>
    <t>https://podminky.urs.cz/item/CS_URS_2022_02/113106123</t>
  </si>
  <si>
    <t>VV</t>
  </si>
  <si>
    <t>17 "plocha pod budoucím schodištěm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</si>
  <si>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</si>
  <si>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</si>
  <si>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1370486069</t>
  </si>
  <si>
    <t>https://podminky.urs.cz/item/CS_URS_2022_02/113107123</t>
  </si>
  <si>
    <t>3</t>
  </si>
  <si>
    <t>132212131</t>
  </si>
  <si>
    <t>Hloubení nezapažených rýh šířky do 800 mm ručně s urovnáním dna do předepsaného profilu a spádu v hornině třídy těžitelnosti I skupiny 3 soudržných</t>
  </si>
  <si>
    <t>m3</t>
  </si>
  <si>
    <t>721543842</t>
  </si>
  <si>
    <t>https://podminky.urs.cz/item/CS_URS_2022_02/132212131</t>
  </si>
  <si>
    <t>1,35*1,2*2,608 "výkop pro základ stěny u schodiště</t>
  </si>
  <si>
    <t>0,2*0,55*2,608 "pod nastupní rameno schodiště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</si>
  <si>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</si>
  <si>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</si>
  <si>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</si>
  <si>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1811295510</t>
  </si>
  <si>
    <t>https://podminky.urs.cz/item/CS_URS_2022_02/162751117</t>
  </si>
  <si>
    <t>17*0,3 "plocha pod budoucím schodištěm</t>
  </si>
  <si>
    <t>1,35*0,6*2,608 "výkop pro základ stěny u schodiště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</si>
  <si>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</si>
  <si>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</si>
  <si>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</si>
  <si>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-67862015</t>
  </si>
  <si>
    <t>https://podminky.urs.cz/item/CS_URS_2022_02/162751119</t>
  </si>
  <si>
    <t>7,499*10 'Přepočtené koeficientem množství</t>
  </si>
  <si>
    <t>6</t>
  </si>
  <si>
    <t>167111101</t>
  </si>
  <si>
    <t>Nakládání, skládání a překládání neulehlého výkopku nebo sypaniny ručně nakládání, z hornin třídy těžitelnosti I, skupiny 1 až 3</t>
  </si>
  <si>
    <t>-717167731</t>
  </si>
  <si>
    <t>https://podminky.urs.cz/item/CS_URS_2022_02/167111101</t>
  </si>
  <si>
    <t>7</t>
  </si>
  <si>
    <t>171201221</t>
  </si>
  <si>
    <t>Poplatek za uložení stavebního odpadu na skládce (skládkovné) zeminy a kamení zatříděného do Katalogu odpadů pod kódem 17 05 04</t>
  </si>
  <si>
    <t>t</t>
  </si>
  <si>
    <t>-1769018430</t>
  </si>
  <si>
    <t>https://podminky.urs.cz/item/CS_URS_2022_02/171201221</t>
  </si>
  <si>
    <t>7,917*1,8 'Přepočtené koeficientem množství</t>
  </si>
  <si>
    <t>8</t>
  </si>
  <si>
    <t>171251201</t>
  </si>
  <si>
    <t>Uložení sypaniny na skládky nebo meziskládky bez hutnění s upravením uložené sypaniny do předepsaného tvaru</t>
  </si>
  <si>
    <t>1327251820</t>
  </si>
  <si>
    <t>https://podminky.urs.cz/item/CS_URS_2022_02/171251201</t>
  </si>
  <si>
    <t>80</t>
  </si>
  <si>
    <t>174111101</t>
  </si>
  <si>
    <t>Zásyp sypaninou z jakékoliv horniny ručně s uložením výkopku ve vrstvách se zhutněním jam, šachet, rýh nebo kolem objektů v těchto vykopávkách</t>
  </si>
  <si>
    <t>995688264</t>
  </si>
  <si>
    <t>https://podminky.urs.cz/item/CS_URS_2022_02/174111101</t>
  </si>
  <si>
    <t>1,35*0,6*2,608 "kolem výkop pro základ stěny u schodiště</t>
  </si>
  <si>
    <t>9</t>
  </si>
  <si>
    <t>1-spec.01</t>
  </si>
  <si>
    <t>Provedení sondy před výkopovými pracemi v místě budoucího schodiště</t>
  </si>
  <si>
    <t>kpl.</t>
  </si>
  <si>
    <t>-1763681253</t>
  </si>
  <si>
    <t>Ostatní konstrukce a práce, bourání</t>
  </si>
  <si>
    <t>10</t>
  </si>
  <si>
    <t>943211112</t>
  </si>
  <si>
    <t>Montáž lešení prostorového rámového lehkého pracovního s podlahami s provozním zatížením tř. 3 do 200 kg/m2, výšky přes 10 do 25 m</t>
  </si>
  <si>
    <t>-734075449</t>
  </si>
  <si>
    <t>https://podminky.urs.cz/item/CS_URS_2022_02/943211112</t>
  </si>
  <si>
    <t>6*2,61*15,1 "v prostoru budoucího schodiště</t>
  </si>
  <si>
    <t>11</t>
  </si>
  <si>
    <t>943211212</t>
  </si>
  <si>
    <t>Montáž lešení prostorového rámového lehkého pracovního s podlahami Příplatek za první a každý další den použití lešení k ceně -1112</t>
  </si>
  <si>
    <t>-1323010492</t>
  </si>
  <si>
    <t>https://podminky.urs.cz/item/CS_URS_2022_02/943211212</t>
  </si>
  <si>
    <t>236,466*60 'Přepočtené koeficientem množství</t>
  </si>
  <si>
    <t>12</t>
  </si>
  <si>
    <t>943211812</t>
  </si>
  <si>
    <t>Demontáž lešení prostorového rámového lehkého pracovního s podlahami s provozním zatížením tř. 3 do 200 kg/m2, výšky přes 10 do 25 m</t>
  </si>
  <si>
    <t>-99852017</t>
  </si>
  <si>
    <t>https://podminky.urs.cz/item/CS_URS_2022_02/943211812</t>
  </si>
  <si>
    <t>13</t>
  </si>
  <si>
    <t>962031133</t>
  </si>
  <si>
    <t>Bourání příček z cihel, tvárnic nebo příčkovek z cihel pálených, plných nebo dutých na maltu vápennou nebo vápenocementovou, tl. do 150 mm</t>
  </si>
  <si>
    <t>-1983129842</t>
  </si>
  <si>
    <t>https://podminky.urs.cz/item/CS_URS_2022_02/962031133</t>
  </si>
  <si>
    <t>(2,9+2,8+2+11,2+7,6+2,2+0,9+1,32+1,13+4,37+6,5)*3 "vnitřní příčky</t>
  </si>
  <si>
    <t>14</t>
  </si>
  <si>
    <t>962032230</t>
  </si>
  <si>
    <t>Bourání zdiva nadzákladového z cihel nebo tvárnic z cihel pálených nebo vápenopískových, na maltu vápennou nebo vápenocementovou, objemu do 1 m3</t>
  </si>
  <si>
    <t>-2066053969</t>
  </si>
  <si>
    <t>https://podminky.urs.cz/item/CS_URS_2022_02/962032230</t>
  </si>
  <si>
    <t>(2,32*0,48+0,48*2,53+1,56*0,48+2,04*0,478)*3 "komíny pod střešní část</t>
  </si>
  <si>
    <t>(6,7*0,4+6,7*0,43+6,7*0,48)*3+1*0,45*2,2 "vnitřní stěny v podkroví</t>
  </si>
  <si>
    <t>962032631</t>
  </si>
  <si>
    <t>Bourání zdiva nadzákladového z cihel nebo tvárnic komínového z cihel pálených, šamotových nebo vápenopískových nad střechou na maltu vápennou nebo vápenocementovou</t>
  </si>
  <si>
    <t>-515704138</t>
  </si>
  <si>
    <t>https://podminky.urs.cz/item/CS_URS_2022_02/962032631</t>
  </si>
  <si>
    <t>(2,32*0,48+0,48*2,53+1,56*0,48+2,04*0,478+2,46*0,538)*1,5 "komíny nad střešní část</t>
  </si>
  <si>
    <t>16</t>
  </si>
  <si>
    <t>964011221</t>
  </si>
  <si>
    <t>Vybourání železobetonových prefabrikovaných překladů uložených ve zdivu, délky do 3 m, hmotnosti do 75 kg/m</t>
  </si>
  <si>
    <t>1095295388</t>
  </si>
  <si>
    <t>https://podminky.urs.cz/item/CS_URS_2022_02/964011221</t>
  </si>
  <si>
    <t>0,45*0,37*2 "pro uložení překladu u výtahových dveří</t>
  </si>
  <si>
    <t>17</t>
  </si>
  <si>
    <t>965041341</t>
  </si>
  <si>
    <t>Bourání mazanin škvárobetonových tl. do 100 mm, plochy přes 4 m2</t>
  </si>
  <si>
    <t>158405526</t>
  </si>
  <si>
    <t>https://podminky.urs.cz/item/CS_URS_2022_02/965041341</t>
  </si>
  <si>
    <t>544,25*0,025 "maltové lože půdní plocha 4.NP</t>
  </si>
  <si>
    <t>18</t>
  </si>
  <si>
    <t>965081113</t>
  </si>
  <si>
    <t>Bourání podlah z dlaždic bez podkladního lože nebo mazaniny, s jakoukoliv výplní spár půdních, plochy přes 1 m2</t>
  </si>
  <si>
    <t>544040210</t>
  </si>
  <si>
    <t>https://podminky.urs.cz/item/CS_URS_2022_02/965081113</t>
  </si>
  <si>
    <t>544,25 "půdní plocha 4.NP</t>
  </si>
  <si>
    <t>-27,5 "prostor kotelny</t>
  </si>
  <si>
    <t>19</t>
  </si>
  <si>
    <t>965082923</t>
  </si>
  <si>
    <t>Odstranění násypu pod podlahami nebo ochranného násypu na střechách tl. do 100 mm, plochy přes 2 m2</t>
  </si>
  <si>
    <t>1768066572</t>
  </si>
  <si>
    <t>https://podminky.urs.cz/item/CS_URS_2022_02/965082923</t>
  </si>
  <si>
    <t>544,25*0,07 "škvárový násyp půdní plocha 4.NP</t>
  </si>
  <si>
    <t>20</t>
  </si>
  <si>
    <t>966031313</t>
  </si>
  <si>
    <t>Vybourání částí říms z cihel vyložených do 250 mm tl. do 300 mm</t>
  </si>
  <si>
    <t>m</t>
  </si>
  <si>
    <t>553066771</t>
  </si>
  <si>
    <t>https://podminky.urs.cz/item/CS_URS_2022_02/966031313</t>
  </si>
  <si>
    <t>6+6+1,638 "podstřešní římsa v úrovni podlahy 4.NP</t>
  </si>
  <si>
    <t>966031314</t>
  </si>
  <si>
    <t>Vybourání částí říms z cihel vyložených do 250 mm tl. přes 300 mm</t>
  </si>
  <si>
    <t>593597083</t>
  </si>
  <si>
    <t>https://podminky.urs.cz/item/CS_URS_2022_02/966031314</t>
  </si>
  <si>
    <t>6+6+1,638 "podstřešní římsa</t>
  </si>
  <si>
    <t>6+6+1,638 "římsa v úrovni podlahy 2.NP</t>
  </si>
  <si>
    <t>22</t>
  </si>
  <si>
    <t>967042712</t>
  </si>
  <si>
    <t>Odsekání zdiva z kamene nebo betonu plošné, tl. do 100 mm</t>
  </si>
  <si>
    <t>-1134523740</t>
  </si>
  <si>
    <t>https://podminky.urs.cz/item/CS_URS_2022_02/967042712</t>
  </si>
  <si>
    <t>(6+2,61+6)*0,85 "kamenný sokl v úrovni 1.NP</t>
  </si>
  <si>
    <t>23</t>
  </si>
  <si>
    <t>968062246</t>
  </si>
  <si>
    <t>Vybourání dřevěných rámů oken s křídly, dveřních zárubní, vrat, stěn, ostění nebo obkladů rámů oken s křídly jednoduchých, plochy do 4 m2</t>
  </si>
  <si>
    <t>-142580227</t>
  </si>
  <si>
    <t>https://podminky.urs.cz/item/CS_URS_2022_02/968062246</t>
  </si>
  <si>
    <t>1,27*1,44 "štítové okno pohled východní</t>
  </si>
  <si>
    <t>0,95*0,43 "okno viz. výkres D.1.1.4 - §4</t>
  </si>
  <si>
    <t>0,94*0,46 "okno viz. výkres D.1.1.4 - §7</t>
  </si>
  <si>
    <t>24</t>
  </si>
  <si>
    <t>968072455</t>
  </si>
  <si>
    <t>Vybourání kovových rámů oken s křídly, dveřních zárubní, vrat, stěn, ostění nebo obkladů dveřních zárubní, plochy do 2 m2</t>
  </si>
  <si>
    <t>-138109162</t>
  </si>
  <si>
    <t>https://podminky.urs.cz/item/CS_URS_2022_02/968072455</t>
  </si>
  <si>
    <t>0,8*1,97+0,85*1,97+0,8*1,97 "zárubně v 4.NP</t>
  </si>
  <si>
    <t>25</t>
  </si>
  <si>
    <t>968072456</t>
  </si>
  <si>
    <t>Vybourání kovových rámů oken s křídly, dveřních zárubní, vrat, stěn, ostění nebo obkladů dveřních zárubní, plochy přes 2 m2</t>
  </si>
  <si>
    <t>1816661773</t>
  </si>
  <si>
    <t>https://podminky.urs.cz/item/CS_URS_2022_02/968072456</t>
  </si>
  <si>
    <t>1,16*2,4+1,16*2,13 "zárubně v 4.NP</t>
  </si>
  <si>
    <t>26</t>
  </si>
  <si>
    <t>973031151</t>
  </si>
  <si>
    <t>Vysekání výklenků nebo kapes ve zdivu z cihel na maltu vápennou nebo vápenocementovou výklenků, pohledové plochy přes 0,25 m2</t>
  </si>
  <si>
    <t>-1356101626</t>
  </si>
  <si>
    <t>https://podminky.urs.cz/item/CS_URS_2022_02/973031151</t>
  </si>
  <si>
    <t>0,6*0,35*1,4*25 "vyskání výklenku pro ocelovou konstrukci</t>
  </si>
  <si>
    <t>(1,56+1,56+2,899)*0,3*0,3*3+(1,299+1,299)*0,3*0,3*3 "kapsy pro uložení PZD nosníku viz. bourací príce §6</t>
  </si>
  <si>
    <t>0,35*0,2*25 "vysekání výklenku pro patku ocelové konstrukce</t>
  </si>
  <si>
    <t>27</t>
  </si>
  <si>
    <t>973031335</t>
  </si>
  <si>
    <t>Vysekání výklenků nebo kapes ve zdivu z cihel na maltu vápennou nebo vápenocementovou kapes, plochy do 0,16 m2, hl. do 300 mm</t>
  </si>
  <si>
    <t>kus</t>
  </si>
  <si>
    <t>532378144</t>
  </si>
  <si>
    <t>https://podminky.urs.cz/item/CS_URS_2022_02/973031335</t>
  </si>
  <si>
    <t>7*2 "kapsa pro IPE nosníky §8 viz. výkres bourané kce</t>
  </si>
  <si>
    <t>3*2 "kapsa pro kotvení ŽB věnců §7 viz. výkres bourané kce</t>
  </si>
  <si>
    <t>2,25*0,3*0,45 "kapsa pro uložení překladu nad okno na štítové straně</t>
  </si>
  <si>
    <t>28</t>
  </si>
  <si>
    <t>975121321</t>
  </si>
  <si>
    <t>Jednořadé podchycení konstrukcí systémovými prvky stojkami včetně nosníků výšky podepření do 4 m, zatížení přes 750 do 1 000 kg/m zřízení</t>
  </si>
  <si>
    <t>-930757627</t>
  </si>
  <si>
    <t>https://podminky.urs.cz/item/CS_URS_2022_02/975121321</t>
  </si>
  <si>
    <t>(4,31+3,158)*6 "podstojkování stropu při demontáži krovu viz. výkres řez C-C bourací práce</t>
  </si>
  <si>
    <t>29</t>
  </si>
  <si>
    <t>975121322</t>
  </si>
  <si>
    <t>Jednořadé podchycení konstrukcí systémovými prvky stojkami včetně nosníků výšky podepření do 4 m, zatížení přes 750 do 1 000 kg/m příplatek za první a každý další den použití</t>
  </si>
  <si>
    <t>-1664776029</t>
  </si>
  <si>
    <t>https://podminky.urs.cz/item/CS_URS_2022_02/975121322</t>
  </si>
  <si>
    <t>44,808*30 'Přepočtené koeficientem množství</t>
  </si>
  <si>
    <t>30</t>
  </si>
  <si>
    <t>975121323</t>
  </si>
  <si>
    <t>Jednořadé podchycení konstrukcí systémovými prvky stojkami včetně nosníků výšky podepření do 4 m, zatížení přes 750 do 1 000 kg/m odstranění</t>
  </si>
  <si>
    <t>-851104494</t>
  </si>
  <si>
    <t>https://podminky.urs.cz/item/CS_URS_2022_02/975121323</t>
  </si>
  <si>
    <t>31</t>
  </si>
  <si>
    <t>975121421</t>
  </si>
  <si>
    <t>Jednořadé podchycení konstrukcí systémovými prvky stojkami včetně nosníků výšky podepření přes 4 do 5 m, zatížení přes 750 do 1 000 kg/m zřízení</t>
  </si>
  <si>
    <t>-835426686</t>
  </si>
  <si>
    <t>https://podminky.urs.cz/item/CS_URS_2022_02/975121421</t>
  </si>
  <si>
    <t>3,579*6 "podstojkování stropu na stáv. schodišti při demontáži krovu viz. výkres řez C-C bourací práce</t>
  </si>
  <si>
    <t>32</t>
  </si>
  <si>
    <t>975121422</t>
  </si>
  <si>
    <t>Jednořadé podchycení konstrukcí systémovými prvky stojkami včetně nosníků výšky podepření přes 4 do 5 m, zatížení přes 750 do 1 000 kg/m příplatek za první a každý další den použití</t>
  </si>
  <si>
    <t>1950568664</t>
  </si>
  <si>
    <t>https://podminky.urs.cz/item/CS_URS_2022_02/975121422</t>
  </si>
  <si>
    <t>21,474*30 'Přepočtené koeficientem množství</t>
  </si>
  <si>
    <t>33</t>
  </si>
  <si>
    <t>975121423</t>
  </si>
  <si>
    <t>Jednořadé podchycení konstrukcí systémovými prvky stojkami včetně nosníků výšky podepření přes 4 do 5 m, zatížení přes 750 do 1 000 kg/m odstranění</t>
  </si>
  <si>
    <t>362151974</t>
  </si>
  <si>
    <t>https://podminky.urs.cz/item/CS_URS_2022_02/975121423</t>
  </si>
  <si>
    <t>34</t>
  </si>
  <si>
    <t>978012191</t>
  </si>
  <si>
    <t>Otlučení vápenných nebo vápenocementových omítek vnitřních ploch stropů rákosovaných, v rozsahu přes 50 do 100 %</t>
  </si>
  <si>
    <t>316107557</t>
  </si>
  <si>
    <t>https://podminky.urs.cz/item/CS_URS_2022_02/978012191</t>
  </si>
  <si>
    <t>157 "podbiti střešní konstrukce</t>
  </si>
  <si>
    <t>35</t>
  </si>
  <si>
    <t>978013191</t>
  </si>
  <si>
    <t>Otlučení vápenných nebo vápenocementových omítek vnitřních ploch stěn s vyškrabáním spar, s očištěním zdiva, v rozsahu přes 50 do 100 %</t>
  </si>
  <si>
    <t>-600719251</t>
  </si>
  <si>
    <t>https://podminky.urs.cz/item/CS_URS_2022_02/978013191</t>
  </si>
  <si>
    <t>158,24*1 "po obvodu objektu</t>
  </si>
  <si>
    <t>36</t>
  </si>
  <si>
    <t>978015391</t>
  </si>
  <si>
    <t>Otlučení vápenných nebo vápenocementových omítek vnějších ploch s vyškrabáním spar a s očištěním zdiva stupně členitosti 1 a 2, v rozsahu přes 80 do 100 %</t>
  </si>
  <si>
    <t>1316084438</t>
  </si>
  <si>
    <t>https://podminky.urs.cz/item/CS_URS_2022_02/978015391</t>
  </si>
  <si>
    <t>(6+2,61+6)*15,1 "vnější omítka budoucího schodiště</t>
  </si>
  <si>
    <t>997</t>
  </si>
  <si>
    <t>Přesun sutě</t>
  </si>
  <si>
    <t>37</t>
  </si>
  <si>
    <t>997013154</t>
  </si>
  <si>
    <t>Vnitrostaveništní doprava suti a vybouraných hmot vodorovně do 50 m svisle s omezením mechanizace pro budovy a haly výšky přes 12 do 15 m</t>
  </si>
  <si>
    <t>-1619678159</t>
  </si>
  <si>
    <t>https://podminky.urs.cz/item/CS_URS_2022_02/997013154</t>
  </si>
  <si>
    <t>38</t>
  </si>
  <si>
    <t>997013312</t>
  </si>
  <si>
    <t>Doprava suti shozem montáž a demontáž shozu výšky přes 10 do 20 m</t>
  </si>
  <si>
    <t>-464986500</t>
  </si>
  <si>
    <t>https://podminky.urs.cz/item/CS_URS_2022_02/997013312</t>
  </si>
  <si>
    <t>39</t>
  </si>
  <si>
    <t>997013322</t>
  </si>
  <si>
    <t>Doprava suti shozem montáž a demontáž shozu výšky Příplatek za první a každý další den použití shozu k ceně -3312</t>
  </si>
  <si>
    <t>-792150232</t>
  </si>
  <si>
    <t>https://podminky.urs.cz/item/CS_URS_2022_02/997013322</t>
  </si>
  <si>
    <t>17*90 'Přepočtené koeficientem množství</t>
  </si>
  <si>
    <t>40</t>
  </si>
  <si>
    <t>997013501</t>
  </si>
  <si>
    <t>Odvoz suti a vybouraných hmot na skládku nebo meziskládku se složením, na vzdálenost do 1 km</t>
  </si>
  <si>
    <t>1587919046</t>
  </si>
  <si>
    <t>https://podminky.urs.cz/item/CS_URS_2022_02/997013501</t>
  </si>
  <si>
    <t>41</t>
  </si>
  <si>
    <t>997013509</t>
  </si>
  <si>
    <t>Odvoz suti a vybouraných hmot na skládku nebo meziskládku se složením, na vzdálenost Příplatek k ceně za každý další i započatý 1 km přes 1 km</t>
  </si>
  <si>
    <t>-773430655</t>
  </si>
  <si>
    <t>https://podminky.urs.cz/item/CS_URS_2022_02/997013509</t>
  </si>
  <si>
    <t>397,568*19 'Přepočtené koeficientem množství</t>
  </si>
  <si>
    <t>42</t>
  </si>
  <si>
    <t>997013631</t>
  </si>
  <si>
    <t>Poplatek za uložení stavebního odpadu na skládce (skládkovné) směsného stavebního a demoličního zatříděného do Katalogu odpadů pod kódem 17 09 04</t>
  </si>
  <si>
    <t>-131569135</t>
  </si>
  <si>
    <t>https://podminky.urs.cz/item/CS_URS_2022_02/997013631</t>
  </si>
  <si>
    <t>PSV</t>
  </si>
  <si>
    <t>Práce a dodávky PSV</t>
  </si>
  <si>
    <t>712</t>
  </si>
  <si>
    <t>Povlakové krytiny</t>
  </si>
  <si>
    <t>43</t>
  </si>
  <si>
    <t>712340833</t>
  </si>
  <si>
    <t>Odstranění povlakové krytiny střech plochých do 10° z přitavených pásů NAIP v plné ploše třívrstvé</t>
  </si>
  <si>
    <t>94059890</t>
  </si>
  <si>
    <t>https://podminky.urs.cz/item/CS_URS_2022_02/712340833</t>
  </si>
  <si>
    <t>29 "střecha výtahu</t>
  </si>
  <si>
    <t>44</t>
  </si>
  <si>
    <t>712341659</t>
  </si>
  <si>
    <t>Provedení povlakové krytiny střech plochých do 10° pásy přitavením NAIP bodově</t>
  </si>
  <si>
    <t>60871805</t>
  </si>
  <si>
    <t>https://podminky.urs.cz/item/CS_URS_2022_02/712341659</t>
  </si>
  <si>
    <t>544,25 "půdní plocha 4.NP provizorní izolační vrstva po dobu stavebních prací</t>
  </si>
  <si>
    <t>45</t>
  </si>
  <si>
    <t>M</t>
  </si>
  <si>
    <t>62832001</t>
  </si>
  <si>
    <t>pás asfaltový natavitelný oxidovaný tl 3,5mm typu V60 S35 s vložkou ze skleněné rohože, s jemnozrnným minerálním posypem</t>
  </si>
  <si>
    <t>-1925599119</t>
  </si>
  <si>
    <t>544,25*1,1655 'Přepočtené koeficientem množství</t>
  </si>
  <si>
    <t>79</t>
  </si>
  <si>
    <t>712-spec.01</t>
  </si>
  <si>
    <t>Napojení provizorní hydroizolace na stávající svody (odovd dešťové vody)</t>
  </si>
  <si>
    <t>-419974401</t>
  </si>
  <si>
    <t>46</t>
  </si>
  <si>
    <t>998712203</t>
  </si>
  <si>
    <t>Přesun hmot pro povlakové krytiny stanovený procentní sazbou (%) z ceny vodorovná dopravní vzdálenost do 50 m v objektech výšky přes 12 do 24 m</t>
  </si>
  <si>
    <t>%</t>
  </si>
  <si>
    <t>1196131894</t>
  </si>
  <si>
    <t>https://podminky.urs.cz/item/CS_URS_2022_02/998712203</t>
  </si>
  <si>
    <t>720</t>
  </si>
  <si>
    <t>Zdravotechnika</t>
  </si>
  <si>
    <t>47</t>
  </si>
  <si>
    <t>720-spec.01</t>
  </si>
  <si>
    <t>Odpojení a přeložení vody, kanalizace, plynu před bouracími pracemi</t>
  </si>
  <si>
    <t>2092846931</t>
  </si>
  <si>
    <t>730</t>
  </si>
  <si>
    <t>Ústřední vytápění</t>
  </si>
  <si>
    <t>48</t>
  </si>
  <si>
    <t>730-spec.01</t>
  </si>
  <si>
    <t>Odpojení a přeložení topení před bouracími pracemi vč. bourání kotelny</t>
  </si>
  <si>
    <t>-1030816598</t>
  </si>
  <si>
    <t>741</t>
  </si>
  <si>
    <t>Elektroinstalace - silnoproud</t>
  </si>
  <si>
    <t>49</t>
  </si>
  <si>
    <t>741-spec.01</t>
  </si>
  <si>
    <t>Demontáž hromosvodu na střešní konstrukci a dmtž svodu v prostoru nového schodiště</t>
  </si>
  <si>
    <t>545362092</t>
  </si>
  <si>
    <t>50</t>
  </si>
  <si>
    <t>741-spec.02</t>
  </si>
  <si>
    <t>Odpojení a přeložení elektroinstalace před bouracími pracemi</t>
  </si>
  <si>
    <t>-385609358</t>
  </si>
  <si>
    <t>751</t>
  </si>
  <si>
    <t>Vzduchotechnika</t>
  </si>
  <si>
    <t>51</t>
  </si>
  <si>
    <t>750-spec.01</t>
  </si>
  <si>
    <t>Odstranění vyústění VZT šachty nad střechou</t>
  </si>
  <si>
    <t>622206678</t>
  </si>
  <si>
    <t>762</t>
  </si>
  <si>
    <t>Konstrukce tesařské</t>
  </si>
  <si>
    <t>52</t>
  </si>
  <si>
    <t>762331813</t>
  </si>
  <si>
    <t>Demontáž vázaných konstrukcí krovů sklonu do 60° z hranolů, hranolků, fošen, průřezové plochy přes 224 do 288 cm2</t>
  </si>
  <si>
    <t>-353149615</t>
  </si>
  <si>
    <t>https://podminky.urs.cz/item/CS_URS_2022_02/762331813</t>
  </si>
  <si>
    <t>7,72+7,18+18+26+3,5+3,5+6,3+7,4+28+7,6+8+13*4+9,3*4+7,8*2+27*2+20+14*2+26+26+20+16+12+32+22+32+15+6+16+2,5*23+5*5+7,2*73</t>
  </si>
  <si>
    <t>(7,8+7,8+8,2+8,2+8,1+8+8,6+7,3+8,3+6,8+8+8+18+10)*1,3</t>
  </si>
  <si>
    <t>53</t>
  </si>
  <si>
    <t>762331814</t>
  </si>
  <si>
    <t>Demontáž vázaných konstrukcí krovů sklonu do 60° z hranolů, hranolků, fošen, průřezové plochy přes 288 do 450 cm2</t>
  </si>
  <si>
    <t>-2020098793</t>
  </si>
  <si>
    <t>https://podminky.urs.cz/item/CS_URS_2022_02/762331814</t>
  </si>
  <si>
    <t>7,8+27+5,6+7,6</t>
  </si>
  <si>
    <t>54</t>
  </si>
  <si>
    <t>762341832</t>
  </si>
  <si>
    <t>Demontáž bednění a laťování bednění střech rovných, obloukových, sklonu do 60° se všemi nadstřešními konstrukcemi z desek tvrdých (cementotřískových, dřevoštěpkových apod.)</t>
  </si>
  <si>
    <t>426107693</t>
  </si>
  <si>
    <t>https://podminky.urs.cz/item/CS_URS_2022_02/762341832</t>
  </si>
  <si>
    <t>55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</si>
  <si>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</si>
  <si>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</si>
  <si>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1506386330</t>
  </si>
  <si>
    <t>https://podminky.urs.cz/item/CS_URS_2022_02/762342812</t>
  </si>
  <si>
    <t>790 "plocha střechy</t>
  </si>
  <si>
    <t>56</t>
  </si>
  <si>
    <t>762521811</t>
  </si>
  <si>
    <t>Demontáž podlah bez polštářů z prken tl. do 32 mm</t>
  </si>
  <si>
    <t>932596880</t>
  </si>
  <si>
    <t>https://podminky.urs.cz/item/CS_URS_2022_02/762521811</t>
  </si>
  <si>
    <t>544,25 "prkenný záklop půdní plocha 4.NP</t>
  </si>
  <si>
    <t>57</t>
  </si>
  <si>
    <t>762841811</t>
  </si>
  <si>
    <t>Demontáž podbíjení obkladů stropů a střech sklonu do 60° z hrubých prken tl. do 35 mm bez omítky</t>
  </si>
  <si>
    <t>-1125687180</t>
  </si>
  <si>
    <t>https://podminky.urs.cz/item/CS_URS_2022_02/762841811</t>
  </si>
  <si>
    <t>58</t>
  </si>
  <si>
    <t>762841812</t>
  </si>
  <si>
    <t>Demontáž podbíjení obkladů stropů a střech sklonu do 60° z hrubých prken tl. do 35 mm s omítkou</t>
  </si>
  <si>
    <t>1352502645</t>
  </si>
  <si>
    <t>https://podminky.urs.cz/item/CS_URS_2022_02/762841812</t>
  </si>
  <si>
    <t>544,25 "podbití půdní plocha 4.NP</t>
  </si>
  <si>
    <t>764</t>
  </si>
  <si>
    <t>Konstrukce klempířské</t>
  </si>
  <si>
    <t>59</t>
  </si>
  <si>
    <t>764001891</t>
  </si>
  <si>
    <t>Demontáž klempířských konstrukcí oplechování úžlabí do suti</t>
  </si>
  <si>
    <t>1199281887</t>
  </si>
  <si>
    <t>https://podminky.urs.cz/item/CS_URS_2022_02/764001891</t>
  </si>
  <si>
    <t>8,5*6</t>
  </si>
  <si>
    <t>60</t>
  </si>
  <si>
    <t>764002841</t>
  </si>
  <si>
    <t>Demontáž klempířských konstrukcí oplechování horních ploch zdí a nadezdívek do suti</t>
  </si>
  <si>
    <t>-2056816407</t>
  </si>
  <si>
    <t>https://podminky.urs.cz/item/CS_URS_2022_02/764002841</t>
  </si>
  <si>
    <t>7*2 "štítová stěna střechy</t>
  </si>
  <si>
    <t>61</t>
  </si>
  <si>
    <t>764002851</t>
  </si>
  <si>
    <t>Demontáž klempířských konstrukcí oplechování parapetů do suti</t>
  </si>
  <si>
    <t>-788415322</t>
  </si>
  <si>
    <t>https://podminky.urs.cz/item/CS_URS_2022_02/764002851</t>
  </si>
  <si>
    <t>1,27 "štítové okno pohled východní</t>
  </si>
  <si>
    <t>0,95 "okno viz. výkres D.1.1.4 - §4</t>
  </si>
  <si>
    <t>0,94 "okno viz. výkres D.1.1.4 - §7</t>
  </si>
  <si>
    <t>62</t>
  </si>
  <si>
    <t>764002861</t>
  </si>
  <si>
    <t>Demontáž klempířských konstrukcí oplechování říms do suti</t>
  </si>
  <si>
    <t>-1948915053</t>
  </si>
  <si>
    <t>https://podminky.urs.cz/item/CS_URS_2022_02/764002861</t>
  </si>
  <si>
    <t>132,65 "podstřešní římsa v úrovni podlahy 4.NP</t>
  </si>
  <si>
    <t>63</t>
  </si>
  <si>
    <t>764002871</t>
  </si>
  <si>
    <t>Demontáž klempířských konstrukcí lemování zdí do suti</t>
  </si>
  <si>
    <t>2106852045</t>
  </si>
  <si>
    <t>https://podminky.urs.cz/item/CS_URS_2022_02/764002871</t>
  </si>
  <si>
    <t>(2,32*2+0,48*2+0,48*2+2,53*2+1,56*2+0,48*2+2,04*2+0,478*2+2,46*2+0,538*2)*1,3 "kolem komínů na střeše</t>
  </si>
  <si>
    <t>64</t>
  </si>
  <si>
    <t>764004801</t>
  </si>
  <si>
    <t>Demontáž klempířských konstrukcí žlabu podokapního do suti</t>
  </si>
  <si>
    <t>-1662252831</t>
  </si>
  <si>
    <t>https://podminky.urs.cz/item/CS_URS_2022_02/764004801</t>
  </si>
  <si>
    <t>137,41 "žlab po obvodu střechy</t>
  </si>
  <si>
    <t>65</t>
  </si>
  <si>
    <t>764004861</t>
  </si>
  <si>
    <t>Demontáž klempířských konstrukcí svodu do suti</t>
  </si>
  <si>
    <t>725907455</t>
  </si>
  <si>
    <t>https://podminky.urs.cz/item/CS_URS_2022_02/764004861</t>
  </si>
  <si>
    <t>15 "v prostoru budoucího schodiště</t>
  </si>
  <si>
    <t>66</t>
  </si>
  <si>
    <t>764004863</t>
  </si>
  <si>
    <t>Demontáž klempířských konstrukcí svodu k dalšímu použití</t>
  </si>
  <si>
    <t>-1203486722</t>
  </si>
  <si>
    <t>https://podminky.urs.cz/item/CS_URS_2022_02/764004863</t>
  </si>
  <si>
    <t>5*15</t>
  </si>
  <si>
    <t>67</t>
  </si>
  <si>
    <t>764508131</t>
  </si>
  <si>
    <t>Montáž svodu kruhového, průměru svodu</t>
  </si>
  <si>
    <t>-967655191</t>
  </si>
  <si>
    <t>https://podminky.urs.cz/item/CS_URS_2022_02/764508131</t>
  </si>
  <si>
    <t>6*20 "provizorní odvodnění střešní konstrukce po dobu stavebních prací</t>
  </si>
  <si>
    <t>68</t>
  </si>
  <si>
    <t>28611281</t>
  </si>
  <si>
    <t>trubka drenážní systému budov neperforovaná flexibilní tyčová PVC-U DN 125 SN4 2,5m</t>
  </si>
  <si>
    <t>1747454722</t>
  </si>
  <si>
    <t>120*1,1 'Přepočtené koeficientem množství</t>
  </si>
  <si>
    <t>765</t>
  </si>
  <si>
    <t>Krytina skládaná</t>
  </si>
  <si>
    <t>69</t>
  </si>
  <si>
    <t>765111801</t>
  </si>
  <si>
    <t>Demontáž krytiny keramické drážkové, sklonu do 30° na sucho do suti</t>
  </si>
  <si>
    <t>-2048372472</t>
  </si>
  <si>
    <t>https://podminky.urs.cz/item/CS_URS_2022_02/765111801</t>
  </si>
  <si>
    <t>70</t>
  </si>
  <si>
    <t>765111811</t>
  </si>
  <si>
    <t>Demontáž krytiny keramické Příplatek k cenám za sklon přes 30° do suti</t>
  </si>
  <si>
    <t>2008437839</t>
  </si>
  <si>
    <t>https://podminky.urs.cz/item/CS_URS_2022_02/765111811</t>
  </si>
  <si>
    <t>71</t>
  </si>
  <si>
    <t>765111861</t>
  </si>
  <si>
    <t>Demontáž krytiny keramické hřebenů a nároží, sklonu do 30° z hřebenáčů na sucho do suti</t>
  </si>
  <si>
    <t>-1528780971</t>
  </si>
  <si>
    <t>https://podminky.urs.cz/item/CS_URS_2022_02/765111861</t>
  </si>
  <si>
    <t>7,75+26,7+5,3+5,6+(7,8+7,8+8,2+7,4+7,4+8,3+9+9)*1,3</t>
  </si>
  <si>
    <t>72</t>
  </si>
  <si>
    <t>765111881</t>
  </si>
  <si>
    <t>-1788855742</t>
  </si>
  <si>
    <t>https://podminky.urs.cz/item/CS_URS_2022_02/765111881</t>
  </si>
  <si>
    <t>73</t>
  </si>
  <si>
    <t>765192001</t>
  </si>
  <si>
    <t>Nouzové zakrytí střechy plachtou</t>
  </si>
  <si>
    <t>1092027311</t>
  </si>
  <si>
    <t>https://podminky.urs.cz/item/CS_URS_2022_02/765192001</t>
  </si>
  <si>
    <t>766</t>
  </si>
  <si>
    <t>Konstrukce truhlářské</t>
  </si>
  <si>
    <t>74</t>
  </si>
  <si>
    <t>766441812</t>
  </si>
  <si>
    <t>Demontáž parapetních desek dřevěných nebo plastových šířky přes 300 mm, délky do 1000 mm</t>
  </si>
  <si>
    <t>1238200780</t>
  </si>
  <si>
    <t>https://podminky.urs.cz/item/CS_URS_2022_02/766441812</t>
  </si>
  <si>
    <t>1 "okno viz. výkres D.1.1.4 - §4</t>
  </si>
  <si>
    <t>1 "okno viz. výkres D.1.1.4 - §7</t>
  </si>
  <si>
    <t>75</t>
  </si>
  <si>
    <t>766441822</t>
  </si>
  <si>
    <t>Demontáž parapetních desek dřevěných nebo plastových šířky přes 300 mm, délky přes 1000 do 2000 mm</t>
  </si>
  <si>
    <t>709167671</t>
  </si>
  <si>
    <t>https://podminky.urs.cz/item/CS_URS_2022_02/766441822</t>
  </si>
  <si>
    <t>1 "štítové okno pohled východní</t>
  </si>
  <si>
    <t>76</t>
  </si>
  <si>
    <t>766674811</t>
  </si>
  <si>
    <t>Demontáž střešních oken na krytině hladké a drážkové, sklonu přes 30 do 45°</t>
  </si>
  <si>
    <t>448281465</t>
  </si>
  <si>
    <t>https://podminky.urs.cz/item/CS_URS_2022_02/766674811</t>
  </si>
  <si>
    <t>16 "stávajících střešních oken</t>
  </si>
  <si>
    <t>771</t>
  </si>
  <si>
    <t>Podlahy z dlaždic</t>
  </si>
  <si>
    <t>77</t>
  </si>
  <si>
    <t>771573810</t>
  </si>
  <si>
    <t>Demontáž podlah z dlaždic keramických lepených</t>
  </si>
  <si>
    <t>1601301416</t>
  </si>
  <si>
    <t>https://podminky.urs.cz/item/CS_URS_2022_02/771573810</t>
  </si>
  <si>
    <t>27,5 "prostor kotelny</t>
  </si>
  <si>
    <t>VRN</t>
  </si>
  <si>
    <t>VRN9</t>
  </si>
  <si>
    <t>Ostatní náklady</t>
  </si>
  <si>
    <t>78</t>
  </si>
  <si>
    <t>094103000</t>
  </si>
  <si>
    <t>Náklady na plánované vyklizení objektu</t>
  </si>
  <si>
    <t>1024</t>
  </si>
  <si>
    <t>-989048519</t>
  </si>
  <si>
    <t>https://podminky.urs.cz/item/CS_URS_2022_02/094103000</t>
  </si>
  <si>
    <t>02 - Nové konstrukce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</si>
  <si>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</si>
  <si>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</si>
  <si>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</si>
  <si>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</si>
  <si>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</si>
  <si>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</si>
  <si>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</si>
  <si>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</si>
  <si>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741 - Elektroinstalace</t>
  </si>
  <si>
    <t xml:space="preserve">    763 - Konstrukce suché výstavby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</si>
  <si>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</si>
  <si>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</si>
  <si>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</si>
  <si>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</si>
  <si>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</si>
  <si>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</si>
  <si>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</si>
  <si>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</si>
  <si>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</si>
  <si>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OST - Ostatní</t>
  </si>
  <si>
    <t>Zakládání</t>
  </si>
  <si>
    <t>181912112</t>
  </si>
  <si>
    <t>Úprava pláně vyrovnáním výškových rozdílů ručně v hornině třídy těžitelnosti I skupiny 3 se zhutněním</t>
  </si>
  <si>
    <t>403699261</t>
  </si>
  <si>
    <t>https://podminky.urs.cz/item/CS_URS_2022_02/181912112</t>
  </si>
  <si>
    <t>6*2,608 "skladba P2b</t>
  </si>
  <si>
    <t>273321511</t>
  </si>
  <si>
    <t>Základy z betonu železového (bez výztuže) desky z betonu bez zvláštních nároků na prostředí tř. C 25/30</t>
  </si>
  <si>
    <t>-700131501</t>
  </si>
  <si>
    <t>https://podminky.urs.cz/item/CS_URS_2022_02/273321511</t>
  </si>
  <si>
    <t>6*2,608*0,15 "skladba P2b</t>
  </si>
  <si>
    <t>273351121</t>
  </si>
  <si>
    <t>Bednění základů desek zřízení</t>
  </si>
  <si>
    <t>-568951140</t>
  </si>
  <si>
    <t>https://podminky.urs.cz/item/CS_URS_2022_02/273351121</t>
  </si>
  <si>
    <t>2,608*0,3 "podkladní betonová deska</t>
  </si>
  <si>
    <t>273351122</t>
  </si>
  <si>
    <t>Bednění základů desek odstranění</t>
  </si>
  <si>
    <t>-365010528</t>
  </si>
  <si>
    <t>https://podminky.urs.cz/item/CS_URS_2022_02/273351122</t>
  </si>
  <si>
    <t>273362021</t>
  </si>
  <si>
    <t>Výztuž základů desek ze svařovaných sítí z drátů typu KARI</t>
  </si>
  <si>
    <t>256339637</t>
  </si>
  <si>
    <t>https://podminky.urs.cz/item/CS_URS_2022_02/273362021</t>
  </si>
  <si>
    <t>procento vyztužení 90 kg/m3</t>
  </si>
  <si>
    <t>6*2,608*0,15*90/1000 "skladba P2b</t>
  </si>
  <si>
    <t>274321411</t>
  </si>
  <si>
    <t>Základy z betonu železového (bez výztuže) pasy z betonu bez zvláštních nároků na prostředí tř. C 20/25</t>
  </si>
  <si>
    <t>307682379</t>
  </si>
  <si>
    <t>https://podminky.urs.cz/item/CS_URS_2022_02/274321411</t>
  </si>
  <si>
    <t>1,2*0,6*2,608 "základ stěny u schodiště</t>
  </si>
  <si>
    <t>0,5*0,55*2,608 "pod nastupní rameno schodiště</t>
  </si>
  <si>
    <t>274351121</t>
  </si>
  <si>
    <t>Bednění základů pasů rovné zřízení</t>
  </si>
  <si>
    <t>-678151488</t>
  </si>
  <si>
    <t>https://podminky.urs.cz/item/CS_URS_2022_02/274351121</t>
  </si>
  <si>
    <t>0,7*2*2,608 "pod nastupní rameno schodiště</t>
  </si>
  <si>
    <t>274351122</t>
  </si>
  <si>
    <t>Bednění základů pasů rovné odstranění</t>
  </si>
  <si>
    <t>133867349</t>
  </si>
  <si>
    <t>https://podminky.urs.cz/item/CS_URS_2022_02/274351122</t>
  </si>
  <si>
    <t>274361821</t>
  </si>
  <si>
    <t>Výztuž základů pasů z betonářské oceli 10 505 (R) nebo BSt 500</t>
  </si>
  <si>
    <t>-1746730107</t>
  </si>
  <si>
    <t>https://podminky.urs.cz/item/CS_URS_2022_02/274361821</t>
  </si>
  <si>
    <t>procento vyztužení 120 kg/m3</t>
  </si>
  <si>
    <t>1,2*0,6*2,608*120/1000 "základ stěny u schodiště</t>
  </si>
  <si>
    <t>0,5*0,55*2,608*120/1000 "pod nastupní rameno schodiště</t>
  </si>
  <si>
    <t>Svislé a kompletní konstrukce</t>
  </si>
  <si>
    <t>311234051</t>
  </si>
  <si>
    <t>Zdivo jednovrstvé z cihel děrovaných nebroušených klasických spojených na pero a drážku na maltu M5, pevnost cihel do P10, tl. zdiva 300 mm</t>
  </si>
  <si>
    <t>-488479507</t>
  </si>
  <si>
    <t>https://podminky.urs.cz/item/CS_URS_2022_02/311234051</t>
  </si>
  <si>
    <t>(3,15+3,15)*3,8-0,9*1,97*2 "stěna u WC</t>
  </si>
  <si>
    <t>311234111</t>
  </si>
  <si>
    <t>Zdivo jednovrstvé z cihel děrovaných nebroušených klasických spojených na pero a drážku na maltu M5, pevnost cihel do P10, tl. zdiva 440 mm</t>
  </si>
  <si>
    <t>520379542</t>
  </si>
  <si>
    <t>https://podminky.urs.cz/item/CS_URS_2022_02/311234111</t>
  </si>
  <si>
    <t>1,8*3,8-1*1,97 "u vystupu z únikového schodiště ve 4.NP</t>
  </si>
  <si>
    <t>311236101</t>
  </si>
  <si>
    <t>Zdivo jednovrstvé zvukově izolační z cihel děrovaných spojených na pero a drážku na maltu cementovou M10, pevnost cihel do P15, tl. zdiva 190 mm</t>
  </si>
  <si>
    <t>-1577867142</t>
  </si>
  <si>
    <t>https://podminky.urs.cz/item/CS_URS_2022_02/311236101</t>
  </si>
  <si>
    <t>(9,3+20,22+0,68+3,2+7,75)*3,8-0,9*1,97*4 "vnitřní stěna mezi chodbou a učebnami</t>
  </si>
  <si>
    <t>311238803</t>
  </si>
  <si>
    <t>Zdivo jednovrstvé tepelně izolační z cihel děrovaných broušených s integrovanou izolací z expandovaného (samozhášivého) polystyrenu na tenkovrstvou maltu, součinitel prostupu tepla U do 0,14, pevnost cihel P8, tl. zdiva 440 mm</t>
  </si>
  <si>
    <t>-1748873073</t>
  </si>
  <si>
    <t>https://podminky.urs.cz/item/CS_URS_2022_02/311238803</t>
  </si>
  <si>
    <t>2,6*17,9+25*2-1,2*2,4*3-1,2*2,1 "stěny únikové schodiště</t>
  </si>
  <si>
    <t>317168052</t>
  </si>
  <si>
    <t>Překlady keramické vysoké osazené do maltového lože, šířky překladu 70 mm výšky 238 mm, délky 1250 mm</t>
  </si>
  <si>
    <t>955772469</t>
  </si>
  <si>
    <t>https://podminky.urs.cz/item/CS_URS_2022_02/317168052</t>
  </si>
  <si>
    <t>4 "do m.č. 4.02</t>
  </si>
  <si>
    <t>3 "do m.č. 4.03</t>
  </si>
  <si>
    <t>2*4 "z místnostní do chodby 4.01</t>
  </si>
  <si>
    <t>317168053</t>
  </si>
  <si>
    <t>Překlady keramické vysoké osazené do maltového lože, šířky překladu 70 mm výšky 238 mm, délky 1500 mm</t>
  </si>
  <si>
    <t>-671656012</t>
  </si>
  <si>
    <t>https://podminky.urs.cz/item/CS_URS_2022_02/317168053</t>
  </si>
  <si>
    <t>4*5 "překlady nad okna a dveře na schodišti</t>
  </si>
  <si>
    <t>6 "překlad nad vstupními dvermi ze schodiště do 4.NP</t>
  </si>
  <si>
    <t>317168056</t>
  </si>
  <si>
    <t>Překlady keramické vysoké osazené do maltového lože, šířky překladu 70 mm výšky 238 mm, délky 2250 mm</t>
  </si>
  <si>
    <t>1093973920</t>
  </si>
  <si>
    <t>https://podminky.urs.cz/item/CS_URS_2022_02/317168056</t>
  </si>
  <si>
    <t>5 "nad štítové okno</t>
  </si>
  <si>
    <t>317234410</t>
  </si>
  <si>
    <t>Vyzdívka mezi nosníky cihlami pálenými na maltu cementovou</t>
  </si>
  <si>
    <t>-1796851262</t>
  </si>
  <si>
    <t>https://podminky.urs.cz/item/CS_URS_2022_02/317234410</t>
  </si>
  <si>
    <t>0,6*0,35*1,4*25 "kolem ocelových stojek po obvodu budovy</t>
  </si>
  <si>
    <t>7*2*0,3*0,25*0,3 "kapsa pro IPE nosníky §8 viz. výkres bourané kce</t>
  </si>
  <si>
    <t>(11*4+10*4+22*4+14*4+22*4+11*2+10*4)*0,3*0,2*0,2 "pro vložení STEICO příložek</t>
  </si>
  <si>
    <t>317998143</t>
  </si>
  <si>
    <t>Izolace tepelná mezi překlady z extrudovaného polystyrenu jakékoliv výšky, tloušťky 80 mm</t>
  </si>
  <si>
    <t>-1332604832</t>
  </si>
  <si>
    <t>https://podminky.urs.cz/item/CS_URS_2022_02/317998143</t>
  </si>
  <si>
    <t>2,6*3+(2,6+10+10) "věnec únikové schodiště</t>
  </si>
  <si>
    <t>Vodorovné konstrukce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</si>
  <si>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</si>
  <si>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</si>
  <si>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-1074388239</t>
  </si>
  <si>
    <t>https://podminky.urs.cz/item/CS_URS_2022_02/411121232</t>
  </si>
  <si>
    <t>27 "D1</t>
  </si>
  <si>
    <t>28 "D2</t>
  </si>
  <si>
    <t>77 "D3</t>
  </si>
  <si>
    <t>9 "D4</t>
  </si>
  <si>
    <t>59341218</t>
  </si>
  <si>
    <t>deska stropní plná PZD 1200x300x90mm</t>
  </si>
  <si>
    <t>1598244809</t>
  </si>
  <si>
    <t>5934121x</t>
  </si>
  <si>
    <t>deska stropní plná PZD 1400x300x90mm</t>
  </si>
  <si>
    <t>-465528372</t>
  </si>
  <si>
    <t>5934121y</t>
  </si>
  <si>
    <t>deska stropní plná PZD 1600x300x90mm</t>
  </si>
  <si>
    <t>-67511668</t>
  </si>
  <si>
    <t>5934122x</t>
  </si>
  <si>
    <t>deska stropní plná PZD 1700x300x90mm</t>
  </si>
  <si>
    <t>1002674260</t>
  </si>
  <si>
    <t>417321515</t>
  </si>
  <si>
    <t>Ztužující pásy a věnce z betonu železového (bez výztuže) tř. C 25/30</t>
  </si>
  <si>
    <t>-349986105</t>
  </si>
  <si>
    <t>https://podminky.urs.cz/item/CS_URS_2022_02/417321515</t>
  </si>
  <si>
    <t>0,3*0,25*2,6*3+0,3*0,25*(2,6+10+10) "stěna únikové schodiště</t>
  </si>
  <si>
    <t>0,35*0,2*25 "výklenku pro patku ocelové konstrukce</t>
  </si>
  <si>
    <t>0,25*0,45*7 "nad vstupními dvermi ve 4.NP řez A-A</t>
  </si>
  <si>
    <t>417351115</t>
  </si>
  <si>
    <t>Bednění bočnic ztužujících pásů a věnců včetně vzpěr zřízení</t>
  </si>
  <si>
    <t>-1183586229</t>
  </si>
  <si>
    <t>https://podminky.urs.cz/item/CS_URS_2022_02/417351115</t>
  </si>
  <si>
    <t>0,4*2,6*2*3+0,4*(2,6+10+10)*2 "stěna únikové schodiště</t>
  </si>
  <si>
    <t>0,5*0,3*25 "výklenku pro patku ocelové konstrukce</t>
  </si>
  <si>
    <t>0,4*2*7 "nad vstupními dvermi ve 4.NP řez A-A</t>
  </si>
  <si>
    <t>417351116</t>
  </si>
  <si>
    <t>Bednění bočnic ztužujících pásů a věnců včetně vzpěr odstranění</t>
  </si>
  <si>
    <t>-1214237080</t>
  </si>
  <si>
    <t>https://podminky.urs.cz/item/CS_URS_2022_02/417351116</t>
  </si>
  <si>
    <t>417361821</t>
  </si>
  <si>
    <t>Výztuž ztužujících pásů a věnců z betonářské oceli 10 505 (R) nebo BSt 500</t>
  </si>
  <si>
    <t>-1101589345</t>
  </si>
  <si>
    <t>https://podminky.urs.cz/item/CS_URS_2022_02/417361821</t>
  </si>
  <si>
    <t>procento vyztužení 110 kg/m3</t>
  </si>
  <si>
    <t>(0,3*0,25*2,6*3+0,3*0,25*(2,6+10+10))*110/1000 "stěna únikové schodiště</t>
  </si>
  <si>
    <t>0,35*0,2*25*110/1000 "výklenku pro patku ocelové konstrukce</t>
  </si>
  <si>
    <t>0,25*0,45*7*110/1000 "nad vstupními dvermi ve 4.NP řez A-A</t>
  </si>
  <si>
    <t>430321212</t>
  </si>
  <si>
    <t>Schodišťové konstrukce a rampy z betonu železového (bez výztuže) stupně, schodnice, ramena, podesty s nosníky tř. C 12/15</t>
  </si>
  <si>
    <t>-578016229</t>
  </si>
  <si>
    <t>https://podminky.urs.cz/item/CS_URS_2022_02/430321212</t>
  </si>
  <si>
    <t>0,39*1,3+0,44*1,3*5+0,76*1,3 "vnitřní schodiště</t>
  </si>
  <si>
    <t>430361821</t>
  </si>
  <si>
    <t>Výztuž schodišťových konstrukcí a ramp stupňů, schodnic, ramen, podest s nosníky z betonářské oceli 10 505 (R) nebo BSt 500</t>
  </si>
  <si>
    <t>-738466437</t>
  </si>
  <si>
    <t>https://podminky.urs.cz/item/CS_URS_2022_02/430361821</t>
  </si>
  <si>
    <t>procento vyztužení 150 kg/m3</t>
  </si>
  <si>
    <t>(0,39*1,3+0,44*1,3*5+0,76*1,3)*150/1000 "vnitřní schodiště</t>
  </si>
  <si>
    <t>434351141</t>
  </si>
  <si>
    <t>Bednění stupňů betonovaných na podstupňové desce nebo na terénu půdorysně přímočarých zřízení</t>
  </si>
  <si>
    <t>1281479870</t>
  </si>
  <si>
    <t>https://podminky.urs.cz/item/CS_URS_2022_02/434351141</t>
  </si>
  <si>
    <t>0,186*1,3*10+0,186*1,3*11*5+0,186*1,3*12 "vnitřní schodiště</t>
  </si>
  <si>
    <t>434351142</t>
  </si>
  <si>
    <t>Bednění stupňů betonovaných na podstupňové desce nebo na terénu půdorysně přímočarých odstranění</t>
  </si>
  <si>
    <t>950049948</t>
  </si>
  <si>
    <t>https://podminky.urs.cz/item/CS_URS_2022_02/434351142</t>
  </si>
  <si>
    <t>Komunikace pozemní</t>
  </si>
  <si>
    <t>564760001</t>
  </si>
  <si>
    <t>Podklad nebo kryt z kameniva hrubého drceného vel. 8-16 mm s rozprostřením a zhutněním plochy jednotlivě do 100 m2, po zhutnění tl. 200 mm</t>
  </si>
  <si>
    <t>433122331</t>
  </si>
  <si>
    <t>https://podminky.urs.cz/item/CS_URS_2022_02/564760001</t>
  </si>
  <si>
    <t>1 "pod zpětné položení původní zámkové dlažby vybrané v prostoru schodiště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</si>
  <si>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</si>
  <si>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</si>
  <si>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-1139450665</t>
  </si>
  <si>
    <t>https://podminky.urs.cz/item/CS_URS_2022_02/596211110</t>
  </si>
  <si>
    <t>1 "zpětné doložení původní zámkové dlažby vybrané v prostoru schodiště</t>
  </si>
  <si>
    <t>59245015</t>
  </si>
  <si>
    <t>dlažba zámková tvaru I 200x165x60mm přírodní</t>
  </si>
  <si>
    <t>816963684</t>
  </si>
  <si>
    <t>1*1,1 'Přepočtené koeficientem množství</t>
  </si>
  <si>
    <t>Úpravy povrchů, podlahy a osazování výplní</t>
  </si>
  <si>
    <t>612131121</t>
  </si>
  <si>
    <t>Podkladní a spojovací vrstva vnitřních omítaných ploch penetrace disperzní nanášená ručně stěn</t>
  </si>
  <si>
    <t>1964756911</t>
  </si>
  <si>
    <t>https://podminky.urs.cz/item/CS_URS_2022_02/612131121</t>
  </si>
  <si>
    <t>(9,3+20,22+0,68+3,2+7,75)*3,8*2 "vnitřní stěna mezi chodbou a učebnami</t>
  </si>
  <si>
    <t>(3,15+3,15)*3,8 "vstupní stěna na WC</t>
  </si>
  <si>
    <t>2,6*17,9+25*2 "stěny únikové schodiště</t>
  </si>
  <si>
    <t>1,8*3,8*2 "u vystupu z únikového schodiště ve 4.NP</t>
  </si>
  <si>
    <t>(6+2,61+6)*15,1 "po otlučeni vnější omítku prortoru budoucího únikového schodiště</t>
  </si>
  <si>
    <t>612321141</t>
  </si>
  <si>
    <t>Omítka vápenocementová vnitřních ploch nanášená ručně dvouvrstvá, tloušťky jádrové omítky do 10 mm a tloušťky štuku do 3 mm štuková svislých konstrukcí stěn</t>
  </si>
  <si>
    <t>2036474811</t>
  </si>
  <si>
    <t>https://podminky.urs.cz/item/CS_URS_2022_02/612321141</t>
  </si>
  <si>
    <t>612325302</t>
  </si>
  <si>
    <t>Vápenocementová omítka ostění nebo nadpraží štuková</t>
  </si>
  <si>
    <t>-715350832</t>
  </si>
  <si>
    <t>https://podminky.urs.cz/item/CS_URS_2022_02/612325302</t>
  </si>
  <si>
    <t>(1,85+1,35*2)*(0,3+0,3) "okno v 4.NP štítová stěna</t>
  </si>
  <si>
    <t>612325419</t>
  </si>
  <si>
    <t>Oprava vápenocementové omítky vnitřních ploch hladké, tloušťky do 20 mm, s celoplošným přeštukováním, tloušťky štuku 3 mm stěn, v rozsahu opravované plochy přes 30 do 50%</t>
  </si>
  <si>
    <t>1376443737</t>
  </si>
  <si>
    <t>https://podminky.urs.cz/item/CS_URS_2022_02/612325419</t>
  </si>
  <si>
    <t>(6,9+2+2+3,5+6,5+6,4)*3,8+(4,51+9,3+5,9)*1,5 "oprava stávajících stěn</t>
  </si>
  <si>
    <t>619996117</t>
  </si>
  <si>
    <t>Ochrana stavebních konstrukcí a samostatných prvků včetně pozdějšího odstranění obedněním z OSB desek podlahy</t>
  </si>
  <si>
    <t>-1007061115</t>
  </si>
  <si>
    <t>https://podminky.urs.cz/item/CS_URS_2022_02/619996117</t>
  </si>
  <si>
    <t>590 "ochrana podlahy 3.NP</t>
  </si>
  <si>
    <t>619996145</t>
  </si>
  <si>
    <t>Ochrana stavebních konstrukcí a samostatných prvků včetně pozdějšího odstranění obalením geotextilií samostatných konstrukcí a prvků</t>
  </si>
  <si>
    <t>-816736085</t>
  </si>
  <si>
    <t>https://podminky.urs.cz/item/CS_URS_2022_02/619996145</t>
  </si>
  <si>
    <t>621211012</t>
  </si>
  <si>
    <t>Montáž kontaktního zateplení lepením a mechanickým kotvením z polystyrenových desek na vnější podhledy, na podklad z pórobetonu, tloušťky desek přes 40 do 80 mm</t>
  </si>
  <si>
    <t>2094206980</t>
  </si>
  <si>
    <t>https://podminky.urs.cz/item/CS_URS_2022_02/621211012</t>
  </si>
  <si>
    <t>1,5 "skladba R3</t>
  </si>
  <si>
    <t>28376442</t>
  </si>
  <si>
    <t>deska XPS hrana rovná a strukturovaný povrch 300kPa tl 80mm</t>
  </si>
  <si>
    <t>-916455519</t>
  </si>
  <si>
    <t>1,5*1,1 'Přepočtené koeficientem množství</t>
  </si>
  <si>
    <t>622131121</t>
  </si>
  <si>
    <t>Podkladní a spojovací vrstva vnějších omítaných ploch penetrace nanášená ručně stěn</t>
  </si>
  <si>
    <t>825279477</t>
  </si>
  <si>
    <t>https://podminky.urs.cz/item/CS_URS_2022_02/622131121</t>
  </si>
  <si>
    <t>622142001</t>
  </si>
  <si>
    <t>Potažení vnějších ploch pletivem v ploše nebo pruzích, na plném podkladu sklovláknitým vtlačením do tmelu stěn</t>
  </si>
  <si>
    <t>-1334795828</t>
  </si>
  <si>
    <t>https://podminky.urs.cz/item/CS_URS_2022_02/622142001</t>
  </si>
  <si>
    <t>((1,2+2,4*2)*3+(1,2+2,1*2))*0,3 "ostění únikové schodiště</t>
  </si>
  <si>
    <t>1,2*3*0,3 "parapet únikové schodiště</t>
  </si>
  <si>
    <t>622151011</t>
  </si>
  <si>
    <t>Penetrační nátěr vnějších pastovitých tenkovrstvých omítek silikátový paropropustný stěn</t>
  </si>
  <si>
    <t>1584211964</t>
  </si>
  <si>
    <t>https://podminky.urs.cz/item/CS_URS_2022_02/622151011</t>
  </si>
  <si>
    <t>622221021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</si>
  <si>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</si>
  <si>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856507813</t>
  </si>
  <si>
    <t>https://podminky.urs.cz/item/CS_URS_2022_02/622221021</t>
  </si>
  <si>
    <t>63152264</t>
  </si>
  <si>
    <t>deska tepelně izolační minerální kontaktních fasád podélné vlákno λ=0,034 tl 120mm</t>
  </si>
  <si>
    <t>-1169164652</t>
  </si>
  <si>
    <t>85,38*1,05 'Přepočtené koeficientem množství</t>
  </si>
  <si>
    <t>622212051</t>
  </si>
  <si>
    <t>Montáž kontaktního zateplení vnějšího ostění, nadpraží nebo parapetu lepením z polystyrenových desek hloubky špalet přes 200 do 400 mm, tloušťky desek do 40 mm</t>
  </si>
  <si>
    <t>-1554358689</t>
  </si>
  <si>
    <t>https://podminky.urs.cz/item/CS_URS_2022_02/622212051</t>
  </si>
  <si>
    <t>(1,2+2,4*2)*3+(1,2+2,1*2) "ostění únikové schodiště</t>
  </si>
  <si>
    <t>1,2*3 "parapet únikové schodiště</t>
  </si>
  <si>
    <t>28375932</t>
  </si>
  <si>
    <t>deska EPS 70 fasádní λ=0,039 tl 40mm</t>
  </si>
  <si>
    <t>-2124590950</t>
  </si>
  <si>
    <t>7,02*1,1 'Přepočtené koeficientem množství</t>
  </si>
  <si>
    <t>28376439</t>
  </si>
  <si>
    <t>deska XPS hrana rovná a strukturovaný povrch 250kPa tl 40mm</t>
  </si>
  <si>
    <t>2063725904</t>
  </si>
  <si>
    <t>1,08*1,1 'Přepočtené koeficientem množství</t>
  </si>
  <si>
    <t>622252001</t>
  </si>
  <si>
    <t>Montáž profilů kontaktního zateplení zakládacích soklových připevněných hmoždinkami</t>
  </si>
  <si>
    <t>-350565556</t>
  </si>
  <si>
    <t>https://podminky.urs.cz/item/CS_URS_2022_02/622252001</t>
  </si>
  <si>
    <t>2,6-1,2+10+10</t>
  </si>
  <si>
    <t>59051649</t>
  </si>
  <si>
    <t>profil zakládací Al tl 0,7mm pro ETICS pro izolant tl 120mm</t>
  </si>
  <si>
    <t>1841433325</t>
  </si>
  <si>
    <t>21,4*1,05 'Přepočtené koeficientem množství</t>
  </si>
  <si>
    <t>622252002</t>
  </si>
  <si>
    <t>Montáž profilů kontaktního zateplení ostatních stěnových, dilatačních apod. lepených do tmelu</t>
  </si>
  <si>
    <t>251737411</t>
  </si>
  <si>
    <t>https://podminky.urs.cz/item/CS_URS_2022_02/622252002</t>
  </si>
  <si>
    <t>18,3+18,3+(1,2+2,4*2)*3+(1,2+2,1*2) "rohové lišty</t>
  </si>
  <si>
    <t>(1,2+2,4*2)*3+(1,2+2,1*2) "APU lišty</t>
  </si>
  <si>
    <t>59051486</t>
  </si>
  <si>
    <t>profil rohový PVC 15x15mm s výztužnou tkaninou š 100mm pro ETICS</t>
  </si>
  <si>
    <t>-1333986968</t>
  </si>
  <si>
    <t>60*1,05 'Přepočtené koeficientem množství</t>
  </si>
  <si>
    <t>59051476</t>
  </si>
  <si>
    <t>profil začišťovací PVC 9mm s výztužnou tkaninou pro ostění ETICS</t>
  </si>
  <si>
    <t>1745263839</t>
  </si>
  <si>
    <t>23,4*1,05 'Přepočtené koeficientem množství</t>
  </si>
  <si>
    <t>622326359</t>
  </si>
  <si>
    <t>Oprava vápenocementové omítky s celoplošným přeštukováním vnějších ploch stupně členitosti 2, v rozsahu opravované plochy přes 80 do 100%</t>
  </si>
  <si>
    <t>-1766876389</t>
  </si>
  <si>
    <t>https://podminky.urs.cz/item/CS_URS_2022_02/622326359</t>
  </si>
  <si>
    <t>622521012</t>
  </si>
  <si>
    <t>Omítka tenkovrstvá silikátová vnějších ploch probarvená bez penetrace zatíraná (škrábaná ), zrnitost 1,5 mm stěn</t>
  </si>
  <si>
    <t>2060394790</t>
  </si>
  <si>
    <t>https://podminky.urs.cz/item/CS_URS_2022_02/622521012</t>
  </si>
  <si>
    <t>629991011</t>
  </si>
  <si>
    <t>Zakrytí vnějších ploch před znečištěním včetně pozdějšího odkrytí výplní otvorů a svislých ploch fólií přilepenou lepící páskou</t>
  </si>
  <si>
    <t>354398133</t>
  </si>
  <si>
    <t>https://podminky.urs.cz/item/CS_URS_2022_02/629991011</t>
  </si>
  <si>
    <t>1,2*2,4*3+1,2*2,1 "okna schodišťová stěna</t>
  </si>
  <si>
    <t>631311113</t>
  </si>
  <si>
    <t>Mazanina z betonu prostého bez zvýšených nároků na prostředí tl. přes 50 do 80 mm tř. C 12/15</t>
  </si>
  <si>
    <t>-950844504</t>
  </si>
  <si>
    <t>https://podminky.urs.cz/item/CS_URS_2022_02/631311113</t>
  </si>
  <si>
    <t>(2,6*1,3*3+2,6*1,5*3)*0,08 "skladba P2a</t>
  </si>
  <si>
    <t>631311114</t>
  </si>
  <si>
    <t>Mazanina z betonu prostého bez zvýšených nároků na prostředí tl. přes 50 do 80 mm tř. C 16/20</t>
  </si>
  <si>
    <t>1378634149</t>
  </si>
  <si>
    <t>https://podminky.urs.cz/item/CS_URS_2022_02/631311114</t>
  </si>
  <si>
    <t>6*2,608*0,05 "skladba P2b</t>
  </si>
  <si>
    <t>631319011</t>
  </si>
  <si>
    <t>Příplatek k cenám mazanin za úpravu povrchu mazaniny přehlazením, mazanina tl. přes 50 do 80 mm</t>
  </si>
  <si>
    <t>115774492</t>
  </si>
  <si>
    <t>https://podminky.urs.cz/item/CS_URS_2022_02/631319011</t>
  </si>
  <si>
    <t>631319171</t>
  </si>
  <si>
    <t>Příplatek k cenám mazanin za stržení povrchu spodní vrstvy mazaniny latí před vložením výztuže nebo pletiva pro tl. obou vrstev mazaniny přes 50 do 80 mm</t>
  </si>
  <si>
    <t>-1708487518</t>
  </si>
  <si>
    <t>https://podminky.urs.cz/item/CS_URS_2022_02/631319171</t>
  </si>
  <si>
    <t>631362021</t>
  </si>
  <si>
    <t>Výztuž mazanin ze svařovaných sítí z drátů typu KARI</t>
  </si>
  <si>
    <t>2117990082</t>
  </si>
  <si>
    <t>https://podminky.urs.cz/item/CS_URS_2022_02/631362021</t>
  </si>
  <si>
    <t>6*2,608*0,05*90/1000 "skladba P2b</t>
  </si>
  <si>
    <t>(2,6*1,3*3+2,6*1,5*3)*0,08*90/1000 "skladba P2a</t>
  </si>
  <si>
    <t>634112113</t>
  </si>
  <si>
    <t>Obvodová dilatace mezi stěnou a mazaninou nebo potěrem podlahovým páskem z pěnového PE tl. do 10 mm, výšky 80 mm</t>
  </si>
  <si>
    <t>-1148224805</t>
  </si>
  <si>
    <t>https://podminky.urs.cz/item/CS_URS_2022_02/634112113</t>
  </si>
  <si>
    <t>6*2+2,608*2 "skladba P2b</t>
  </si>
  <si>
    <t>(2,6+1,3*2)*3+(2,6+1,5*2)*3 "skladba P2a</t>
  </si>
  <si>
    <t>941211111</t>
  </si>
  <si>
    <t>Montáž lešení řadového rámového lehkého pracovního s podlahami s provozním zatížením tř. 3 do 200 kg/m2 šířky tř. SW06 od 0,6 do 0,9 m, výšky do 10 m</t>
  </si>
  <si>
    <t>-1022570153</t>
  </si>
  <si>
    <t>https://podminky.urs.cz/item/CS_URS_2022_02/941211111</t>
  </si>
  <si>
    <t>(12+20+40+22+12+15+6+6)*2 "po obvodu objektu</t>
  </si>
  <si>
    <t>941211112</t>
  </si>
  <si>
    <t>Montáž lešení řadového rámového lehkého pracovního s podlahami s provozním zatížením tř. 3 do 200 kg/m2 šířky tř. SW06 od 0,6 do 0,9 m, výšky přes 10 do 25 m</t>
  </si>
  <si>
    <t>-1481609071</t>
  </si>
  <si>
    <t>https://podminky.urs.cz/item/CS_URS_2022_02/941211112</t>
  </si>
  <si>
    <t>4*20+10*2 "stěna schodiště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</si>
  <si>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</si>
  <si>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</si>
  <si>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-1800288325</t>
  </si>
  <si>
    <t>https://podminky.urs.cz/item/CS_URS_2022_02/941211211</t>
  </si>
  <si>
    <t>(4*20+10*2)*60 "stěna schodiště</t>
  </si>
  <si>
    <t>(12+20+40+22+12+15+6+6)*2*150 "po obvodu objektu</t>
  </si>
  <si>
    <t>941211811</t>
  </si>
  <si>
    <t>Demontáž lešení řadového rámového lehkého pracovního s provozním zatížením tř. 3 do 200 kg/m2 šířky tř. SW06 od 0,6 do 0,9 m, výšky do 10 m</t>
  </si>
  <si>
    <t>-854458262</t>
  </si>
  <si>
    <t>https://podminky.urs.cz/item/CS_URS_2022_02/941211811</t>
  </si>
  <si>
    <t>941211812</t>
  </si>
  <si>
    <t>Demontáž lešení řadového rámového lehkého pracovního s provozním zatížením tř. 3 do 200 kg/m2 šířky tř. SW06 od 0,6 do 0,9 m, výšky přes 10 do 25 m</t>
  </si>
  <si>
    <t>-1925732689</t>
  </si>
  <si>
    <t>https://podminky.urs.cz/item/CS_URS_2022_02/941211812</t>
  </si>
  <si>
    <t>942322111</t>
  </si>
  <si>
    <t>Montáž konzol pro založení lešení osazených na stěně lehkých s jednou úrovní pracovní podlahy šířky tř. SW06 přes 0,6 do 0,9 m s možností přitížení lešením výšky do 10 m</t>
  </si>
  <si>
    <t>-850488164</t>
  </si>
  <si>
    <t>https://podminky.urs.cz/item/CS_URS_2022_02/942322111</t>
  </si>
  <si>
    <t>12+20+40+22+12+15+6+6 "po obvodu objektu</t>
  </si>
  <si>
    <t>942322211</t>
  </si>
  <si>
    <t>Montáž konzol pro založení lešení Příplatek za první a každý další den použití lešení k ceně -2111</t>
  </si>
  <si>
    <t>-1821315336</t>
  </si>
  <si>
    <t>https://podminky.urs.cz/item/CS_URS_2022_02/942322211</t>
  </si>
  <si>
    <t>133*150 'Přepočtené koeficientem množství</t>
  </si>
  <si>
    <t>942322811</t>
  </si>
  <si>
    <t>Demontáž konzol pro založení lešení osazených na stěně lehkých s jednou úrovní pracovní podlahy šířky tř. SW06 přes 0,6 do 0,9 m s možností přitížení lešením výšky do 10 m</t>
  </si>
  <si>
    <t>1231908790</t>
  </si>
  <si>
    <t>https://podminky.urs.cz/item/CS_URS_2022_02/942322811</t>
  </si>
  <si>
    <t>945421112</t>
  </si>
  <si>
    <t>Hydraulická zvedací plošina včetně obsluhy instalovaná na automobilovém podvozku, výšky zdvihu do 34 m</t>
  </si>
  <si>
    <t>hod</t>
  </si>
  <si>
    <t>-1553092647</t>
  </si>
  <si>
    <t>https://podminky.urs.cz/item/CS_URS_2022_02/945421112</t>
  </si>
  <si>
    <t>150 "pro opravné práce na fasádě a při montáži okapové hrany střechy</t>
  </si>
  <si>
    <t>949101112</t>
  </si>
  <si>
    <t>Lešení pomocné pracovní pro objekty pozemních staveb pro zatížení do 150 kg/m2, o výšce lešeňové podlahy přes 1,9 do 3,5 m</t>
  </si>
  <si>
    <t>1742905609</t>
  </si>
  <si>
    <t>https://podminky.urs.cz/item/CS_URS_2022_02/949101112</t>
  </si>
  <si>
    <t>92+8,98+9,14+4,14+1,62+19,95+17,25+54,42+55,34+59,42+43,34+65,08+30,83+14,87+4,87 "plocha 4.NP</t>
  </si>
  <si>
    <t>952901111</t>
  </si>
  <si>
    <t>Vyčištění budov nebo objektů před předáním do užívání budov bytové nebo občanské výstavby, světlé výšky podlaží do 4 m</t>
  </si>
  <si>
    <t>-1549422170</t>
  </si>
  <si>
    <t>https://podminky.urs.cz/item/CS_URS_2022_02/952901111</t>
  </si>
  <si>
    <t>360</t>
  </si>
  <si>
    <t>953943211</t>
  </si>
  <si>
    <t>Osazování drobných kovových předmětů kotvených do stěny hasicího přístroje</t>
  </si>
  <si>
    <t>355194835</t>
  </si>
  <si>
    <t>https://podminky.urs.cz/item/CS_URS_2022_02/953943211</t>
  </si>
  <si>
    <t>361</t>
  </si>
  <si>
    <t>44932114</t>
  </si>
  <si>
    <t>přístroj hasicí ruční práškový PG 6 LE</t>
  </si>
  <si>
    <t>-348365579</t>
  </si>
  <si>
    <t>81</t>
  </si>
  <si>
    <t>953961114</t>
  </si>
  <si>
    <t>Kotvy chemické s vyvrtáním otvoru do betonu, železobetonu nebo tvrdého kamene tmel, velikost M 16, hloubka 125 mm</t>
  </si>
  <si>
    <t>-1717254958</t>
  </si>
  <si>
    <t>https://podminky.urs.cz/item/CS_URS_2022_02/953961114</t>
  </si>
  <si>
    <t>25*2 "patky ocelové konstrukce</t>
  </si>
  <si>
    <t>82</t>
  </si>
  <si>
    <t>953965133</t>
  </si>
  <si>
    <t>Kotvy chemické s vyvrtáním otvoru kotevní šrouby pro chemické kotvy, velikost M 16, délka 300 mm</t>
  </si>
  <si>
    <t>-1649899472</t>
  </si>
  <si>
    <t>https://podminky.urs.cz/item/CS_URS_2022_02/953965133</t>
  </si>
  <si>
    <t>83</t>
  </si>
  <si>
    <t>973031325</t>
  </si>
  <si>
    <t>Vysekání výklenků nebo kapes ve zdivu z cihel na maltu vápennou nebo vápenocementovou kapes, plochy do 0,10 m2, hl. do 300 mm</t>
  </si>
  <si>
    <t>1342912891</t>
  </si>
  <si>
    <t>https://podminky.urs.cz/item/CS_URS_2022_02/973031325</t>
  </si>
  <si>
    <t>11*4+10*4+22*4+14*4+22*4+11*2+10*4 "pro vložení STEICO příložek</t>
  </si>
  <si>
    <t>84</t>
  </si>
  <si>
    <t>9-spec.01</t>
  </si>
  <si>
    <t>Ochranná konstrukce nad hlavním vstupem do objektu po dobu stavebních prací vč. demontáže</t>
  </si>
  <si>
    <t>936107364</t>
  </si>
  <si>
    <t>85</t>
  </si>
  <si>
    <t>284254817</t>
  </si>
  <si>
    <t>86</t>
  </si>
  <si>
    <t>-2009726248</t>
  </si>
  <si>
    <t>87</t>
  </si>
  <si>
    <t>1679363224</t>
  </si>
  <si>
    <t>24,698*19 'Přepočtené koeficientem množství</t>
  </si>
  <si>
    <t>88</t>
  </si>
  <si>
    <t>-1006231082</t>
  </si>
  <si>
    <t>998</t>
  </si>
  <si>
    <t>Přesun hmot</t>
  </si>
  <si>
    <t>89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</si>
  <si>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</si>
  <si>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</si>
  <si>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-1118900591</t>
  </si>
  <si>
    <t>https://podminky.urs.cz/item/CS_URS_2022_02/998017003</t>
  </si>
  <si>
    <t>711</t>
  </si>
  <si>
    <t>Izolace proti vodě, vlhkosti a plynům</t>
  </si>
  <si>
    <t>90</t>
  </si>
  <si>
    <t>711111002</t>
  </si>
  <si>
    <t>Provedení izolace proti zemní vlhkosti natěradly a tmely za studena na ploše vodorovné V nátěrem lakem asfaltovým</t>
  </si>
  <si>
    <t>-592600599</t>
  </si>
  <si>
    <t>https://podminky.urs.cz/item/CS_URS_2022_02/711111002</t>
  </si>
  <si>
    <t>91</t>
  </si>
  <si>
    <t>11163152</t>
  </si>
  <si>
    <t>lak hydroizolační asfaltový</t>
  </si>
  <si>
    <t>-342685560</t>
  </si>
  <si>
    <t>15,648*0,00039 'Přepočtené koeficientem množství</t>
  </si>
  <si>
    <t>92</t>
  </si>
  <si>
    <t>711141559</t>
  </si>
  <si>
    <t>Provedení izolace proti zemní vlhkosti pásy přitavením NAIP na ploše vodorovné V</t>
  </si>
  <si>
    <t>167342497</t>
  </si>
  <si>
    <t>https://podminky.urs.cz/item/CS_URS_2022_02/711141559</t>
  </si>
  <si>
    <t>93</t>
  </si>
  <si>
    <t>62853004</t>
  </si>
  <si>
    <t>pás asfaltový natavitelný modifikovaný SBS tl 4,0mm s vložkou ze skleněné tkaniny a spalitelnou PE fólií nebo jemnozrnným minerálním posypem na horním povrchu</t>
  </si>
  <si>
    <t>-764122183</t>
  </si>
  <si>
    <t>15,648*1,1655 'Přepočtené koeficientem množství</t>
  </si>
  <si>
    <t>94</t>
  </si>
  <si>
    <t>998711203</t>
  </si>
  <si>
    <t>Přesun hmot pro izolace proti vodě, vlhkosti a plynům stanovený procentní sazbou (%) z ceny vodorovná dopravní vzdálenost do 50 m v objektech výšky přes 12 do 60 m</t>
  </si>
  <si>
    <t>-1948502682</t>
  </si>
  <si>
    <t>https://podminky.urs.cz/item/CS_URS_2022_02/998711203</t>
  </si>
  <si>
    <t>713</t>
  </si>
  <si>
    <t>Izolace tepelné</t>
  </si>
  <si>
    <t>95</t>
  </si>
  <si>
    <t>713121111</t>
  </si>
  <si>
    <t>Montáž tepelné izolace podlah rohožemi, pásy, deskami, dílci, bloky (izolační materiál ve specifikaci) kladenými volně jednovrstvá</t>
  </si>
  <si>
    <t>-1831978910</t>
  </si>
  <si>
    <t>https://podminky.urs.cz/item/CS_URS_2022_02/713121111</t>
  </si>
  <si>
    <t>96</t>
  </si>
  <si>
    <t>28376463</t>
  </si>
  <si>
    <t>deska XPS hrana polodrážková a hladký povrch 700kPa tl 80mm</t>
  </si>
  <si>
    <t>580494806</t>
  </si>
  <si>
    <t>15,648*1,05 'Přepočtené koeficientem množství</t>
  </si>
  <si>
    <t>97</t>
  </si>
  <si>
    <t>713121121</t>
  </si>
  <si>
    <t>Montáž tepelné izolace podlah rohožemi, pásy, deskami, dílci, bloky (izolační materiál ve specifikaci) kladenými volně dvouvrstvá</t>
  </si>
  <si>
    <t>-300155903</t>
  </si>
  <si>
    <t>https://podminky.urs.cz/item/CS_URS_2022_02/713121121</t>
  </si>
  <si>
    <t>543,4 "podlaha 4.NP</t>
  </si>
  <si>
    <t>98</t>
  </si>
  <si>
    <t>28372303</t>
  </si>
  <si>
    <t>deska EPS 100 pro konstrukce s běžným zatížením λ=0,037 tl 40mm</t>
  </si>
  <si>
    <t>-1252179268</t>
  </si>
  <si>
    <t>543,4*1,1 'Přepočtené koeficientem množství</t>
  </si>
  <si>
    <t>99</t>
  </si>
  <si>
    <t>28376558</t>
  </si>
  <si>
    <t>deska polystyrénová pro snížení kročejového hluku (max. zatížení 6,5 kN/m2) tl 40mm</t>
  </si>
  <si>
    <t>-285853533</t>
  </si>
  <si>
    <t>100</t>
  </si>
  <si>
    <t>713121122</t>
  </si>
  <si>
    <t>Montáž tepelné izolace podlah rohožemi, pásy, deskami, dílci, bloky (izolační materiál ve specifikaci) kladenými volně dvouvrstvá mezi trámy nebo rošt</t>
  </si>
  <si>
    <t>-1488987465</t>
  </si>
  <si>
    <t>https://podminky.urs.cz/item/CS_URS_2022_02/713121122</t>
  </si>
  <si>
    <t>101</t>
  </si>
  <si>
    <t>63153706</t>
  </si>
  <si>
    <t>deska tepelně izolační minerální univerzální λ=0,036-0,037 tl 100mm</t>
  </si>
  <si>
    <t>720051215</t>
  </si>
  <si>
    <t>543,4*2,1 'Přepočtené koeficientem množství</t>
  </si>
  <si>
    <t>102</t>
  </si>
  <si>
    <t>713131141</t>
  </si>
  <si>
    <t>Montáž tepelné izolace stěn rohožemi, pásy, deskami, dílci, bloky (izolační materiál ve specifikaci) lepením celoplošně</t>
  </si>
  <si>
    <t>706725976</t>
  </si>
  <si>
    <t>https://podminky.urs.cz/item/CS_URS_2022_02/713131141</t>
  </si>
  <si>
    <t>2,6*1,8 "základy</t>
  </si>
  <si>
    <t>103</t>
  </si>
  <si>
    <t>28376441</t>
  </si>
  <si>
    <t>deska XPS hrana rovná a strukturovaný povrch 300kPa tl 60mm</t>
  </si>
  <si>
    <t>724928405</t>
  </si>
  <si>
    <t>4,68*1,1 'Přepočtené koeficientem množství</t>
  </si>
  <si>
    <t>104</t>
  </si>
  <si>
    <t>713151111</t>
  </si>
  <si>
    <t>Montáž tepelné izolace střech šikmých rohožemi, pásy, deskami (izolační materiál ve specifikaci) kladenými volně mezi krokve</t>
  </si>
  <si>
    <t>-1488999933</t>
  </si>
  <si>
    <t>https://podminky.urs.cz/item/CS_URS_2022_02/713151111</t>
  </si>
  <si>
    <t>790 "skladba S1 - isover tl. 160 mm mezi dřevěné trámy</t>
  </si>
  <si>
    <t>790 "skladba S1 - isover tl. 160 mm mezi ocelové rámy</t>
  </si>
  <si>
    <t>790 "skladba S1 - isover tl. 180 mm mezi ocelové rámy</t>
  </si>
  <si>
    <t>47 "skladba S2 - isover tl. 160 mm</t>
  </si>
  <si>
    <t>47 "skladba S2 - isover tl. 180 mm</t>
  </si>
  <si>
    <t>29 "skladba S3 - isover tl. 160 mm</t>
  </si>
  <si>
    <t>29 "skladba S3 - isover tl. 180 mm</t>
  </si>
  <si>
    <t>105</t>
  </si>
  <si>
    <t>63152104</t>
  </si>
  <si>
    <t>pás tepelně izolační univerzální λ=0,032-0,033 tl 160mm</t>
  </si>
  <si>
    <t>-2066137925</t>
  </si>
  <si>
    <t>1656*1,1 'Přepočtené koeficientem množství</t>
  </si>
  <si>
    <t>106</t>
  </si>
  <si>
    <t>63152106</t>
  </si>
  <si>
    <t>pás tepelně izolační univerzální λ=0,032-0,033 tl 180mm</t>
  </si>
  <si>
    <t>99586031</t>
  </si>
  <si>
    <t>866*1,1 'Přepočtené koeficientem množství</t>
  </si>
  <si>
    <t>107</t>
  </si>
  <si>
    <t>713191132</t>
  </si>
  <si>
    <t>Montáž tepelné izolace stavebních konstrukcí - doplňky a konstrukční součásti podlah, stropů vrchem nebo střech překrytím fólií separační z PE</t>
  </si>
  <si>
    <t>-424692183</t>
  </si>
  <si>
    <t>https://podminky.urs.cz/item/CS_URS_2022_02/713191132</t>
  </si>
  <si>
    <t>543,4*2 "podhala 4.NP</t>
  </si>
  <si>
    <t>108</t>
  </si>
  <si>
    <t>28329041</t>
  </si>
  <si>
    <t>fólie PE separační či ochranná tl 0,1mm</t>
  </si>
  <si>
    <t>-1198206908</t>
  </si>
  <si>
    <t>1102,448*1,1655 'Přepočtené koeficientem množství</t>
  </si>
  <si>
    <t>109</t>
  </si>
  <si>
    <t>998713203</t>
  </si>
  <si>
    <t>Přesun hmot pro izolace tepelné stanovený procentní sazbou (%) z ceny vodorovná dopravní vzdálenost do 50 m v objektech výšky přes 12 do 24 m</t>
  </si>
  <si>
    <t>1548401668</t>
  </si>
  <si>
    <t>https://podminky.urs.cz/item/CS_URS_2022_02/998713203</t>
  </si>
  <si>
    <t>110</t>
  </si>
  <si>
    <t>Zdravotechnika (viz.samostatný rozpočet)</t>
  </si>
  <si>
    <t>77632684</t>
  </si>
  <si>
    <t>111</t>
  </si>
  <si>
    <t>720-spec.02</t>
  </si>
  <si>
    <t>Plyn (viz.samostatný rozpočet)</t>
  </si>
  <si>
    <t>1412520362</t>
  </si>
  <si>
    <t>112</t>
  </si>
  <si>
    <t>720-spec.03</t>
  </si>
  <si>
    <t>Stavební přípomoce a koordinace</t>
  </si>
  <si>
    <t>26212182</t>
  </si>
  <si>
    <t>113</t>
  </si>
  <si>
    <t>Ústřední vytápění (viz.samostatný rozpočet)</t>
  </si>
  <si>
    <t>-707019527</t>
  </si>
  <si>
    <t>114</t>
  </si>
  <si>
    <t>730-spec.02</t>
  </si>
  <si>
    <t>822558949</t>
  </si>
  <si>
    <t>Elektroinstalace</t>
  </si>
  <si>
    <t>115</t>
  </si>
  <si>
    <t>Elektroinstalace - silnoproud (viz.samostatný rozpočet)</t>
  </si>
  <si>
    <t>-1899900922</t>
  </si>
  <si>
    <t>116</t>
  </si>
  <si>
    <t>Elektroinstalace - slaboproud</t>
  </si>
  <si>
    <t>681467552</t>
  </si>
  <si>
    <t>117</t>
  </si>
  <si>
    <t>741-spec.03</t>
  </si>
  <si>
    <t>-594022364</t>
  </si>
  <si>
    <t>365</t>
  </si>
  <si>
    <t>741-spec.04</t>
  </si>
  <si>
    <t>Koordinace s firmou CETIN (vysílače,antény na střeše) pro demontáž i montáž</t>
  </si>
  <si>
    <t>1573297813</t>
  </si>
  <si>
    <t>118</t>
  </si>
  <si>
    <t>751-spec.01</t>
  </si>
  <si>
    <t>Vzduchotechnika (viz.samostatný rozpočet)</t>
  </si>
  <si>
    <t>1372378410</t>
  </si>
  <si>
    <t>363</t>
  </si>
  <si>
    <t>751-spec.02</t>
  </si>
  <si>
    <t>Napojení a přívodního potrubí k laboratorním digestořím</t>
  </si>
  <si>
    <t>-1849881173</t>
  </si>
  <si>
    <t>119</t>
  </si>
  <si>
    <t>751-spec.03</t>
  </si>
  <si>
    <t>48414005</t>
  </si>
  <si>
    <t>120</t>
  </si>
  <si>
    <t>762081150</t>
  </si>
  <si>
    <t>Hoblování hraněného řeziva přímo na staveništi ve staveništní dílně</t>
  </si>
  <si>
    <t>1383860218</t>
  </si>
  <si>
    <t>https://podminky.urs.cz/item/CS_URS_2022_02/762081150</t>
  </si>
  <si>
    <t>924,2*0,12*0,16 "krokve A - H rozměr 120/160</t>
  </si>
  <si>
    <t>246*0,14*0,14 "pozednice a mezilehla vaznice rozměr 140/160</t>
  </si>
  <si>
    <t>54,4*0,16*0,16 "vrcholová vaznice 160/160</t>
  </si>
  <si>
    <t>128,4*0,2*0,16 "nárožní krokve a úžlabí rozměr 200/160</t>
  </si>
  <si>
    <t>121</t>
  </si>
  <si>
    <t>762083121</t>
  </si>
  <si>
    <t>Impregnace řeziva máčením proti dřevokaznému hmyzu, houbám a plísním, třída ohrožení 1 a 2 (dřevo v interiéru)</t>
  </si>
  <si>
    <t>-1110122906</t>
  </si>
  <si>
    <t>https://podminky.urs.cz/item/CS_URS_2022_02/762083121</t>
  </si>
  <si>
    <t>740*0,04*0,14 "KVH hranol rozměr 40/140</t>
  </si>
  <si>
    <t>122</t>
  </si>
  <si>
    <t>762332542</t>
  </si>
  <si>
    <t>Montáž vázaných konstrukcí krovů střech pultových, sedlových, valbových, stanových čtvercového nebo obdélníkového půdorysu z řeziva hoblovaného s použitím ocelových spojek (spojky ve specifikaci) průřezové plochy přes 120 do 224 cm2</t>
  </si>
  <si>
    <t>-991861846</t>
  </si>
  <si>
    <t>https://podminky.urs.cz/item/CS_URS_2022_02/762332542</t>
  </si>
  <si>
    <t>924,2 "krokve A - H rozměr 120/160</t>
  </si>
  <si>
    <t>246 "pozednice a mezilehla vaznice rozměr 140/160</t>
  </si>
  <si>
    <t>123</t>
  </si>
  <si>
    <t>60512131</t>
  </si>
  <si>
    <t>hranol stavební řezivo průřezu do 224cm2 dl 6-8m</t>
  </si>
  <si>
    <t>657552596</t>
  </si>
  <si>
    <t>22,567*1,1 'Přepočtené koeficientem množství</t>
  </si>
  <si>
    <t>124</t>
  </si>
  <si>
    <t>762332543</t>
  </si>
  <si>
    <t>Montáž vázaných konstrukcí krovů střech pultových, sedlových, valbových, stanových čtvercového nebo obdélníkového půdorysu z řeziva hoblovaného s použitím ocelových spojek (spojky ve specifikaci) průřezové plochy přes 224 do 288 cm2</t>
  </si>
  <si>
    <t>1682561346</t>
  </si>
  <si>
    <t>https://podminky.urs.cz/item/CS_URS_2022_02/762332543</t>
  </si>
  <si>
    <t>54,4 "vrcholová vaznice 160/160</t>
  </si>
  <si>
    <t>125</t>
  </si>
  <si>
    <t>60512137</t>
  </si>
  <si>
    <t>hranol stavební řezivo průřezu do 288cm2 přes dl 8m</t>
  </si>
  <si>
    <t>1539015522</t>
  </si>
  <si>
    <t>1,393*1,1 'Přepočtené koeficientem množství</t>
  </si>
  <si>
    <t>126</t>
  </si>
  <si>
    <t>762332544</t>
  </si>
  <si>
    <t>Montáž vázaných konstrukcí krovů střech pultových, sedlových, valbových, stanových čtvercového nebo obdélníkového půdorysu z řeziva hoblovaného s použitím ocelových spojek (spojky ve specifikaci) průřezové plochy přes 288 do 450 cm2</t>
  </si>
  <si>
    <t>-194486373</t>
  </si>
  <si>
    <t>https://podminky.urs.cz/item/CS_URS_2022_02/762332544</t>
  </si>
  <si>
    <t>128,4 "nárožní krokve a úžlabí rozměr 200/160</t>
  </si>
  <si>
    <t>127</t>
  </si>
  <si>
    <t>60512142</t>
  </si>
  <si>
    <t>hranol stavební řezivo průřezu do 450cm2 přes dl 8m</t>
  </si>
  <si>
    <t>-1870348715</t>
  </si>
  <si>
    <t>4,109*1,1 'Přepočtené koeficientem množství</t>
  </si>
  <si>
    <t>128</t>
  </si>
  <si>
    <t>762332641</t>
  </si>
  <si>
    <t>Montáž vázaných konstrukcí krovů střech pultových, sedlových, valbových, stanových čtvercového nebo obdélníkového půdorysu z lepených hranolů s použitím ocelových spojek (spojky ve specifikaci) průřezové plochy do 120 cm2</t>
  </si>
  <si>
    <t>219802778</t>
  </si>
  <si>
    <t>https://podminky.urs.cz/item/CS_URS_2022_02/762332641</t>
  </si>
  <si>
    <t>740 "KVH hranol rozměr 40/140</t>
  </si>
  <si>
    <t>129</t>
  </si>
  <si>
    <t>61223267</t>
  </si>
  <si>
    <t>hranol konstrukční KVH lepený průřezu 40x80-280mm pohledový</t>
  </si>
  <si>
    <t>469950326</t>
  </si>
  <si>
    <t>4,144*1,1 'Přepočtené koeficientem množství</t>
  </si>
  <si>
    <t>130</t>
  </si>
  <si>
    <t>762332645</t>
  </si>
  <si>
    <t>Montáž vázaných konstrukcí krovů střech pultových, sedlových, valbových, stanových čtvercového nebo obdélníkového půdorysu z lepených hranolů s použitím ocelových spojek (spojky ve specifikaci) průřezové plochy přes 450 cm2</t>
  </si>
  <si>
    <t>1365809895</t>
  </si>
  <si>
    <t>https://podminky.urs.cz/item/CS_URS_2022_02/762332645</t>
  </si>
  <si>
    <t>650 "pomocná konstrukce do skladby S1</t>
  </si>
  <si>
    <t>131</t>
  </si>
  <si>
    <t>61223260</t>
  </si>
  <si>
    <t>hranol konstrukční KVH lepený průřezu 40x60-280mm nepohledový</t>
  </si>
  <si>
    <t>871907013</t>
  </si>
  <si>
    <t>650*0,04*0,14 "pomocná konstrukce do skladby S1</t>
  </si>
  <si>
    <t>3,64*1,1 'Přepočtené koeficientem množství</t>
  </si>
  <si>
    <t>132</t>
  </si>
  <si>
    <t>762341042</t>
  </si>
  <si>
    <t>Bednění střech střech rovných sklonu do 60° s vyřezáním otvorů z dřevoštěpkových desek OSB šroubovaných na rošt na pero a drážku, tloušťky desky 12 mm</t>
  </si>
  <si>
    <t>1762997896</t>
  </si>
  <si>
    <t>https://podminky.urs.cz/item/CS_URS_2022_02/762341042</t>
  </si>
  <si>
    <t>(12+30+12+12)*(2,2*2) "skladba S4</t>
  </si>
  <si>
    <t>133</t>
  </si>
  <si>
    <t>762341270</t>
  </si>
  <si>
    <t>Montáž bednění střech rovných a šikmých sklonu do 60° s vyřezáním otvorů z desek dřevotřískových nebo dřevoštěpkových na sraz</t>
  </si>
  <si>
    <t>-602411518</t>
  </si>
  <si>
    <t>https://podminky.urs.cz/item/CS_URS_2022_02/762341270</t>
  </si>
  <si>
    <t>47 "skladba S2</t>
  </si>
  <si>
    <t>29 "skladba S3</t>
  </si>
  <si>
    <t>134</t>
  </si>
  <si>
    <t>60621149</t>
  </si>
  <si>
    <t>překližka vodovzdorná hladká/hladká bříza tl 21mm</t>
  </si>
  <si>
    <t>1113082264</t>
  </si>
  <si>
    <t>76*1,1 'Přepočtené koeficientem množství</t>
  </si>
  <si>
    <t>135</t>
  </si>
  <si>
    <t>762342214</t>
  </si>
  <si>
    <t>Montáž laťování střech jednoduchých sklonu do 60° při osové vzdálenosti latí přes 150 do 360 mm</t>
  </si>
  <si>
    <t>468727954</t>
  </si>
  <si>
    <t>https://podminky.urs.cz/item/CS_URS_2022_02/762342214</t>
  </si>
  <si>
    <t>790 "skladba S1</t>
  </si>
  <si>
    <t>136</t>
  </si>
  <si>
    <t>60514114</t>
  </si>
  <si>
    <t>řezivo jehličnaté lať impregnovaná dl 4 m</t>
  </si>
  <si>
    <t>-692855078</t>
  </si>
  <si>
    <t>790*4*0,04*0,06 "skladba S1</t>
  </si>
  <si>
    <t>7,584*1,1 'Přepočtené koeficientem množství</t>
  </si>
  <si>
    <t>137</t>
  </si>
  <si>
    <t>762342511</t>
  </si>
  <si>
    <t>Montáž laťování montáž kontralatí na podklad bez tepelné izolace</t>
  </si>
  <si>
    <t>-128059221</t>
  </si>
  <si>
    <t>https://podminky.urs.cz/item/CS_URS_2022_02/762342511</t>
  </si>
  <si>
    <t>138</t>
  </si>
  <si>
    <t>859064936</t>
  </si>
  <si>
    <t>924,2*0,04*0,06 "kontralatě</t>
  </si>
  <si>
    <t>2,218*1,1 'Přepočtené koeficientem množství</t>
  </si>
  <si>
    <t>139</t>
  </si>
  <si>
    <t>762395000</t>
  </si>
  <si>
    <t>Spojovací prostředky krovů, bednění a laťování, nadstřešních konstrukcí svory, prkna, hřebíky, pásová ocel, vruty</t>
  </si>
  <si>
    <t>769335287</t>
  </si>
  <si>
    <t>https://podminky.urs.cz/item/CS_URS_2022_02/762395000</t>
  </si>
  <si>
    <t>790*4*0,04*0,06 "skladba S1 latě</t>
  </si>
  <si>
    <t>47*0,021 "skladba S2</t>
  </si>
  <si>
    <t>29*0,021 "skladba S3</t>
  </si>
  <si>
    <t>(12+30+12+12)*(2,2*2)*0,012 "skladba S4</t>
  </si>
  <si>
    <t>140</t>
  </si>
  <si>
    <t>762511145</t>
  </si>
  <si>
    <t>Podlahové konstrukce podkladové z cementotřískových desek jednovrstvých šroubovaných na sraz 20 mm</t>
  </si>
  <si>
    <t>1227050799</t>
  </si>
  <si>
    <t>https://podminky.urs.cz/item/CS_URS_2022_02/762511145</t>
  </si>
  <si>
    <t>141</t>
  </si>
  <si>
    <t>762511277</t>
  </si>
  <si>
    <t>Podlahové konstrukce podkladové z dřevoštěpkových desek OSB jednovrstvých šroubovaných na pero a drážku broušených, tloušťky desky 25 mm</t>
  </si>
  <si>
    <t>1869113936</t>
  </si>
  <si>
    <t>https://podminky.urs.cz/item/CS_URS_2022_02/762511277</t>
  </si>
  <si>
    <t>142</t>
  </si>
  <si>
    <t>762511264</t>
  </si>
  <si>
    <t>Podlahové konstrukce podkladové z dřevoštěpkových desek OSB jednovrstvých šroubovaných na pero a drážku nebroušených, tloušťky desky 18 mm</t>
  </si>
  <si>
    <t>225593888</t>
  </si>
  <si>
    <t>https://podminky.urs.cz/item/CS_URS_2022_02/762511264</t>
  </si>
  <si>
    <t>(12+30+12+12)*2,7 "skladba P3</t>
  </si>
  <si>
    <t>143</t>
  </si>
  <si>
    <t>762512261</t>
  </si>
  <si>
    <t>Podlahové konstrukce podkladové montáž roštu podkladového</t>
  </si>
  <si>
    <t>470210621</t>
  </si>
  <si>
    <t>https://podminky.urs.cz/item/CS_URS_2022_02/762512261</t>
  </si>
  <si>
    <t>543,4/0,625 "podhala 4.NP</t>
  </si>
  <si>
    <t>(12+30+12+12)*2,7*3 "skladba P3</t>
  </si>
  <si>
    <t>144</t>
  </si>
  <si>
    <t>60512126</t>
  </si>
  <si>
    <t>hranol stavební řezivo průřezu do 120cm2 dl 6-8m</t>
  </si>
  <si>
    <t>-1323061691</t>
  </si>
  <si>
    <t>543,4/0,625*0,08*0,08 "podhala 4.NP</t>
  </si>
  <si>
    <t>5,564*1,1 'Přepočtené koeficientem množství</t>
  </si>
  <si>
    <t>145</t>
  </si>
  <si>
    <t>-1364960134</t>
  </si>
  <si>
    <t>(12+30+12+12)*2,7*3*0,14*0,04 "skladba P3</t>
  </si>
  <si>
    <t>2,994*1,2 'Přepočtené koeficientem množství</t>
  </si>
  <si>
    <t>146</t>
  </si>
  <si>
    <t>762595001</t>
  </si>
  <si>
    <t>Spojovací prostředky podlah a podkladových konstrukcí hřebíky, vruty</t>
  </si>
  <si>
    <t>1229382576</t>
  </si>
  <si>
    <t>https://podminky.urs.cz/item/CS_URS_2022_02/762595001</t>
  </si>
  <si>
    <t>543,4*2 "podlaha 4.NP</t>
  </si>
  <si>
    <t>147</t>
  </si>
  <si>
    <t>998762203</t>
  </si>
  <si>
    <t>Přesun hmot pro konstrukce tesařské stanovený procentní sazbou (%) z ceny vodorovná dopravní vzdálenost do 50 m v objektech výšky přes 12 do 24 m</t>
  </si>
  <si>
    <t>820882804</t>
  </si>
  <si>
    <t>https://podminky.urs.cz/item/CS_URS_2022_02/998762203</t>
  </si>
  <si>
    <t>763</t>
  </si>
  <si>
    <t>Konstrukce suché výstavby</t>
  </si>
  <si>
    <t>148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</si>
  <si>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</si>
  <si>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</si>
  <si>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1273825246</t>
  </si>
  <si>
    <t>https://podminky.urs.cz/item/CS_URS_2022_02/763111314</t>
  </si>
  <si>
    <t>10,21*3,6+20,63*2+(7+7,2+2,8+0,8+4+1,1+3,9+2,8+2)*3,6 "stěny v 4.NP</t>
  </si>
  <si>
    <t>149</t>
  </si>
  <si>
    <t>763111333</t>
  </si>
  <si>
    <t>Příčka ze sádrokartonových desek s nosnou konstrukcí z jednoduchých ocelových profilů UW, CW jednoduše opláštěná deskou impregnovanou H2 tl. 12,5 mm, příčka tl. 100 mm, profil 75, s izolací, EI 30, Rw do 45 dB</t>
  </si>
  <si>
    <t>-1250820898</t>
  </si>
  <si>
    <t>https://podminky.urs.cz/item/CS_URS_2022_02/763111333</t>
  </si>
  <si>
    <t>(4,8+1,2+1+1+3+1+4,8+1,2+1+1+1+3)*3 "stěny ve 4.NP WC</t>
  </si>
  <si>
    <t>150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</si>
  <si>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</si>
  <si>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</si>
  <si>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163936125</t>
  </si>
  <si>
    <t>https://podminky.urs.cz/item/CS_URS_2022_02/763121411</t>
  </si>
  <si>
    <t>(6,96+9,22+17,37+15,14+0,15+0,15+5,55+8+2,5+4,5+7,79+3,57)*1,2+2,56*3,3 "předstěna v 4.NP §1</t>
  </si>
  <si>
    <t>151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</si>
  <si>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</si>
  <si>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</si>
  <si>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-979913160</t>
  </si>
  <si>
    <t>https://podminky.urs.cz/item/CS_URS_2022_02/763121415</t>
  </si>
  <si>
    <t>(1,83+1+1,2+1,85+1+1+1,95)*1,6</t>
  </si>
  <si>
    <t>152</t>
  </si>
  <si>
    <t>763121422</t>
  </si>
  <si>
    <t>Stěna předsazená ze sádrokartonových desek s nosnou konstrukcí z ocelových profilů CW, UW jednoduše opláštěná deskou impregnovanou H2 tl. 12,5 mm bez izolace, EI 15, stěna tl. 62,5 mm, profil 50</t>
  </si>
  <si>
    <t>2128562441</t>
  </si>
  <si>
    <t>https://podminky.urs.cz/item/CS_URS_2022_02/763121422</t>
  </si>
  <si>
    <t>1,5*1,5*6 "předstěna pro umyvadla v učebnách</t>
  </si>
  <si>
    <t>357</t>
  </si>
  <si>
    <t>7631214r1</t>
  </si>
  <si>
    <t>SDK stěna předsazená tl 65 mm profil CW+UW 50 deska 1x akustická např. Knauf Cleaneo UFF</t>
  </si>
  <si>
    <t>594496303</t>
  </si>
  <si>
    <t>48,1 "Zadní části stěn učeben</t>
  </si>
  <si>
    <t>153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</si>
  <si>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</si>
  <si>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</si>
  <si>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-764973167</t>
  </si>
  <si>
    <t>https://podminky.urs.cz/item/CS_URS_2022_02/763131431</t>
  </si>
  <si>
    <t>1,3*2,6*(3+4) "skladba P2a</t>
  </si>
  <si>
    <t>4*1,3*7 "skladba P2c</t>
  </si>
  <si>
    <t>358</t>
  </si>
  <si>
    <t>7631315R2</t>
  </si>
  <si>
    <t>SDK podhled deska 1x akustická 12,5 jednovrstvá spodní kce profil např. desky Knauf Cleaneo UFF</t>
  </si>
  <si>
    <t>1577295349</t>
  </si>
  <si>
    <t>178,73 "Vodorovný strop - plocha ž-ti učeben</t>
  </si>
  <si>
    <t>154</t>
  </si>
  <si>
    <t>763131751</t>
  </si>
  <si>
    <t>Podhled ze sádrokartonových desek ostatní práce a konstrukce na podhledech ze sádrokartonových desek montáž parotěsné zábrany</t>
  </si>
  <si>
    <t>-145957304</t>
  </si>
  <si>
    <t>https://podminky.urs.cz/item/CS_URS_2022_02/763131751</t>
  </si>
  <si>
    <t>650 "podhled podkroví</t>
  </si>
  <si>
    <t>155</t>
  </si>
  <si>
    <t>28329233</t>
  </si>
  <si>
    <t>fólie univerzální pro parotěsnou vrstvu s proměnlivou difúzní tloušťkou a UV stabilizací</t>
  </si>
  <si>
    <t>-307826485</t>
  </si>
  <si>
    <t>650*1,1235 'Přepočtené koeficientem množství</t>
  </si>
  <si>
    <t>156</t>
  </si>
  <si>
    <t>763132121</t>
  </si>
  <si>
    <t>Podhled ze sádrokartonových desek – samostatný požární předěl dvouvrstvá nosná konstrukce z ocelových profilů CD, UD s oboustrannou požární odolností celoplošná izolace a CD profily vyplněny izolací o objemové hmotnosti 40 kg/m3 dvojitě opláštěná deskami protipožárními 2 x DF tl. 2 x 12,5 mm, TI tl. 40 mm 40 kg/m3, EI Z/S 45/60</t>
  </si>
  <si>
    <t>278666009</t>
  </si>
  <si>
    <t>https://podminky.urs.cz/item/CS_URS_2022_02/763132121</t>
  </si>
  <si>
    <t>543,4 "strop 3.NP</t>
  </si>
  <si>
    <t>157</t>
  </si>
  <si>
    <t>763158115</t>
  </si>
  <si>
    <t>SDK podlaha suchý podsyp tl. 10 mm</t>
  </si>
  <si>
    <t>-683981057</t>
  </si>
  <si>
    <t>https://podminky.urs.cz/item/CS_URS_2022_02/763158115</t>
  </si>
  <si>
    <t>158</t>
  </si>
  <si>
    <t>763158118</t>
  </si>
  <si>
    <t>Příplatek k SDK podlaze za každých další 10 mm tloušťky suchého podsypu</t>
  </si>
  <si>
    <t>-1718572901</t>
  </si>
  <si>
    <t>https://podminky.urs.cz/item/CS_URS_2022_02/763158118</t>
  </si>
  <si>
    <t>359</t>
  </si>
  <si>
    <t>7631615R3</t>
  </si>
  <si>
    <t>SDK podhled šikmý na na krokvových závěsech akustické desky např. Knauf Cleaneo UFF</t>
  </si>
  <si>
    <t>1592704551</t>
  </si>
  <si>
    <t>67,3 "Šikmý podhled v učebnách</t>
  </si>
  <si>
    <t>159</t>
  </si>
  <si>
    <t>763161751</t>
  </si>
  <si>
    <t>Podkroví ze sádrokartonových desek dvouvrstvá spodní konstrukce z ocelových profilů CD, UD na krokvových závěsech dvojitě opláštěná deskami standardními A, tl. 2 x 12,5 mm, TI tl. 200 mm 15 kg/m3, REI 30</t>
  </si>
  <si>
    <t>-869032307</t>
  </si>
  <si>
    <t>https://podminky.urs.cz/item/CS_URS_2022_02/763161751</t>
  </si>
  <si>
    <t>160</t>
  </si>
  <si>
    <t>763181311</t>
  </si>
  <si>
    <t>Výplně otvorů konstrukcí ze sádrokartonových desek montáž zárubně kovové s konstrukcí jednokřídlové</t>
  </si>
  <si>
    <t>1517148571</t>
  </si>
  <si>
    <t>https://podminky.urs.cz/item/CS_URS_2022_02/763181311</t>
  </si>
  <si>
    <t>6 "700/1970</t>
  </si>
  <si>
    <t>2 "900/1970</t>
  </si>
  <si>
    <t>161</t>
  </si>
  <si>
    <t>55331589</t>
  </si>
  <si>
    <t>zárubeň jednokřídlá ocelová pro sádrokartonové příčky tl stěny 75-100mm rozměru 700/1970, 2100mm</t>
  </si>
  <si>
    <t>1041996772</t>
  </si>
  <si>
    <t>162</t>
  </si>
  <si>
    <t>55331591</t>
  </si>
  <si>
    <t>zárubeň jednokřídlá ocelová pro sádrokartonové příčky tl stěny 75-100mm rozměru 900/1970, 2100mm</t>
  </si>
  <si>
    <t>484365477</t>
  </si>
  <si>
    <t>163</t>
  </si>
  <si>
    <t>763182411</t>
  </si>
  <si>
    <t>Výplně otvorů konstrukcí ze sádrokartonových desek opláštění obvodu (špalety) střešního okna z desek včetně Al rohu hloubky do 0,5 m</t>
  </si>
  <si>
    <t>1756901882</t>
  </si>
  <si>
    <t>https://podminky.urs.cz/item/CS_URS_2022_02/763182411</t>
  </si>
  <si>
    <t>(0,78*2+1,6*2)*2+(1,14*2+1,6*2)*22+(0,78*2+0,98*2)*2 "kolem střešních oken</t>
  </si>
  <si>
    <t>(0,5*4)*5 "kolem střešních výlezů</t>
  </si>
  <si>
    <t>164</t>
  </si>
  <si>
    <t>763264542</t>
  </si>
  <si>
    <t>Obklad ocelových nosníků sádrovláknitými deskami bez spodní konstrukce uzavřeného tvaru rozvinuté šíře přes 0,5 m do 0,75 m, opláštění deskou protipožární tl. 2x12,5 mm</t>
  </si>
  <si>
    <t>-540152972</t>
  </si>
  <si>
    <t>https://podminky.urs.cz/item/CS_URS_2022_02/763264542</t>
  </si>
  <si>
    <t>3*3,5 "pozarni obklad dřevěnýcjh sloupu v kotelně a O2</t>
  </si>
  <si>
    <t>165</t>
  </si>
  <si>
    <t>763782213</t>
  </si>
  <si>
    <t>Montáž stropní konstrukce z plnostěnných nosníků (např. trámů, průvlaků, překladů) konstrukční délky do 15 m, průřezové plochy přes 150 do 500 cm2</t>
  </si>
  <si>
    <t>2116807010</t>
  </si>
  <si>
    <t>https://podminky.urs.cz/item/CS_URS_2022_02/763782213</t>
  </si>
  <si>
    <t>7,15*11+7*10+7,1*22+2,75*22+3,55*7+3,12*7+7,2*2+6,999*8+7,1*11 "příložka LVL-R 75/360</t>
  </si>
  <si>
    <t>7,15*11+7*10+7,1*22+2,75*22+3,55*7+3,12*7+7,2*2+6,999*8+7,1*11 "příložka LVL-R 45/360</t>
  </si>
  <si>
    <t>166</t>
  </si>
  <si>
    <t>6122327x</t>
  </si>
  <si>
    <t>hranol konstrukční LVL-R 75/360 a LVL-R 45/360</t>
  </si>
  <si>
    <t>-145075504</t>
  </si>
  <si>
    <t>(7,15*11+7*10+7,1*22+2,75*22+3,55*7+3,12*7+7,2*2+6,999*8+7,1*11)*0,075*0,36 "příložka LVL-R 75/360</t>
  </si>
  <si>
    <t>(7,15*11+7*10+7,1*22+2,75*22+3,55*7+3,12*7+7,2*2+6,999*8+7,1*11)*0,045*0,36 "příložka LVL-R 45/360</t>
  </si>
  <si>
    <t>24,215*1,1 'Přepočtené koeficientem množství</t>
  </si>
  <si>
    <t>167</t>
  </si>
  <si>
    <t>763-spec.01</t>
  </si>
  <si>
    <t>Příplatek za úpravu podhledu v místě klimatizačních jednotek</t>
  </si>
  <si>
    <t>-862397016</t>
  </si>
  <si>
    <t>362</t>
  </si>
  <si>
    <t>763-spec.02</t>
  </si>
  <si>
    <t>Protipožární obklad dřevěných původních sloupků v kotelne §4 pož.odolnost 30 minut.</t>
  </si>
  <si>
    <t>985584407</t>
  </si>
  <si>
    <t>168</t>
  </si>
  <si>
    <t>998763403</t>
  </si>
  <si>
    <t>Přesun hmot pro konstrukce montované z desek stanovený procentní sazbou (%) z ceny vodorovná dopravní vzdálenost do 50 m v objektech výšky přes 12 do 24 m</t>
  </si>
  <si>
    <t>-543580381</t>
  </si>
  <si>
    <t>https://podminky.urs.cz/item/CS_URS_2022_02/998763403</t>
  </si>
  <si>
    <t>169</t>
  </si>
  <si>
    <t>764002414</t>
  </si>
  <si>
    <t>Montáž strukturované oddělovací rohože jakékoli rš</t>
  </si>
  <si>
    <t>-1477891999</t>
  </si>
  <si>
    <t>https://podminky.urs.cz/item/CS_URS_2022_02/764002414</t>
  </si>
  <si>
    <t>170</t>
  </si>
  <si>
    <t>28329223</t>
  </si>
  <si>
    <t>fólie difuzně propustné s nakašírovanou strukturovanou rohoží pod hladkou plechovou krytinu</t>
  </si>
  <si>
    <t>-967091547</t>
  </si>
  <si>
    <t>76*1,15 'Přepočtené koeficientem množství</t>
  </si>
  <si>
    <t>171</t>
  </si>
  <si>
    <t>764131403</t>
  </si>
  <si>
    <t>Krytina ze svitků nebo tabulí z měděného plechu s úpravou u okapů, prostupů a výčnělků střechy rovné drážkováním ze svitků rš 500 mm, sklon střechy přes 30 do 60°</t>
  </si>
  <si>
    <t>500555451</t>
  </si>
  <si>
    <t>https://podminky.urs.cz/item/CS_URS_2022_02/764131403</t>
  </si>
  <si>
    <t>172</t>
  </si>
  <si>
    <t>764131491</t>
  </si>
  <si>
    <t>Krytina ze svitků nebo tabulí z měděného plechu s úpravou u okapů, prostupů a výčnělků Příplatek k cenám za těsnění drážek ve sklonu do 10°</t>
  </si>
  <si>
    <t>-1101651264</t>
  </si>
  <si>
    <t>https://podminky.urs.cz/item/CS_URS_2022_02/764131491</t>
  </si>
  <si>
    <t>173</t>
  </si>
  <si>
    <t>764231466</t>
  </si>
  <si>
    <t>Oplechování střešních prvků z měděného plechu úžlabí rš 500 mm</t>
  </si>
  <si>
    <t>-565733386</t>
  </si>
  <si>
    <t>https://podminky.urs.cz/item/CS_URS_2022_02/764231466</t>
  </si>
  <si>
    <t>30,7 "K5</t>
  </si>
  <si>
    <t>377</t>
  </si>
  <si>
    <t>76423146x</t>
  </si>
  <si>
    <t>Oplechování střešních prvků z měděného plechu úžlabí rš 300 mm</t>
  </si>
  <si>
    <t>-61236838</t>
  </si>
  <si>
    <t>14,2 "K8</t>
  </si>
  <si>
    <t>376</t>
  </si>
  <si>
    <t>764232403</t>
  </si>
  <si>
    <t>Oplechování střešních prvků z měděného plechu štítu závětrnou lištou rš 250 mm</t>
  </si>
  <si>
    <t>1591992005</t>
  </si>
  <si>
    <t>https://podminky.urs.cz/item/CS_URS_2022_02/764232403</t>
  </si>
  <si>
    <t>22,4 "K7</t>
  </si>
  <si>
    <t>174</t>
  </si>
  <si>
    <t>764232437</t>
  </si>
  <si>
    <t>Oplechování střešních prvků z měděného plechu okapu okapovým plechem střechy rovné rš 670 mm</t>
  </si>
  <si>
    <t>-232443724</t>
  </si>
  <si>
    <t>https://podminky.urs.cz/item/CS_URS_2022_02/764232437</t>
  </si>
  <si>
    <t>122 "K3</t>
  </si>
  <si>
    <t>175</t>
  </si>
  <si>
    <t>764235406</t>
  </si>
  <si>
    <t>Oplechování horních ploch zdí a nadezdívek (atik) z měděného plechu celoplošně lepených rš 500 mm</t>
  </si>
  <si>
    <t>225488256</t>
  </si>
  <si>
    <t>https://podminky.urs.cz/item/CS_URS_2022_02/764235406</t>
  </si>
  <si>
    <t>14,2 "K6</t>
  </si>
  <si>
    <t>378</t>
  </si>
  <si>
    <t>76423540x</t>
  </si>
  <si>
    <t>Oplechování horních ploch zdí a nadezdívek (atik) z měděného plechu celoplošně lepených rš 350 mm</t>
  </si>
  <si>
    <t>-477366108</t>
  </si>
  <si>
    <t>121,95 "K14</t>
  </si>
  <si>
    <t>176</t>
  </si>
  <si>
    <t>764235411</t>
  </si>
  <si>
    <t>Oplechování horních ploch zdí a nadezdívek (atik) z měděného plechu celoplošně lepených přes rš 800 mm</t>
  </si>
  <si>
    <t>1821866624</t>
  </si>
  <si>
    <t>https://podminky.urs.cz/item/CS_URS_2022_02/764235411</t>
  </si>
  <si>
    <t>1,5 "oplechování hlavy komínu</t>
  </si>
  <si>
    <t>177</t>
  </si>
  <si>
    <t>764246404</t>
  </si>
  <si>
    <t>Oplechování parapetů z titanzinkového předzvětralého plechu rovných mechanicky kotvené, bez rohů rš 330 mm</t>
  </si>
  <si>
    <t>-668293913</t>
  </si>
  <si>
    <t>https://podminky.urs.cz/item/CS_URS_2022_02/764246404</t>
  </si>
  <si>
    <t>3,6 "K12</t>
  </si>
  <si>
    <t>1,85 "K13</t>
  </si>
  <si>
    <t>178</t>
  </si>
  <si>
    <t>764331413</t>
  </si>
  <si>
    <t>Lemování zdí z měděného plechu boční nebo horní rovných, střech s krytinou skládanou mimo prejzovou rš 250 mm</t>
  </si>
  <si>
    <t>-1394324317</t>
  </si>
  <si>
    <t>https://podminky.urs.cz/item/CS_URS_2022_02/764331413</t>
  </si>
  <si>
    <t>7,3 "K4</t>
  </si>
  <si>
    <t>379</t>
  </si>
  <si>
    <t>76433445x</t>
  </si>
  <si>
    <t>Oplechování odvětrání kanalizace</t>
  </si>
  <si>
    <t>-1925891399</t>
  </si>
  <si>
    <t>11 "K15</t>
  </si>
  <si>
    <t>180</t>
  </si>
  <si>
    <t>764531404</t>
  </si>
  <si>
    <t>Žlab podokapní z měděného plechu včetně háků a čel půlkruhový rš 330 mm</t>
  </si>
  <si>
    <t>22387488</t>
  </si>
  <si>
    <t>https://podminky.urs.cz/item/CS_URS_2022_02/764531404</t>
  </si>
  <si>
    <t>4,2 "K11</t>
  </si>
  <si>
    <t>181</t>
  </si>
  <si>
    <t>764531446</t>
  </si>
  <si>
    <t>Žlab podokapní z měděného plechu včetně háků a čel kotlík oválný (trychtýřový), rš žlabu/průměr svodu 400/150 mm</t>
  </si>
  <si>
    <t>1293412879</t>
  </si>
  <si>
    <t>https://podminky.urs.cz/item/CS_URS_2022_02/764531446</t>
  </si>
  <si>
    <t>5 "K3</t>
  </si>
  <si>
    <t>182</t>
  </si>
  <si>
    <t>764533412</t>
  </si>
  <si>
    <t>Žlab nadokapní (nástřešní) z měděného plechu oblého tvaru, včetně háků, čel a hrdel rš 1000 mm</t>
  </si>
  <si>
    <t>1661922348</t>
  </si>
  <si>
    <t>https://podminky.urs.cz/item/CS_URS_2022_02/764533412</t>
  </si>
  <si>
    <t>183</t>
  </si>
  <si>
    <t>764538424</t>
  </si>
  <si>
    <t>Svod z měděného plechu včetně objímek, kolen a odskoků kruhový, průměru 150 mm</t>
  </si>
  <si>
    <t>1315533107</t>
  </si>
  <si>
    <t>https://podminky.urs.cz/item/CS_URS_2022_02/764538424</t>
  </si>
  <si>
    <t>93,6 "K9</t>
  </si>
  <si>
    <t>380</t>
  </si>
  <si>
    <t>764-spec.01</t>
  </si>
  <si>
    <t>VZT roura z kotelny</t>
  </si>
  <si>
    <t>-1152255403</t>
  </si>
  <si>
    <t>1 "K21</t>
  </si>
  <si>
    <t>184</t>
  </si>
  <si>
    <t>998764203</t>
  </si>
  <si>
    <t>Přesun hmot pro konstrukce klempířské stanovený procentní sazbou (%) z ceny vodorovná dopravní vzdálenost do 50 m v objektech výšky přes 12 do 24 m</t>
  </si>
  <si>
    <t>964953415</t>
  </si>
  <si>
    <t>https://podminky.urs.cz/item/CS_URS_2022_02/998764203</t>
  </si>
  <si>
    <t>185</t>
  </si>
  <si>
    <t>765111015</t>
  </si>
  <si>
    <t>Montáž krytiny keramické sklonu do 30° drážkové na sucho, počet kusů přes 11 do 12 ks/m2</t>
  </si>
  <si>
    <t>-1185658429</t>
  </si>
  <si>
    <t>https://podminky.urs.cz/item/CS_URS_2022_02/765111015</t>
  </si>
  <si>
    <t>186</t>
  </si>
  <si>
    <t>59660400</t>
  </si>
  <si>
    <t>taška ražená drážková režná velkoformátová (do 12 ks/m2) základní</t>
  </si>
  <si>
    <t>-1137572680</t>
  </si>
  <si>
    <t>790*12 'Přepočtené koeficientem množství</t>
  </si>
  <si>
    <t>187</t>
  </si>
  <si>
    <t>59660431</t>
  </si>
  <si>
    <t>taška ražená drážková režná velkoformátová (do 12 ks/m2) poloviční</t>
  </si>
  <si>
    <t>-1030688397</t>
  </si>
  <si>
    <t>790*1,2 'Přepočtené koeficientem množství</t>
  </si>
  <si>
    <t>188</t>
  </si>
  <si>
    <t>59660403</t>
  </si>
  <si>
    <t>taška ražená drážková režná velkoformátová (do 12 ks/m2) krajová levá</t>
  </si>
  <si>
    <t>1910488354</t>
  </si>
  <si>
    <t>790*0,6 'Přepočtené koeficientem množství</t>
  </si>
  <si>
    <t>189</t>
  </si>
  <si>
    <t>59660402</t>
  </si>
  <si>
    <t>taška ražená drážková režná velkoformátová (do 12 ks/m2) krajová pravá</t>
  </si>
  <si>
    <t>-740761779</t>
  </si>
  <si>
    <t>190</t>
  </si>
  <si>
    <t>59660401</t>
  </si>
  <si>
    <t>taška ražená drážková režná velkoformátová (do 12 ks/m2) větrací</t>
  </si>
  <si>
    <t>-2119593637</t>
  </si>
  <si>
    <t>191</t>
  </si>
  <si>
    <t>59660408</t>
  </si>
  <si>
    <t>taška ražená drážková režná velkoformátová (do 12 ks/m2) větrací pro připojení hřebene</t>
  </si>
  <si>
    <t>1470722045</t>
  </si>
  <si>
    <t>192</t>
  </si>
  <si>
    <t>59660411</t>
  </si>
  <si>
    <t>taška ražená drážková režná velkoformátová (do 12 ks/m2) prostupová s anténním nástavcem</t>
  </si>
  <si>
    <t>1725659853</t>
  </si>
  <si>
    <t>193</t>
  </si>
  <si>
    <t>765111201</t>
  </si>
  <si>
    <t>Montáž krytiny keramické okapové hrany s okapním větracím pásem</t>
  </si>
  <si>
    <t>1781626262</t>
  </si>
  <si>
    <t>https://podminky.urs.cz/item/CS_URS_2022_02/765111201</t>
  </si>
  <si>
    <t>124,05-2,7-1,7-11 "skladba S1</t>
  </si>
  <si>
    <t>194</t>
  </si>
  <si>
    <t>59660022</t>
  </si>
  <si>
    <t>pás ochranný větrací okapní plastový š 100mm</t>
  </si>
  <si>
    <t>677056929</t>
  </si>
  <si>
    <t>108,65*1,1 'Přepočtené koeficientem množství</t>
  </si>
  <si>
    <t>195</t>
  </si>
  <si>
    <t>765111253</t>
  </si>
  <si>
    <t>Montáž krytiny keramické hřebene větraného na sucho bez pásu (s podhřebenovou větrací taškou)</t>
  </si>
  <si>
    <t>23924081</t>
  </si>
  <si>
    <t>https://podminky.urs.cz/item/CS_URS_2022_02/765111253</t>
  </si>
  <si>
    <t>8+26,8+7,8+5,6</t>
  </si>
  <si>
    <t>196</t>
  </si>
  <si>
    <t>59660030</t>
  </si>
  <si>
    <t>hřebenáč drážkový keramický š 210mm režný</t>
  </si>
  <si>
    <t>1396304455</t>
  </si>
  <si>
    <t>48,2*3,09 'Přepočtené koeficientem množství</t>
  </si>
  <si>
    <t>197</t>
  </si>
  <si>
    <t>765111403</t>
  </si>
  <si>
    <t>Montáž krytiny keramické opracování krytiny v místě prostupu plochy prostupu jednotlivě přes 0,5 do 1 m2</t>
  </si>
  <si>
    <t>1914738388</t>
  </si>
  <si>
    <t>https://podminky.urs.cz/item/CS_URS_2022_02/765111403</t>
  </si>
  <si>
    <t>5 "střešní výlez</t>
  </si>
  <si>
    <t>198</t>
  </si>
  <si>
    <t>765111404</t>
  </si>
  <si>
    <t>Montáž krytiny keramické opracování krytiny v místě prostupu plochy prostupu jednotlivě přes 1 m2</t>
  </si>
  <si>
    <t>-751543714</t>
  </si>
  <si>
    <t>https://podminky.urs.cz/item/CS_URS_2022_02/765111404</t>
  </si>
  <si>
    <t>(0,78*2+1,6*2)*2+(1,14*1,6)*22 "kolem střešních oken</t>
  </si>
  <si>
    <t>199</t>
  </si>
  <si>
    <t>765111503</t>
  </si>
  <si>
    <t>Montáž krytiny keramické Příplatek k cenám včetně připevňovacích prostředků za sklon přes 30 do 40°</t>
  </si>
  <si>
    <t>-973304358</t>
  </si>
  <si>
    <t>https://podminky.urs.cz/item/CS_URS_2022_02/765111503</t>
  </si>
  <si>
    <t>200</t>
  </si>
  <si>
    <t>765115302</t>
  </si>
  <si>
    <t>Montáž střešních doplňků krytiny keramické střešního výlezu plochy jednotlivě přes 0,25 m2</t>
  </si>
  <si>
    <t>1563777316</t>
  </si>
  <si>
    <t>https://podminky.urs.cz/item/CS_URS_2022_02/765115302</t>
  </si>
  <si>
    <t>201</t>
  </si>
  <si>
    <t>61140606</t>
  </si>
  <si>
    <t>výlez střešní pro sklon střechy 20-65° 46x61cm</t>
  </si>
  <si>
    <t>-89156552</t>
  </si>
  <si>
    <t>202</t>
  </si>
  <si>
    <t>765115351</t>
  </si>
  <si>
    <t>Montáž střešních doplňků krytiny keramické stoupací plošiny délky do 400 mm</t>
  </si>
  <si>
    <t>-613730913</t>
  </si>
  <si>
    <t>https://podminky.urs.cz/item/CS_URS_2022_02/765115351</t>
  </si>
  <si>
    <t>1 "K2</t>
  </si>
  <si>
    <t>203</t>
  </si>
  <si>
    <t>59660034</t>
  </si>
  <si>
    <t>stoupací komplet rovný pro keramickou krytinu rošt š 250mm d 400mm</t>
  </si>
  <si>
    <t>sada</t>
  </si>
  <si>
    <t>-59734348</t>
  </si>
  <si>
    <t>204</t>
  </si>
  <si>
    <t>765115352</t>
  </si>
  <si>
    <t>Montáž střešních doplňků krytiny keramické stoupací plošiny délky přes 400 do 800 mm</t>
  </si>
  <si>
    <t>-498279360</t>
  </si>
  <si>
    <t>https://podminky.urs.cz/item/CS_URS_2022_02/765115352</t>
  </si>
  <si>
    <t>4 "K1</t>
  </si>
  <si>
    <t>205</t>
  </si>
  <si>
    <t>59660036</t>
  </si>
  <si>
    <t>stoupací komplet profilovaný pro keramickou krytinu rošt š 250mm d 800mm</t>
  </si>
  <si>
    <t>-2040206913</t>
  </si>
  <si>
    <t>206</t>
  </si>
  <si>
    <t>765115401</t>
  </si>
  <si>
    <t>Montáž střešních doplňků krytiny keramické protisněhové zábrany háku</t>
  </si>
  <si>
    <t>871566051</t>
  </si>
  <si>
    <t>https://podminky.urs.cz/item/CS_URS_2022_02/765115401</t>
  </si>
  <si>
    <t>1100 "K10</t>
  </si>
  <si>
    <t>207</t>
  </si>
  <si>
    <t>59660249</t>
  </si>
  <si>
    <t>hák protisněhový keramické drážkové velkoformátové krytiny</t>
  </si>
  <si>
    <t>1067656031</t>
  </si>
  <si>
    <t>1100*1,01 'Přepočtené koeficientem množství</t>
  </si>
  <si>
    <t>208</t>
  </si>
  <si>
    <t>765115421</t>
  </si>
  <si>
    <t>Montáž střešních doplňků krytiny keramické bezpečnostního háku</t>
  </si>
  <si>
    <t>-1919725210</t>
  </si>
  <si>
    <t>https://podminky.urs.cz/item/CS_URS_2022_02/765115421</t>
  </si>
  <si>
    <t>209</t>
  </si>
  <si>
    <t>59660887</t>
  </si>
  <si>
    <t>hák Pz bezpečnostní střešní d 220mm</t>
  </si>
  <si>
    <t>-1289846741</t>
  </si>
  <si>
    <t>210</t>
  </si>
  <si>
    <t>765191001</t>
  </si>
  <si>
    <t>Montáž pojistné hydroizolační nebo parotěsné fólie kladené ve sklonu do 20° lepením (vodotěsné podstřeší) na bednění nebo tepelnou izolaci</t>
  </si>
  <si>
    <t>45596160</t>
  </si>
  <si>
    <t>https://podminky.urs.cz/item/CS_URS_2022_02/765191001</t>
  </si>
  <si>
    <t>211</t>
  </si>
  <si>
    <t>-1625191222</t>
  </si>
  <si>
    <t>29*1,15 'Přepočtené koeficientem množství</t>
  </si>
  <si>
    <t>212</t>
  </si>
  <si>
    <t>765191021</t>
  </si>
  <si>
    <t>Montáž pojistné hydroizolační nebo parotěsné fólie kladené ve sklonu přes 20° s lepenými přesahy na krokve</t>
  </si>
  <si>
    <t>-1059078700</t>
  </si>
  <si>
    <t>https://podminky.urs.cz/item/CS_URS_2022_02/765191021</t>
  </si>
  <si>
    <t>213</t>
  </si>
  <si>
    <t>63150818</t>
  </si>
  <si>
    <t>fólie kontaktní difuzně propustná pro doplňkovou hydroizolační vrstvu, jednovrstvá mikrovláknitá s reflexní a funkční vrstvou tl 175μm</t>
  </si>
  <si>
    <t>-1487850326</t>
  </si>
  <si>
    <t>866*1,15 'Přepočtené koeficientem množství</t>
  </si>
  <si>
    <t>214</t>
  </si>
  <si>
    <t>765191045</t>
  </si>
  <si>
    <t>Montáž pojistné hydroizolační nebo parotěsné fólie v místech střešních prostupů plochy jednotlivě přes 1 m2</t>
  </si>
  <si>
    <t>1592830331</t>
  </si>
  <si>
    <t>https://podminky.urs.cz/item/CS_URS_2022_02/765191045</t>
  </si>
  <si>
    <t>24 "kolem střešních oken</t>
  </si>
  <si>
    <t>215</t>
  </si>
  <si>
    <t>765191051</t>
  </si>
  <si>
    <t>Montáž pojistné hydroizolační nebo parotěsné fólie hřebene nebo nároží, střechy větrané</t>
  </si>
  <si>
    <t>1312836516</t>
  </si>
  <si>
    <t>https://podminky.urs.cz/item/CS_URS_2022_02/765191051</t>
  </si>
  <si>
    <t>(8+26,8+7,8+5,6)*2</t>
  </si>
  <si>
    <t>216</t>
  </si>
  <si>
    <t>765191071</t>
  </si>
  <si>
    <t>Montáž pojistné hydroizolační nebo parotěsné fólie okapu přesahem na okapnici</t>
  </si>
  <si>
    <t>1017670370</t>
  </si>
  <si>
    <t>https://podminky.urs.cz/item/CS_URS_2022_02/765191071</t>
  </si>
  <si>
    <t>217</t>
  </si>
  <si>
    <t>765191091</t>
  </si>
  <si>
    <t>Montáž pojistné hydroizolační nebo parotěsné fólie Příplatek k cenám montáže na bednění nebo tepelnou izolaci za sklon přes 30°</t>
  </si>
  <si>
    <t>1305039551</t>
  </si>
  <si>
    <t>https://podminky.urs.cz/item/CS_URS_2022_02/765191091</t>
  </si>
  <si>
    <t>218</t>
  </si>
  <si>
    <t>998765203</t>
  </si>
  <si>
    <t>Přesun hmot pro krytiny skládané stanovený procentní sazbou (%) z ceny vodorovná dopravní vzdálenost do 50 m v objektech výšky přes 12 do 24 m</t>
  </si>
  <si>
    <t>1313889628</t>
  </si>
  <si>
    <t>https://podminky.urs.cz/item/CS_URS_2022_02/998765203</t>
  </si>
  <si>
    <t>219</t>
  </si>
  <si>
    <t>766231113</t>
  </si>
  <si>
    <t>Montáž sklápěcích schodů na půdu s vyřezáním otvoru a kompletizací</t>
  </si>
  <si>
    <t>-2023636502</t>
  </si>
  <si>
    <t>https://podminky.urs.cz/item/CS_URS_2022_02/766231113</t>
  </si>
  <si>
    <t>2 "výlez na půdu</t>
  </si>
  <si>
    <t>220</t>
  </si>
  <si>
    <t>5534758x</t>
  </si>
  <si>
    <t>schody skládací protipožární, El 30 130x70cm</t>
  </si>
  <si>
    <t>2004365029</t>
  </si>
  <si>
    <t>234</t>
  </si>
  <si>
    <t>766671023</t>
  </si>
  <si>
    <t>Montáž střešních oken dřevěných nebo plastových kyvných, výklopných/kyvných s okenním rámem a lemováním, s plisovaným límcem, s napojením na krytinu do krytiny tvarované, rozměru 78 x 98 cm</t>
  </si>
  <si>
    <t>-561571888</t>
  </si>
  <si>
    <t>https://podminky.urs.cz/item/CS_URS_2022_02/766671023</t>
  </si>
  <si>
    <t>2 "okno O6</t>
  </si>
  <si>
    <t>235</t>
  </si>
  <si>
    <t>61124828</t>
  </si>
  <si>
    <t>okno střešní dřevěné bílé PU povrch výklopně-kyvné, izolační trojsklo 78x98cm, Uw=1,1W/m2K Al oplechování</t>
  </si>
  <si>
    <t>63619479</t>
  </si>
  <si>
    <t>236</t>
  </si>
  <si>
    <t>61124152</t>
  </si>
  <si>
    <t>lemování střešních oken na profilované krytiny 78x98cm</t>
  </si>
  <si>
    <t>-442517571</t>
  </si>
  <si>
    <t>237</t>
  </si>
  <si>
    <t>61124232</t>
  </si>
  <si>
    <t>manžeta z parotěsné fólie pro střešní okno 78x98cm</t>
  </si>
  <si>
    <t>1886928806</t>
  </si>
  <si>
    <t>238</t>
  </si>
  <si>
    <t>61124049</t>
  </si>
  <si>
    <t>zateplovací sada střešních oken rám 78x98cm</t>
  </si>
  <si>
    <t>-1478411592</t>
  </si>
  <si>
    <t>239</t>
  </si>
  <si>
    <t>766671026</t>
  </si>
  <si>
    <t>Montáž střešních oken dřevěných nebo plastových kyvných, výklopných/kyvných s okenním rámem a lemováním, s plisovaným límcem, s napojením na krytinu do krytiny tvarované, rozměru 78 x 160 cm</t>
  </si>
  <si>
    <t>398089789</t>
  </si>
  <si>
    <t>https://podminky.urs.cz/item/CS_URS_2022_02/766671026</t>
  </si>
  <si>
    <t>2 "pozice O5</t>
  </si>
  <si>
    <t>240</t>
  </si>
  <si>
    <t>61124829</t>
  </si>
  <si>
    <t>okno střešní dřevěné bílé PU povrch výklopně-kyvné, izolační trojsklo 78x160cm, Uw=1,1W/m2K Al oplechování</t>
  </si>
  <si>
    <t>-1034359624</t>
  </si>
  <si>
    <t>241</t>
  </si>
  <si>
    <t>61124155</t>
  </si>
  <si>
    <t>lemování střešních oken na profilované krytiny 78x160cm</t>
  </si>
  <si>
    <t>257493337</t>
  </si>
  <si>
    <t>242</t>
  </si>
  <si>
    <t>61124235</t>
  </si>
  <si>
    <t>manžeta z parotěsné fólie pro střešní okno 78x160cm</t>
  </si>
  <si>
    <t>1530033757</t>
  </si>
  <si>
    <t>243</t>
  </si>
  <si>
    <t>61124062</t>
  </si>
  <si>
    <t>zateplovací sada střešních oken rám 78x160cm</t>
  </si>
  <si>
    <t>-1164330565</t>
  </si>
  <si>
    <t>244</t>
  </si>
  <si>
    <t>76667103x</t>
  </si>
  <si>
    <t>Montáž střešních oken dřevěných nebo plastových kyvných, výklopných/kyvných s okenním rámem a lemováním, s plisovaným límcem, s napojením na krytinu do krytiny tvarované, rozměru 114 x 160 cm</t>
  </si>
  <si>
    <t>1353927984</t>
  </si>
  <si>
    <t>22 "pozice O1</t>
  </si>
  <si>
    <t>245</t>
  </si>
  <si>
    <t>61124835</t>
  </si>
  <si>
    <t>okno střešní dřevěné bílé PU povrch výklopně-kyvné, izolační trojsklo 114x160cm, Uw=1,1W/m2K Al oplechování</t>
  </si>
  <si>
    <t>686051278</t>
  </si>
  <si>
    <t>246</t>
  </si>
  <si>
    <t>6112415x</t>
  </si>
  <si>
    <t>lemování střešních oken na profilované krytiny 114x160cm</t>
  </si>
  <si>
    <t>-119302721</t>
  </si>
  <si>
    <t>247</t>
  </si>
  <si>
    <t>6112423x</t>
  </si>
  <si>
    <t>manžeta z parotěsné fólie pro střešní okno 114x160cm</t>
  </si>
  <si>
    <t>-1237366930</t>
  </si>
  <si>
    <t>248</t>
  </si>
  <si>
    <t>6112406x</t>
  </si>
  <si>
    <t>zateplovací sada střešních oken rám 114x160cm</t>
  </si>
  <si>
    <t>824213445</t>
  </si>
  <si>
    <t>249</t>
  </si>
  <si>
    <t>766694112</t>
  </si>
  <si>
    <t>Montáž ostatních truhlářských konstrukcí parapetních desek dřevěných nebo plastových šířky do 300 mm, délky přes 1000 do 1600 mm</t>
  </si>
  <si>
    <t>1131802924</t>
  </si>
  <si>
    <t>https://podminky.urs.cz/item/CS_URS_2022_02/766694112</t>
  </si>
  <si>
    <t>3 "okno na schodišti</t>
  </si>
  <si>
    <t>250</t>
  </si>
  <si>
    <t>60794102</t>
  </si>
  <si>
    <t>parapet dřevotřískový vnitřní povrch laminátový š 260mm</t>
  </si>
  <si>
    <t>-524044125</t>
  </si>
  <si>
    <t>3*1,2 "okno na schodišti</t>
  </si>
  <si>
    <t>251</t>
  </si>
  <si>
    <t>60794003</t>
  </si>
  <si>
    <t>parapet dřevotřískový vnitřní povrch laminátový zažehlené hrany</t>
  </si>
  <si>
    <t>444093473</t>
  </si>
  <si>
    <t>252</t>
  </si>
  <si>
    <t>766694113</t>
  </si>
  <si>
    <t>Montáž ostatních truhlářských konstrukcí parapetních desek dřevěných nebo plastových šířky do 300 mm, délky přes 1600 do 2600 mm</t>
  </si>
  <si>
    <t>-1482105163</t>
  </si>
  <si>
    <t>https://podminky.urs.cz/item/CS_URS_2022_02/766694113</t>
  </si>
  <si>
    <t>1 "okno v 4.NP štítová stěna</t>
  </si>
  <si>
    <t>253</t>
  </si>
  <si>
    <t>-1549387864</t>
  </si>
  <si>
    <t>254</t>
  </si>
  <si>
    <t>71164051</t>
  </si>
  <si>
    <t>255</t>
  </si>
  <si>
    <t>766-spec.01</t>
  </si>
  <si>
    <t>Příplatek ovládání okna elektronicky</t>
  </si>
  <si>
    <t>749237417</t>
  </si>
  <si>
    <t>2 "§2 dle výkresu 4.NP nový stav</t>
  </si>
  <si>
    <t>256</t>
  </si>
  <si>
    <t>766-spec.02</t>
  </si>
  <si>
    <t>Z/01 Dřevěné madlo na ocelové konstrukci dl. 3380 mm</t>
  </si>
  <si>
    <t>-1891514163</t>
  </si>
  <si>
    <t>5 "Z/01</t>
  </si>
  <si>
    <t>257</t>
  </si>
  <si>
    <t>766-spec.03</t>
  </si>
  <si>
    <t>Z/05 Dřevěné madlo na ocelové konstrukci dl. 3690 mm</t>
  </si>
  <si>
    <t>-1315788940</t>
  </si>
  <si>
    <t>1 "Z/05</t>
  </si>
  <si>
    <t>258</t>
  </si>
  <si>
    <t>766-spec.04</t>
  </si>
  <si>
    <t>Repase stávajících madel na hl.schodišti v horní části 4.NP</t>
  </si>
  <si>
    <t>-663415849</t>
  </si>
  <si>
    <t>364</t>
  </si>
  <si>
    <t>766-spec.05</t>
  </si>
  <si>
    <t>Mobiliář - laboratorní vybavení učebny (viz.samostatný rozpočet)</t>
  </si>
  <si>
    <t>68490620</t>
  </si>
  <si>
    <t>366</t>
  </si>
  <si>
    <t>766-spec.06</t>
  </si>
  <si>
    <t>D1 dodávka a montáž dveří 900/1970 mm vč. zárubně a kování (přesný popis viz.tabulka prvků)</t>
  </si>
  <si>
    <t>-1481058668</t>
  </si>
  <si>
    <t>367</t>
  </si>
  <si>
    <t>766-spec.07</t>
  </si>
  <si>
    <t>D2 dodávka a montáž dveří 900/1970 mm vč. zárubně a kování (přesný popis viz.tabulka prvků)</t>
  </si>
  <si>
    <t>-1015938311</t>
  </si>
  <si>
    <t>1 "levé</t>
  </si>
  <si>
    <t>4 "pravé</t>
  </si>
  <si>
    <t>368</t>
  </si>
  <si>
    <t>766-spec.08</t>
  </si>
  <si>
    <t>D3 dodávka a montáž dveří 700/1970 mm vč. zárubně a kování (přesný popis viz.tabulka prvků)</t>
  </si>
  <si>
    <t>1638502439</t>
  </si>
  <si>
    <t>1 "pravé</t>
  </si>
  <si>
    <t>2 "levé</t>
  </si>
  <si>
    <t>369</t>
  </si>
  <si>
    <t>766-spec.09</t>
  </si>
  <si>
    <t>D4 dodávka a montáž dveří 700/1970 mm vč. zárubně a kování (přesný popis viz.tabulka prvků)</t>
  </si>
  <si>
    <t>1704347365</t>
  </si>
  <si>
    <t>371</t>
  </si>
  <si>
    <t>766-spec.11</t>
  </si>
  <si>
    <t>D6 dodávka a montáž dveří 900/1970 mm vč. zárubně a kování (přesný popis viz.tabulka prvků)</t>
  </si>
  <si>
    <t>1888947855</t>
  </si>
  <si>
    <t>372</t>
  </si>
  <si>
    <t>766-spec.12</t>
  </si>
  <si>
    <t>D7 dodávka a montáž dveří 900/1970 mm vč. zárubně a kování (přesný popis viz.tabulka prvků)</t>
  </si>
  <si>
    <t>845431636</t>
  </si>
  <si>
    <t>374</t>
  </si>
  <si>
    <t>766-spec.14</t>
  </si>
  <si>
    <t>D9 dodávka a montáž dveří 1000/1970 mm vč. zárubně a kování (přesný popis viz.tabulka prvků)</t>
  </si>
  <si>
    <t>1503779141</t>
  </si>
  <si>
    <t>375</t>
  </si>
  <si>
    <t>766-spec.15</t>
  </si>
  <si>
    <t>D16 dodávka a montáž dveří 1000/1970 mm vč. zárubně a kování (přesný popis viz.tabulka prvků)</t>
  </si>
  <si>
    <t>1636096815</t>
  </si>
  <si>
    <t>382</t>
  </si>
  <si>
    <t>766-spec.16</t>
  </si>
  <si>
    <t>Z/07 Dřevěné madlo na ocelové konstrukci dl. 3050 mm</t>
  </si>
  <si>
    <t>569690285</t>
  </si>
  <si>
    <t>1 "Z/07</t>
  </si>
  <si>
    <t>259</t>
  </si>
  <si>
    <t>998766203</t>
  </si>
  <si>
    <t>Přesun hmot pro konstrukce truhlářské stanovený procentní sazbou (%) z ceny vodorovná dopravní vzdálenost do 50 m v objektech výšky přes 12 do 24 m</t>
  </si>
  <si>
    <t>2140423945</t>
  </si>
  <si>
    <t>https://podminky.urs.cz/item/CS_URS_2022_02/998766203</t>
  </si>
  <si>
    <t>767</t>
  </si>
  <si>
    <t>Konstrukce zámečnické</t>
  </si>
  <si>
    <t>260</t>
  </si>
  <si>
    <t>767610127</t>
  </si>
  <si>
    <t>Montáž oken jednoduchých z hliníkových nebo ocelových profilů na polyuretanovou pěnu otevíravých do zdiva, plochy přes 1,5 do 2,5 m2</t>
  </si>
  <si>
    <t>1543897962</t>
  </si>
  <si>
    <t>https://podminky.urs.cz/item/CS_URS_2022_02/767610127</t>
  </si>
  <si>
    <t>1,85*1,65 "okno v 4.NP štítová stěna</t>
  </si>
  <si>
    <t>261</t>
  </si>
  <si>
    <t>55341013</t>
  </si>
  <si>
    <t>okno Al otevíravé/sklopné trojsklo přes plochu 1m2 v 1,5-2,5m</t>
  </si>
  <si>
    <t>-998995063</t>
  </si>
  <si>
    <t>262</t>
  </si>
  <si>
    <t>767610128</t>
  </si>
  <si>
    <t>Montáž oken jednoduchých z hliníkových nebo ocelových profilů na polyuretanovou pěnu otevíravých do zdiva, plochy přes 2,5 m2</t>
  </si>
  <si>
    <t>-1306492447</t>
  </si>
  <si>
    <t>https://podminky.urs.cz/item/CS_URS_2022_02/767610128</t>
  </si>
  <si>
    <t>1,2*2,4*3 "okno na schodišti</t>
  </si>
  <si>
    <t>263</t>
  </si>
  <si>
    <t>1813209835</t>
  </si>
  <si>
    <t>264</t>
  </si>
  <si>
    <t>767627306</t>
  </si>
  <si>
    <t>Montáž oken zdvojených Příplatek k cenám za připojovací spáru mezi ostěním a rámem vnitřní parotěsnou páskou</t>
  </si>
  <si>
    <t>-1171600024</t>
  </si>
  <si>
    <t>https://podminky.urs.cz/item/CS_URS_2022_02/767627306</t>
  </si>
  <si>
    <t>(1,85*2+1,65*2) "okno v 4.NP štítová stěna</t>
  </si>
  <si>
    <t>(1,2*2+2,4*2)*3 "okno na schodišti</t>
  </si>
  <si>
    <t>(1,2*2+2,1*2) "vstupní dveře na schodiště</t>
  </si>
  <si>
    <t>265</t>
  </si>
  <si>
    <t>767627307</t>
  </si>
  <si>
    <t>Montáž oken zdvojených Příplatek k cenám za připojovací spáru mezi ostěním a rámem venkovní paropropustnou páskou</t>
  </si>
  <si>
    <t>-1942884006</t>
  </si>
  <si>
    <t>https://podminky.urs.cz/item/CS_URS_2022_02/767627307</t>
  </si>
  <si>
    <t>271</t>
  </si>
  <si>
    <t>767995113</t>
  </si>
  <si>
    <t>Montáž ostatních atypických zámečnických konstrukcí hmotnosti přes 10 do 20 kg</t>
  </si>
  <si>
    <t>kg</t>
  </si>
  <si>
    <t>-168629871</t>
  </si>
  <si>
    <t>https://podminky.urs.cz/item/CS_URS_2022_02/767995113</t>
  </si>
  <si>
    <t>14*3*21,9 "nosník vnitřního schodiště I180</t>
  </si>
  <si>
    <t>(10*3,5+2*3+2*3,65)*18,8 "nosník vnitřního schodiště U160</t>
  </si>
  <si>
    <t>272</t>
  </si>
  <si>
    <t>13010720</t>
  </si>
  <si>
    <t>ocel profilová jakost S235JR (11 375) průřez I (IPN) 180</t>
  </si>
  <si>
    <t>-486048789</t>
  </si>
  <si>
    <t>14*3*21,9/1000 "nosník vnitřního schodiště I180</t>
  </si>
  <si>
    <t>0,92*1,1 'Přepočtené koeficientem množství</t>
  </si>
  <si>
    <t>273</t>
  </si>
  <si>
    <t>13010822</t>
  </si>
  <si>
    <t>ocel profilová jakost S235JR (11 375) průřez U (UPN) 160</t>
  </si>
  <si>
    <t>-1778230284</t>
  </si>
  <si>
    <t>(10*3,5+2*3+2*3,65)*18,8/1000 "nosník vnitřního schodiště U160</t>
  </si>
  <si>
    <t>0,908*1,1 'Přepočtené koeficientem množství</t>
  </si>
  <si>
    <t>274</t>
  </si>
  <si>
    <t>767995114</t>
  </si>
  <si>
    <t>Montáž ostatních atypických zámečnických konstrukcí hmotnosti přes 20 do 50 kg</t>
  </si>
  <si>
    <t>265911988</t>
  </si>
  <si>
    <t>https://podminky.urs.cz/item/CS_URS_2022_02/767995114</t>
  </si>
  <si>
    <t>31465 "ocelová konstrukce krovu</t>
  </si>
  <si>
    <t>275</t>
  </si>
  <si>
    <t>-957232254</t>
  </si>
  <si>
    <t>1316/1000 "pozice 1</t>
  </si>
  <si>
    <t>676,8/1000 "pozice 12</t>
  </si>
  <si>
    <t>676,8/1000 "pozice 21</t>
  </si>
  <si>
    <t>372,24/1000 "pozice 22</t>
  </si>
  <si>
    <t>251,92 /1000 "pozice 23</t>
  </si>
  <si>
    <t>432,4/1000 "pozice 24</t>
  </si>
  <si>
    <t>3,726*1,1 'Přepočtené koeficientem množství</t>
  </si>
  <si>
    <t>276</t>
  </si>
  <si>
    <t>13010826</t>
  </si>
  <si>
    <t>ocel profilová jakost S235JR (11 375) průřez U (UPN) 200</t>
  </si>
  <si>
    <t>-1668061879</t>
  </si>
  <si>
    <t>2605,9/1000 "pozice 27</t>
  </si>
  <si>
    <t>2,606*1,1 'Přepočtené koeficientem množství</t>
  </si>
  <si>
    <t>277</t>
  </si>
  <si>
    <t>13010830</t>
  </si>
  <si>
    <t>ocel profilová jakost S235JR (11 375) průřez U (UPN) 240</t>
  </si>
  <si>
    <t>-1005543798</t>
  </si>
  <si>
    <t>166/1000 "pozice 2</t>
  </si>
  <si>
    <t>2704 /1000 "pozice 3</t>
  </si>
  <si>
    <t>2704/1000 "pozice 4</t>
  </si>
  <si>
    <t>916/1000 "pozice 5</t>
  </si>
  <si>
    <t>916/1000 "pozice 6</t>
  </si>
  <si>
    <t>916/1000 "pozice 7</t>
  </si>
  <si>
    <t>1003/1000 "pozice 8</t>
  </si>
  <si>
    <t>1096/1000 "pozice 10</t>
  </si>
  <si>
    <t>1096/1000 "pozice 11</t>
  </si>
  <si>
    <t>863/1000 "pozice 13</t>
  </si>
  <si>
    <t>863/1000 "pozice 14</t>
  </si>
  <si>
    <t>1135/1000 "pozice 15</t>
  </si>
  <si>
    <t>1135/1000 "pozice 16</t>
  </si>
  <si>
    <t>863/1000 "pozice 17</t>
  </si>
  <si>
    <t>863/1000 "pozice 18</t>
  </si>
  <si>
    <t>903/1000 "pozice 19</t>
  </si>
  <si>
    <t>903/1000 "pozice 20</t>
  </si>
  <si>
    <t>19,045*1,1 'Přepočtené koeficientem množství</t>
  </si>
  <si>
    <t>278</t>
  </si>
  <si>
    <t>14550301</t>
  </si>
  <si>
    <t>profil ocelový svařovaný jakost S235 průřez čtvercový 100x100x5mm</t>
  </si>
  <si>
    <t>-1522801746</t>
  </si>
  <si>
    <t>117,6/1000 "pozice 9</t>
  </si>
  <si>
    <t>0,118*1,1 'Přepočtené koeficientem množství</t>
  </si>
  <si>
    <t>279</t>
  </si>
  <si>
    <t>13611228</t>
  </si>
  <si>
    <t>plech ocelový hladký jakost S235JR tl 10mm tabule</t>
  </si>
  <si>
    <t>1791899404</t>
  </si>
  <si>
    <t>128,79/1000 "pozice 25</t>
  </si>
  <si>
    <t>572,4/1000 "pozice 30</t>
  </si>
  <si>
    <t>0,701*1,1 'Přepočtené koeficientem množství</t>
  </si>
  <si>
    <t>280</t>
  </si>
  <si>
    <t>13611248</t>
  </si>
  <si>
    <t>plech ocelový hladký jakost S235JR tl 20mm tabule</t>
  </si>
  <si>
    <t>-1806756717</t>
  </si>
  <si>
    <t>1188/1000 "pozice 26</t>
  </si>
  <si>
    <t>1,188*1,1 'Přepočtené koeficientem množství</t>
  </si>
  <si>
    <t>281</t>
  </si>
  <si>
    <t>13011059</t>
  </si>
  <si>
    <t>úhelník ocelový nerovnostranný jakost S235JR (11 375) 150x100x12mm</t>
  </si>
  <si>
    <t>302378374</t>
  </si>
  <si>
    <t>115/1000 "pozice 28</t>
  </si>
  <si>
    <t>2668/1000 "pozice 31</t>
  </si>
  <si>
    <t>2,783*1,1 'Přepočtené koeficientem množství</t>
  </si>
  <si>
    <t>282</t>
  </si>
  <si>
    <t>13010017</t>
  </si>
  <si>
    <t>tyč ocelová kruhová jakost S235JR (11 375) D 24mm</t>
  </si>
  <si>
    <t>-1542034806</t>
  </si>
  <si>
    <t>1296/1000 "pozice 29</t>
  </si>
  <si>
    <t>1,296*1,1 'Přepočtené koeficientem množství</t>
  </si>
  <si>
    <t>283</t>
  </si>
  <si>
    <t>767-spec.02</t>
  </si>
  <si>
    <t>Z/02 Ocelové zábradlí s dřevěným madlem dl. 200 mm</t>
  </si>
  <si>
    <t>-2077645333</t>
  </si>
  <si>
    <t>6 "Z/02</t>
  </si>
  <si>
    <t>284</t>
  </si>
  <si>
    <t>767-spec.03</t>
  </si>
  <si>
    <t>Z/03 Ocelové zábradlí s dřevěným madlem dl. 1350 mm</t>
  </si>
  <si>
    <t>602813772</t>
  </si>
  <si>
    <t>1 "Z/03</t>
  </si>
  <si>
    <t>285</t>
  </si>
  <si>
    <t>767-spec.04</t>
  </si>
  <si>
    <t>Z/04 Ocelové zábradlí s dřevěným madlem dl. 3380 mm</t>
  </si>
  <si>
    <t>-1928740860</t>
  </si>
  <si>
    <t>5 "Z/04</t>
  </si>
  <si>
    <t>286</t>
  </si>
  <si>
    <t>767-spec.05</t>
  </si>
  <si>
    <t>Z/08 Zábradlí na šikmé části prvního nástupního ramene dl. 3050 mm</t>
  </si>
  <si>
    <t>1066659216</t>
  </si>
  <si>
    <t>1 "Z/08</t>
  </si>
  <si>
    <t>287</t>
  </si>
  <si>
    <t>767-spec.06</t>
  </si>
  <si>
    <t>Ocelová konstrukce na střeše pro VZT</t>
  </si>
  <si>
    <t>1954117140</t>
  </si>
  <si>
    <t>1 "Z/09</t>
  </si>
  <si>
    <t>381</t>
  </si>
  <si>
    <t>767-spec.07</t>
  </si>
  <si>
    <t>Z/06 Zábradlí na šikmé části posledního ramene dl. 3690 mm</t>
  </si>
  <si>
    <t>962132539</t>
  </si>
  <si>
    <t>1 "Z/06</t>
  </si>
  <si>
    <t>383</t>
  </si>
  <si>
    <t>767-spec.08</t>
  </si>
  <si>
    <t>Částečná demontáž výtahu a zpětná instalace</t>
  </si>
  <si>
    <t>-72755743</t>
  </si>
  <si>
    <t>384</t>
  </si>
  <si>
    <t>31452106</t>
  </si>
  <si>
    <t>lano ocelové šestipramenné Pz 6x19 drátů D 8,0mm</t>
  </si>
  <si>
    <t>-365261205</t>
  </si>
  <si>
    <t>385</t>
  </si>
  <si>
    <t>31452105</t>
  </si>
  <si>
    <t>lano ocelové šestipramenné Pz 6x19 drátů D 6,3mm</t>
  </si>
  <si>
    <t>-1592772815</t>
  </si>
  <si>
    <t>386</t>
  </si>
  <si>
    <t>767-spec.09</t>
  </si>
  <si>
    <t>vodící profil T82</t>
  </si>
  <si>
    <t>-629320561</t>
  </si>
  <si>
    <t>387</t>
  </si>
  <si>
    <t>767-spec.10</t>
  </si>
  <si>
    <t>vodiící profil HT60</t>
  </si>
  <si>
    <t>-22991706</t>
  </si>
  <si>
    <t>388</t>
  </si>
  <si>
    <t>767-spec.11</t>
  </si>
  <si>
    <t>kotvicí a spojovací materiál</t>
  </si>
  <si>
    <t>-229799075</t>
  </si>
  <si>
    <t>389</t>
  </si>
  <si>
    <t>767-spec.12</t>
  </si>
  <si>
    <t>elektroinstalační materiál</t>
  </si>
  <si>
    <t>-13679175</t>
  </si>
  <si>
    <t>390</t>
  </si>
  <si>
    <t>767-spec.13</t>
  </si>
  <si>
    <t>Zanesení změn v dokumentaci výtahu vč. provedení revizních zkoušek dle norem</t>
  </si>
  <si>
    <t>1860723918</t>
  </si>
  <si>
    <t>288</t>
  </si>
  <si>
    <t>998767203</t>
  </si>
  <si>
    <t>Přesun hmot pro zámečnické konstrukce stanovený procentní sazbou (%) z ceny vodorovná dopravní vzdálenost do 50 m v objektech výšky přes 12 do 24 m</t>
  </si>
  <si>
    <t>1979085392</t>
  </si>
  <si>
    <t>https://podminky.urs.cz/item/CS_URS_2022_02/998767203</t>
  </si>
  <si>
    <t>289</t>
  </si>
  <si>
    <t>771111011</t>
  </si>
  <si>
    <t>Příprava podkladu před provedením dlažby vysátí podlah</t>
  </si>
  <si>
    <t>235167633</t>
  </si>
  <si>
    <t>https://podminky.urs.cz/item/CS_URS_2022_02/771111011</t>
  </si>
  <si>
    <t>2,6*1,3*3+2,6*1,5*3 "skladba P2a</t>
  </si>
  <si>
    <t>8,98+9,14+4,14 "skladba P1b</t>
  </si>
  <si>
    <t>290</t>
  </si>
  <si>
    <t>771111012</t>
  </si>
  <si>
    <t>Příprava podkladu před provedením dlažby vysátí schodišť</t>
  </si>
  <si>
    <t>-994961697</t>
  </si>
  <si>
    <t>https://podminky.urs.cz/item/CS_URS_2022_02/771111012</t>
  </si>
  <si>
    <t>1,3*10+1,3*11*5+1,3*12 "vnitřní schodiště</t>
  </si>
  <si>
    <t>291</t>
  </si>
  <si>
    <t>771121011</t>
  </si>
  <si>
    <t>Příprava podkladu před provedením dlažby nátěr penetrační na podlahu</t>
  </si>
  <si>
    <t>1244956568</t>
  </si>
  <si>
    <t>https://podminky.urs.cz/item/CS_URS_2022_02/771121011</t>
  </si>
  <si>
    <t>0,275*1,3*10+0,275*1,3*11*5+0,275*1,3*12 "vnitřní schodiště</t>
  </si>
  <si>
    <t>292</t>
  </si>
  <si>
    <t>771151012</t>
  </si>
  <si>
    <t>Příprava podkladu před provedením dlažby samonivelační stěrka min.pevnosti 20 MPa, tloušťky přes 3 do 5 mm</t>
  </si>
  <si>
    <t>-1174288066</t>
  </si>
  <si>
    <t>https://podminky.urs.cz/item/CS_URS_2022_02/771151012</t>
  </si>
  <si>
    <t>293</t>
  </si>
  <si>
    <t>771161022</t>
  </si>
  <si>
    <t>Příprava podkladu před provedením dlažby montáž profilu ukončujícího profilu pro schodové hrany a ukončení dlažby</t>
  </si>
  <si>
    <t>-353303166</t>
  </si>
  <si>
    <t>https://podminky.urs.cz/item/CS_URS_2022_02/771161022</t>
  </si>
  <si>
    <t>294</t>
  </si>
  <si>
    <t>59054143</t>
  </si>
  <si>
    <t>profil schodový protiskluzový ušlechtilá ocel V2A R10 V6 8x1000mm</t>
  </si>
  <si>
    <t>1399823418</t>
  </si>
  <si>
    <t>100,1*1,1 'Přepočtené koeficientem množství</t>
  </si>
  <si>
    <t>295</t>
  </si>
  <si>
    <t>771274123</t>
  </si>
  <si>
    <t>Montáž obkladů schodišť z dlaždic keramických lepených flexibilním lepidlem stupnic protiskluzných nebo reliéfních, šířky přes 250 do 300 mm</t>
  </si>
  <si>
    <t>997277458</t>
  </si>
  <si>
    <t>https://podminky.urs.cz/item/CS_URS_2022_02/771274123</t>
  </si>
  <si>
    <t>296</t>
  </si>
  <si>
    <t>59761409</t>
  </si>
  <si>
    <t>dlažba keramická slinutá protiskluzná do interiéru i exteriéru pro vysoké mechanické namáhání přes 9 do 12ks/m2</t>
  </si>
  <si>
    <t>-2139772679</t>
  </si>
  <si>
    <t>27,528*1,2 'Přepočtené koeficientem množství</t>
  </si>
  <si>
    <t>297</t>
  </si>
  <si>
    <t>771274232</t>
  </si>
  <si>
    <t>Montáž obkladů schodišť z dlaždic keramických lepených flexibilním lepidlem podstupnic hladkých, výšky přes 150 do 200 mm</t>
  </si>
  <si>
    <t>-2104652742</t>
  </si>
  <si>
    <t>https://podminky.urs.cz/item/CS_URS_2022_02/771274232</t>
  </si>
  <si>
    <t>298</t>
  </si>
  <si>
    <t>1620867285</t>
  </si>
  <si>
    <t>18,619*1,1 'Přepočtené koeficientem množství</t>
  </si>
  <si>
    <t>299</t>
  </si>
  <si>
    <t>771474113</t>
  </si>
  <si>
    <t>Montáž soklů z dlaždic keramických lepených flexibilním lepidlem rovných, výšky přes 90 do 120 mm</t>
  </si>
  <si>
    <t>-434374279</t>
  </si>
  <si>
    <t>https://podminky.urs.cz/item/CS_URS_2022_02/771474113</t>
  </si>
  <si>
    <t>300</t>
  </si>
  <si>
    <t>-925286196</t>
  </si>
  <si>
    <t>49,616*0,144 'Přepočtené koeficientem množství</t>
  </si>
  <si>
    <t>301</t>
  </si>
  <si>
    <t>771474133</t>
  </si>
  <si>
    <t>Montáž soklů z dlaždic keramických lepených flexibilním lepidlem schodišťových stupňovitých, výšky přes 90 do 120 mm</t>
  </si>
  <si>
    <t>801971419</t>
  </si>
  <si>
    <t>https://podminky.urs.cz/item/CS_URS_2022_02/771474133</t>
  </si>
  <si>
    <t>(0,275+0,186+0,12)*10+(0,275+0,186+0,12)*11*5+(0,275+0,186+0,12)*12 "vnitřní schodiště</t>
  </si>
  <si>
    <t>302</t>
  </si>
  <si>
    <t>-1609338621</t>
  </si>
  <si>
    <t>44,737*0,144 'Přepočtené koeficientem množství</t>
  </si>
  <si>
    <t>303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</si>
  <si>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</si>
  <si>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</si>
  <si>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-1031528773</t>
  </si>
  <si>
    <t>https://podminky.urs.cz/item/CS_URS_2022_02/771574263</t>
  </si>
  <si>
    <t>304</t>
  </si>
  <si>
    <t>224212721</t>
  </si>
  <si>
    <t>59,748*1,1 'Přepočtené koeficientem množství</t>
  </si>
  <si>
    <t>305</t>
  </si>
  <si>
    <t>771591112</t>
  </si>
  <si>
    <t>Izolace podlahy pod dlažbu nátěrem nebo stěrkou ve dvou vrstvách</t>
  </si>
  <si>
    <t>1301023037</t>
  </si>
  <si>
    <t>https://podminky.urs.cz/item/CS_URS_2022_02/771591112</t>
  </si>
  <si>
    <t>(18,4-1+0,3+0,3+24,52-1+0,3+0,3)*0,12 "skladba P1b vytaženi na stěnu 12 cm</t>
  </si>
  <si>
    <t>306</t>
  </si>
  <si>
    <t>771591115</t>
  </si>
  <si>
    <t>Podlahy - dokončovací práce spárování silikonem</t>
  </si>
  <si>
    <t>1962312347</t>
  </si>
  <si>
    <t>https://podminky.urs.cz/item/CS_URS_2022_02/771591115</t>
  </si>
  <si>
    <t>6*2+2,608*2 "skladba P2b styk dlažba sokl</t>
  </si>
  <si>
    <t>1,3*10+1,3*11*5+1,3*12 "vnitřní schodiště styk stupen podstupen</t>
  </si>
  <si>
    <t>(0,275+0,186+0,12)*10+(0,275+0,186+0,12)*11*5+(0,275+0,186+0,12)*12 "vnitřní schodiště styk podlaha stěna</t>
  </si>
  <si>
    <t>(2,6+1,3*2)*3+(2,6+1,5*2)*3 "skladba P2a styk dlažba sokl</t>
  </si>
  <si>
    <t>18,4-1+0,3+0,3+24,52-1+0,3+0,3 "skladba P1b styk dlažba obklad</t>
  </si>
  <si>
    <t>307</t>
  </si>
  <si>
    <t>771591117</t>
  </si>
  <si>
    <t>Podlahy - dokončovací práce spárování akrylem</t>
  </si>
  <si>
    <t>751041024</t>
  </si>
  <si>
    <t>https://podminky.urs.cz/item/CS_URS_2022_02/771591117</t>
  </si>
  <si>
    <t>6*2+2,608*2 "skladba P2b horní hrana soklu</t>
  </si>
  <si>
    <t>(0,275+0,186+0,12)*10+(0,275+0,186+0,12)*11*5+(0,275+0,186+0,12)*12 "vnitřní schodiště horni hrana sokklu</t>
  </si>
  <si>
    <t>(2,6+1,3*2)*3+(2,6+1,5*2)*3 "skladba P2a horní hrana soklu</t>
  </si>
  <si>
    <t>308</t>
  </si>
  <si>
    <t>771591241</t>
  </si>
  <si>
    <t>Izolace podlahy pod dlažbu těsnícími izolačními pásy vnitřní kout</t>
  </si>
  <si>
    <t>66278890</t>
  </si>
  <si>
    <t>https://podminky.urs.cz/item/CS_URS_2022_02/771591241</t>
  </si>
  <si>
    <t>13+17 "skladba P1b</t>
  </si>
  <si>
    <t>309</t>
  </si>
  <si>
    <t>771591242</t>
  </si>
  <si>
    <t>Izolace podlahy pod dlažbu těsnícími izolačními pásy vnější roh</t>
  </si>
  <si>
    <t>-1086841967</t>
  </si>
  <si>
    <t>https://podminky.urs.cz/item/CS_URS_2022_02/771591242</t>
  </si>
  <si>
    <t>2 "skladba P1b</t>
  </si>
  <si>
    <t>310</t>
  </si>
  <si>
    <t>771591264</t>
  </si>
  <si>
    <t>Izolace podlahy pod dlažbu těsnícími izolačními pásy mezi podlahou a stěnu</t>
  </si>
  <si>
    <t>-722507993</t>
  </si>
  <si>
    <t>https://podminky.urs.cz/item/CS_URS_2022_02/771591264</t>
  </si>
  <si>
    <t>18,4-1+0,3+0,3+24,52-1+0,3+0,3 "skladba P1b</t>
  </si>
  <si>
    <t>311</t>
  </si>
  <si>
    <t>771592011</t>
  </si>
  <si>
    <t>Čištění vnitřních ploch po položení dlažby podlah nebo schodišť chemickými prostředky</t>
  </si>
  <si>
    <t>-1406529086</t>
  </si>
  <si>
    <t>https://podminky.urs.cz/item/CS_URS_2022_02/771592011</t>
  </si>
  <si>
    <t>(1,3*10+1,3*11*5+1,3*12)*(0,186+0,275) "vnitřní schodiště</t>
  </si>
  <si>
    <t>312</t>
  </si>
  <si>
    <t>998771203</t>
  </si>
  <si>
    <t>Přesun hmot pro podlahy z dlaždic stanovený procentní sazbou (%) z ceny vodorovná dopravní vzdálenost do 50 m v objektech výšky přes 12 do 24 m</t>
  </si>
  <si>
    <t>423704300</t>
  </si>
  <si>
    <t>https://podminky.urs.cz/item/CS_URS_2022_02/998771203</t>
  </si>
  <si>
    <t>776</t>
  </si>
  <si>
    <t>Podlahy povlakové</t>
  </si>
  <si>
    <t>313</t>
  </si>
  <si>
    <t>776111311</t>
  </si>
  <si>
    <t>Příprava podkladu vysátí podlah</t>
  </si>
  <si>
    <t>886264617</t>
  </si>
  <si>
    <t>https://podminky.urs.cz/item/CS_URS_2022_02/776111311</t>
  </si>
  <si>
    <t>92+17,25+54,42+55,34+59,42+43,34+60,25+65,08+30,63 "skladba P1a</t>
  </si>
  <si>
    <t>314</t>
  </si>
  <si>
    <t>776121112</t>
  </si>
  <si>
    <t>Příprava podkladu penetrace vodou ředitelná podlah</t>
  </si>
  <si>
    <t>-4611770</t>
  </si>
  <si>
    <t>https://podminky.urs.cz/item/CS_URS_2022_02/776121112</t>
  </si>
  <si>
    <t>315</t>
  </si>
  <si>
    <t>776141113</t>
  </si>
  <si>
    <t>Příprava podkladu vyrovnání samonivelační stěrkou podlah min.pevnosti 20 MPa, tloušťky přes 5 do 8 mm</t>
  </si>
  <si>
    <t>-2005406986</t>
  </si>
  <si>
    <t>https://podminky.urs.cz/item/CS_URS_2022_02/776141113</t>
  </si>
  <si>
    <t>316</t>
  </si>
  <si>
    <t>776221111</t>
  </si>
  <si>
    <t>Montáž podlahovin z PVC lepením standardním lepidlem z pásů standardních</t>
  </si>
  <si>
    <t>-2067721376</t>
  </si>
  <si>
    <t>https://podminky.urs.cz/item/CS_URS_2022_02/776221111</t>
  </si>
  <si>
    <t>317</t>
  </si>
  <si>
    <t>28412245</t>
  </si>
  <si>
    <t>krytina podlahová heterogenní š 1,5m tl 2mm</t>
  </si>
  <si>
    <t>-777937382</t>
  </si>
  <si>
    <t>477,73*1,1 'Přepočtené koeficientem množství</t>
  </si>
  <si>
    <t>318</t>
  </si>
  <si>
    <t>776411111</t>
  </si>
  <si>
    <t>Montáž soklíků lepením obvodových, výšky do 80 mm</t>
  </si>
  <si>
    <t>-896709426</t>
  </si>
  <si>
    <t>https://podminky.urs.cz/item/CS_URS_2022_02/776411111</t>
  </si>
  <si>
    <t>55,43-0,9*11-1-1,55-3,5+17,7-0,9*2+30,2-0,9+29,5-0,9+31,15-0,9+30,94-0,9+26,35-0,9+32,2-0,9+32,46-0,9 "skladba P1a</t>
  </si>
  <si>
    <t>319</t>
  </si>
  <si>
    <t>28411008</t>
  </si>
  <si>
    <t>lišta soklová PVC 16x60mm</t>
  </si>
  <si>
    <t>-416941622</t>
  </si>
  <si>
    <t>261,88*1,1 'Přepočtené koeficientem množství</t>
  </si>
  <si>
    <t>320</t>
  </si>
  <si>
    <t>776991121</t>
  </si>
  <si>
    <t>Ostatní práce údržba nových podlahovin po pokládce čištění základní</t>
  </si>
  <si>
    <t>-284538019</t>
  </si>
  <si>
    <t>https://podminky.urs.cz/item/CS_URS_2022_02/776991121</t>
  </si>
  <si>
    <t>321</t>
  </si>
  <si>
    <t>998776203</t>
  </si>
  <si>
    <t>Přesun hmot pro podlahy povlakové stanovený procentní sazbou (%) z ceny vodorovná dopravní vzdálenost do 50 m v objektech výšky přes 12 do 24 m</t>
  </si>
  <si>
    <t>174589465</t>
  </si>
  <si>
    <t>https://podminky.urs.cz/item/CS_URS_2022_02/998776203</t>
  </si>
  <si>
    <t>777</t>
  </si>
  <si>
    <t>Podlahy lité</t>
  </si>
  <si>
    <t>322</t>
  </si>
  <si>
    <t>777111111</t>
  </si>
  <si>
    <t>Příprava podkladu před provedením litých podlah vysátí</t>
  </si>
  <si>
    <t>-1507332618</t>
  </si>
  <si>
    <t>https://podminky.urs.cz/item/CS_URS_2022_02/777111111</t>
  </si>
  <si>
    <t>1,62+19,95+4,87 "skladba P1c</t>
  </si>
  <si>
    <t>323</t>
  </si>
  <si>
    <t>777131101</t>
  </si>
  <si>
    <t>Penetrační nátěr podlahy epoxidový na podklad suchý a vyzrálý</t>
  </si>
  <si>
    <t>-829734009</t>
  </si>
  <si>
    <t>https://podminky.urs.cz/item/CS_URS_2022_02/777131101</t>
  </si>
  <si>
    <t>324</t>
  </si>
  <si>
    <t>777511103</t>
  </si>
  <si>
    <t>Krycí stěrka dekorativní epoxidová, tloušťky přes 1 do 2 mm</t>
  </si>
  <si>
    <t>-1797646177</t>
  </si>
  <si>
    <t>https://podminky.urs.cz/item/CS_URS_2022_02/777511103</t>
  </si>
  <si>
    <t>325</t>
  </si>
  <si>
    <t>777611101</t>
  </si>
  <si>
    <t>Krycí nátěr podlahy dekorativní epoxidový</t>
  </si>
  <si>
    <t>-1152754939</t>
  </si>
  <si>
    <t>https://podminky.urs.cz/item/CS_URS_2022_02/777611101</t>
  </si>
  <si>
    <t>326</t>
  </si>
  <si>
    <t>777911113</t>
  </si>
  <si>
    <t>Napojení na stěnu nebo sokl fabionem z epoxidové stěrky plněné pískem a výplňovým spárovým profilem s trvale pružným tmelem pohyblivé</t>
  </si>
  <si>
    <t>-90565434</t>
  </si>
  <si>
    <t>https://podminky.urs.cz/item/CS_URS_2022_02/777911113</t>
  </si>
  <si>
    <t>5,02-0,9-0,7-1+19,92-1+8,9-0,7 "skladba P1c</t>
  </si>
  <si>
    <t>327</t>
  </si>
  <si>
    <t>998777203</t>
  </si>
  <si>
    <t>Přesun hmot pro podlahy lité stanovený procentní sazbou (%) z ceny vodorovná dopravní vzdálenost do 50 m v objektech výšky přes 12 do 24 m</t>
  </si>
  <si>
    <t>-1295274945</t>
  </si>
  <si>
    <t>https://podminky.urs.cz/item/CS_URS_2022_02/998777203</t>
  </si>
  <si>
    <t>781</t>
  </si>
  <si>
    <t>Dokončovací práce - obklady</t>
  </si>
  <si>
    <t>328</t>
  </si>
  <si>
    <t>781111011</t>
  </si>
  <si>
    <t>Příprava podkladu před provedením obkladu oprášení (ometení) stěny</t>
  </si>
  <si>
    <t>-431304578</t>
  </si>
  <si>
    <t>https://podminky.urs.cz/item/CS_URS_2022_02/781111011</t>
  </si>
  <si>
    <t>(10,09+6+5,25+10,09+6+5,3+8,33)*2,1-(0,7*1,97*3*2)-0,9*1,97-(0,7*1,97*2*2)-0,9*1,97 "obklady WC</t>
  </si>
  <si>
    <t>329</t>
  </si>
  <si>
    <t>781121011</t>
  </si>
  <si>
    <t>Příprava podkladu před provedením obkladu nátěr penetrační na stěnu</t>
  </si>
  <si>
    <t>-12986261</t>
  </si>
  <si>
    <t>https://podminky.urs.cz/item/CS_URS_2022_02/781121011</t>
  </si>
  <si>
    <t>330</t>
  </si>
  <si>
    <t>781474112</t>
  </si>
  <si>
    <t>Montáž obkladů vnitřních stěn z dlaždic keramických lepených flexibilním lepidlem maloformátových hladkých přes 9 do 12 ks/m2</t>
  </si>
  <si>
    <t>1315292406</t>
  </si>
  <si>
    <t>https://podminky.urs.cz/item/CS_URS_2022_02/781474112</t>
  </si>
  <si>
    <t>331</t>
  </si>
  <si>
    <t>59761026</t>
  </si>
  <si>
    <t>obklad keramický hladký do 12ks/m2</t>
  </si>
  <si>
    <t>-1362702345</t>
  </si>
  <si>
    <t>103,39*1,1 'Přepočtené koeficientem množství</t>
  </si>
  <si>
    <t>332</t>
  </si>
  <si>
    <t>781477111</t>
  </si>
  <si>
    <t>Montáž obkladů vnitřních stěn z dlaždic keramických Příplatek k cenám za plochu do 10 m2 jednotlivě</t>
  </si>
  <si>
    <t>878892668</t>
  </si>
  <si>
    <t>https://podminky.urs.cz/item/CS_URS_2022_02/781477111</t>
  </si>
  <si>
    <t>333</t>
  </si>
  <si>
    <t>781494111</t>
  </si>
  <si>
    <t>Obklad - dokončující práce profily ukončovací lepené flexibilním lepidlem rohové</t>
  </si>
  <si>
    <t>-714933397</t>
  </si>
  <si>
    <t>https://podminky.urs.cz/item/CS_URS_2022_02/781494111</t>
  </si>
  <si>
    <t>2*2,1+1,9+1,9+1,95 "WC</t>
  </si>
  <si>
    <t>1,5*3*6 "předstěna pro umyvadla v učebnách</t>
  </si>
  <si>
    <t>334</t>
  </si>
  <si>
    <t>781495115</t>
  </si>
  <si>
    <t>Obklad - dokončující práce ostatní práce spárování silikonem</t>
  </si>
  <si>
    <t>1847463977</t>
  </si>
  <si>
    <t>https://podminky.urs.cz/item/CS_URS_2022_02/781495115</t>
  </si>
  <si>
    <t>(13+17)*2,1 "WC vnitřní kout</t>
  </si>
  <si>
    <t>335</t>
  </si>
  <si>
    <t>781495211</t>
  </si>
  <si>
    <t>Čištění vnitřních ploch po provedení obkladu stěn chemickými prostředky</t>
  </si>
  <si>
    <t>-672277464</t>
  </si>
  <si>
    <t>https://podminky.urs.cz/item/CS_URS_2022_02/781495211</t>
  </si>
  <si>
    <t>336</t>
  </si>
  <si>
    <t>998781203</t>
  </si>
  <si>
    <t>Přesun hmot pro obklady keramické stanovený procentní sazbou (%) z ceny vodorovná dopravní vzdálenost do 50 m v objektech výšky přes 12 do 24 m</t>
  </si>
  <si>
    <t>-1010865114</t>
  </si>
  <si>
    <t>https://podminky.urs.cz/item/CS_URS_2022_02/998781203</t>
  </si>
  <si>
    <t>782</t>
  </si>
  <si>
    <t>Dokončovací práce - obklady z kamene</t>
  </si>
  <si>
    <t>337</t>
  </si>
  <si>
    <t>782132412</t>
  </si>
  <si>
    <t>Montáž obkladů stěn z tvrdých kamenů kladených do lepidla ze zlomků desek s upravením stran na místě přisekáním tl. přes 25 do 30 mm</t>
  </si>
  <si>
    <t>-851451919</t>
  </si>
  <si>
    <t>https://podminky.urs.cz/item/CS_URS_2022_02/782132412</t>
  </si>
  <si>
    <t>338</t>
  </si>
  <si>
    <t>58384673</t>
  </si>
  <si>
    <t>kámen nepravidelný pískovec pískový obklad/dlažba D 100-500mm tl 20-40mm</t>
  </si>
  <si>
    <t>855711595</t>
  </si>
  <si>
    <t>1,5*1,5 'Přepočtené koeficientem množství</t>
  </si>
  <si>
    <t>339</t>
  </si>
  <si>
    <t>998782201</t>
  </si>
  <si>
    <t>Přesun hmot pro obklady kamenné stanovený procentní sazbou (%) z ceny vodorovná dopravní vzdálenost do 50 m v objektech výšky do 6 m</t>
  </si>
  <si>
    <t>611521068</t>
  </si>
  <si>
    <t>https://podminky.urs.cz/item/CS_URS_2022_02/998782201</t>
  </si>
  <si>
    <t>783</t>
  </si>
  <si>
    <t>Dokončovací práce - nátěry</t>
  </si>
  <si>
    <t>340</t>
  </si>
  <si>
    <t>783301313</t>
  </si>
  <si>
    <t>Příprava podkladu zámečnických konstrukcí před provedením nátěru odmaštění odmašťovačem ředidlovým</t>
  </si>
  <si>
    <t>1286278819</t>
  </si>
  <si>
    <t>https://podminky.urs.cz/item/CS_URS_2022_02/783301313</t>
  </si>
  <si>
    <t>(2*35+2*18+2*18+2*9,9+2*6,7+2*11,5)*0,546 "U160</t>
  </si>
  <si>
    <t>103*0,661 "U200</t>
  </si>
  <si>
    <t>(2*2,5+2*40,73*2+2*13,8*3+2*15,1+2*16,5*2+2*18+2*13*2+2*17,1*2+2*13*2+2*13,6*2)*0,775 "U240</t>
  </si>
  <si>
    <t>0,4*8 "JA 100/100</t>
  </si>
  <si>
    <t>0,1*0,2*2*(81+240) "PL100/10</t>
  </si>
  <si>
    <t>0,55*0,5*2*27 "plech tl. 20 mm</t>
  </si>
  <si>
    <t>(0,16*2+0,1*2)*(5+116) "L160/100</t>
  </si>
  <si>
    <t>360*0,075398 "kulatina 24</t>
  </si>
  <si>
    <t>14*3*0,64 "nosník vnitřního schodiště I180</t>
  </si>
  <si>
    <t>(10*3,5+2*3+2*3,65)*0,546 "nosník vnitřního schodiště U160</t>
  </si>
  <si>
    <t>341</t>
  </si>
  <si>
    <t>783301401</t>
  </si>
  <si>
    <t>Příprava podkladu zámečnických konstrukcí před provedením nátěru ometení</t>
  </si>
  <si>
    <t>955435619</t>
  </si>
  <si>
    <t>https://podminky.urs.cz/item/CS_URS_2022_02/783301401</t>
  </si>
  <si>
    <t>342</t>
  </si>
  <si>
    <t>783314203</t>
  </si>
  <si>
    <t>Základní antikorozní nátěr zámečnických konstrukcí jednonásobný syntetický samozákladující</t>
  </si>
  <si>
    <t>2066112553</t>
  </si>
  <si>
    <t>https://podminky.urs.cz/item/CS_URS_2022_02/783314203</t>
  </si>
  <si>
    <t>784</t>
  </si>
  <si>
    <t>Dokončovací práce - malby a tapety</t>
  </si>
  <si>
    <t>343</t>
  </si>
  <si>
    <t>784111001</t>
  </si>
  <si>
    <t>Oprášení (ometení) podkladu v místnostech výšky do 3,80 m</t>
  </si>
  <si>
    <t>1556390695</t>
  </si>
  <si>
    <t>https://podminky.urs.cz/item/CS_URS_2022_02/784111001</t>
  </si>
  <si>
    <t>10,21*3,6+20,63*2+(7+7,2+2,8+0,8+4+1,1+3,9+2,8+2)*3,6*2 "stěny v 4.NP</t>
  </si>
  <si>
    <t>(4,8+1,2+1+1+3+1+4,8+1,2+1+1+1+3)*3*2 "stěny ve 4.NP WC</t>
  </si>
  <si>
    <t>-103,39 "odpočet obklad</t>
  </si>
  <si>
    <t>344</t>
  </si>
  <si>
    <t>784181101</t>
  </si>
  <si>
    <t>Penetrace podkladu jednonásobná základní akrylátová bezbarvá v místnostech výšky do 3,80 m</t>
  </si>
  <si>
    <t>-1597647843</t>
  </si>
  <si>
    <t>https://podminky.urs.cz/item/CS_URS_2022_02/784181101</t>
  </si>
  <si>
    <t>345</t>
  </si>
  <si>
    <t>784211101</t>
  </si>
  <si>
    <t>Malby z malířských směsí oděruvzdorných za mokra dvojnásobné, bílé za mokra oděruvzdorné výborně v místnostech výšky do 3,80 m</t>
  </si>
  <si>
    <t>1372326501</t>
  </si>
  <si>
    <t>https://podminky.urs.cz/item/CS_URS_2022_02/784211101</t>
  </si>
  <si>
    <t>786</t>
  </si>
  <si>
    <t>Dokončovací práce - čalounické úpravy</t>
  </si>
  <si>
    <t>346</t>
  </si>
  <si>
    <t>786623111</t>
  </si>
  <si>
    <t>Montáž zastiňujících žaluzií lamelových vnitřních manuálně ovládaných, do oken střešních</t>
  </si>
  <si>
    <t>-1209652865</t>
  </si>
  <si>
    <t>https://podminky.urs.cz/item/CS_URS_2022_02/786623111</t>
  </si>
  <si>
    <t>347</t>
  </si>
  <si>
    <t>61124044</t>
  </si>
  <si>
    <t>roleta vnitřní střešních oken rozměru do 78x160cm</t>
  </si>
  <si>
    <t>-1861626797</t>
  </si>
  <si>
    <t>348</t>
  </si>
  <si>
    <t>6112418x</t>
  </si>
  <si>
    <t>roleta vnitřní střešních oken rozměru do 114x160cm</t>
  </si>
  <si>
    <t>187165495</t>
  </si>
  <si>
    <t>349</t>
  </si>
  <si>
    <t>786626121</t>
  </si>
  <si>
    <t>Montáž zastiňujících žaluzií lamelových vnitřních nebo do oken dvojitých kovových</t>
  </si>
  <si>
    <t>1234827232</t>
  </si>
  <si>
    <t>https://podminky.urs.cz/item/CS_URS_2022_02/786626121</t>
  </si>
  <si>
    <t>1,85*1,35 "štítové okno</t>
  </si>
  <si>
    <t>350</t>
  </si>
  <si>
    <t>55346200</t>
  </si>
  <si>
    <t>žaluzie horizontální interiérové</t>
  </si>
  <si>
    <t>826388505</t>
  </si>
  <si>
    <t>351</t>
  </si>
  <si>
    <t>998786203</t>
  </si>
  <si>
    <t>Přesun hmot pro stínění a čalounické úpravy stanovený procentní sazbou (%) z ceny vodorovná dopravní vzdálenost do 50 m v objektech výšky přes 12 do 24 m</t>
  </si>
  <si>
    <t>418925082</t>
  </si>
  <si>
    <t>https://podminky.urs.cz/item/CS_URS_2022_02/998786203</t>
  </si>
  <si>
    <t>HZS</t>
  </si>
  <si>
    <t>Hodinové zúčtovací sazby</t>
  </si>
  <si>
    <t>352</t>
  </si>
  <si>
    <t>HZS1442</t>
  </si>
  <si>
    <t>Hodinové zúčtovací sazby profesí HSV provádění konstrukcí inženýrských a dopravních staveb svářeč kvalifikovaný</t>
  </si>
  <si>
    <t>512</t>
  </si>
  <si>
    <t>1765942767</t>
  </si>
  <si>
    <t>https://podminky.urs.cz/item/CS_URS_2022_02/HZS1442</t>
  </si>
  <si>
    <t>300 "ocelová konstrukce krovu</t>
  </si>
  <si>
    <t>OST</t>
  </si>
  <si>
    <t>Ostatní</t>
  </si>
  <si>
    <t>353</t>
  </si>
  <si>
    <t>OST-spec.01</t>
  </si>
  <si>
    <t>Úprava výtahu a výtahových dveří</t>
  </si>
  <si>
    <t>1816465899</t>
  </si>
  <si>
    <t>354</t>
  </si>
  <si>
    <t>OST-spec.02</t>
  </si>
  <si>
    <t>Záchytný systém na střechu</t>
  </si>
  <si>
    <t>-576123624</t>
  </si>
  <si>
    <t>355</t>
  </si>
  <si>
    <t>OST-spec.03</t>
  </si>
  <si>
    <t>Požární ucpávky dle PBŘ</t>
  </si>
  <si>
    <t>1294657073</t>
  </si>
  <si>
    <t>356</t>
  </si>
  <si>
    <t>OST-spec.04</t>
  </si>
  <si>
    <t>Požární značení uníkových cest dle PBŘ</t>
  </si>
  <si>
    <t>120317895</t>
  </si>
  <si>
    <t>03 -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</si>
  <si>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</si>
  <si>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</si>
  <si>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</si>
  <si>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VRN6 - Územní vlivy</t>
  </si>
  <si>
    <t>VRN1</t>
  </si>
  <si>
    <t>Průzkumné, geodetické a projektové práce</t>
  </si>
  <si>
    <t>011434000</t>
  </si>
  <si>
    <t>Akustické měření</t>
  </si>
  <si>
    <t>1606870696</t>
  </si>
  <si>
    <t>https://podminky.urs.cz/item/CS_URS_2022_02/011434000</t>
  </si>
  <si>
    <t>P</t>
  </si>
  <si>
    <t>Poznámka k položce:_x000D_
Zhotovitel zajistí a do své ceny zahrne studii zvukové pohltivosti prostoru všech učeben (doba dozvuku)</t>
  </si>
  <si>
    <t>011503000</t>
  </si>
  <si>
    <t>Stavební průzkum bez rozlišení (mykologický průzkum)</t>
  </si>
  <si>
    <t>1261746096</t>
  </si>
  <si>
    <t>https://podminky.urs.cz/item/CS_URS_2022_02/011503000</t>
  </si>
  <si>
    <t>Poznámka k položce:_x000D_
mykologický průzkum stropní kce v úrovni 16,140m – podklady viz konstrukční část PD</t>
  </si>
  <si>
    <t>013124000</t>
  </si>
  <si>
    <t>Hluková studie</t>
  </si>
  <si>
    <t>1095162144</t>
  </si>
  <si>
    <t>https://podminky.urs.cz/item/CS_URS_2022_02/013124000</t>
  </si>
  <si>
    <t>013194000</t>
  </si>
  <si>
    <t>Ostatní záměry a studie (posouuzení denního osvětlení)</t>
  </si>
  <si>
    <t>1549145560</t>
  </si>
  <si>
    <t>https://podminky.urs.cz/item/CS_URS_2022_02/013194000</t>
  </si>
  <si>
    <t>Poznámka k položce:_x000D_
- vytvoření 3D výpočtového modelu_x000D_
- výpočet a hodnocení denn. a sdruženého osvětlení dle ČSN 730580-1,3 a dle ČSN 36 0020, ČSN EN 17037 v souladu s vyhl. 410/2005_x000D_
- zpracování výsledků a vyhotovení závěrečné zprávy</t>
  </si>
  <si>
    <t>013244000</t>
  </si>
  <si>
    <t>Dokumentace pro provádění stavby (výrobní)</t>
  </si>
  <si>
    <t>2040815821</t>
  </si>
  <si>
    <t>https://podminky.urs.cz/item/CS_URS_2022_02/013244000</t>
  </si>
  <si>
    <t>013244000a</t>
  </si>
  <si>
    <t>Dokumentace pro provádění stavby (návrh záchytného systému)</t>
  </si>
  <si>
    <t>-201719329</t>
  </si>
  <si>
    <t>013254000</t>
  </si>
  <si>
    <t>Dokumentace skutečného provedení stavby</t>
  </si>
  <si>
    <t>1650223167</t>
  </si>
  <si>
    <t>https://podminky.urs.cz/item/CS_URS_2022_02/013254000</t>
  </si>
  <si>
    <t>Poznámka k položce:_x000D_
Výkresovou část ve formátu dwg, textovou část ve formátu doc a kopie dokladové části ve formátu pdf, vše 1 x na CD a ve trojím vyhotovení v tištěné podobě</t>
  </si>
  <si>
    <t>013274000</t>
  </si>
  <si>
    <t>Pasportizace objektu před započetím prací</t>
  </si>
  <si>
    <t>2131170638</t>
  </si>
  <si>
    <t>https://podminky.urs.cz/item/CS_URS_2022_02/013274000</t>
  </si>
  <si>
    <t>013284000</t>
  </si>
  <si>
    <t>Pasportizace objektu po provedení prací</t>
  </si>
  <si>
    <t>98748650</t>
  </si>
  <si>
    <t>https://podminky.urs.cz/item/CS_URS_2022_02/013284000</t>
  </si>
  <si>
    <t>VRN3</t>
  </si>
  <si>
    <t>Zařízení staveniště</t>
  </si>
  <si>
    <t>030001000</t>
  </si>
  <si>
    <t>-891390618</t>
  </si>
  <si>
    <t>https://podminky.urs.cz/item/CS_URS_2022_02/030001000</t>
  </si>
  <si>
    <t>033002000</t>
  </si>
  <si>
    <t>Připojení staveniště na inženýrské sítě vč. spotřeby energií</t>
  </si>
  <si>
    <t>-1654011412</t>
  </si>
  <si>
    <t>https://podminky.urs.cz/item/CS_URS_2022_02/033002000</t>
  </si>
  <si>
    <t>035002000</t>
  </si>
  <si>
    <t>Pronájmy ploch, objektů</t>
  </si>
  <si>
    <t>1709301380</t>
  </si>
  <si>
    <t>https://podminky.urs.cz/item/CS_URS_2022_02/035002000</t>
  </si>
  <si>
    <t>VRN5</t>
  </si>
  <si>
    <t>Finanční náklady</t>
  </si>
  <si>
    <t>052103000</t>
  </si>
  <si>
    <t>Rezerva investora</t>
  </si>
  <si>
    <t>573312215</t>
  </si>
  <si>
    <t>https://podminky.urs.cz/item/CS_URS_2022_02/052103000</t>
  </si>
  <si>
    <t>VRN6</t>
  </si>
  <si>
    <t>Územní vlivy</t>
  </si>
  <si>
    <t>065002000</t>
  </si>
  <si>
    <t>Mimostaveništní doprava materiálů</t>
  </si>
  <si>
    <t>-305588826</t>
  </si>
  <si>
    <t>https://podminky.urs.cz/item/CS_URS_2022_02/065002000</t>
  </si>
  <si>
    <t>094104000</t>
  </si>
  <si>
    <t>Náklady na opatření BOZP</t>
  </si>
  <si>
    <t>-1030814264</t>
  </si>
  <si>
    <t>https://podminky.urs.cz/item/CS_URS_2022_02/094104000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</si>
  <si>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</si>
  <si>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</si>
  <si>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</si>
  <si>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</si>
  <si>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</si>
  <si>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</si>
  <si>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</si>
  <si>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</si>
  <si>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</si>
  <si>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</si>
  <si>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</si>
  <si>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</si>
  <si>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</si>
  <si>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</si>
  <si>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</si>
  <si>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</si>
  <si>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</si>
  <si>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</si>
  <si>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</si>
  <si>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</si>
  <si>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</si>
  <si>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</si>
  <si>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</si>
  <si>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</si>
  <si>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</si>
  <si>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</si>
  <si>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</si>
  <si>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</si>
  <si>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</si>
  <si>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</si>
  <si>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</si>
  <si>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</si>
  <si>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</si>
  <si>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</si>
  <si>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</si>
  <si>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</si>
  <si>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</si>
  <si>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</si>
  <si>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</si>
  <si>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</si>
  <si>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</si>
  <si>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</si>
  <si>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</si>
  <si>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</si>
  <si>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</si>
  <si>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</si>
  <si>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</si>
  <si>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</si>
  <si>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</si>
  <si>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</si>
  <si>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</si>
  <si>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</si>
  <si>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</si>
  <si>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</si>
  <si>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</si>
  <si>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</si>
  <si>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</si>
  <si>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</si>
  <si>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</si>
  <si>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</si>
  <si>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</si>
  <si>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</si>
  <si>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</si>
  <si>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</si>
  <si>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</si>
  <si>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</si>
  <si>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</si>
  <si>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</si>
  <si>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</si>
  <si>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</si>
  <si>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</si>
  <si>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</si>
  <si>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</si>
  <si>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</si>
  <si>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</si>
  <si>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</si>
  <si>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</si>
  <si>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</si>
  <si>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</si>
  <si>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</si>
  <si>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</si>
  <si>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</si>
  <si>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</si>
  <si>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</si>
  <si>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</si>
  <si>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</si>
  <si>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</si>
  <si>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</si>
  <si>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</si>
  <si>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</si>
  <si>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</si>
  <si>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</si>
  <si>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</si>
  <si>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</si>
  <si>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</si>
  <si>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</si>
  <si>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</si>
  <si>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</si>
  <si>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</si>
  <si>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</si>
  <si>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</si>
  <si>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</si>
  <si>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</si>
  <si>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</si>
  <si>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</si>
  <si>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</si>
  <si>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</si>
  <si>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</si>
  <si>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</si>
  <si>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</si>
  <si>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</si>
  <si>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</si>
  <si>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</si>
  <si>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</si>
  <si>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</si>
  <si>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</si>
  <si>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</si>
  <si>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</si>
  <si>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</si>
  <si>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</si>
  <si>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</si>
  <si>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</si>
  <si>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</si>
  <si>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</si>
  <si>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</si>
  <si>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</si>
  <si>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</si>
  <si>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</si>
  <si>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</si>
  <si>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</si>
  <si>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</si>
  <si>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</si>
  <si>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</si>
  <si>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</si>
  <si>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</si>
  <si>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</si>
  <si>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</si>
  <si>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</si>
  <si>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</si>
  <si>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</si>
  <si>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</si>
  <si>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</si>
  <si>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</si>
  <si>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</si>
  <si>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</si>
  <si>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</si>
  <si>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</si>
  <si>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</si>
  <si>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</si>
  <si>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</si>
  <si>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</si>
  <si>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</si>
  <si>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</si>
  <si>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</si>
  <si>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</si>
  <si>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</si>
  <si>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</si>
  <si>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</si>
  <si>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</si>
  <si>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</si>
  <si>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</si>
  <si>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</si>
  <si>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</si>
  <si>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</si>
  <si>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</si>
  <si>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</si>
  <si>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</si>
  <si>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</si>
  <si>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</si>
  <si>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</si>
  <si>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</si>
  <si>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</si>
  <si>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</si>
  <si>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</si>
  <si>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</si>
  <si>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</si>
  <si>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</si>
  <si>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</si>
  <si>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</si>
  <si>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</si>
  <si>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</si>
  <si>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</si>
  <si>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</si>
  <si>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Stavební rozpočet+ ZTI</t>
  </si>
  <si>
    <t>Název stavby:</t>
  </si>
  <si>
    <t>gymnázium Hostivice</t>
  </si>
  <si>
    <t>Doba výstavby:</t>
  </si>
  <si>
    <t>Objednatel:</t>
  </si>
  <si>
    <t>Druh stavby:</t>
  </si>
  <si>
    <t>rekonstrukce</t>
  </si>
  <si>
    <t>Začátek výstavby:</t>
  </si>
  <si>
    <t>Lokalita:</t>
  </si>
  <si>
    <t>Konec výstavby:</t>
  </si>
  <si>
    <t>Zhotovitel:</t>
  </si>
  <si>
    <t>JKSO:</t>
  </si>
  <si>
    <t>Zpracováno dne:</t>
  </si>
  <si>
    <t>Zpracoval:</t>
  </si>
  <si>
    <t xml:space="preserve"> </t>
  </si>
  <si>
    <t>Jednot.</t>
  </si>
  <si>
    <t>Náklady (Kč)</t>
  </si>
  <si>
    <t>Hmotnost (t)</t>
  </si>
  <si>
    <t>Č</t>
  </si>
  <si>
    <t>Zkrácený popis</t>
  </si>
  <si>
    <t>M.j.</t>
  </si>
  <si>
    <t>cena (Kč)</t>
  </si>
  <si>
    <t>Dodávka</t>
  </si>
  <si>
    <t>Montáž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</si>
  <si>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</si>
  <si>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</si>
  <si>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</si>
  <si>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</si>
  <si>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</si>
  <si>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</si>
  <si>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</si>
  <si>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</si>
  <si>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</si>
  <si>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</si>
  <si>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721</t>
  </si>
  <si>
    <t>Vnitřní kanalizace</t>
  </si>
  <si>
    <t>PS</t>
  </si>
  <si>
    <t>SO 02</t>
  </si>
  <si>
    <t>721176102R00</t>
  </si>
  <si>
    <t xml:space="preserve">Potrubí HTEM připojovací DN 40 </t>
  </si>
  <si>
    <t>721176103R00</t>
  </si>
  <si>
    <t>Potrubí HTEM připojovací DN 50</t>
  </si>
  <si>
    <t>721176104R00</t>
  </si>
  <si>
    <t xml:space="preserve">Potrubí HTEM připojovací DN 75 </t>
  </si>
  <si>
    <t>721176105R00</t>
  </si>
  <si>
    <t xml:space="preserve">Potrubí HTEM připojovací DN 100 </t>
  </si>
  <si>
    <t>721176115R00</t>
  </si>
  <si>
    <t xml:space="preserve">Potrubí HTEM odpadní svislé DN 100 </t>
  </si>
  <si>
    <t>721176116R00</t>
  </si>
  <si>
    <t>Potrubí HTEM odpadní svislé DN 125</t>
  </si>
  <si>
    <t>17-4111</t>
  </si>
  <si>
    <t>montáž čistící tvarovky ČK do DN75</t>
  </si>
  <si>
    <t>ks</t>
  </si>
  <si>
    <t>17-4112</t>
  </si>
  <si>
    <t>montáž čistící tvarovky ČK DN100</t>
  </si>
  <si>
    <t>17-4113</t>
  </si>
  <si>
    <t>montáž čistící tvarovky ČK do DN200</t>
  </si>
  <si>
    <t>ostatní tvarovky plastového zvukověizol.potrubí</t>
  </si>
  <si>
    <t>tj.kolena a odbočky D+M</t>
  </si>
  <si>
    <t>17-107</t>
  </si>
  <si>
    <t>(dle obvyklé praxe navýšení základní ceny potrubí</t>
  </si>
  <si>
    <t>viz.položka 76102 - 76116) kolena,odbočky všech úhlů a profilů</t>
  </si>
  <si>
    <t>čistící tvarovky a redukce zvukověizol.potrubí</t>
  </si>
  <si>
    <t>17-302</t>
  </si>
  <si>
    <t>NG-RE 75</t>
  </si>
  <si>
    <t>17-303</t>
  </si>
  <si>
    <t>NG-RE 100</t>
  </si>
  <si>
    <t>17-304</t>
  </si>
  <si>
    <t>NG-RE 125</t>
  </si>
  <si>
    <t>17-402</t>
  </si>
  <si>
    <t>NGR 50/100</t>
  </si>
  <si>
    <t>17-403</t>
  </si>
  <si>
    <t>NGR 75/100</t>
  </si>
  <si>
    <t>17-404</t>
  </si>
  <si>
    <t>NGR 100/125</t>
  </si>
  <si>
    <t>Specifikace trubních zvukověizol.úchytek</t>
  </si>
  <si>
    <t>viz.položka 76102 - 76116)</t>
  </si>
  <si>
    <t>17-700</t>
  </si>
  <si>
    <t>objímky pro uchycení potrubí</t>
  </si>
  <si>
    <t>Specifikace kanalizace 721 17</t>
  </si>
  <si>
    <t>Protipožární manžeta určená k zatěsnění</t>
  </si>
  <si>
    <t>plastového potrubí, do stěny nebo stropu,</t>
  </si>
  <si>
    <t>velikost manžety 30 mm</t>
  </si>
  <si>
    <t>17-804</t>
  </si>
  <si>
    <t>RS 10/110/030 pro potrubí vnějšího průměru 110 mm</t>
  </si>
  <si>
    <t>17-805</t>
  </si>
  <si>
    <t>RS 10/125/030 pro potrubí vnějšího průměru 125 mm</t>
  </si>
  <si>
    <t xml:space="preserve">722 18 - Ochrana potrubí </t>
  </si>
  <si>
    <t>18-1114</t>
  </si>
  <si>
    <t>DN 40 (jednou vrstvou plstěnými pásy)</t>
  </si>
  <si>
    <t>18-1116</t>
  </si>
  <si>
    <t>DN 50 a DN 65 (jednou vrstvou plstěnými pásy)</t>
  </si>
  <si>
    <t>18-1117</t>
  </si>
  <si>
    <t>DN 80 (jednou vrstvou plstěnými pásy)</t>
  </si>
  <si>
    <t>18-1118</t>
  </si>
  <si>
    <t>DN 100 a DN 125 (jednou vrstvou plstěnými pásy)</t>
  </si>
  <si>
    <t>721 19 - Zřízení přípojek na potrubí</t>
  </si>
  <si>
    <t>19-4104</t>
  </si>
  <si>
    <t>vyvedení odpadních výpustek 110x2,7mm</t>
  </si>
  <si>
    <t>721 22 - Zápachové uzávěrky</t>
  </si>
  <si>
    <t>22-1201</t>
  </si>
  <si>
    <t>uzávěrka zápachová  DN 40 (montáž)</t>
  </si>
  <si>
    <t>Specifikace 721 22</t>
  </si>
  <si>
    <t>22-001</t>
  </si>
  <si>
    <t xml:space="preserve">HL 21/32 plastový vtok se zápach.uzávěrkou </t>
  </si>
  <si>
    <t>22-002</t>
  </si>
  <si>
    <t xml:space="preserve">HL 136N (plastový kondenzační sifon DN40) </t>
  </si>
  <si>
    <t>22-003</t>
  </si>
  <si>
    <t>HL 138 (plastový kondenzační sifon DN40) podomítkový</t>
  </si>
  <si>
    <t>22-004</t>
  </si>
  <si>
    <t>HL 20 (plastový kalich s kuličkou pro úkapy,odvodnění kotlů)</t>
  </si>
  <si>
    <t>721 24 - Lapače střešních splavenin</t>
  </si>
  <si>
    <t>24-2115</t>
  </si>
  <si>
    <t>litinový lapač střešních splavenin DN 125</t>
  </si>
  <si>
    <t>721 27 - Ventilační hlavice</t>
  </si>
  <si>
    <t>27-3149</t>
  </si>
  <si>
    <t>plastová větrací hlavice HL 810/100</t>
  </si>
  <si>
    <t>722 17 - Plastové polypropylenové potrubí</t>
  </si>
  <si>
    <t>typové řady PP-R3 (provedení Standard) PN16</t>
  </si>
  <si>
    <t>(pro odvod kondenzátu)</t>
  </si>
  <si>
    <t>17-1438</t>
  </si>
  <si>
    <t>PPR 32</t>
  </si>
  <si>
    <t xml:space="preserve">m </t>
  </si>
  <si>
    <t>722 17 - Pevné body plast.potr., upevnění potrubí</t>
  </si>
  <si>
    <t>17-1484</t>
  </si>
  <si>
    <t>upevnění plast. potrubí PPR 32 (tepl.média 60°C)</t>
  </si>
  <si>
    <t>722 18 - Ochrana potrubí</t>
  </si>
  <si>
    <t>Termoizolačními pásy bez samolepícího uzávěru</t>
  </si>
  <si>
    <t>montáž do DN 25</t>
  </si>
  <si>
    <t>Specifikace 722 18</t>
  </si>
  <si>
    <t>Termoizolační pásy tl. stěny 6 mm</t>
  </si>
  <si>
    <t>18-x003</t>
  </si>
  <si>
    <t>hadice 35/6 mm</t>
  </si>
  <si>
    <t>721 29 - Ostatní</t>
  </si>
  <si>
    <t>721290112R00</t>
  </si>
  <si>
    <t>Zkouška těsnosti kanalizace vodou DN 200</t>
  </si>
  <si>
    <t>721300912R00</t>
  </si>
  <si>
    <t>Pročištění svislých odpadů, jedno podl., do DN 200</t>
  </si>
  <si>
    <t>29-0234</t>
  </si>
  <si>
    <t>proplach potrubí do DN 80</t>
  </si>
  <si>
    <t>Vyhledání stávající dešť,kanalizace a její přeložka (schodiště)</t>
  </si>
  <si>
    <t>stavební přípomoce-kanalizace</t>
  </si>
  <si>
    <t>998721102R00</t>
  </si>
  <si>
    <t>Přesun hmot pro vnitřní kanalizaci, výšky do 36 m</t>
  </si>
  <si>
    <t>722</t>
  </si>
  <si>
    <t>Vnitřní vodovod</t>
  </si>
  <si>
    <t>722172311R00</t>
  </si>
  <si>
    <t>Potrubí z PP-RCT EkoPlastik, studená, D 20/2,8 mm PN20</t>
  </si>
  <si>
    <t>722172312R00</t>
  </si>
  <si>
    <t>Potrubí z PPR Instaplast, studená, D 25/3,5 mm</t>
  </si>
  <si>
    <t>722172313R00</t>
  </si>
  <si>
    <t>Potrubí z PPR Instaplast, studená, D 32/4,4 mm</t>
  </si>
  <si>
    <t>722172314R00</t>
  </si>
  <si>
    <t>Potrubí z PPR Instaplast, studená, D 40/5,5 mm</t>
  </si>
  <si>
    <t>Potrubí z PP-RCT, studená, D 32/4,4 mm PN20</t>
  </si>
  <si>
    <t>Potrubí z PP-RCT, studená, D 40/5,5 mm PN20</t>
  </si>
  <si>
    <t>722172330R00</t>
  </si>
  <si>
    <t>Potrubí  EkoPlastik, teplá, D 20/2,8 mm PN28</t>
  </si>
  <si>
    <t>722172330R01</t>
  </si>
  <si>
    <t>Potrubí z PPR Instaplast, teplá, D 20/3,4 mm</t>
  </si>
  <si>
    <t>722172330R02</t>
  </si>
  <si>
    <t>Potrubí z PPR Instaplast, teplá, D 25/4,2 mm</t>
  </si>
  <si>
    <t>722172330R03</t>
  </si>
  <si>
    <t>Potrubí z PPR Instaplast, teplá, D 32/5,4 mm</t>
  </si>
  <si>
    <t>Potrubí  EkoPlastik, teplá, D 32x4,4 mm PN28</t>
  </si>
  <si>
    <t>Potrubí  EkoPlastik, teplá, D 40x5,5 mm PN28</t>
  </si>
  <si>
    <t>Potrubí  EkoPlastik, cirkulační, D 20/2,8 mm PN28</t>
  </si>
  <si>
    <t>Potrubí  EkoPlastik, cirkulační, D 32x5,4 mm PN28</t>
  </si>
  <si>
    <t>722172330R05</t>
  </si>
  <si>
    <t>Koleno EkoPlastik 90°, D 20 mm</t>
  </si>
  <si>
    <t>Koleno EkoPlastik  90°, D 25 mm</t>
  </si>
  <si>
    <t>Koleno EkoPlastik 90°, D 32 mm</t>
  </si>
  <si>
    <t>Koleno EkoPlastik 90°, D 40 mm</t>
  </si>
  <si>
    <t>722172330R06</t>
  </si>
  <si>
    <t>Redukce EkoPlastik, D 25/20mm</t>
  </si>
  <si>
    <t>Redukce EkoPlastik, D 32/20mm</t>
  </si>
  <si>
    <t>Redukce EkoPlastik, D 40/20mm</t>
  </si>
  <si>
    <t>722172330R07</t>
  </si>
  <si>
    <t>Koleno EkoPlastik 90° s vnitřním závitem, D 20 mm</t>
  </si>
  <si>
    <t>18-1134</t>
  </si>
  <si>
    <t>montáž do DN 50</t>
  </si>
  <si>
    <t>Termoizolační pásy tl.stěny 15 mm</t>
  </si>
  <si>
    <t>18-002</t>
  </si>
  <si>
    <t>hadice 22/15 mm</t>
  </si>
  <si>
    <t>18-003</t>
  </si>
  <si>
    <t>hadice 35/15 mm</t>
  </si>
  <si>
    <t>18-004</t>
  </si>
  <si>
    <t>hadice 42/15 mm</t>
  </si>
  <si>
    <t>Termoizolační pásy tl.stěny 20 mm (vč.stoupací potr.)</t>
  </si>
  <si>
    <t>18-202</t>
  </si>
  <si>
    <t>hadice 22/20 mm</t>
  </si>
  <si>
    <t>18-203</t>
  </si>
  <si>
    <t>hadice 35/20 mm</t>
  </si>
  <si>
    <t>18-204</t>
  </si>
  <si>
    <t>hadice 42/20 mm</t>
  </si>
  <si>
    <t>proplach a desinfekce potrubí do DN 80</t>
  </si>
  <si>
    <t>722290229R00</t>
  </si>
  <si>
    <t xml:space="preserve">Zkouška tlaku potrubí </t>
  </si>
  <si>
    <t>998722102R00</t>
  </si>
  <si>
    <t>Přesun hmot pro vnitřní vodovod, výšky do 36 m</t>
  </si>
  <si>
    <t>725</t>
  </si>
  <si>
    <t>Zařizovací předměty LAUFEN</t>
  </si>
  <si>
    <t>55145000</t>
  </si>
  <si>
    <t>Baterie umyvadlová stojánková SV, s výpusí</t>
  </si>
  <si>
    <t>55145001</t>
  </si>
  <si>
    <t>Baterie umyvadlová mísící stojánková s TV, s výpustí</t>
  </si>
  <si>
    <t>725013141R00</t>
  </si>
  <si>
    <t>Klozet závěsný vč.sedátka., nádrž do předstěny SDK s armaturou</t>
  </si>
  <si>
    <t>soubor</t>
  </si>
  <si>
    <t>725014141R00</t>
  </si>
  <si>
    <t>Pisoár s radarovým senzorem,antivandal,napájecí zdroj 24V</t>
  </si>
  <si>
    <t>725015141R00</t>
  </si>
  <si>
    <t>Bidet závěsný kpl.se sifonem a roháčky a baterií, nádrž do SDK</t>
  </si>
  <si>
    <t>725016141R00</t>
  </si>
  <si>
    <t>Sklopné nerezové madlo typu "U" dl.60cm, kotvení do stěny</t>
  </si>
  <si>
    <t>725017142R00</t>
  </si>
  <si>
    <t>Umyvadlo na šrouby, 55 cm, bílé</t>
  </si>
  <si>
    <t>725017149R00</t>
  </si>
  <si>
    <t>Kryt sifonu umyvadel</t>
  </si>
  <si>
    <t>725210821R00</t>
  </si>
  <si>
    <t>Demontáž umyvadel bez výtokových armatur</t>
  </si>
  <si>
    <t>725810811R00</t>
  </si>
  <si>
    <t>Demontáž ventilu výtokového nástěnného</t>
  </si>
  <si>
    <t>725819201R00</t>
  </si>
  <si>
    <t>Schell COMFORT ventil rohový 1/2" x 1/2" se sítkem</t>
  </si>
  <si>
    <t>725820802R00</t>
  </si>
  <si>
    <t>Demontáž baterie stojánkové do 1otvoru</t>
  </si>
  <si>
    <t>725829301R00</t>
  </si>
  <si>
    <t>Baterie dřezová stojánkové</t>
  </si>
  <si>
    <t>725860213R00</t>
  </si>
  <si>
    <t>Sifon umyvadlový HL132, DN 30, 40,50</t>
  </si>
  <si>
    <t>725860213R01</t>
  </si>
  <si>
    <t>Kuch.skříňka s dřezem pro učebnu VV, š.60cm, imitace dub</t>
  </si>
  <si>
    <t>725860213R02</t>
  </si>
  <si>
    <t>Úpravy vedení TV a SV v kotelně, drobný materiál</t>
  </si>
  <si>
    <t>725532101</t>
  </si>
  <si>
    <t>Elektrický ohřívač zásobníkový akumulační závěsný svislý 10 l / 2 kW</t>
  </si>
  <si>
    <t>725532102</t>
  </si>
  <si>
    <t>Elektrický osoušeč rukou Jet Dryer BUTTON stříbrný</t>
  </si>
  <si>
    <t>725532103</t>
  </si>
  <si>
    <t>EL.cirkulační čerpadlo teplé vody s armaturou pro doplnění 4.NP</t>
  </si>
  <si>
    <t>Wilo STAR-Z NOVA (4132760)</t>
  </si>
  <si>
    <t>725 98 - Dvířka</t>
  </si>
  <si>
    <t>98-x001</t>
  </si>
  <si>
    <t>dvířka kovová vanová nerez rozm. 30/30 cm-V1,V2</t>
  </si>
  <si>
    <t>speciální zákrytová dvířka s možností povrchové úpravy</t>
  </si>
  <si>
    <t xml:space="preserve"> keram.obkladem rozm. 30/30 cm (magnetická),S12-S15,S2</t>
  </si>
  <si>
    <t>soub</t>
  </si>
  <si>
    <t>998725102R00</t>
  </si>
  <si>
    <t>Přesun hmot pro zařizovací předměty, výšky do 36 m</t>
  </si>
  <si>
    <t>Celkem:</t>
  </si>
  <si>
    <t>08 - D.1.4.2 - plynovod</t>
  </si>
  <si>
    <t>Gymnázium Hostivice</t>
  </si>
  <si>
    <t>723</t>
  </si>
  <si>
    <t>Zdravotechnika - vnitřní plynovod</t>
  </si>
  <si>
    <t>723111203</t>
  </si>
  <si>
    <t>Potrubí ocelové závitové černé bezešvé svařované běžné DN 20</t>
  </si>
  <si>
    <t>723111205</t>
  </si>
  <si>
    <t>Potrubí ocelové závitové černé bezešvé svařované běžné DN 32</t>
  </si>
  <si>
    <t>723150366</t>
  </si>
  <si>
    <t>Chránička D 22,5x2,6 mm</t>
  </si>
  <si>
    <t>723231163</t>
  </si>
  <si>
    <t>Kohout kulový přímý G 3/4 PN 42 do 185°C plnoprůtokový vnitřní závit těžká řada</t>
  </si>
  <si>
    <t>723261914</t>
  </si>
  <si>
    <t>Montáž potrubí - napojení v kotelně, úprava potrubí v kotelně</t>
  </si>
  <si>
    <t>kpl</t>
  </si>
  <si>
    <t>Montáž potrubí - napojení v učebně na  laboratorní pracoviště</t>
  </si>
  <si>
    <t>998723203</t>
  </si>
  <si>
    <t>Přesun hmot procentní pro vnitřní plynovod v objektech v do 36 m</t>
  </si>
  <si>
    <t>783614551</t>
  </si>
  <si>
    <t>Základní jednonásobný syntetický nátěr potrubí DN do 50 mm</t>
  </si>
  <si>
    <t>783617611</t>
  </si>
  <si>
    <t>Krycí dvojnásobný syntetický nátěr potrubí DN do 50 mm</t>
  </si>
  <si>
    <t>HZS2491</t>
  </si>
  <si>
    <t>Hodinová zúčtovací sazba dělník zednických výpomocí vč.kotvení potrubí</t>
  </si>
  <si>
    <t>VRN4</t>
  </si>
  <si>
    <t>Inženýrská činnost</t>
  </si>
  <si>
    <t>043114R04</t>
  </si>
  <si>
    <t>Zkoušky tlakové, revize plynovodu</t>
  </si>
  <si>
    <t>STAVBA:</t>
  </si>
  <si>
    <t>GYMNÁZIUM HOSTIVICE REKONSTRUKCE GYMNZIA II.ETAPA</t>
  </si>
  <si>
    <t>PROFESE:</t>
  </si>
  <si>
    <t>Technika prostředí staveb - Vytápění</t>
  </si>
  <si>
    <t>KOD ČÁSTI:</t>
  </si>
  <si>
    <t>D.1.4</t>
  </si>
  <si>
    <t>č.</t>
  </si>
  <si>
    <t>Výrobek</t>
  </si>
  <si>
    <t>Jednotka</t>
  </si>
  <si>
    <t>Jedn.
cena</t>
  </si>
  <si>
    <t>Celková
cena</t>
  </si>
  <si>
    <t>1.</t>
  </si>
  <si>
    <t>KOTELNA</t>
  </si>
  <si>
    <t>Plynový nástěnný kondenzační kotel VAILLANT VU656/5-5 ecoTEC plus o výkonu 12,2 - 63,5 kW (50/30°C) pro provoz nezávislý na vzduchu z místnosti</t>
  </si>
  <si>
    <t>E-bus Sběrnicový modul VAILLANT VR 32 (k ekvitermní regulaci VAILLANT Calormatic 630)</t>
  </si>
  <si>
    <t>VR32</t>
  </si>
  <si>
    <t>Čidlo teploty topné vody VR10</t>
  </si>
  <si>
    <t>2.</t>
  </si>
  <si>
    <t>ODKOUŘENÍ PLYNOVÉHO KOTLE (koaxiální systém 80/125)</t>
  </si>
  <si>
    <t>Připojovací adaptér Ø 80/125 mm, pro kotle ecoTEC pure/pro/plus/exclusive (7-2 / 5-3 / 5-5 / 5-7 / ioniDetect), ecoCOMPACT VSC ../4, VCC ../4 a auroCOMPACT VSC D ../4</t>
  </si>
  <si>
    <t>Připojení na komín, šachtu Ø 80/125 mm</t>
  </si>
  <si>
    <t>Trubka s revizním otvorem, 0,25 m, Ø 80/125 mm</t>
  </si>
  <si>
    <t>Koleno 2x 45°, Ø 80/125 mm (2ks=1sada)</t>
  </si>
  <si>
    <t>Prodlužovací kus odkouření 0,5 m, Ø 80/125 mm</t>
  </si>
  <si>
    <t>Prodlužovací kus odkouření 1,0 m, Ø 80/125 mm</t>
  </si>
  <si>
    <t>Prodlužovací kus odkouření 2,0 m, Ø 80/125 mm</t>
  </si>
  <si>
    <t>Oddělovací prvek Ø 80/125 mm</t>
  </si>
  <si>
    <t>Trubkový upevňovací třmen Ø 80/125 mm (5 ks=1sada)</t>
  </si>
  <si>
    <t>Kryt komína, šachty</t>
  </si>
  <si>
    <t>Držák odstupu v šachtě (7 ks=1 sada) Ø 80/125 mm</t>
  </si>
  <si>
    <t>3.</t>
  </si>
  <si>
    <t>ROZVODY A IZOLACE - KOTELNA</t>
  </si>
  <si>
    <t>Trubka ocel DN25 (33,7x2,6)</t>
  </si>
  <si>
    <t>Trubka ocel DN32 (42,4x2,6)</t>
  </si>
  <si>
    <t>Trubka ocel DN100 (108x4)</t>
  </si>
  <si>
    <t xml:space="preserve">Ocel tvarovky </t>
  </si>
  <si>
    <t>Svařovací a montážní materiál</t>
  </si>
  <si>
    <t>Kotvící materiál (konzole, objímky apod)</t>
  </si>
  <si>
    <r>
      <t>PE tepelná izolace d = 35mm, tl.20mm (</t>
    </r>
    <r>
      <rPr>
        <sz val="11"/>
        <rFont val="Calibri"/>
        <family val="2"/>
        <charset val="238"/>
      </rPr>
      <t>λ</t>
    </r>
    <r>
      <rPr>
        <vertAlign val="subscript"/>
        <sz val="11"/>
        <rFont val="Calibri"/>
        <family val="2"/>
        <charset val="238"/>
      </rPr>
      <t>max</t>
    </r>
    <r>
      <rPr>
        <sz val="11"/>
        <rFont val="Calibri"/>
        <family val="2"/>
        <charset val="238"/>
      </rPr>
      <t>=0,04W/m2K)</t>
    </r>
  </si>
  <si>
    <r>
      <t>PE tepelná izolace d = 42mm, tl.20mm (</t>
    </r>
    <r>
      <rPr>
        <sz val="11"/>
        <rFont val="Calibri"/>
        <family val="2"/>
        <charset val="238"/>
      </rPr>
      <t>λ</t>
    </r>
    <r>
      <rPr>
        <vertAlign val="subscript"/>
        <sz val="11"/>
        <rFont val="Calibri"/>
        <family val="2"/>
        <charset val="238"/>
      </rPr>
      <t>max</t>
    </r>
    <r>
      <rPr>
        <sz val="11"/>
        <rFont val="Calibri"/>
        <family val="2"/>
        <charset val="238"/>
      </rPr>
      <t>=0,04W/m2K)</t>
    </r>
  </si>
  <si>
    <r>
      <t>PE tepelná izolace d = 114mm, tl.30mm (</t>
    </r>
    <r>
      <rPr>
        <sz val="11"/>
        <rFont val="Calibri"/>
        <family val="2"/>
        <charset val="238"/>
      </rPr>
      <t>λ</t>
    </r>
    <r>
      <rPr>
        <vertAlign val="subscript"/>
        <sz val="11"/>
        <rFont val="Calibri"/>
        <family val="2"/>
        <charset val="238"/>
      </rPr>
      <t>max</t>
    </r>
    <r>
      <rPr>
        <sz val="11"/>
        <rFont val="Calibri"/>
        <family val="2"/>
        <charset val="238"/>
      </rPr>
      <t>=0,04W/m2K)</t>
    </r>
  </si>
  <si>
    <t>4.</t>
  </si>
  <si>
    <t>OSTATNÍ MATERIÁL - KOTELNA</t>
  </si>
  <si>
    <t>Pojistný ventil MEIBES DUCO 1/2"x3/4"KD 2,5bar pro topnou vodu</t>
  </si>
  <si>
    <t>PV</t>
  </si>
  <si>
    <t>Filterball 5/4"</t>
  </si>
  <si>
    <t>BALL</t>
  </si>
  <si>
    <t>Kulový kohout 5/4"</t>
  </si>
  <si>
    <t>KK</t>
  </si>
  <si>
    <t>Zpětný ventil 5/4"</t>
  </si>
  <si>
    <t>ZV</t>
  </si>
  <si>
    <t>Teploměr 0-120°C včetně jímky</t>
  </si>
  <si>
    <t>T</t>
  </si>
  <si>
    <t xml:space="preserve">Manometr 0-400kPa </t>
  </si>
  <si>
    <t>Manometrická zpětná klapka</t>
  </si>
  <si>
    <t>k P</t>
  </si>
  <si>
    <t>Servisní armatura k expanzním nádobám REFLEX MK 1" se zajištěním a vypouštěním</t>
  </si>
  <si>
    <t>MK</t>
  </si>
  <si>
    <t>Redukce, šroubení, těsnící materiál atd.</t>
  </si>
  <si>
    <t>Automatický odvzdušňovací ventil</t>
  </si>
  <si>
    <t>TOPNÝ SYSTÉM</t>
  </si>
  <si>
    <t>5.</t>
  </si>
  <si>
    <t xml:space="preserve">OTOPNÁ TĚLESA +PŘÍSLUŠENSTVÍ - TOPNÝ SYSTÉM </t>
  </si>
  <si>
    <t>11060050-S0-0010 10</t>
  </si>
  <si>
    <t>RADIK 11 VKM8  600/500 (White RAL 9016)</t>
  </si>
  <si>
    <t>20060080-S0-0010 10</t>
  </si>
  <si>
    <t>RADIK 20 VKM8  600/800 (White RAL 9016)</t>
  </si>
  <si>
    <t>20060090-S0-0010 10</t>
  </si>
  <si>
    <t>RADIK 20 VKM8  600/900 (White RAL 9016)</t>
  </si>
  <si>
    <t>21060050-S0-0010 10</t>
  </si>
  <si>
    <t>RADIK 21 VKM8  600/500 (White RAL 9016)</t>
  </si>
  <si>
    <t>21060110-S0-0010 10</t>
  </si>
  <si>
    <t>RADIK 21 VKM8  600/1100 (White RAL 9016)</t>
  </si>
  <si>
    <t>21060120-S0-0010 10</t>
  </si>
  <si>
    <t>RADIK 21 VKM8  600/1200 (White RAL 9016)</t>
  </si>
  <si>
    <t>22060090-S0-0010 10</t>
  </si>
  <si>
    <t>RADIK 22 VKM8  600/900 (White RAL 9016)</t>
  </si>
  <si>
    <t>22060100-S0-0010 10</t>
  </si>
  <si>
    <t>RADIK 22 VKM8  600/1000 (White RAL 9016)</t>
  </si>
  <si>
    <t>22060110-S0-0010 10</t>
  </si>
  <si>
    <t>RADIK 22 VKM8  600/1100 (White RAL 9016)</t>
  </si>
  <si>
    <t>22060180-S0-0010 10</t>
  </si>
  <si>
    <t>RADIK 22 VKM8  600/1800 (White RAL 9016)</t>
  </si>
  <si>
    <t>33040110-S0-0010 10</t>
  </si>
  <si>
    <t>RADIK 33 VKM8  400/1100 (White RAL 9016)</t>
  </si>
  <si>
    <t>33060080-S0-0010 10</t>
  </si>
  <si>
    <t>RADIK 33 VKM8  600/800 (White RAL 9016)</t>
  </si>
  <si>
    <t>33060160-S0-0010 10</t>
  </si>
  <si>
    <t>RADIK 33 VKM8  600/1600 (White RAL 9016)</t>
  </si>
  <si>
    <t>rohová VK armatura IVAR.DS346 (3/4"x3/4"EK)</t>
  </si>
  <si>
    <t>adaptér IVAR.AVK01 (1/2"x3/4")</t>
  </si>
  <si>
    <t>Svěrné šroubení IVAR.TR4430 (EK-15x1,0)</t>
  </si>
  <si>
    <t>krycí růžice pro dvojitý vývod IVAR.AGE06 v bílé barvě</t>
  </si>
  <si>
    <t>Termostatická hlavice IVAR.T1500 (6,5 až 28°C, M30x1,5)</t>
  </si>
  <si>
    <t>6.</t>
  </si>
  <si>
    <t xml:space="preserve">ROZVODY A IZOLACE - TOPNÝ SYSTÉM </t>
  </si>
  <si>
    <t>Svařovací materiál a ocelové tvarovky</t>
  </si>
  <si>
    <t>Trubka měď 15x1,0</t>
  </si>
  <si>
    <t>Trubka měď 18x1,0</t>
  </si>
  <si>
    <t>Trubka měď 22x1,0</t>
  </si>
  <si>
    <t>Trubka měď 28x1,0</t>
  </si>
  <si>
    <t>Trubka měď 35x1,5</t>
  </si>
  <si>
    <t>Trubka měď 64x2,0</t>
  </si>
  <si>
    <t>Trubka měď 76,1x2,0</t>
  </si>
  <si>
    <t>Měděné tvarovky</t>
  </si>
  <si>
    <t>PE tep.izolace 15/10  (λmax=0,04W/m2K)</t>
  </si>
  <si>
    <t>PE tep.izolace 18/15  (λmax=0,04W/m2K)</t>
  </si>
  <si>
    <t>PE tep.izolace 22/15  (λmax=0,04W/m2K)</t>
  </si>
  <si>
    <t>PE tep.izolace 28/20  (λmax=0,04W/m2K)</t>
  </si>
  <si>
    <t>PE tep.izolace 35/20  (λmax=0,04W/m2K)</t>
  </si>
  <si>
    <t>PE tep.izolace 64/30  (λmax=0,04W/m2K)</t>
  </si>
  <si>
    <t>PE tep.izolace 76/30  (λmax=0,04W/m2K)</t>
  </si>
  <si>
    <r>
      <t>PE tepelná izolace 114/30 (</t>
    </r>
    <r>
      <rPr>
        <sz val="11"/>
        <rFont val="Calibri"/>
        <family val="2"/>
        <charset val="238"/>
      </rPr>
      <t>λ</t>
    </r>
    <r>
      <rPr>
        <vertAlign val="subscript"/>
        <sz val="11"/>
        <rFont val="Calibri"/>
        <family val="2"/>
        <charset val="238"/>
      </rPr>
      <t>max</t>
    </r>
    <r>
      <rPr>
        <sz val="11"/>
        <rFont val="Calibri"/>
        <family val="2"/>
        <charset val="238"/>
      </rPr>
      <t>=0,04W/m2K)</t>
    </r>
  </si>
  <si>
    <t>7.</t>
  </si>
  <si>
    <t xml:space="preserve">OSTATNÍ ARMATURY A ZAŘÍZENÍ - TOPNÝ SYSTÉM </t>
  </si>
  <si>
    <t>Mezipřírubová uzavíratelná klapka DN100 PN6</t>
  </si>
  <si>
    <t>Elektronické ob.čerpadlo (Δp=36,3kPa, 1,63m3/h, DN32, PN6, 230V, 50Hz)</t>
  </si>
  <si>
    <t>Č3</t>
  </si>
  <si>
    <t>Elektronické ob.čerpadlo (Δp=41kPa, 4,8m3/h, DN50 PN6, 230V, 50Hz)</t>
  </si>
  <si>
    <t>Č4</t>
  </si>
  <si>
    <t>Teploměr 0-120°C včetně teploměrné jímky</t>
  </si>
  <si>
    <t>Termomanometr 0-120°C, 0-4bar</t>
  </si>
  <si>
    <t>TP</t>
  </si>
  <si>
    <t>Trojcestný směšovací ventil ESBE VRG131 (DN25, Kvs=6,3m3/h)</t>
  </si>
  <si>
    <t>TV3</t>
  </si>
  <si>
    <t>Pohon ESBE 95 (230V, 50Hz, 15Nm, 60s,  3-bod.regulace)</t>
  </si>
  <si>
    <t>k TV3</t>
  </si>
  <si>
    <t xml:space="preserve">montážní sada ESBE VRG801 pro ventily ESBE VRG </t>
  </si>
  <si>
    <t>Redukce, šroubení, pájecí materiál atd.</t>
  </si>
  <si>
    <t>OV</t>
  </si>
  <si>
    <t>Čidlo teploty teplé vody VR10</t>
  </si>
  <si>
    <t>SUMA MATERIÁL:</t>
  </si>
  <si>
    <t>8.</t>
  </si>
  <si>
    <t>MONTÁŽNÍ PRÁCE</t>
  </si>
  <si>
    <t>Montáž topného systému včetně přesunu stávajícího trubkového rozdělovače a sběrače a zásobníku TV, osazení otopných těles a instalace potrubí a tep.izolace a dopravy</t>
  </si>
  <si>
    <t>Provedení zkoušky těsnosti a provozních zkoušek topného systému</t>
  </si>
  <si>
    <t>nastavení a zaregulování armatur a zařízení topného systému</t>
  </si>
  <si>
    <t>montáž plyn.kotelny vč.odkouření a dopravy</t>
  </si>
  <si>
    <t>zkouška těsnosti a provozní zkoušky plyn.kotelny</t>
  </si>
  <si>
    <t>uvedení do provozu, zaškolení obsluhy, nastavení  regulace kaskády plyn.kotlů + ostatní práce v plynové kotelně</t>
  </si>
  <si>
    <t>SUMA MONTÁŽNÍ PRÁCE</t>
  </si>
  <si>
    <t>Cena celkem bez DPH</t>
  </si>
  <si>
    <t>SPECIFIKACE - elektromontáže</t>
  </si>
  <si>
    <t>specifikace je zpracována na základě rozsahu známých skutečností,</t>
  </si>
  <si>
    <t>uvedených v dokumentaci, ve specifikaci není uveden pomocný</t>
  </si>
  <si>
    <t>konstrukční materiál</t>
  </si>
  <si>
    <t>Výrobky zde uvedené jsou referenčními standardy, mohou být</t>
  </si>
  <si>
    <t>nahrazeny pouze výrobky s vlastnostmi stejnými nebo lepšími</t>
  </si>
  <si>
    <t>množství</t>
  </si>
  <si>
    <t>jedn.cena</t>
  </si>
  <si>
    <t>celkem</t>
  </si>
  <si>
    <t>Spínače, tlačítka, zásuvky</t>
  </si>
  <si>
    <t>spínač 01 pod omítku, IP 20, 230V, ABB SWING, bílý</t>
  </si>
  <si>
    <t>spínač 05 pod omítku, IP 20, 230V, ABB SWING, bílý</t>
  </si>
  <si>
    <t>spínač 06 pod omítku, IP 20, 230V, ABB SWING, bílý</t>
  </si>
  <si>
    <t>spínač 1/0 pod omítku, IP 20, 230V, ABB SWING, bílý</t>
  </si>
  <si>
    <t>zásuvka 230V, pod omítku, IP20, 230V, ABB SWING, bílá</t>
  </si>
  <si>
    <t>55,00</t>
  </si>
  <si>
    <t>zásuvka 230V, pod omítku, IP20, 230V, ABB SWING, bílá, vč. D</t>
  </si>
  <si>
    <t>9,00</t>
  </si>
  <si>
    <t>Vodiče, kabely</t>
  </si>
  <si>
    <r>
      <t>CYKY-O 3x1,5mm</t>
    </r>
    <r>
      <rPr>
        <vertAlign val="superscript"/>
        <sz val="9"/>
        <rFont val="Verdana"/>
        <family val="2"/>
        <charset val="238"/>
      </rPr>
      <t>2</t>
    </r>
  </si>
  <si>
    <r>
      <t>CYKY-J 3x1,5mm</t>
    </r>
    <r>
      <rPr>
        <vertAlign val="superscript"/>
        <sz val="9"/>
        <rFont val="Verdana"/>
        <family val="2"/>
        <charset val="238"/>
      </rPr>
      <t>2</t>
    </r>
  </si>
  <si>
    <r>
      <t>CYKY-J 3x2,5mm</t>
    </r>
    <r>
      <rPr>
        <vertAlign val="superscript"/>
        <sz val="9"/>
        <rFont val="Verdana"/>
        <family val="2"/>
        <charset val="238"/>
      </rPr>
      <t>2</t>
    </r>
  </si>
  <si>
    <r>
      <t>CYKY-J 5x2,5mm</t>
    </r>
    <r>
      <rPr>
        <vertAlign val="superscript"/>
        <sz val="9"/>
        <rFont val="Verdana"/>
        <family val="2"/>
        <charset val="238"/>
      </rPr>
      <t>2</t>
    </r>
  </si>
  <si>
    <r>
      <t>CYY 6mm</t>
    </r>
    <r>
      <rPr>
        <vertAlign val="superscript"/>
        <sz val="9"/>
        <rFont val="Verdana"/>
        <family val="2"/>
        <charset val="238"/>
      </rPr>
      <t>2</t>
    </r>
  </si>
  <si>
    <t>60,00</t>
  </si>
  <si>
    <t xml:space="preserve">Svítidla </t>
  </si>
  <si>
    <t>7651 LW19 65-840ET L225 01</t>
  </si>
  <si>
    <t>13,00</t>
  </si>
  <si>
    <t>7651 LW19 45-840ET L150 01</t>
  </si>
  <si>
    <t>7651 LW19 40-840ET L150 01</t>
  </si>
  <si>
    <t>18,00</t>
  </si>
  <si>
    <t>7651 LW19 20-840ET L75 01</t>
  </si>
  <si>
    <t>4,00</t>
  </si>
  <si>
    <t>7651 LAN 100-840ET L225 01</t>
  </si>
  <si>
    <t>6,00</t>
  </si>
  <si>
    <t>7651 LVW 60-840ET L225 01</t>
  </si>
  <si>
    <t>5,00</t>
  </si>
  <si>
    <t>7651 LVW 55-840ET L150 01</t>
  </si>
  <si>
    <t>2,00</t>
  </si>
  <si>
    <t>07650 L450 7LV 37 01</t>
  </si>
  <si>
    <t>17,00</t>
  </si>
  <si>
    <t>07650 L225 7LV E 37 01</t>
  </si>
  <si>
    <t>7,00</t>
  </si>
  <si>
    <t>07650 L150 7LV E 37 01</t>
  </si>
  <si>
    <t>12,00</t>
  </si>
  <si>
    <t>07650 L75 7LV E 37 01</t>
  </si>
  <si>
    <t>07650 Ks 01</t>
  </si>
  <si>
    <t>54,00</t>
  </si>
  <si>
    <t>A01DSXOE/1500</t>
  </si>
  <si>
    <t>102,00</t>
  </si>
  <si>
    <t>07650 BL L225 01</t>
  </si>
  <si>
    <t>07650 BL L75 01</t>
  </si>
  <si>
    <t>10,00</t>
  </si>
  <si>
    <t>07650 BL L37 01</t>
  </si>
  <si>
    <t>OleveonF 15 B 4000-840 ET</t>
  </si>
  <si>
    <t>1,00</t>
  </si>
  <si>
    <t>OleveonF 15 B 6000-840 ET</t>
  </si>
  <si>
    <t>Mondia G2 WD3 LED2800-840 ET</t>
  </si>
  <si>
    <t>TM-OR.M5ATM1O0N0WTEC R M5 105 M AT W</t>
  </si>
  <si>
    <t>TM-OR.C2ATM10O0nWtec R C2 105 M AT W</t>
  </si>
  <si>
    <t>TM-OE.EP.AT001TM ONTEC E E1P 101 M AT W</t>
  </si>
  <si>
    <t>8,00</t>
  </si>
  <si>
    <t>recyklace sk.4</t>
  </si>
  <si>
    <t>recyklace sk.5</t>
  </si>
  <si>
    <t>Rozvaděče:</t>
  </si>
  <si>
    <t>rozváděč RS51 vč. úpravy návrhu zařízení 2011</t>
  </si>
  <si>
    <t>Ostatní materiál</t>
  </si>
  <si>
    <t>SVORKOVNICE KABICOVÁ 3x1-2,5mm2</t>
  </si>
  <si>
    <t>EKVIPOTENCIONÁLNÍ SVORKOVNICE s krytem</t>
  </si>
  <si>
    <t>DETEKTOR ZEMNÍHO PLYNU S DVOUST. SIGNALIZACÍ - ústř.</t>
  </si>
  <si>
    <t>DETEKTOR ZVÝŠENÉ TEPLOTY PRO KOTELNY pro ústřednu</t>
  </si>
  <si>
    <t>HOUKAČKA pro ústřednu</t>
  </si>
  <si>
    <t>Ochrana před bleskem</t>
  </si>
  <si>
    <t>OCELOVÝ DRÁT POZINKOVANÝ</t>
  </si>
  <si>
    <t>FeZn-D8 (0,4kg/m), pevně</t>
  </si>
  <si>
    <t>OCELOVÝ PÁSEK POZINKOVANÝ</t>
  </si>
  <si>
    <t>FeZn30x4 (0,95 kg/m), pevně</t>
  </si>
  <si>
    <t>JÍMACÍ TYČ</t>
  </si>
  <si>
    <t>JR3,0 3m</t>
  </si>
  <si>
    <t xml:space="preserve">DRŽÁK JÍMACÍ TYČE </t>
  </si>
  <si>
    <t>DJD D20mm,na dřev.konstr.</t>
  </si>
  <si>
    <t xml:space="preserve">PODPĚRA VEDENÍ </t>
  </si>
  <si>
    <t>PV15a na hřebenáče</t>
  </si>
  <si>
    <t>PV21c na ploch.střechy-plastová</t>
  </si>
  <si>
    <t>PV22a pod tašky, šindele i eternit</t>
  </si>
  <si>
    <t>SVORKA HROMOSVODNÍ,UZEMŇOVACÍ</t>
  </si>
  <si>
    <t>SJ1 k jímací tyči,D=20</t>
  </si>
  <si>
    <t>SU univerzální</t>
  </si>
  <si>
    <t>SR 3b spoj pásek-drát</t>
  </si>
  <si>
    <t>SZa zkušební</t>
  </si>
  <si>
    <t>ST na okap D80-120</t>
  </si>
  <si>
    <t>ZEMNIČE FeZn</t>
  </si>
  <si>
    <t>ZT 1,5 tyč 1500x26mm</t>
  </si>
  <si>
    <t>OCHRANNÝ ÚHELNÍK A DRŽÁK</t>
  </si>
  <si>
    <t>OU1,7 ochranný úhelník 1700mm</t>
  </si>
  <si>
    <t>DUZ držák úhel.do zdi</t>
  </si>
  <si>
    <t>Montáže zařízení k položkám 1-6</t>
  </si>
  <si>
    <t>HODINOVE ZUCTOVACI SAZBY a REVIZE ZAŘÍZENÍ</t>
  </si>
  <si>
    <t xml:space="preserve"> Napojeni na stavajici zarizeni</t>
  </si>
  <si>
    <t>PROVEDENI REVIZNICH ZKOUSEK</t>
  </si>
  <si>
    <t>DLE CSN 331500</t>
  </si>
  <si>
    <t xml:space="preserve"> Revizni technik</t>
  </si>
  <si>
    <t xml:space="preserve"> Spoluprace s reviz.technikem</t>
  </si>
  <si>
    <t>Podružný, drobný a spojovací materiál</t>
  </si>
  <si>
    <t>Elektromontáže - celkem</t>
  </si>
  <si>
    <t>Zemní práce ochrana před bleskem</t>
  </si>
  <si>
    <t>HLOUBENÍ KABELOVÉ RÝHY</t>
  </si>
  <si>
    <t xml:space="preserve"> Zemina třídy 3, šíře 300mm,hloubka 650mm</t>
  </si>
  <si>
    <t>ZÁHOZ KABELOVÉ RÝHY</t>
  </si>
  <si>
    <t xml:space="preserve"> Zemina třídy 3, šíře 300mm,hloubka 450mm</t>
  </si>
  <si>
    <t xml:space="preserve"> Zatravnění dotčené plochy-travní semeno-vysetí</t>
  </si>
  <si>
    <t>Elektromontáže vč.zemních prací - celkem</t>
  </si>
  <si>
    <t>GYMNÁZIUM HOSTIVICE - REKONSTRUKCE GYMNÁZIA II.ETAPA</t>
  </si>
  <si>
    <t>Kabelové trasy + ostatní</t>
  </si>
  <si>
    <t>Celkový počet</t>
  </si>
  <si>
    <t>Měrná jednotka</t>
  </si>
  <si>
    <t>Jednotková cena valuta</t>
  </si>
  <si>
    <t>Celková cena valuta</t>
  </si>
  <si>
    <t>Název pro nabídku</t>
  </si>
  <si>
    <t>trubka dvoupl. / UV stabilní</t>
  </si>
  <si>
    <t>KS</t>
  </si>
  <si>
    <t>zaklapávací lišta PVC</t>
  </si>
  <si>
    <t>oddělovací přepážka do parapetního kanálu</t>
  </si>
  <si>
    <t>žlab MERKUR 2 200/50 galv. zinek</t>
  </si>
  <si>
    <t>montážní materiál</t>
  </si>
  <si>
    <t>KPL</t>
  </si>
  <si>
    <t>montážní materiál - příslušenství k drátěnému žlabu</t>
  </si>
  <si>
    <t>montážní materiál - příslušenství parapetního kanálu</t>
  </si>
  <si>
    <t>parapetní kanál</t>
  </si>
  <si>
    <t>protipožární ucpávky vč. práce</t>
  </si>
  <si>
    <t>přístrojová krabice do parapetního kanálu</t>
  </si>
  <si>
    <t>podpěra vedení na ploché střechy</t>
  </si>
  <si>
    <t>Vrtací šablona</t>
  </si>
  <si>
    <t>elektrorevize</t>
  </si>
  <si>
    <t>instalace, zapojení a uzemn. rozvodných a zásuv. krabic, vodivé propojení kabel. žlabu</t>
  </si>
  <si>
    <t>lištování, montáž kabel. žlabu, průrazy, pokládání el. trubek a kabelů, dokončovací práce</t>
  </si>
  <si>
    <t>prac. projekt, dokumentace skutečného provedení, zaškolení</t>
  </si>
  <si>
    <t>režijí náklady na dopravu</t>
  </si>
  <si>
    <t>rozebrání, přemístění a zpětná montáž rozvaděče</t>
  </si>
  <si>
    <t>SSK</t>
  </si>
  <si>
    <t>maska nosná pro 2 moduly RJ45</t>
  </si>
  <si>
    <t>třmen se soklem</t>
  </si>
  <si>
    <t>racková UPS 2 200VA</t>
  </si>
  <si>
    <t>elektroinstalační trubka ohebná</t>
  </si>
  <si>
    <t>vázací panel High Density, 2U, 19", jednostranný</t>
  </si>
  <si>
    <t>kabel HDMI 5m</t>
  </si>
  <si>
    <t>kabel S/FTP, kat. 6A</t>
  </si>
  <si>
    <t>korungovaná chránička dvoupl.</t>
  </si>
  <si>
    <t>krabice do sádrokartonu hluboká</t>
  </si>
  <si>
    <t>krabice univerzální podlahová</t>
  </si>
  <si>
    <t>modul keystone cat.6A RJ45 stíněný</t>
  </si>
  <si>
    <t>patch kabel stíněný Cat6A 1m</t>
  </si>
  <si>
    <t>police perforovaná 1U / 280mm, max. nosnost 25kg</t>
  </si>
  <si>
    <t>rám podlahové krabice</t>
  </si>
  <si>
    <t>rámeček jednoduchý balený</t>
  </si>
  <si>
    <t>switch 24x 1000Base-T</t>
  </si>
  <si>
    <t>patch panel pro 24 modulů keystone, neosazený, 1U, černý</t>
  </si>
  <si>
    <t>Access Point WiFi</t>
  </si>
  <si>
    <t>víko krabice podlahové</t>
  </si>
  <si>
    <t>spojovací metalický kabel, 1m</t>
  </si>
  <si>
    <t>certifikace a měření - metalický kabel</t>
  </si>
  <si>
    <t>instalace a zapojení komponentů</t>
  </si>
  <si>
    <t>oživení a seřízení systému</t>
  </si>
  <si>
    <t>pokládání kabelů a chrániček, uzemnění rozvaděče RACK</t>
  </si>
  <si>
    <t>zapojení RJ konektorů do patch panelů, vyvazování kabelů, značení zásuvek</t>
  </si>
  <si>
    <t>Optika</t>
  </si>
  <si>
    <t>FO patch LC-SC 2m 9/125 duplex</t>
  </si>
  <si>
    <t>FO pigtail SC 9/125, 0,9mm, 1m LSOH ZWP</t>
  </si>
  <si>
    <t>kabel optický, Blown Cable, 24vl., 9/125, LFP, 3,2mm, Z238, CLT, KDP</t>
  </si>
  <si>
    <t>mikrotrubička 12/8mm, zodolněná - modrá</t>
  </si>
  <si>
    <t>ochrana sváru, zatavovací</t>
  </si>
  <si>
    <t>19" optický rozvaděč, 24xSC simplex, výsuvný, černý</t>
  </si>
  <si>
    <t>adaptor SC-SC simplex, MM</t>
  </si>
  <si>
    <t>Gigabitový modul, 20km, LC konektor miniGBIC (SFP)</t>
  </si>
  <si>
    <t>certifikované měření optického spoje a vypracování protokolu</t>
  </si>
  <si>
    <t>instalace patchpanelů do rozvaděčů, pokládání mikrotrubičky</t>
  </si>
  <si>
    <t>sváry vláken vč. přípravy před svařováním</t>
  </si>
  <si>
    <t>zafouknutí OK, vč. přípravy zafukovací soupravy a kompresoru, tlaková zkouška MT</t>
  </si>
  <si>
    <t>Jednotný čas</t>
  </si>
  <si>
    <t>kabel CYKY 2A x 2,5(O)</t>
  </si>
  <si>
    <t>patch kabel S-FTP cat6a 0,25m</t>
  </si>
  <si>
    <t>nástěnné hodiny 30cm</t>
  </si>
  <si>
    <t>instalace a zapojení hodin, pokládání kabelu</t>
  </si>
  <si>
    <t>Školní rozhlas</t>
  </si>
  <si>
    <t>reprosoustava na zavěšení - bílý plast</t>
  </si>
  <si>
    <t>instalace a zapojení reproduktorů, instalace krabic, pokládání kabelu</t>
  </si>
  <si>
    <t>úprava stávajícího zapojení, oživení systému</t>
  </si>
  <si>
    <t>Školní zvonek</t>
  </si>
  <si>
    <t>školní zvonek</t>
  </si>
  <si>
    <t>instalace a zapojení zvonku, pokládání kabelu</t>
  </si>
  <si>
    <t>ACS</t>
  </si>
  <si>
    <t>modul kontroly přístupu</t>
  </si>
  <si>
    <t>baterie olověná 12V 4,5Ah Geti</t>
  </si>
  <si>
    <t>nízkoodběrový elektrický zámek</t>
  </si>
  <si>
    <t>kryt ústředny</t>
  </si>
  <si>
    <t>kabel SYKFY 5x2x0,5</t>
  </si>
  <si>
    <t>bezkontaktní čtečka ID</t>
  </si>
  <si>
    <t>transformátor 16VAC/ 30VA</t>
  </si>
  <si>
    <t>pokládání kabelu</t>
  </si>
  <si>
    <t>úprava stávajícího zapojení, programování PTZS, konfigurace a oživení ACS</t>
  </si>
  <si>
    <t>DT domácí telefon</t>
  </si>
  <si>
    <t>domovní telefon komfortní pro systém 1083, 3 servisní tl.</t>
  </si>
  <si>
    <t>instalace a zapojení domovního telefonu, pokládání kabelu</t>
  </si>
  <si>
    <t>UTO - telefonní linky</t>
  </si>
  <si>
    <t>kabel SYKFY 25x2x0,5 con</t>
  </si>
  <si>
    <t>Panasonic KX-DT321CE černý telefonní přístroj</t>
  </si>
  <si>
    <t>patch panel 19", 50 portů, CAT3, 1U</t>
  </si>
  <si>
    <t>instalace a zapojení telefonního přístroje, pokládání kabelu</t>
  </si>
  <si>
    <t>ukončení kabelu v RJ konektorech v patch panelu</t>
  </si>
  <si>
    <t>úprava stávajícího zapojení, zprovoznění tel. přístroje, proměření vodičů</t>
  </si>
  <si>
    <t>CCTV</t>
  </si>
  <si>
    <t>statická vnitřní DOME kamera AXIS 2Mpix 3.4-8.9mm</t>
  </si>
  <si>
    <t>zadní montážní box statické kamery</t>
  </si>
  <si>
    <t>patch kabel S-FTP cat6a 1,5m</t>
  </si>
  <si>
    <t>instalace a zapojení IP kamer</t>
  </si>
  <si>
    <t>konfigurace IP kamer, implementace do stávajícího systému, oživení a nastavení</t>
  </si>
  <si>
    <t>Celkem bez DPH</t>
  </si>
  <si>
    <t>Celkem s DPH</t>
  </si>
  <si>
    <t>Gymnázium Hostivice - rekonstrukce gymnázia II. etapa</t>
  </si>
  <si>
    <t>Rozpočet KLIMATIZACE</t>
  </si>
  <si>
    <t>Zař./Poz.</t>
  </si>
  <si>
    <t>Ceník</t>
  </si>
  <si>
    <t>Položka</t>
  </si>
  <si>
    <t>Počet</t>
  </si>
  <si>
    <t>Cena j.m.</t>
  </si>
  <si>
    <t>Klimatizace učeben 4.NP</t>
  </si>
  <si>
    <t>Mitsubishi Electric</t>
  </si>
  <si>
    <t>Venkovní klimatizační jednotka PUHY-EP300YNW (chladící/topný výkon 33,5/37 kW)</t>
  </si>
  <si>
    <t>Vnitřní jednocestná kazetová jednotka PMFY-M20VBM-E (chlacící/topný výkon 2,2/2,5 kW)</t>
  </si>
  <si>
    <t>Vnitřní čtyřcestná kazetová klimatizační jednotka PLFY-M40VEM-E (chladící/topný výkon 4,5/5,0kW)</t>
  </si>
  <si>
    <t>Vnitřní čtyřcestná kazetová klimatizační jednotka PLFY-M50VEM-E (chladící/topný výkon 5,6/6,3kW)</t>
  </si>
  <si>
    <t>Vnitřní čtyřcestná kazetová klimatizační jednotka PLFY-M63VEM-E (chladící/topný výkon 7,1/8,0kW)</t>
  </si>
  <si>
    <t>Nástěnný kabelový ovladač PAR-41MAA</t>
  </si>
  <si>
    <t>Vedení chladiva R 410 A, tepelná izolace, komunikační vedení</t>
  </si>
  <si>
    <t>bm</t>
  </si>
  <si>
    <t>Chladivo R410A - doplnění</t>
  </si>
  <si>
    <t>Stojanová konzole pod venkovní jednotku s nastavitelnými nohami</t>
  </si>
  <si>
    <t>Spojovací a montážní materiál</t>
  </si>
  <si>
    <t>CELKEM</t>
  </si>
  <si>
    <t>Centrální ovladač klimatizace a VZT jednotek</t>
  </si>
  <si>
    <t>Centrální řídící jednotka  EW-50E včetně zdroje software: web monitor, plánovač,hlášení poruch mailem</t>
  </si>
  <si>
    <t xml:space="preserve">komunikační kabel JYTY 2x1 </t>
  </si>
  <si>
    <t xml:space="preserve">Programování systému, zprovoznění </t>
  </si>
  <si>
    <t>Chlazení serverovny</t>
  </si>
  <si>
    <t>Venkovní klimatizační jednotka MUY-TP50VF (chladící výkon 3,5 kW)</t>
  </si>
  <si>
    <t>Vnitřní jnástěnná klimatizační jednotka MSY-TP50VF</t>
  </si>
  <si>
    <t>Interface MAC-334 IF-E - napojení kabelového ovladače napojení na cetrální ovladač</t>
  </si>
  <si>
    <t>Cenová rekapitulace:</t>
  </si>
  <si>
    <t>Jeřábnické práce</t>
  </si>
  <si>
    <t xml:space="preserve">Doprava </t>
  </si>
  <si>
    <t xml:space="preserve">Cena celkem bez DPH </t>
  </si>
  <si>
    <t xml:space="preserve">V ceně není zahrnuto: </t>
  </si>
  <si>
    <t>přívod el. proudu ke klimatrizačním jednotkám</t>
  </si>
  <si>
    <t>potrubí odvodu kondnezátu od vnitřních klimatizačních jednotek</t>
  </si>
  <si>
    <t>sifóny se zápachovou uzávěrou pro napojení potrubí odvodu kondnezátu do kanalizace</t>
  </si>
  <si>
    <t>uchycení ocelové konstrukce pod klimatizační jednotky ke střeše</t>
  </si>
  <si>
    <t>Gymnázium Hostivice přísp.organizace</t>
  </si>
  <si>
    <t>pol.</t>
  </si>
  <si>
    <t>název položky</t>
  </si>
  <si>
    <r>
      <rPr>
        <sz val="10"/>
        <rFont val="Times New Roman CE"/>
        <family val="1"/>
        <charset val="238"/>
      </rPr>
      <t>ks/ bm/ m</t>
    </r>
    <r>
      <rPr>
        <vertAlign val="superscript"/>
        <sz val="10"/>
        <rFont val="Times New Roman CE"/>
        <family val="1"/>
        <charset val="238"/>
      </rPr>
      <t>2</t>
    </r>
  </si>
  <si>
    <t>cena za ks v Kč bez DPH</t>
  </si>
  <si>
    <t>DPH za ks v Kč</t>
  </si>
  <si>
    <t>cena za ks v Kč včetně DPH</t>
  </si>
  <si>
    <t>cena za pol. celkem v Kč bez DPH</t>
  </si>
  <si>
    <t>DPH za polož. celkem</t>
  </si>
  <si>
    <t>cena za položku celkem včetně DPH</t>
  </si>
  <si>
    <t>Dodávka nábytku</t>
  </si>
  <si>
    <t>1.1.</t>
  </si>
  <si>
    <r>
      <rPr>
        <b/>
        <sz val="10"/>
        <rFont val="Times New Roman CE"/>
        <family val="1"/>
        <charset val="238"/>
      </rPr>
      <t>žákovské laboratorní pracoviště oboustranné s nástavbou</t>
    </r>
    <r>
      <rPr>
        <sz val="10"/>
        <rFont val="Times New Roman CE"/>
        <family val="1"/>
        <charset val="238"/>
      </rPr>
      <t xml:space="preserve"> - rozměr 420x125x90cm, rozměr nástavby 150x30x50 cm, kovová konstrukce z ocelových jäklových profilů s povrchovou úpravou žárový komaxit v barvě RAL s rektifikač.šrouby a ukotvením do podlahy, pracovní deska z vysokotlakého HPL laminátu, skříňky, okopy a police z LTD tl.18 mm s ABS hranou - </t>
    </r>
    <r>
      <rPr>
        <b/>
        <sz val="10"/>
        <rFont val="Times New Roman CE"/>
        <family val="1"/>
        <charset val="238"/>
      </rPr>
      <t>2ks LS 02</t>
    </r>
    <r>
      <rPr>
        <sz val="10"/>
        <rFont val="Times New Roman CE"/>
        <family val="1"/>
        <charset val="238"/>
      </rPr>
      <t xml:space="preserve"> </t>
    </r>
    <r>
      <rPr>
        <b/>
        <sz val="10"/>
        <rFont val="Times New Roman CE"/>
        <family val="1"/>
        <charset val="238"/>
      </rPr>
      <t xml:space="preserve">dřezová uzamykatelná </t>
    </r>
    <r>
      <rPr>
        <sz val="10"/>
        <rFont val="Times New Roman CE"/>
        <family val="1"/>
        <charset val="238"/>
      </rPr>
      <t xml:space="preserve">skříňka šíře 60 cm se sklolaminátovým bílým dřezem vč.vodovodní baterie a 2 ks plynových ventilů, </t>
    </r>
    <r>
      <rPr>
        <b/>
        <sz val="10"/>
        <rFont val="Times New Roman CE"/>
        <family val="1"/>
        <charset val="238"/>
      </rPr>
      <t>8 ks LS 04</t>
    </r>
    <r>
      <rPr>
        <sz val="10"/>
        <rFont val="Times New Roman CE"/>
        <family val="1"/>
        <charset val="238"/>
      </rPr>
      <t xml:space="preserve"> </t>
    </r>
    <r>
      <rPr>
        <b/>
        <sz val="10"/>
        <rFont val="Times New Roman CE"/>
        <family val="1"/>
        <charset val="238"/>
      </rPr>
      <t>policovýc</t>
    </r>
    <r>
      <rPr>
        <sz val="10"/>
        <rFont val="Times New Roman CE"/>
        <family val="1"/>
        <charset val="238"/>
      </rPr>
      <t xml:space="preserve">h </t>
    </r>
    <r>
      <rPr>
        <b/>
        <sz val="10"/>
        <rFont val="Times New Roman CE"/>
        <family val="1"/>
        <charset val="238"/>
      </rPr>
      <t>uzamykatelných</t>
    </r>
    <r>
      <rPr>
        <sz val="10"/>
        <rFont val="Times New Roman CE"/>
        <family val="1"/>
        <charset val="238"/>
      </rPr>
      <t xml:space="preserve"> skříněk šíře 60 cm, </t>
    </r>
    <r>
      <rPr>
        <b/>
        <sz val="10"/>
        <rFont val="Times New Roman CE"/>
        <family val="1"/>
        <charset val="238"/>
      </rPr>
      <t>4 ks LS 03</t>
    </r>
    <r>
      <rPr>
        <sz val="10"/>
        <rFont val="Times New Roman CE"/>
        <family val="1"/>
        <charset val="238"/>
      </rPr>
      <t xml:space="preserve"> </t>
    </r>
    <r>
      <rPr>
        <b/>
        <sz val="10"/>
        <rFont val="Times New Roman CE"/>
        <family val="1"/>
        <charset val="238"/>
      </rPr>
      <t xml:space="preserve">skříněk čtyřšuplíkových s centrálním zámkem </t>
    </r>
    <r>
      <rPr>
        <sz val="10"/>
        <rFont val="Times New Roman CE"/>
        <family val="1"/>
        <charset val="238"/>
      </rPr>
      <t xml:space="preserve">šíře 60 cm , </t>
    </r>
    <r>
      <rPr>
        <b/>
        <sz val="10"/>
        <rFont val="Times New Roman CE"/>
        <family val="1"/>
        <charset val="238"/>
      </rPr>
      <t>v nástavbách umístěno</t>
    </r>
    <r>
      <rPr>
        <sz val="10"/>
        <rFont val="Times New Roman CE"/>
        <family val="1"/>
        <charset val="238"/>
      </rPr>
      <t xml:space="preserve"> - 8 ks zásuvek pro 230V</t>
    </r>
  </si>
  <si>
    <t>1.2.</t>
  </si>
  <si>
    <r>
      <rPr>
        <b/>
        <sz val="10"/>
        <rFont val="Times New Roman CE"/>
        <family val="1"/>
        <charset val="238"/>
      </rPr>
      <t xml:space="preserve">jednostranná laboratorní digestoř – </t>
    </r>
    <r>
      <rPr>
        <sz val="10"/>
        <rFont val="Times New Roman CE"/>
        <family val="1"/>
        <charset val="238"/>
      </rPr>
      <t>rozměr š125xh cca70xv220 cm, konstrukce ze sendvičového skeletu a panely z polyethylenu a hliníku, pracovní plocha kyselinovzdorná keramická dlažba 15 x 15 cm, bílé barvy a kyselinovzdorná spárovací hmota, skříňka pod digestoří s posuvnými dveřmi, čelní vertikálně posuvné okno s bezpečnostní výplní Connex, manuální ovládání zdvihu okna pomocí protizávaží, vybavení – 1x zásuvka 230 V  (zvenku), 1x plynový ventil, 2x světelná trubice v protiprašném krytu oddělené od vnitřního prostoru bezpečnostním sklem Connex, tl. 6 mm, odtah - ventilátor plastový 160mm, včetně regulace otáček, příprava na odtah ven z místnosti průměr 250 mm</t>
    </r>
  </si>
  <si>
    <t>Dodávka nábytku celkem</t>
  </si>
  <si>
    <t>2.1.</t>
  </si>
  <si>
    <t>roznos, ustavení  a montáž</t>
  </si>
  <si>
    <t>2.2.</t>
  </si>
  <si>
    <t>doprava</t>
  </si>
  <si>
    <t>2.3.</t>
  </si>
  <si>
    <t xml:space="preserve">přípravné práce voda, elektro, plyn </t>
  </si>
  <si>
    <t>2.4.</t>
  </si>
  <si>
    <t>dopojení medií k pracovním stolům</t>
  </si>
  <si>
    <t xml:space="preserve">   Ostatní náklady celkem</t>
  </si>
  <si>
    <t xml:space="preserve">  Za zakázku celkem v Kč (bez DPH, DPH 21%, s DPH)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</si>
</sst>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.00_ &quot;Kč&quot;"/>
    <numFmt numFmtId="169" formatCode="#,##0.00\ &quot;Kč&quot;"/>
    <numFmt numFmtId="170" formatCode="#,##0\ &quot;Kč&quot;"/>
  </numFmts>
  <fonts count="99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  <family val="2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i/>
      <u/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13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vertAlign val="subscript"/>
      <sz val="11"/>
      <name val="Calibri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i/>
      <sz val="9"/>
      <name val="Verdana"/>
      <family val="2"/>
      <charset val="238"/>
    </font>
    <font>
      <b/>
      <i/>
      <sz val="9"/>
      <name val="Verdana"/>
      <family val="2"/>
      <charset val="238"/>
    </font>
    <font>
      <vertAlign val="superscript"/>
      <sz val="9"/>
      <name val="Verdana"/>
      <family val="2"/>
      <charset val="238"/>
    </font>
    <font>
      <sz val="9"/>
      <color rgb="FF000000"/>
      <name val="Verdana"/>
      <family val="2"/>
      <charset val="238"/>
    </font>
    <font>
      <i/>
      <sz val="9"/>
      <color rgb="FF000000"/>
      <name val="Verdana"/>
      <family val="2"/>
      <charset val="238"/>
    </font>
    <font>
      <b/>
      <i/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13"/>
      <color rgb="FF000000"/>
      <name val="Verdana"/>
      <family val="2"/>
      <charset val="238"/>
    </font>
    <font>
      <sz val="17"/>
      <color rgb="FF000000"/>
      <name val="Verdana"/>
      <family val="2"/>
      <charset val="238"/>
    </font>
    <font>
      <sz val="14"/>
      <color rgb="FF00B0F0"/>
      <name val="Arial CE"/>
    </font>
    <font>
      <sz val="12"/>
      <color rgb="FF00B0F0"/>
      <name val="Arial CE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 CE"/>
      <family val="2"/>
      <charset val="238"/>
    </font>
    <font>
      <b/>
      <i/>
      <sz val="16"/>
      <name val="Times New Roman CE"/>
      <family val="1"/>
      <charset val="238"/>
    </font>
    <font>
      <sz val="10"/>
      <name val="Times New Roman CE"/>
      <family val="1"/>
      <charset val="238"/>
    </font>
    <font>
      <vertAlign val="superscript"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4"/>
        <bgColor indexed="31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</borders>
  <cellStyleXfs count="8">
    <xf numFmtId="0" fontId="0" fillId="0" borderId="0"/>
    <xf numFmtId="0" fontId="49" fillId="0" borderId="0" applyNumberFormat="0" applyFill="0" applyBorder="0" applyAlignment="0" applyProtection="0"/>
    <xf numFmtId="0" fontId="53" fillId="0" borderId="1"/>
    <xf numFmtId="0" fontId="64" fillId="0" borderId="1"/>
    <xf numFmtId="0" fontId="1" fillId="0" borderId="1"/>
    <xf numFmtId="0" fontId="73" fillId="0" borderId="1" applyNumberFormat="0" applyFont="0" applyFill="0" applyBorder="0" applyAlignment="0" applyProtection="0">
      <alignment vertical="top"/>
    </xf>
    <xf numFmtId="0" fontId="57" fillId="0" borderId="1"/>
    <xf numFmtId="0" fontId="51" fillId="0" borderId="1"/>
  </cellStyleXfs>
  <cellXfs count="6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5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9" fillId="0" borderId="4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 applyProtection="1"/>
    <xf numFmtId="0" fontId="9" fillId="0" borderId="4" xfId="0" applyFont="1" applyBorder="1" applyAlignment="1"/>
    <xf numFmtId="0" fontId="9" fillId="0" borderId="15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6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5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  <xf numFmtId="49" fontId="54" fillId="0" borderId="29" xfId="2" applyNumberFormat="1" applyFont="1" applyBorder="1" applyAlignment="1">
      <alignment horizontal="center" vertical="center"/>
    </xf>
    <xf numFmtId="0" fontId="54" fillId="0" borderId="29" xfId="2" applyFont="1" applyBorder="1" applyAlignment="1">
      <alignment horizontal="center" vertical="center"/>
    </xf>
    <xf numFmtId="0" fontId="55" fillId="0" borderId="1" xfId="2" applyFont="1" applyAlignment="1">
      <alignment vertical="center"/>
    </xf>
    <xf numFmtId="49" fontId="55" fillId="0" borderId="24" xfId="2" applyNumberFormat="1" applyFont="1" applyBorder="1" applyAlignment="1">
      <alignment horizontal="left" vertical="center"/>
    </xf>
    <xf numFmtId="0" fontId="55" fillId="0" borderId="25" xfId="2" applyFont="1" applyBorder="1" applyAlignment="1">
      <alignment horizontal="left" vertical="center"/>
    </xf>
    <xf numFmtId="49" fontId="56" fillId="0" borderId="25" xfId="2" applyNumberFormat="1" applyFont="1" applyBorder="1" applyAlignment="1">
      <alignment horizontal="left" vertical="center"/>
    </xf>
    <xf numFmtId="49" fontId="55" fillId="0" borderId="25" xfId="2" applyNumberFormat="1" applyFont="1" applyBorder="1" applyAlignment="1">
      <alignment horizontal="left" vertical="center"/>
    </xf>
    <xf numFmtId="0" fontId="55" fillId="0" borderId="26" xfId="2" applyFont="1" applyBorder="1" applyAlignment="1">
      <alignment horizontal="left" vertical="center"/>
    </xf>
    <xf numFmtId="0" fontId="55" fillId="0" borderId="27" xfId="2" applyFont="1" applyBorder="1" applyAlignment="1">
      <alignment vertical="center"/>
    </xf>
    <xf numFmtId="0" fontId="55" fillId="0" borderId="27" xfId="2" applyFont="1" applyBorder="1" applyAlignment="1">
      <alignment horizontal="left" vertical="center"/>
    </xf>
    <xf numFmtId="0" fontId="55" fillId="0" borderId="1" xfId="2" applyFont="1" applyAlignment="1">
      <alignment horizontal="left" vertical="center"/>
    </xf>
    <xf numFmtId="0" fontId="56" fillId="0" borderId="1" xfId="2" applyFont="1" applyAlignment="1">
      <alignment horizontal="left" vertical="center"/>
    </xf>
    <xf numFmtId="0" fontId="55" fillId="0" borderId="28" xfId="2" applyFont="1" applyBorder="1" applyAlignment="1">
      <alignment horizontal="left" vertical="center"/>
    </xf>
    <xf numFmtId="49" fontId="55" fillId="0" borderId="27" xfId="2" applyNumberFormat="1" applyFont="1" applyBorder="1" applyAlignment="1">
      <alignment horizontal="left" vertical="center"/>
    </xf>
    <xf numFmtId="49" fontId="55" fillId="0" borderId="1" xfId="2" applyNumberFormat="1" applyFont="1" applyAlignment="1">
      <alignment horizontal="left" vertical="center"/>
    </xf>
    <xf numFmtId="14" fontId="55" fillId="0" borderId="1" xfId="2" applyNumberFormat="1" applyFont="1" applyAlignment="1">
      <alignment horizontal="left" vertical="center"/>
    </xf>
    <xf numFmtId="0" fontId="55" fillId="0" borderId="32" xfId="2" applyFont="1" applyBorder="1" applyAlignment="1">
      <alignment horizontal="left" vertical="center"/>
    </xf>
    <xf numFmtId="0" fontId="55" fillId="0" borderId="33" xfId="2" applyFont="1" applyBorder="1" applyAlignment="1">
      <alignment horizontal="left" vertical="center"/>
    </xf>
    <xf numFmtId="0" fontId="55" fillId="0" borderId="34" xfId="2" applyFont="1" applyBorder="1" applyAlignment="1">
      <alignment horizontal="left" vertical="center"/>
    </xf>
    <xf numFmtId="49" fontId="55" fillId="0" borderId="35" xfId="2" applyNumberFormat="1" applyFont="1" applyBorder="1" applyAlignment="1">
      <alignment horizontal="left" vertical="center"/>
    </xf>
    <xf numFmtId="49" fontId="55" fillId="0" borderId="36" xfId="2" applyNumberFormat="1" applyFont="1" applyBorder="1" applyAlignment="1">
      <alignment horizontal="left" vertical="center"/>
    </xf>
    <xf numFmtId="49" fontId="56" fillId="0" borderId="37" xfId="2" applyNumberFormat="1" applyFont="1" applyBorder="1" applyAlignment="1">
      <alignment horizontal="center" vertical="center"/>
    </xf>
    <xf numFmtId="49" fontId="56" fillId="0" borderId="38" xfId="2" applyNumberFormat="1" applyFont="1" applyBorder="1" applyAlignment="1">
      <alignment horizontal="center" vertical="center"/>
    </xf>
    <xf numFmtId="0" fontId="56" fillId="0" borderId="39" xfId="2" applyFont="1" applyBorder="1" applyAlignment="1">
      <alignment horizontal="center" vertical="center"/>
    </xf>
    <xf numFmtId="0" fontId="56" fillId="0" borderId="40" xfId="2" applyFont="1" applyBorder="1" applyAlignment="1">
      <alignment horizontal="center" vertical="center"/>
    </xf>
    <xf numFmtId="0" fontId="55" fillId="0" borderId="41" xfId="2" applyFont="1" applyBorder="1" applyAlignment="1">
      <alignment vertical="center"/>
    </xf>
    <xf numFmtId="49" fontId="56" fillId="0" borderId="42" xfId="2" applyNumberFormat="1" applyFont="1" applyBorder="1" applyAlignment="1">
      <alignment horizontal="left" vertical="center"/>
    </xf>
    <xf numFmtId="49" fontId="56" fillId="0" borderId="43" xfId="2" applyNumberFormat="1" applyFont="1" applyBorder="1" applyAlignment="1">
      <alignment horizontal="left" vertical="center"/>
    </xf>
    <xf numFmtId="49" fontId="56" fillId="0" borderId="43" xfId="2" applyNumberFormat="1" applyFont="1" applyBorder="1" applyAlignment="1">
      <alignment horizontal="center" vertical="center"/>
    </xf>
    <xf numFmtId="49" fontId="56" fillId="0" borderId="44" xfId="2" applyNumberFormat="1" applyFont="1" applyBorder="1" applyAlignment="1">
      <alignment horizontal="right" vertical="center"/>
    </xf>
    <xf numFmtId="49" fontId="56" fillId="0" borderId="45" xfId="2" applyNumberFormat="1" applyFont="1" applyBorder="1" applyAlignment="1">
      <alignment horizontal="center" vertical="center"/>
    </xf>
    <xf numFmtId="49" fontId="56" fillId="0" borderId="46" xfId="2" applyNumberFormat="1" applyFont="1" applyBorder="1" applyAlignment="1">
      <alignment horizontal="center" vertical="center"/>
    </xf>
    <xf numFmtId="49" fontId="56" fillId="0" borderId="47" xfId="2" applyNumberFormat="1" applyFont="1" applyBorder="1" applyAlignment="1">
      <alignment horizontal="center" vertical="center"/>
    </xf>
    <xf numFmtId="49" fontId="56" fillId="5" borderId="1" xfId="2" applyNumberFormat="1" applyFont="1" applyFill="1" applyAlignment="1">
      <alignment horizontal="right" vertical="center"/>
    </xf>
    <xf numFmtId="49" fontId="55" fillId="5" borderId="1" xfId="2" applyNumberFormat="1" applyFont="1" applyFill="1" applyAlignment="1">
      <alignment horizontal="left" vertical="center"/>
    </xf>
    <xf numFmtId="49" fontId="56" fillId="5" borderId="1" xfId="2" applyNumberFormat="1" applyFont="1" applyFill="1" applyAlignment="1">
      <alignment horizontal="left" vertical="center"/>
    </xf>
    <xf numFmtId="49" fontId="56" fillId="5" borderId="1" xfId="2" applyNumberFormat="1" applyFont="1" applyFill="1" applyAlignment="1">
      <alignment horizontal="left" vertical="center"/>
    </xf>
    <xf numFmtId="0" fontId="56" fillId="5" borderId="1" xfId="2" applyFont="1" applyFill="1" applyAlignment="1">
      <alignment horizontal="left" vertical="center"/>
    </xf>
    <xf numFmtId="49" fontId="56" fillId="5" borderId="1" xfId="2" applyNumberFormat="1" applyFont="1" applyFill="1" applyAlignment="1">
      <alignment vertical="center"/>
    </xf>
    <xf numFmtId="0" fontId="56" fillId="5" borderId="1" xfId="2" applyFont="1" applyFill="1" applyAlignment="1">
      <alignment vertical="center"/>
    </xf>
    <xf numFmtId="4" fontId="56" fillId="5" borderId="1" xfId="2" applyNumberFormat="1" applyFont="1" applyFill="1" applyAlignment="1">
      <alignment vertical="center"/>
    </xf>
    <xf numFmtId="4" fontId="56" fillId="5" borderId="1" xfId="2" applyNumberFormat="1" applyFont="1" applyFill="1" applyAlignment="1">
      <alignment horizontal="right" vertical="center"/>
    </xf>
    <xf numFmtId="49" fontId="55" fillId="0" borderId="1" xfId="2" applyNumberFormat="1" applyFont="1" applyAlignment="1">
      <alignment horizontal="left" vertical="center"/>
    </xf>
    <xf numFmtId="49" fontId="55" fillId="0" borderId="1" xfId="2" applyNumberFormat="1" applyFont="1" applyAlignment="1">
      <alignment horizontal="center" vertical="center"/>
    </xf>
    <xf numFmtId="4" fontId="55" fillId="0" borderId="1" xfId="2" applyNumberFormat="1" applyFont="1" applyAlignment="1">
      <alignment horizontal="right" vertical="center"/>
    </xf>
    <xf numFmtId="49" fontId="55" fillId="0" borderId="1" xfId="2" applyNumberFormat="1" applyFont="1" applyAlignment="1">
      <alignment horizontal="right" vertical="center"/>
    </xf>
    <xf numFmtId="0" fontId="57" fillId="0" borderId="1" xfId="2" applyFont="1"/>
    <xf numFmtId="0" fontId="53" fillId="0" borderId="1" xfId="2" applyAlignment="1">
      <alignment wrapText="1"/>
    </xf>
    <xf numFmtId="0" fontId="53" fillId="0" borderId="1" xfId="2" applyAlignment="1">
      <alignment horizontal="center"/>
    </xf>
    <xf numFmtId="0" fontId="58" fillId="0" borderId="1" xfId="2" applyFont="1" applyAlignment="1">
      <alignment wrapText="1"/>
    </xf>
    <xf numFmtId="0" fontId="59" fillId="0" borderId="1" xfId="2" applyFont="1"/>
    <xf numFmtId="0" fontId="57" fillId="0" borderId="1" xfId="2" applyFont="1" applyAlignment="1">
      <alignment wrapText="1"/>
    </xf>
    <xf numFmtId="0" fontId="60" fillId="0" borderId="1" xfId="2" applyFont="1" applyAlignment="1">
      <alignment wrapText="1"/>
    </xf>
    <xf numFmtId="0" fontId="61" fillId="0" borderId="1" xfId="2" applyFont="1"/>
    <xf numFmtId="0" fontId="62" fillId="0" borderId="1" xfId="2" applyFont="1" applyAlignment="1">
      <alignment wrapText="1"/>
    </xf>
    <xf numFmtId="4" fontId="57" fillId="0" borderId="1" xfId="2" applyNumberFormat="1" applyFont="1"/>
    <xf numFmtId="0" fontId="57" fillId="0" borderId="1" xfId="2" applyFont="1" applyAlignment="1">
      <alignment horizontal="left"/>
    </xf>
    <xf numFmtId="0" fontId="53" fillId="0" borderId="1" xfId="2"/>
    <xf numFmtId="0" fontId="55" fillId="0" borderId="1" xfId="2" applyFont="1" applyAlignment="1">
      <alignment horizontal="center" vertical="center"/>
    </xf>
    <xf numFmtId="0" fontId="53" fillId="0" borderId="1" xfId="2" applyAlignment="1">
      <alignment horizontal="right"/>
    </xf>
    <xf numFmtId="0" fontId="55" fillId="6" borderId="1" xfId="2" applyFont="1" applyFill="1" applyAlignment="1">
      <alignment vertical="center"/>
    </xf>
    <xf numFmtId="49" fontId="63" fillId="0" borderId="48" xfId="2" applyNumberFormat="1" applyFont="1" applyBorder="1" applyAlignment="1">
      <alignment horizontal="left" vertical="center" wrapText="1"/>
    </xf>
    <xf numFmtId="0" fontId="63" fillId="0" borderId="48" xfId="2" applyFont="1" applyBorder="1" applyAlignment="1">
      <alignment horizontal="left" vertical="center" wrapText="1"/>
    </xf>
    <xf numFmtId="0" fontId="53" fillId="0" borderId="1" xfId="2" applyAlignment="1">
      <alignment horizontal="left"/>
    </xf>
    <xf numFmtId="2" fontId="53" fillId="0" borderId="1" xfId="2" applyNumberFormat="1"/>
    <xf numFmtId="49" fontId="63" fillId="0" borderId="1" xfId="2" applyNumberFormat="1" applyFont="1" applyAlignment="1">
      <alignment horizontal="left" vertical="center" wrapText="1"/>
    </xf>
    <xf numFmtId="0" fontId="63" fillId="0" borderId="1" xfId="2" applyFont="1" applyAlignment="1">
      <alignment horizontal="left" vertical="center" wrapText="1"/>
    </xf>
    <xf numFmtId="0" fontId="55" fillId="0" borderId="25" xfId="2" applyFont="1" applyBorder="1" applyAlignment="1">
      <alignment vertical="center"/>
    </xf>
    <xf numFmtId="0" fontId="56" fillId="0" borderId="25" xfId="2" applyFont="1" applyBorder="1" applyAlignment="1">
      <alignment horizontal="left" vertical="center"/>
    </xf>
    <xf numFmtId="4" fontId="56" fillId="0" borderId="25" xfId="2" applyNumberFormat="1" applyFont="1" applyBorder="1" applyAlignment="1">
      <alignment horizontal="right" vertical="center"/>
    </xf>
    <xf numFmtId="4" fontId="56" fillId="0" borderId="1" xfId="2" applyNumberFormat="1" applyFont="1" applyAlignment="1">
      <alignment horizontal="right" vertical="center"/>
    </xf>
    <xf numFmtId="0" fontId="64" fillId="0" borderId="1" xfId="3" applyAlignment="1">
      <alignment horizontal="left"/>
    </xf>
    <xf numFmtId="0" fontId="64" fillId="0" borderId="1" xfId="3"/>
    <xf numFmtId="4" fontId="64" fillId="0" borderId="1" xfId="3" applyNumberFormat="1"/>
    <xf numFmtId="0" fontId="64" fillId="0" borderId="23" xfId="3" applyBorder="1" applyAlignment="1" applyProtection="1">
      <alignment horizontal="left" vertical="center" wrapText="1"/>
      <protection locked="0"/>
    </xf>
    <xf numFmtId="0" fontId="52" fillId="7" borderId="1" xfId="3" applyFont="1" applyFill="1" applyAlignment="1">
      <alignment horizontal="left"/>
    </xf>
    <xf numFmtId="0" fontId="64" fillId="7" borderId="1" xfId="3" applyFill="1"/>
    <xf numFmtId="4" fontId="64" fillId="7" borderId="1" xfId="3" applyNumberFormat="1" applyFill="1"/>
    <xf numFmtId="4" fontId="52" fillId="7" borderId="1" xfId="3" applyNumberFormat="1" applyFont="1" applyFill="1"/>
    <xf numFmtId="0" fontId="52" fillId="0" borderId="1" xfId="3" applyFont="1"/>
    <xf numFmtId="4" fontId="52" fillId="0" borderId="1" xfId="3" applyNumberFormat="1" applyFont="1"/>
    <xf numFmtId="0" fontId="52" fillId="0" borderId="1" xfId="3" applyFont="1" applyAlignment="1">
      <alignment horizontal="left"/>
    </xf>
    <xf numFmtId="0" fontId="65" fillId="0" borderId="1" xfId="4" applyFont="1" applyAlignment="1">
      <alignment horizontal="right" vertical="top"/>
    </xf>
    <xf numFmtId="0" fontId="65" fillId="0" borderId="1" xfId="4" applyFont="1" applyAlignment="1">
      <alignment horizontal="left" vertical="top"/>
    </xf>
    <xf numFmtId="0" fontId="66" fillId="0" borderId="1" xfId="4" applyFont="1" applyAlignment="1">
      <alignment vertical="top"/>
    </xf>
    <xf numFmtId="0" fontId="67" fillId="0" borderId="1" xfId="4" applyFont="1" applyAlignment="1">
      <alignment vertical="top"/>
    </xf>
    <xf numFmtId="0" fontId="65" fillId="0" borderId="1" xfId="4" applyFont="1" applyAlignment="1">
      <alignment vertical="top"/>
    </xf>
    <xf numFmtId="168" fontId="65" fillId="0" borderId="1" xfId="4" applyNumberFormat="1" applyFont="1" applyAlignment="1">
      <alignment vertical="top"/>
    </xf>
    <xf numFmtId="0" fontId="66" fillId="0" borderId="1" xfId="4" applyFont="1" applyAlignment="1">
      <alignment horizontal="right" vertical="top"/>
    </xf>
    <xf numFmtId="0" fontId="67" fillId="0" borderId="49" xfId="4" applyFont="1" applyBorder="1" applyAlignment="1">
      <alignment vertical="top"/>
    </xf>
    <xf numFmtId="0" fontId="65" fillId="0" borderId="50" xfId="4" applyFont="1" applyBorder="1" applyAlignment="1">
      <alignment vertical="top"/>
    </xf>
    <xf numFmtId="0" fontId="67" fillId="0" borderId="50" xfId="4" applyFont="1" applyBorder="1" applyAlignment="1">
      <alignment vertical="top"/>
    </xf>
    <xf numFmtId="0" fontId="67" fillId="0" borderId="50" xfId="4" applyFont="1" applyBorder="1" applyAlignment="1">
      <alignment horizontal="right" vertical="top" wrapText="1"/>
    </xf>
    <xf numFmtId="0" fontId="67" fillId="0" borderId="50" xfId="4" applyFont="1" applyBorder="1" applyAlignment="1">
      <alignment vertical="top" wrapText="1"/>
    </xf>
    <xf numFmtId="0" fontId="67" fillId="0" borderId="51" xfId="4" applyFont="1" applyBorder="1" applyAlignment="1">
      <alignment vertical="top"/>
    </xf>
    <xf numFmtId="168" fontId="67" fillId="0" borderId="50" xfId="4" applyNumberFormat="1" applyFont="1" applyBorder="1" applyAlignment="1">
      <alignment vertical="top" wrapText="1"/>
    </xf>
    <xf numFmtId="168" fontId="67" fillId="0" borderId="51" xfId="4" applyNumberFormat="1" applyFont="1" applyBorder="1" applyAlignment="1">
      <alignment vertical="top" wrapText="1"/>
    </xf>
    <xf numFmtId="0" fontId="68" fillId="0" borderId="1" xfId="4" applyFont="1" applyAlignment="1">
      <alignment vertical="top"/>
    </xf>
    <xf numFmtId="0" fontId="68" fillId="0" borderId="1" xfId="4" applyFont="1" applyAlignment="1">
      <alignment horizontal="right" vertical="top"/>
    </xf>
    <xf numFmtId="168" fontId="68" fillId="0" borderId="1" xfId="4" applyNumberFormat="1" applyFont="1" applyAlignment="1">
      <alignment vertical="top"/>
    </xf>
    <xf numFmtId="0" fontId="67" fillId="0" borderId="1" xfId="4" applyFont="1" applyAlignment="1">
      <alignment horizontal="left" vertical="top"/>
    </xf>
    <xf numFmtId="168" fontId="65" fillId="0" borderId="1" xfId="4" applyNumberFormat="1" applyFont="1" applyAlignment="1">
      <alignment horizontal="left" vertical="top"/>
    </xf>
    <xf numFmtId="0" fontId="65" fillId="0" borderId="1" xfId="4" applyFont="1" applyAlignment="1">
      <alignment horizontal="right" vertical="top" wrapText="1"/>
    </xf>
    <xf numFmtId="0" fontId="65" fillId="0" borderId="1" xfId="4" applyFont="1" applyAlignment="1">
      <alignment horizontal="left" vertical="top" wrapText="1"/>
    </xf>
    <xf numFmtId="168" fontId="65" fillId="0" borderId="1" xfId="4" applyNumberFormat="1" applyFont="1" applyAlignment="1" applyProtection="1">
      <alignment vertical="top" wrapText="1"/>
      <protection locked="0"/>
    </xf>
    <xf numFmtId="168" fontId="65" fillId="0" borderId="1" xfId="4" applyNumberFormat="1" applyFont="1" applyAlignment="1">
      <alignment vertical="top" wrapText="1"/>
    </xf>
    <xf numFmtId="0" fontId="65" fillId="0" borderId="1" xfId="4" applyFont="1" applyAlignment="1">
      <alignment vertical="top" wrapText="1"/>
    </xf>
    <xf numFmtId="0" fontId="69" fillId="0" borderId="1" xfId="4" applyFont="1" applyAlignment="1">
      <alignment horizontal="right" vertical="top"/>
    </xf>
    <xf numFmtId="0" fontId="69" fillId="0" borderId="1" xfId="4" applyFont="1" applyAlignment="1">
      <alignment horizontal="left" vertical="top"/>
    </xf>
    <xf numFmtId="0" fontId="69" fillId="0" borderId="1" xfId="4" applyFont="1" applyAlignment="1">
      <alignment vertical="top" wrapText="1"/>
    </xf>
    <xf numFmtId="0" fontId="69" fillId="0" borderId="1" xfId="4" applyFont="1" applyAlignment="1">
      <alignment vertical="top"/>
    </xf>
    <xf numFmtId="168" fontId="69" fillId="0" borderId="1" xfId="4" applyNumberFormat="1" applyFont="1" applyAlignment="1">
      <alignment vertical="top"/>
    </xf>
    <xf numFmtId="0" fontId="67" fillId="0" borderId="1" xfId="4" applyFont="1" applyAlignment="1">
      <alignment horizontal="right" vertical="top"/>
    </xf>
    <xf numFmtId="168" fontId="67" fillId="0" borderId="1" xfId="4" applyNumberFormat="1" applyFont="1" applyAlignment="1">
      <alignment horizontal="left" vertical="top"/>
    </xf>
    <xf numFmtId="168" fontId="67" fillId="0" borderId="1" xfId="4" applyNumberFormat="1" applyFont="1" applyAlignment="1">
      <alignment vertical="top"/>
    </xf>
    <xf numFmtId="0" fontId="66" fillId="0" borderId="1" xfId="4" applyFont="1" applyAlignment="1">
      <alignment horizontal="left" vertical="top" wrapText="1"/>
    </xf>
    <xf numFmtId="0" fontId="66" fillId="0" borderId="1" xfId="4" applyFont="1" applyAlignment="1">
      <alignment horizontal="right" vertical="top" wrapText="1"/>
    </xf>
    <xf numFmtId="168" fontId="66" fillId="0" borderId="1" xfId="4" applyNumberFormat="1" applyFont="1" applyAlignment="1">
      <alignment vertical="top" wrapText="1"/>
    </xf>
    <xf numFmtId="0" fontId="66" fillId="0" borderId="1" xfId="4" applyFont="1" applyAlignment="1">
      <alignment vertical="top" wrapText="1"/>
    </xf>
    <xf numFmtId="0" fontId="66" fillId="0" borderId="1" xfId="4" applyFont="1" applyAlignment="1">
      <alignment horizontal="left" vertical="top"/>
    </xf>
    <xf numFmtId="168" fontId="66" fillId="0" borderId="1" xfId="4" applyNumberFormat="1" applyFont="1" applyAlignment="1">
      <alignment horizontal="left" vertical="top"/>
    </xf>
    <xf numFmtId="168" fontId="66" fillId="0" borderId="1" xfId="4" applyNumberFormat="1" applyFont="1" applyAlignment="1">
      <alignment vertical="top"/>
    </xf>
    <xf numFmtId="168" fontId="65" fillId="0" borderId="1" xfId="4" applyNumberFormat="1" applyFont="1" applyAlignment="1">
      <alignment horizontal="left" vertical="top" wrapText="1"/>
    </xf>
    <xf numFmtId="0" fontId="67" fillId="0" borderId="1" xfId="4" applyFont="1" applyAlignment="1">
      <alignment vertical="top" wrapText="1"/>
    </xf>
    <xf numFmtId="168" fontId="66" fillId="0" borderId="1" xfId="4" applyNumberFormat="1" applyFont="1" applyAlignment="1">
      <alignment horizontal="left" vertical="top" wrapText="1"/>
    </xf>
    <xf numFmtId="168" fontId="72" fillId="0" borderId="1" xfId="4" applyNumberFormat="1" applyFont="1" applyAlignment="1">
      <alignment vertical="top"/>
    </xf>
    <xf numFmtId="168" fontId="66" fillId="0" borderId="1" xfId="4" applyNumberFormat="1" applyFont="1" applyAlignment="1" applyProtection="1">
      <alignment vertical="top"/>
      <protection locked="0"/>
    </xf>
    <xf numFmtId="0" fontId="72" fillId="0" borderId="1" xfId="4" applyFont="1" applyAlignment="1">
      <alignment vertical="top"/>
    </xf>
    <xf numFmtId="0" fontId="72" fillId="0" borderId="1" xfId="4" applyFont="1" applyAlignment="1">
      <alignment horizontal="right" vertical="top"/>
    </xf>
    <xf numFmtId="169" fontId="72" fillId="0" borderId="1" xfId="4" applyNumberFormat="1" applyFont="1" applyAlignment="1">
      <alignment vertical="top"/>
    </xf>
    <xf numFmtId="0" fontId="74" fillId="0" borderId="1" xfId="5" applyNumberFormat="1" applyFont="1" applyFill="1" applyBorder="1" applyAlignment="1" applyProtection="1">
      <alignment vertical="top"/>
    </xf>
    <xf numFmtId="0" fontId="75" fillId="0" borderId="1" xfId="5" applyNumberFormat="1" applyFont="1" applyFill="1" applyBorder="1" applyAlignment="1" applyProtection="1">
      <alignment vertical="top"/>
    </xf>
    <xf numFmtId="4" fontId="75" fillId="0" borderId="1" xfId="5" applyNumberFormat="1" applyFont="1" applyFill="1" applyBorder="1" applyAlignment="1" applyProtection="1">
      <alignment vertical="top"/>
    </xf>
    <xf numFmtId="0" fontId="76" fillId="0" borderId="1" xfId="5" applyNumberFormat="1" applyFont="1" applyFill="1" applyBorder="1" applyAlignment="1" applyProtection="1">
      <alignment vertical="top"/>
    </xf>
    <xf numFmtId="0" fontId="75" fillId="0" borderId="49" xfId="5" applyNumberFormat="1" applyFont="1" applyFill="1" applyBorder="1" applyAlignment="1" applyProtection="1">
      <alignment vertical="top"/>
    </xf>
    <xf numFmtId="0" fontId="75" fillId="0" borderId="50" xfId="5" applyNumberFormat="1" applyFont="1" applyFill="1" applyBorder="1" applyAlignment="1" applyProtection="1">
      <alignment vertical="top"/>
    </xf>
    <xf numFmtId="4" fontId="75" fillId="0" borderId="50" xfId="5" applyNumberFormat="1" applyFont="1" applyFill="1" applyBorder="1" applyAlignment="1" applyProtection="1">
      <alignment horizontal="left" vertical="top" indent="1"/>
    </xf>
    <xf numFmtId="4" fontId="75" fillId="0" borderId="51" xfId="5" applyNumberFormat="1" applyFont="1" applyFill="1" applyBorder="1" applyAlignment="1" applyProtection="1">
      <alignment horizontal="right" vertical="top" indent="1"/>
    </xf>
    <xf numFmtId="0" fontId="77" fillId="7" borderId="24" xfId="5" applyNumberFormat="1" applyFont="1" applyFill="1" applyBorder="1" applyAlignment="1" applyProtection="1">
      <alignment vertical="top"/>
    </xf>
    <xf numFmtId="0" fontId="75" fillId="7" borderId="25" xfId="5" applyNumberFormat="1" applyFont="1" applyFill="1" applyBorder="1" applyAlignment="1" applyProtection="1">
      <alignment horizontal="left" indent="15"/>
    </xf>
    <xf numFmtId="0" fontId="75" fillId="7" borderId="25" xfId="5" applyNumberFormat="1" applyFont="1" applyFill="1" applyBorder="1" applyAlignment="1" applyProtection="1">
      <alignment horizontal="left"/>
    </xf>
    <xf numFmtId="4" fontId="75" fillId="7" borderId="25" xfId="5" applyNumberFormat="1" applyFont="1" applyFill="1" applyBorder="1" applyAlignment="1" applyProtection="1">
      <alignment horizontal="center" vertical="top"/>
    </xf>
    <xf numFmtId="4" fontId="75" fillId="7" borderId="25" xfId="5" applyNumberFormat="1" applyFont="1" applyFill="1" applyBorder="1" applyAlignment="1" applyProtection="1">
      <alignment vertical="top"/>
    </xf>
    <xf numFmtId="4" fontId="77" fillId="7" borderId="26" xfId="5" applyNumberFormat="1" applyFont="1" applyFill="1" applyBorder="1" applyAlignment="1" applyProtection="1">
      <alignment vertical="top"/>
    </xf>
    <xf numFmtId="0" fontId="75" fillId="0" borderId="27" xfId="5" applyNumberFormat="1" applyFont="1" applyFill="1" applyBorder="1" applyAlignment="1" applyProtection="1">
      <alignment vertical="top"/>
    </xf>
    <xf numFmtId="0" fontId="75" fillId="0" borderId="1" xfId="5" applyNumberFormat="1" applyFont="1" applyFill="1" applyBorder="1" applyAlignment="1" applyProtection="1">
      <alignment horizontal="left"/>
    </xf>
    <xf numFmtId="4" fontId="75" fillId="0" borderId="1" xfId="5" applyNumberFormat="1" applyFont="1" applyFill="1" applyBorder="1" applyAlignment="1" applyProtection="1">
      <alignment horizontal="center"/>
    </xf>
    <xf numFmtId="4" fontId="75" fillId="0" borderId="1" xfId="5" applyNumberFormat="1" applyFont="1" applyFill="1" applyBorder="1" applyAlignment="1" applyProtection="1">
      <alignment horizontal="right"/>
    </xf>
    <xf numFmtId="4" fontId="75" fillId="0" borderId="28" xfId="5" applyNumberFormat="1" applyFont="1" applyFill="1" applyBorder="1" applyAlignment="1" applyProtection="1">
      <alignment vertical="top"/>
    </xf>
    <xf numFmtId="0" fontId="75" fillId="0" borderId="30" xfId="5" applyNumberFormat="1" applyFont="1" applyFill="1" applyBorder="1" applyAlignment="1" applyProtection="1">
      <alignment vertical="top"/>
    </xf>
    <xf numFmtId="0" fontId="75" fillId="0" borderId="29" xfId="5" applyNumberFormat="1" applyFont="1" applyFill="1" applyBorder="1" applyAlignment="1" applyProtection="1">
      <alignment vertical="top"/>
    </xf>
    <xf numFmtId="0" fontId="75" fillId="0" borderId="29" xfId="5" applyNumberFormat="1" applyFont="1" applyFill="1" applyBorder="1" applyAlignment="1" applyProtection="1">
      <alignment horizontal="left"/>
    </xf>
    <xf numFmtId="4" fontId="75" fillId="0" borderId="29" xfId="5" applyNumberFormat="1" applyFont="1" applyFill="1" applyBorder="1" applyAlignment="1" applyProtection="1">
      <alignment horizontal="center"/>
    </xf>
    <xf numFmtId="4" fontId="75" fillId="0" borderId="29" xfId="5" applyNumberFormat="1" applyFont="1" applyFill="1" applyBorder="1" applyAlignment="1" applyProtection="1">
      <alignment horizontal="right"/>
    </xf>
    <xf numFmtId="4" fontId="75" fillId="0" borderId="31" xfId="5" applyNumberFormat="1" applyFont="1" applyFill="1" applyBorder="1" applyAlignment="1" applyProtection="1">
      <alignment vertical="top"/>
    </xf>
    <xf numFmtId="4" fontId="75" fillId="0" borderId="1" xfId="5" applyNumberFormat="1" applyFont="1" applyFill="1" applyBorder="1" applyAlignment="1" applyProtection="1">
      <alignment horizontal="center" vertical="top"/>
    </xf>
    <xf numFmtId="0" fontId="75" fillId="0" borderId="27" xfId="5" applyNumberFormat="1" applyFont="1" applyFill="1" applyBorder="1" applyAlignment="1" applyProtection="1">
      <alignment horizontal="left" vertical="top" wrapText="1"/>
    </xf>
    <xf numFmtId="0" fontId="75" fillId="0" borderId="1" xfId="5" applyNumberFormat="1" applyFont="1" applyFill="1" applyBorder="1" applyAlignment="1" applyProtection="1">
      <alignment horizontal="left" indent="15"/>
    </xf>
    <xf numFmtId="4" fontId="75" fillId="0" borderId="28" xfId="5" applyNumberFormat="1" applyFont="1" applyFill="1" applyBorder="1" applyAlignment="1" applyProtection="1">
      <alignment horizontal="right"/>
    </xf>
    <xf numFmtId="0" fontId="75" fillId="0" borderId="27" xfId="5" applyNumberFormat="1" applyFont="1" applyFill="1" applyBorder="1" applyAlignment="1" applyProtection="1">
      <alignment horizontal="left"/>
    </xf>
    <xf numFmtId="0" fontId="75" fillId="0" borderId="30" xfId="5" applyNumberFormat="1" applyFont="1" applyFill="1" applyBorder="1" applyAlignment="1" applyProtection="1">
      <alignment horizontal="left"/>
    </xf>
    <xf numFmtId="0" fontId="75" fillId="0" borderId="29" xfId="5" applyNumberFormat="1" applyFont="1" applyFill="1" applyBorder="1" applyAlignment="1" applyProtection="1">
      <alignment horizontal="left" indent="15"/>
    </xf>
    <xf numFmtId="4" fontId="75" fillId="0" borderId="31" xfId="5" applyNumberFormat="1" applyFont="1" applyFill="1" applyBorder="1" applyAlignment="1" applyProtection="1">
      <alignment horizontal="right"/>
    </xf>
    <xf numFmtId="0" fontId="75" fillId="0" borderId="1" xfId="5" applyNumberFormat="1" applyFont="1" applyFill="1" applyBorder="1" applyAlignment="1" applyProtection="1">
      <alignment horizontal="center"/>
    </xf>
    <xf numFmtId="0" fontId="77" fillId="7" borderId="24" xfId="5" applyNumberFormat="1" applyFont="1" applyFill="1" applyBorder="1" applyAlignment="1" applyProtection="1">
      <alignment horizontal="left"/>
    </xf>
    <xf numFmtId="0" fontId="75" fillId="7" borderId="25" xfId="5" applyNumberFormat="1" applyFont="1" applyFill="1" applyBorder="1" applyAlignment="1" applyProtection="1">
      <alignment horizontal="center"/>
    </xf>
    <xf numFmtId="4" fontId="75" fillId="7" borderId="25" xfId="5" applyNumberFormat="1" applyFont="1" applyFill="1" applyBorder="1" applyAlignment="1" applyProtection="1">
      <alignment horizontal="center"/>
    </xf>
    <xf numFmtId="4" fontId="75" fillId="7" borderId="25" xfId="5" applyNumberFormat="1" applyFont="1" applyFill="1" applyBorder="1" applyAlignment="1" applyProtection="1">
      <alignment horizontal="right"/>
    </xf>
    <xf numFmtId="0" fontId="75" fillId="0" borderId="1" xfId="5" applyNumberFormat="1" applyFont="1" applyFill="1" applyBorder="1" applyAlignment="1" applyProtection="1">
      <alignment horizontal="left" indent="13"/>
    </xf>
    <xf numFmtId="4" fontId="79" fillId="0" borderId="1" xfId="5" applyNumberFormat="1" applyFont="1" applyFill="1" applyBorder="1" applyAlignment="1" applyProtection="1">
      <alignment horizontal="center" vertical="top"/>
    </xf>
    <xf numFmtId="0" fontId="75" fillId="0" borderId="1" xfId="5" applyNumberFormat="1" applyFont="1" applyFill="1" applyBorder="1" applyAlignment="1" applyProtection="1">
      <alignment horizontal="left" vertical="top"/>
    </xf>
    <xf numFmtId="4" fontId="75" fillId="0" borderId="29" xfId="5" applyNumberFormat="1" applyFont="1" applyFill="1" applyBorder="1" applyAlignment="1" applyProtection="1">
      <alignment horizontal="center" vertical="top"/>
    </xf>
    <xf numFmtId="0" fontId="74" fillId="0" borderId="1" xfId="5" applyNumberFormat="1" applyFont="1" applyFill="1" applyBorder="1" applyAlignment="1" applyProtection="1">
      <alignment horizontal="left" vertical="top"/>
    </xf>
    <xf numFmtId="0" fontId="75" fillId="7" borderId="25" xfId="5" applyNumberFormat="1" applyFont="1" applyFill="1" applyBorder="1" applyAlignment="1" applyProtection="1">
      <alignment horizontal="justify"/>
    </xf>
    <xf numFmtId="0" fontId="75" fillId="0" borderId="29" xfId="5" applyNumberFormat="1" applyFont="1" applyFill="1" applyBorder="1" applyAlignment="1" applyProtection="1">
      <alignment horizontal="left" vertical="top" indent="15"/>
    </xf>
    <xf numFmtId="0" fontId="75" fillId="0" borderId="1" xfId="5" applyNumberFormat="1" applyFont="1" applyFill="1" applyBorder="1" applyAlignment="1" applyProtection="1">
      <alignment horizontal="left" vertical="top" indent="15"/>
    </xf>
    <xf numFmtId="0" fontId="75" fillId="0" borderId="1" xfId="5" applyNumberFormat="1" applyFont="1" applyFill="1" applyBorder="1" applyAlignment="1" applyProtection="1">
      <alignment horizontal="left" vertical="top" indent="2"/>
    </xf>
    <xf numFmtId="0" fontId="75" fillId="7" borderId="25" xfId="5" applyNumberFormat="1" applyFont="1" applyFill="1" applyBorder="1" applyAlignment="1" applyProtection="1">
      <alignment horizontal="left" vertical="top" indent="15"/>
    </xf>
    <xf numFmtId="0" fontId="75" fillId="7" borderId="25" xfId="5" applyNumberFormat="1" applyFont="1" applyFill="1" applyBorder="1" applyAlignment="1" applyProtection="1">
      <alignment horizontal="left" vertical="top" indent="2"/>
    </xf>
    <xf numFmtId="0" fontId="75" fillId="7" borderId="25" xfId="5" applyNumberFormat="1" applyFont="1" applyFill="1" applyBorder="1" applyAlignment="1" applyProtection="1">
      <alignment vertical="top"/>
    </xf>
    <xf numFmtId="0" fontId="80" fillId="0" borderId="27" xfId="5" applyFont="1" applyFill="1" applyBorder="1" applyAlignment="1">
      <alignment vertical="center"/>
    </xf>
    <xf numFmtId="0" fontId="80" fillId="0" borderId="1" xfId="5" applyFont="1" applyFill="1" applyBorder="1" applyAlignment="1">
      <alignment vertical="center"/>
    </xf>
    <xf numFmtId="4" fontId="80" fillId="0" borderId="1" xfId="5" applyNumberFormat="1" applyFont="1" applyFill="1" applyBorder="1" applyAlignment="1">
      <alignment horizontal="center" vertical="center"/>
    </xf>
    <xf numFmtId="4" fontId="79" fillId="0" borderId="1" xfId="5" applyNumberFormat="1" applyFont="1" applyFill="1" applyBorder="1" applyAlignment="1">
      <alignment horizontal="right" vertical="center"/>
    </xf>
    <xf numFmtId="0" fontId="79" fillId="0" borderId="27" xfId="5" applyFont="1" applyFill="1" applyBorder="1" applyAlignment="1">
      <alignment vertical="center"/>
    </xf>
    <xf numFmtId="0" fontId="79" fillId="0" borderId="1" xfId="5" applyFont="1" applyFill="1" applyBorder="1" applyAlignment="1">
      <alignment vertical="center"/>
    </xf>
    <xf numFmtId="4" fontId="79" fillId="0" borderId="1" xfId="5" applyNumberFormat="1" applyFont="1" applyFill="1" applyBorder="1" applyAlignment="1">
      <alignment horizontal="center" vertical="center"/>
    </xf>
    <xf numFmtId="0" fontId="79" fillId="8" borderId="30" xfId="5" applyFont="1" applyFill="1" applyBorder="1" applyAlignment="1">
      <alignment vertical="center"/>
    </xf>
    <xf numFmtId="0" fontId="79" fillId="8" borderId="29" xfId="5" applyFont="1" applyFill="1" applyBorder="1" applyAlignment="1">
      <alignment vertical="center"/>
    </xf>
    <xf numFmtId="4" fontId="79" fillId="8" borderId="29" xfId="5" applyNumberFormat="1" applyFont="1" applyFill="1" applyBorder="1" applyAlignment="1">
      <alignment horizontal="center" vertical="center"/>
    </xf>
    <xf numFmtId="0" fontId="79" fillId="8" borderId="1" xfId="5" applyFont="1" applyFill="1" applyBorder="1" applyAlignment="1">
      <alignment vertical="center"/>
    </xf>
    <xf numFmtId="4" fontId="79" fillId="8" borderId="1" xfId="5" applyNumberFormat="1" applyFont="1" applyFill="1" applyBorder="1" applyAlignment="1">
      <alignment horizontal="center" vertical="center"/>
    </xf>
    <xf numFmtId="4" fontId="79" fillId="8" borderId="1" xfId="5" applyNumberFormat="1" applyFont="1" applyFill="1" applyBorder="1" applyAlignment="1">
      <alignment horizontal="right" vertical="center"/>
    </xf>
    <xf numFmtId="0" fontId="81" fillId="0" borderId="49" xfId="5" applyFont="1" applyFill="1" applyBorder="1" applyAlignment="1">
      <alignment vertical="center"/>
    </xf>
    <xf numFmtId="0" fontId="79" fillId="0" borderId="50" xfId="5" applyFont="1" applyFill="1" applyBorder="1" applyAlignment="1">
      <alignment vertical="center"/>
    </xf>
    <xf numFmtId="4" fontId="79" fillId="0" borderId="50" xfId="5" applyNumberFormat="1" applyFont="1" applyFill="1" applyBorder="1" applyAlignment="1">
      <alignment horizontal="center" vertical="center"/>
    </xf>
    <xf numFmtId="4" fontId="75" fillId="0" borderId="50" xfId="5" applyNumberFormat="1" applyFont="1" applyFill="1" applyBorder="1" applyAlignment="1" applyProtection="1">
      <alignment horizontal="right"/>
    </xf>
    <xf numFmtId="4" fontId="77" fillId="0" borderId="51" xfId="5" applyNumberFormat="1" applyFont="1" applyFill="1" applyBorder="1" applyAlignment="1" applyProtection="1">
      <alignment vertical="top"/>
    </xf>
    <xf numFmtId="0" fontId="81" fillId="7" borderId="24" xfId="5" applyFont="1" applyFill="1" applyBorder="1" applyAlignment="1">
      <alignment vertical="center"/>
    </xf>
    <xf numFmtId="0" fontId="80" fillId="7" borderId="25" xfId="5" applyFont="1" applyFill="1" applyBorder="1" applyAlignment="1">
      <alignment vertical="center"/>
    </xf>
    <xf numFmtId="4" fontId="80" fillId="7" borderId="25" xfId="5" applyNumberFormat="1" applyFont="1" applyFill="1" applyBorder="1" applyAlignment="1">
      <alignment horizontal="right" vertical="center"/>
    </xf>
    <xf numFmtId="0" fontId="79" fillId="8" borderId="27" xfId="5" applyFont="1" applyFill="1" applyBorder="1" applyAlignment="1">
      <alignment vertical="center"/>
    </xf>
    <xf numFmtId="4" fontId="80" fillId="0" borderId="1" xfId="5" applyNumberFormat="1" applyFont="1" applyFill="1" applyBorder="1" applyAlignment="1">
      <alignment horizontal="right" vertical="center"/>
    </xf>
    <xf numFmtId="4" fontId="79" fillId="8" borderId="29" xfId="5" applyNumberFormat="1" applyFont="1" applyFill="1" applyBorder="1" applyAlignment="1">
      <alignment horizontal="right" vertical="center"/>
    </xf>
    <xf numFmtId="0" fontId="81" fillId="9" borderId="52" xfId="5" applyFont="1" applyFill="1" applyBorder="1" applyAlignment="1">
      <alignment vertical="center"/>
    </xf>
    <xf numFmtId="0" fontId="75" fillId="9" borderId="1" xfId="5" applyNumberFormat="1" applyFont="1" applyFill="1" applyBorder="1" applyAlignment="1" applyProtection="1">
      <alignment vertical="top"/>
    </xf>
    <xf numFmtId="4" fontId="75" fillId="9" borderId="1" xfId="5" applyNumberFormat="1" applyFont="1" applyFill="1" applyBorder="1" applyAlignment="1" applyProtection="1">
      <alignment vertical="top"/>
    </xf>
    <xf numFmtId="4" fontId="77" fillId="9" borderId="1" xfId="5" applyNumberFormat="1" applyFont="1" applyFill="1" applyBorder="1" applyAlignment="1" applyProtection="1">
      <alignment vertical="top"/>
    </xf>
    <xf numFmtId="0" fontId="82" fillId="7" borderId="25" xfId="5" applyFont="1" applyFill="1" applyBorder="1" applyAlignment="1">
      <alignment vertical="center"/>
    </xf>
    <xf numFmtId="4" fontId="82" fillId="7" borderId="25" xfId="5" applyNumberFormat="1" applyFont="1" applyFill="1" applyBorder="1" applyAlignment="1">
      <alignment horizontal="right" vertical="center"/>
    </xf>
    <xf numFmtId="4" fontId="79" fillId="7" borderId="25" xfId="5" applyNumberFormat="1" applyFont="1" applyFill="1" applyBorder="1" applyAlignment="1">
      <alignment horizontal="right" vertical="center"/>
    </xf>
    <xf numFmtId="0" fontId="79" fillId="0" borderId="29" xfId="5" applyFont="1" applyFill="1" applyBorder="1" applyAlignment="1">
      <alignment vertical="center"/>
    </xf>
    <xf numFmtId="4" fontId="79" fillId="0" borderId="29" xfId="5" applyNumberFormat="1" applyFont="1" applyFill="1" applyBorder="1" applyAlignment="1">
      <alignment horizontal="right" vertical="center"/>
    </xf>
    <xf numFmtId="0" fontId="81" fillId="9" borderId="53" xfId="5" applyFont="1" applyFill="1" applyBorder="1" applyAlignment="1">
      <alignment vertical="center"/>
    </xf>
    <xf numFmtId="0" fontId="75" fillId="9" borderId="54" xfId="5" applyNumberFormat="1" applyFont="1" applyFill="1" applyBorder="1" applyAlignment="1" applyProtection="1">
      <alignment vertical="top"/>
    </xf>
    <xf numFmtId="4" fontId="75" fillId="9" borderId="54" xfId="5" applyNumberFormat="1" applyFont="1" applyFill="1" applyBorder="1" applyAlignment="1" applyProtection="1">
      <alignment vertical="top"/>
    </xf>
    <xf numFmtId="4" fontId="77" fillId="9" borderId="55" xfId="5" applyNumberFormat="1" applyFont="1" applyFill="1" applyBorder="1" applyAlignment="1" applyProtection="1">
      <alignment horizontal="center" vertical="center"/>
    </xf>
    <xf numFmtId="0" fontId="83" fillId="0" borderId="1" xfId="4" applyFont="1" applyAlignment="1">
      <alignment horizontal="center" vertical="top"/>
    </xf>
    <xf numFmtId="0" fontId="1" fillId="0" borderId="1" xfId="4" applyAlignment="1">
      <alignment horizontal="center" vertical="top"/>
    </xf>
    <xf numFmtId="0" fontId="1" fillId="0" borderId="1" xfId="4" applyAlignment="1">
      <alignment horizontal="left"/>
    </xf>
    <xf numFmtId="0" fontId="84" fillId="0" borderId="1" xfId="4" applyFont="1" applyAlignment="1">
      <alignment horizontal="center" vertical="top" wrapText="1"/>
    </xf>
    <xf numFmtId="0" fontId="1" fillId="0" borderId="1" xfId="4" applyAlignment="1">
      <alignment horizontal="center" vertical="top" wrapText="1"/>
    </xf>
    <xf numFmtId="0" fontId="85" fillId="0" borderId="1" xfId="4" applyFont="1"/>
    <xf numFmtId="0" fontId="1" fillId="0" borderId="1" xfId="4" applyAlignment="1">
      <alignment textRotation="90" wrapText="1"/>
    </xf>
    <xf numFmtId="0" fontId="3" fillId="0" borderId="1" xfId="4" applyFont="1"/>
    <xf numFmtId="0" fontId="18" fillId="0" borderId="1" xfId="4" applyFont="1"/>
    <xf numFmtId="0" fontId="3" fillId="0" borderId="1" xfId="4" quotePrefix="1" applyFont="1"/>
    <xf numFmtId="0" fontId="3" fillId="0" borderId="33" xfId="4" quotePrefix="1" applyFont="1" applyBorder="1"/>
    <xf numFmtId="0" fontId="85" fillId="0" borderId="1" xfId="4" quotePrefix="1" applyFont="1"/>
    <xf numFmtId="169" fontId="3" fillId="0" borderId="1" xfId="4" quotePrefix="1" applyNumberFormat="1" applyFont="1"/>
    <xf numFmtId="169" fontId="86" fillId="0" borderId="1" xfId="4" quotePrefix="1" applyNumberFormat="1" applyFont="1"/>
    <xf numFmtId="169" fontId="3" fillId="0" borderId="1" xfId="4" applyNumberFormat="1" applyFont="1"/>
    <xf numFmtId="169" fontId="86" fillId="0" borderId="1" xfId="4" applyNumberFormat="1" applyFont="1"/>
    <xf numFmtId="0" fontId="58" fillId="0" borderId="1" xfId="6" applyFont="1"/>
    <xf numFmtId="0" fontId="57" fillId="0" borderId="1" xfId="6"/>
    <xf numFmtId="0" fontId="87" fillId="0" borderId="56" xfId="6" applyFont="1" applyBorder="1"/>
    <xf numFmtId="0" fontId="58" fillId="0" borderId="56" xfId="6" applyFont="1" applyBorder="1"/>
    <xf numFmtId="0" fontId="57" fillId="0" borderId="56" xfId="6" applyBorder="1"/>
    <xf numFmtId="4" fontId="58" fillId="0" borderId="56" xfId="6" applyNumberFormat="1" applyFont="1" applyBorder="1"/>
    <xf numFmtId="4" fontId="58" fillId="0" borderId="1" xfId="6" applyNumberFormat="1" applyFont="1"/>
    <xf numFmtId="0" fontId="62" fillId="0" borderId="56" xfId="6" applyFont="1" applyBorder="1"/>
    <xf numFmtId="1" fontId="57" fillId="0" borderId="1" xfId="6" applyNumberFormat="1"/>
    <xf numFmtId="0" fontId="88" fillId="0" borderId="56" xfId="6" applyFont="1" applyBorder="1"/>
    <xf numFmtId="1" fontId="57" fillId="0" borderId="56" xfId="6" applyNumberFormat="1" applyBorder="1" applyAlignment="1">
      <alignment wrapText="1"/>
    </xf>
    <xf numFmtId="0" fontId="57" fillId="0" borderId="56" xfId="6" applyBorder="1" applyAlignment="1">
      <alignment wrapText="1"/>
    </xf>
    <xf numFmtId="0" fontId="57" fillId="0" borderId="57" xfId="6" applyBorder="1"/>
    <xf numFmtId="0" fontId="57" fillId="0" borderId="57" xfId="6" applyBorder="1" applyAlignment="1">
      <alignment wrapText="1"/>
    </xf>
    <xf numFmtId="0" fontId="89" fillId="0" borderId="57" xfId="6" applyFont="1" applyBorder="1"/>
    <xf numFmtId="0" fontId="58" fillId="0" borderId="58" xfId="6" applyFont="1" applyBorder="1"/>
    <xf numFmtId="0" fontId="62" fillId="0" borderId="58" xfId="6" applyFont="1" applyBorder="1"/>
    <xf numFmtId="0" fontId="57" fillId="0" borderId="58" xfId="6" applyBorder="1"/>
    <xf numFmtId="1" fontId="58" fillId="0" borderId="58" xfId="6" applyNumberFormat="1" applyFont="1" applyBorder="1"/>
    <xf numFmtId="1" fontId="57" fillId="0" borderId="56" xfId="6" applyNumberFormat="1" applyBorder="1"/>
    <xf numFmtId="0" fontId="57" fillId="0" borderId="1" xfId="6" applyAlignment="1">
      <alignment wrapText="1"/>
    </xf>
    <xf numFmtId="0" fontId="90" fillId="0" borderId="56" xfId="6" applyFont="1" applyBorder="1"/>
    <xf numFmtId="170" fontId="90" fillId="0" borderId="56" xfId="6" applyNumberFormat="1" applyFont="1" applyBorder="1"/>
    <xf numFmtId="0" fontId="90" fillId="0" borderId="57" xfId="6" applyFont="1" applyBorder="1"/>
    <xf numFmtId="170" fontId="90" fillId="0" borderId="57" xfId="6" applyNumberFormat="1" applyFont="1" applyBorder="1"/>
    <xf numFmtId="0" fontId="87" fillId="0" borderId="58" xfId="6" applyFont="1" applyBorder="1"/>
    <xf numFmtId="170" fontId="87" fillId="0" borderId="58" xfId="6" applyNumberFormat="1" applyFont="1" applyBorder="1"/>
    <xf numFmtId="0" fontId="91" fillId="0" borderId="1" xfId="6" applyFont="1" applyAlignment="1">
      <alignment horizontal="center" wrapText="1"/>
    </xf>
    <xf numFmtId="0" fontId="92" fillId="0" borderId="59" xfId="6" applyFont="1" applyBorder="1" applyAlignment="1">
      <alignment horizontal="center" vertical="center"/>
    </xf>
    <xf numFmtId="0" fontId="92" fillId="0" borderId="60" xfId="6" applyFont="1" applyBorder="1" applyAlignment="1">
      <alignment horizontal="center" vertical="center"/>
    </xf>
    <xf numFmtId="4" fontId="92" fillId="0" borderId="60" xfId="6" applyNumberFormat="1" applyFont="1" applyBorder="1" applyAlignment="1">
      <alignment horizontal="center" vertical="center" wrapText="1"/>
    </xf>
    <xf numFmtId="3" fontId="92" fillId="0" borderId="60" xfId="6" applyNumberFormat="1" applyFont="1" applyBorder="1" applyAlignment="1">
      <alignment horizontal="center" vertical="top" wrapText="1"/>
    </xf>
    <xf numFmtId="0" fontId="92" fillId="0" borderId="60" xfId="6" applyFont="1" applyBorder="1" applyAlignment="1">
      <alignment horizontal="center" vertical="top" wrapText="1"/>
    </xf>
    <xf numFmtId="49" fontId="92" fillId="0" borderId="60" xfId="6" applyNumberFormat="1" applyFont="1" applyBorder="1" applyAlignment="1">
      <alignment horizontal="center" vertical="top" wrapText="1"/>
    </xf>
    <xf numFmtId="4" fontId="92" fillId="0" borderId="61" xfId="6" applyNumberFormat="1" applyFont="1" applyBorder="1" applyAlignment="1">
      <alignment horizontal="center" vertical="top" wrapText="1"/>
    </xf>
    <xf numFmtId="0" fontId="94" fillId="0" borderId="62" xfId="6" applyFont="1" applyBorder="1" applyAlignment="1">
      <alignment horizontal="left"/>
    </xf>
    <xf numFmtId="0" fontId="95" fillId="0" borderId="63" xfId="6" applyFont="1" applyBorder="1" applyAlignment="1">
      <alignment horizontal="justify" vertical="top" wrapText="1"/>
    </xf>
    <xf numFmtId="0" fontId="92" fillId="0" borderId="63" xfId="6" applyFont="1" applyBorder="1" applyAlignment="1">
      <alignment horizontal="center"/>
    </xf>
    <xf numFmtId="3" fontId="92" fillId="0" borderId="63" xfId="6" applyNumberFormat="1" applyFont="1" applyBorder="1"/>
    <xf numFmtId="4" fontId="92" fillId="0" borderId="63" xfId="6" applyNumberFormat="1" applyFont="1" applyBorder="1"/>
    <xf numFmtId="4" fontId="92" fillId="0" borderId="64" xfId="6" applyNumberFormat="1" applyFont="1" applyBorder="1"/>
    <xf numFmtId="49" fontId="92" fillId="0" borderId="65" xfId="6" applyNumberFormat="1" applyFont="1" applyBorder="1" applyAlignment="1">
      <alignment horizontal="center" vertical="center"/>
    </xf>
    <xf numFmtId="0" fontId="96" fillId="0" borderId="66" xfId="6" applyFont="1" applyBorder="1" applyAlignment="1">
      <alignment horizontal="justify" vertical="top"/>
    </xf>
    <xf numFmtId="0" fontId="92" fillId="0" borderId="66" xfId="6" applyFont="1" applyBorder="1" applyAlignment="1">
      <alignment horizontal="center" vertical="center"/>
    </xf>
    <xf numFmtId="4" fontId="92" fillId="0" borderId="66" xfId="6" applyNumberFormat="1" applyFont="1" applyBorder="1" applyAlignment="1">
      <alignment vertical="center"/>
    </xf>
    <xf numFmtId="4" fontId="92" fillId="10" borderId="66" xfId="6" applyNumberFormat="1" applyFont="1" applyFill="1" applyBorder="1" applyAlignment="1">
      <alignment vertical="center"/>
    </xf>
    <xf numFmtId="4" fontId="92" fillId="0" borderId="67" xfId="6" applyNumberFormat="1" applyFont="1" applyBorder="1" applyAlignment="1">
      <alignment vertical="center"/>
    </xf>
    <xf numFmtId="49" fontId="92" fillId="0" borderId="65" xfId="7" applyNumberFormat="1" applyFont="1" applyBorder="1" applyAlignment="1">
      <alignment horizontal="center" vertical="center"/>
    </xf>
    <xf numFmtId="0" fontId="96" fillId="0" borderId="66" xfId="7" applyFont="1" applyBorder="1" applyAlignment="1">
      <alignment horizontal="justify" vertical="top"/>
    </xf>
    <xf numFmtId="0" fontId="92" fillId="0" borderId="66" xfId="7" applyFont="1" applyBorder="1" applyAlignment="1">
      <alignment horizontal="center" vertical="center"/>
    </xf>
    <xf numFmtId="4" fontId="92" fillId="0" borderId="66" xfId="7" applyNumberFormat="1" applyFont="1" applyBorder="1" applyAlignment="1">
      <alignment vertical="center"/>
    </xf>
    <xf numFmtId="4" fontId="92" fillId="10" borderId="66" xfId="7" applyNumberFormat="1" applyFont="1" applyFill="1" applyBorder="1" applyAlignment="1">
      <alignment vertical="center"/>
    </xf>
    <xf numFmtId="4" fontId="92" fillId="0" borderId="67" xfId="7" applyNumberFormat="1" applyFont="1" applyBorder="1" applyAlignment="1">
      <alignment vertical="center"/>
    </xf>
    <xf numFmtId="0" fontId="51" fillId="0" borderId="1" xfId="7"/>
    <xf numFmtId="0" fontId="92" fillId="0" borderId="65" xfId="6" applyFont="1" applyBorder="1" applyAlignment="1">
      <alignment horizontal="center" vertical="center"/>
    </xf>
    <xf numFmtId="0" fontId="96" fillId="0" borderId="66" xfId="6" applyFont="1" applyBorder="1" applyAlignment="1">
      <alignment horizontal="justify" vertical="center" wrapText="1"/>
    </xf>
    <xf numFmtId="4" fontId="96" fillId="0" borderId="66" xfId="6" applyNumberFormat="1" applyFont="1" applyBorder="1"/>
    <xf numFmtId="4" fontId="96" fillId="0" borderId="67" xfId="6" applyNumberFormat="1" applyFont="1" applyBorder="1"/>
    <xf numFmtId="0" fontId="96" fillId="0" borderId="66" xfId="6" applyFont="1" applyBorder="1" applyAlignment="1">
      <alignment horizontal="justify" vertical="top" wrapText="1"/>
    </xf>
    <xf numFmtId="0" fontId="94" fillId="0" borderId="65" xfId="6" applyFont="1" applyBorder="1" applyAlignment="1">
      <alignment horizontal="left"/>
    </xf>
    <xf numFmtId="0" fontId="95" fillId="0" borderId="66" xfId="6" applyFont="1" applyBorder="1" applyAlignment="1">
      <alignment horizontal="justify" vertical="top"/>
    </xf>
    <xf numFmtId="0" fontId="92" fillId="0" borderId="66" xfId="6" applyFont="1" applyBorder="1" applyAlignment="1">
      <alignment horizontal="center"/>
    </xf>
    <xf numFmtId="3" fontId="92" fillId="0" borderId="66" xfId="6" applyNumberFormat="1" applyFont="1" applyBorder="1"/>
    <xf numFmtId="4" fontId="92" fillId="0" borderId="66" xfId="6" applyNumberFormat="1" applyFont="1" applyBorder="1"/>
    <xf numFmtId="4" fontId="92" fillId="0" borderId="67" xfId="6" applyNumberFormat="1" applyFont="1" applyBorder="1"/>
    <xf numFmtId="0" fontId="97" fillId="0" borderId="66" xfId="6" applyFont="1" applyBorder="1" applyAlignment="1">
      <alignment horizontal="justify" vertical="top" wrapText="1"/>
    </xf>
    <xf numFmtId="0" fontId="95" fillId="0" borderId="65" xfId="6" applyFont="1" applyBorder="1" applyAlignment="1">
      <alignment horizontal="left"/>
    </xf>
    <xf numFmtId="0" fontId="95" fillId="0" borderId="66" xfId="6" applyFont="1" applyBorder="1" applyAlignment="1">
      <alignment horizontal="justify" vertical="top" wrapText="1"/>
    </xf>
    <xf numFmtId="4" fontId="92" fillId="0" borderId="66" xfId="6" applyNumberFormat="1" applyFont="1" applyBorder="1" applyAlignment="1">
      <alignment horizontal="left"/>
    </xf>
    <xf numFmtId="0" fontId="98" fillId="0" borderId="68" xfId="6" applyFont="1" applyBorder="1" applyAlignment="1">
      <alignment horizontal="left"/>
    </xf>
    <xf numFmtId="0" fontId="92" fillId="0" borderId="69" xfId="6" applyFont="1" applyBorder="1" applyAlignment="1">
      <alignment horizontal="justify" vertical="top" wrapText="1"/>
    </xf>
    <xf numFmtId="0" fontId="92" fillId="0" borderId="69" xfId="6" applyFont="1" applyBorder="1" applyAlignment="1">
      <alignment horizontal="center"/>
    </xf>
    <xf numFmtId="3" fontId="92" fillId="0" borderId="69" xfId="6" applyNumberFormat="1" applyFont="1" applyBorder="1"/>
    <xf numFmtId="4" fontId="92" fillId="0" borderId="69" xfId="6" applyNumberFormat="1" applyFont="1" applyBorder="1" applyAlignment="1">
      <alignment horizontal="left"/>
    </xf>
    <xf numFmtId="4" fontId="92" fillId="0" borderId="70" xfId="6" applyNumberFormat="1" applyFont="1" applyBorder="1"/>
    <xf numFmtId="4" fontId="95" fillId="0" borderId="71" xfId="6" applyNumberFormat="1" applyFont="1" applyBorder="1"/>
    <xf numFmtId="4" fontId="95" fillId="0" borderId="72" xfId="6" applyNumberFormat="1" applyFont="1" applyBorder="1"/>
    <xf numFmtId="0" fontId="92" fillId="0" borderId="1" xfId="6" applyFont="1" applyAlignment="1">
      <alignment horizontal="center"/>
    </xf>
    <xf numFmtId="0" fontId="92" fillId="0" borderId="1" xfId="6" applyFont="1" applyAlignment="1">
      <alignment horizontal="justify" vertical="top" wrapText="1"/>
    </xf>
    <xf numFmtId="3" fontId="92" fillId="0" borderId="1" xfId="6" applyNumberFormat="1" applyFont="1"/>
    <xf numFmtId="4" fontId="92" fillId="0" borderId="1" xfId="6" applyNumberFormat="1" applyFont="1"/>
  </cellXfs>
  <cellStyles count="8">
    <cellStyle name="Hypertextový odkaz" xfId="1" builtinId="8"/>
    <cellStyle name="Normální" xfId="0" builtinId="0" customBuiltin="1"/>
    <cellStyle name="Normální 2" xfId="5" xr:uid="{5BE2F9D0-96AE-4F97-90A2-2B01E839FC68}"/>
    <cellStyle name="Normální 3" xfId="3" xr:uid="{2723B74F-A0A1-405B-9478-9F7AA64D9238}"/>
    <cellStyle name="Normální 4" xfId="2" xr:uid="{82316887-0243-498C-A3AD-B2FA8149F96A}"/>
    <cellStyle name="Normální 5" xfId="4" xr:uid="{2DD38A06-2EE3-4A27-A5C6-BAF2D9A32A19}"/>
    <cellStyle name="Normální 6" xfId="6" xr:uid="{8790B4BD-E198-4E62-A0E2-EC7060D842F9}"/>
    <cellStyle name="Normální 7" xfId="7" xr:uid="{8D16014E-AD7B-4F3D-AE7E-FD2E3E3897F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&#367;j%20disk/Rozpocty/393%20Rekonstrukce%20gymnazia%20Hostivice%20(Petele)/nabidka/22-393%20(20230801)%20-%20gymn&#225;ziu%20Hostivice%20-%20rekonstrukce%20gymn&#225;zia%20II.etapa%20%5bzad&#225;n&#237;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 - Bourací práce"/>
      <sheetName val="02 - Nové konstrukce"/>
      <sheetName val="zdravotechnika"/>
      <sheetName val="plyn"/>
      <sheetName val="vytapeni"/>
      <sheetName val="elektroinstalace"/>
      <sheetName val="slaboproud"/>
      <sheetName val="klimatizace"/>
      <sheetName val="vybaveni laboratori"/>
      <sheetName val="03 - Vedlejší rozpočtové ..."/>
      <sheetName val="Pokyny pro vyplnění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962031133" TargetMode="External"/><Relationship Id="rId18" Type="http://schemas.openxmlformats.org/officeDocument/2006/relationships/hyperlink" Target="https://podminky.urs.cz/item/CS_URS_2022_02/965081113" TargetMode="External"/><Relationship Id="rId26" Type="http://schemas.openxmlformats.org/officeDocument/2006/relationships/hyperlink" Target="https://podminky.urs.cz/item/CS_URS_2022_02/973031151" TargetMode="External"/><Relationship Id="rId39" Type="http://schemas.openxmlformats.org/officeDocument/2006/relationships/hyperlink" Target="https://podminky.urs.cz/item/CS_URS_2022_02/997013322" TargetMode="External"/><Relationship Id="rId21" Type="http://schemas.openxmlformats.org/officeDocument/2006/relationships/hyperlink" Target="https://podminky.urs.cz/item/CS_URS_2022_02/966031314" TargetMode="External"/><Relationship Id="rId34" Type="http://schemas.openxmlformats.org/officeDocument/2006/relationships/hyperlink" Target="https://podminky.urs.cz/item/CS_URS_2022_02/978012191" TargetMode="External"/><Relationship Id="rId42" Type="http://schemas.openxmlformats.org/officeDocument/2006/relationships/hyperlink" Target="https://podminky.urs.cz/item/CS_URS_2022_02/997013631" TargetMode="External"/><Relationship Id="rId47" Type="http://schemas.openxmlformats.org/officeDocument/2006/relationships/hyperlink" Target="https://podminky.urs.cz/item/CS_URS_2022_02/762331814" TargetMode="External"/><Relationship Id="rId50" Type="http://schemas.openxmlformats.org/officeDocument/2006/relationships/hyperlink" Target="https://podminky.urs.cz/item/CS_URS_2022_02/762521811" TargetMode="External"/><Relationship Id="rId55" Type="http://schemas.openxmlformats.org/officeDocument/2006/relationships/hyperlink" Target="https://podminky.urs.cz/item/CS_URS_2022_02/764002851" TargetMode="External"/><Relationship Id="rId63" Type="http://schemas.openxmlformats.org/officeDocument/2006/relationships/hyperlink" Target="https://podminky.urs.cz/item/CS_URS_2022_02/765111811" TargetMode="External"/><Relationship Id="rId68" Type="http://schemas.openxmlformats.org/officeDocument/2006/relationships/hyperlink" Target="https://podminky.urs.cz/item/CS_URS_2022_02/766441822" TargetMode="External"/><Relationship Id="rId7" Type="http://schemas.openxmlformats.org/officeDocument/2006/relationships/hyperlink" Target="https://podminky.urs.cz/item/CS_URS_2022_02/171201221" TargetMode="External"/><Relationship Id="rId71" Type="http://schemas.openxmlformats.org/officeDocument/2006/relationships/hyperlink" Target="https://podminky.urs.cz/item/CS_URS_2022_02/094103000" TargetMode="External"/><Relationship Id="rId2" Type="http://schemas.openxmlformats.org/officeDocument/2006/relationships/hyperlink" Target="https://podminky.urs.cz/item/CS_URS_2022_02/113107123" TargetMode="External"/><Relationship Id="rId16" Type="http://schemas.openxmlformats.org/officeDocument/2006/relationships/hyperlink" Target="https://podminky.urs.cz/item/CS_URS_2022_02/964011221" TargetMode="External"/><Relationship Id="rId29" Type="http://schemas.openxmlformats.org/officeDocument/2006/relationships/hyperlink" Target="https://podminky.urs.cz/item/CS_URS_2022_02/975121322" TargetMode="External"/><Relationship Id="rId1" Type="http://schemas.openxmlformats.org/officeDocument/2006/relationships/hyperlink" Target="https://podminky.urs.cz/item/CS_URS_2022_02/113106123" TargetMode="External"/><Relationship Id="rId6" Type="http://schemas.openxmlformats.org/officeDocument/2006/relationships/hyperlink" Target="https://podminky.urs.cz/item/CS_URS_2022_02/167111101" TargetMode="External"/><Relationship Id="rId11" Type="http://schemas.openxmlformats.org/officeDocument/2006/relationships/hyperlink" Target="https://podminky.urs.cz/item/CS_URS_2022_02/943211212" TargetMode="External"/><Relationship Id="rId24" Type="http://schemas.openxmlformats.org/officeDocument/2006/relationships/hyperlink" Target="https://podminky.urs.cz/item/CS_URS_2022_02/968072455" TargetMode="External"/><Relationship Id="rId32" Type="http://schemas.openxmlformats.org/officeDocument/2006/relationships/hyperlink" Target="https://podminky.urs.cz/item/CS_URS_2022_02/975121422" TargetMode="External"/><Relationship Id="rId37" Type="http://schemas.openxmlformats.org/officeDocument/2006/relationships/hyperlink" Target="https://podminky.urs.cz/item/CS_URS_2022_02/997013154" TargetMode="External"/><Relationship Id="rId40" Type="http://schemas.openxmlformats.org/officeDocument/2006/relationships/hyperlink" Target="https://podminky.urs.cz/item/CS_URS_2022_02/997013501" TargetMode="External"/><Relationship Id="rId45" Type="http://schemas.openxmlformats.org/officeDocument/2006/relationships/hyperlink" Target="https://podminky.urs.cz/item/CS_URS_2022_02/998712203" TargetMode="External"/><Relationship Id="rId53" Type="http://schemas.openxmlformats.org/officeDocument/2006/relationships/hyperlink" Target="https://podminky.urs.cz/item/CS_URS_2022_02/764001891" TargetMode="External"/><Relationship Id="rId58" Type="http://schemas.openxmlformats.org/officeDocument/2006/relationships/hyperlink" Target="https://podminky.urs.cz/item/CS_URS_2022_02/764004801" TargetMode="External"/><Relationship Id="rId66" Type="http://schemas.openxmlformats.org/officeDocument/2006/relationships/hyperlink" Target="https://podminky.urs.cz/item/CS_URS_2022_02/765192001" TargetMode="External"/><Relationship Id="rId5" Type="http://schemas.openxmlformats.org/officeDocument/2006/relationships/hyperlink" Target="https://podminky.urs.cz/item/CS_URS_2022_02/162751119" TargetMode="External"/><Relationship Id="rId15" Type="http://schemas.openxmlformats.org/officeDocument/2006/relationships/hyperlink" Target="https://podminky.urs.cz/item/CS_URS_2022_02/962032631" TargetMode="External"/><Relationship Id="rId23" Type="http://schemas.openxmlformats.org/officeDocument/2006/relationships/hyperlink" Target="https://podminky.urs.cz/item/CS_URS_2022_02/968062246" TargetMode="External"/><Relationship Id="rId28" Type="http://schemas.openxmlformats.org/officeDocument/2006/relationships/hyperlink" Target="https://podminky.urs.cz/item/CS_URS_2022_02/975121321" TargetMode="External"/><Relationship Id="rId36" Type="http://schemas.openxmlformats.org/officeDocument/2006/relationships/hyperlink" Target="https://podminky.urs.cz/item/CS_URS_2022_02/978015391" TargetMode="External"/><Relationship Id="rId49" Type="http://schemas.openxmlformats.org/officeDocument/2006/relationships/hyperlink" Target="https://podminky.urs.cz/item/CS_URS_2022_02/762342812" TargetMode="External"/><Relationship Id="rId57" Type="http://schemas.openxmlformats.org/officeDocument/2006/relationships/hyperlink" Target="https://podminky.urs.cz/item/CS_URS_2022_02/764002871" TargetMode="External"/><Relationship Id="rId61" Type="http://schemas.openxmlformats.org/officeDocument/2006/relationships/hyperlink" Target="https://podminky.urs.cz/item/CS_URS_2022_02/764508131" TargetMode="External"/><Relationship Id="rId10" Type="http://schemas.openxmlformats.org/officeDocument/2006/relationships/hyperlink" Target="https://podminky.urs.cz/item/CS_URS_2022_02/943211112" TargetMode="External"/><Relationship Id="rId19" Type="http://schemas.openxmlformats.org/officeDocument/2006/relationships/hyperlink" Target="https://podminky.urs.cz/item/CS_URS_2022_02/965082923" TargetMode="External"/><Relationship Id="rId31" Type="http://schemas.openxmlformats.org/officeDocument/2006/relationships/hyperlink" Target="https://podminky.urs.cz/item/CS_URS_2022_02/975121421" TargetMode="External"/><Relationship Id="rId44" Type="http://schemas.openxmlformats.org/officeDocument/2006/relationships/hyperlink" Target="https://podminky.urs.cz/item/CS_URS_2022_02/712341659" TargetMode="External"/><Relationship Id="rId52" Type="http://schemas.openxmlformats.org/officeDocument/2006/relationships/hyperlink" Target="https://podminky.urs.cz/item/CS_URS_2022_02/762841812" TargetMode="External"/><Relationship Id="rId60" Type="http://schemas.openxmlformats.org/officeDocument/2006/relationships/hyperlink" Target="https://podminky.urs.cz/item/CS_URS_2022_02/764004863" TargetMode="External"/><Relationship Id="rId65" Type="http://schemas.openxmlformats.org/officeDocument/2006/relationships/hyperlink" Target="https://podminky.urs.cz/item/CS_URS_2022_02/765111881" TargetMode="External"/><Relationship Id="rId4" Type="http://schemas.openxmlformats.org/officeDocument/2006/relationships/hyperlink" Target="https://podminky.urs.cz/item/CS_URS_2022_02/162751117" TargetMode="External"/><Relationship Id="rId9" Type="http://schemas.openxmlformats.org/officeDocument/2006/relationships/hyperlink" Target="https://podminky.urs.cz/item/CS_URS_2022_02/174111101" TargetMode="External"/><Relationship Id="rId14" Type="http://schemas.openxmlformats.org/officeDocument/2006/relationships/hyperlink" Target="https://podminky.urs.cz/item/CS_URS_2022_02/962032230" TargetMode="External"/><Relationship Id="rId22" Type="http://schemas.openxmlformats.org/officeDocument/2006/relationships/hyperlink" Target="https://podminky.urs.cz/item/CS_URS_2022_02/967042712" TargetMode="External"/><Relationship Id="rId27" Type="http://schemas.openxmlformats.org/officeDocument/2006/relationships/hyperlink" Target="https://podminky.urs.cz/item/CS_URS_2022_02/973031335" TargetMode="External"/><Relationship Id="rId30" Type="http://schemas.openxmlformats.org/officeDocument/2006/relationships/hyperlink" Target="https://podminky.urs.cz/item/CS_URS_2022_02/975121323" TargetMode="External"/><Relationship Id="rId35" Type="http://schemas.openxmlformats.org/officeDocument/2006/relationships/hyperlink" Target="https://podminky.urs.cz/item/CS_URS_2022_02/978013191" TargetMode="External"/><Relationship Id="rId43" Type="http://schemas.openxmlformats.org/officeDocument/2006/relationships/hyperlink" Target="https://podminky.urs.cz/item/CS_URS_2022_02/712340833" TargetMode="External"/><Relationship Id="rId48" Type="http://schemas.openxmlformats.org/officeDocument/2006/relationships/hyperlink" Target="https://podminky.urs.cz/item/CS_URS_2022_02/762341832" TargetMode="External"/><Relationship Id="rId56" Type="http://schemas.openxmlformats.org/officeDocument/2006/relationships/hyperlink" Target="https://podminky.urs.cz/item/CS_URS_2022_02/764002861" TargetMode="External"/><Relationship Id="rId64" Type="http://schemas.openxmlformats.org/officeDocument/2006/relationships/hyperlink" Target="https://podminky.urs.cz/item/CS_URS_2022_02/765111861" TargetMode="External"/><Relationship Id="rId69" Type="http://schemas.openxmlformats.org/officeDocument/2006/relationships/hyperlink" Target="https://podminky.urs.cz/item/CS_URS_2022_02/766674811" TargetMode="External"/><Relationship Id="rId8" Type="http://schemas.openxmlformats.org/officeDocument/2006/relationships/hyperlink" Target="https://podminky.urs.cz/item/CS_URS_2022_02/171251201" TargetMode="External"/><Relationship Id="rId51" Type="http://schemas.openxmlformats.org/officeDocument/2006/relationships/hyperlink" Target="https://podminky.urs.cz/item/CS_URS_2022_02/762841811" TargetMode="External"/><Relationship Id="rId72" Type="http://schemas.openxmlformats.org/officeDocument/2006/relationships/drawing" Target="../drawings/drawing2.xml"/><Relationship Id="rId3" Type="http://schemas.openxmlformats.org/officeDocument/2006/relationships/hyperlink" Target="https://podminky.urs.cz/item/CS_URS_2022_02/132212131" TargetMode="External"/><Relationship Id="rId12" Type="http://schemas.openxmlformats.org/officeDocument/2006/relationships/hyperlink" Target="https://podminky.urs.cz/item/CS_URS_2022_02/943211812" TargetMode="External"/><Relationship Id="rId17" Type="http://schemas.openxmlformats.org/officeDocument/2006/relationships/hyperlink" Target="https://podminky.urs.cz/item/CS_URS_2022_02/965041341" TargetMode="External"/><Relationship Id="rId25" Type="http://schemas.openxmlformats.org/officeDocument/2006/relationships/hyperlink" Target="https://podminky.urs.cz/item/CS_URS_2022_02/968072456" TargetMode="External"/><Relationship Id="rId33" Type="http://schemas.openxmlformats.org/officeDocument/2006/relationships/hyperlink" Target="https://podminky.urs.cz/item/CS_URS_2022_02/975121423" TargetMode="External"/><Relationship Id="rId38" Type="http://schemas.openxmlformats.org/officeDocument/2006/relationships/hyperlink" Target="https://podminky.urs.cz/item/CS_URS_2022_02/997013312" TargetMode="External"/><Relationship Id="rId46" Type="http://schemas.openxmlformats.org/officeDocument/2006/relationships/hyperlink" Target="https://podminky.urs.cz/item/CS_URS_2022_02/762331813" TargetMode="External"/><Relationship Id="rId59" Type="http://schemas.openxmlformats.org/officeDocument/2006/relationships/hyperlink" Target="https://podminky.urs.cz/item/CS_URS_2022_02/764004861" TargetMode="External"/><Relationship Id="rId67" Type="http://schemas.openxmlformats.org/officeDocument/2006/relationships/hyperlink" Target="https://podminky.urs.cz/item/CS_URS_2022_02/766441812" TargetMode="External"/><Relationship Id="rId20" Type="http://schemas.openxmlformats.org/officeDocument/2006/relationships/hyperlink" Target="https://podminky.urs.cz/item/CS_URS_2022_02/966031313" TargetMode="External"/><Relationship Id="rId41" Type="http://schemas.openxmlformats.org/officeDocument/2006/relationships/hyperlink" Target="https://podminky.urs.cz/item/CS_URS_2022_02/997013509" TargetMode="External"/><Relationship Id="rId54" Type="http://schemas.openxmlformats.org/officeDocument/2006/relationships/hyperlink" Target="https://podminky.urs.cz/item/CS_URS_2022_02/764002841" TargetMode="External"/><Relationship Id="rId62" Type="http://schemas.openxmlformats.org/officeDocument/2006/relationships/hyperlink" Target="https://podminky.urs.cz/item/CS_URS_2022_02/765111801" TargetMode="External"/><Relationship Id="rId70" Type="http://schemas.openxmlformats.org/officeDocument/2006/relationships/hyperlink" Target="https://podminky.urs.cz/item/CS_URS_2022_02/771573810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2_02/764002414" TargetMode="External"/><Relationship Id="rId21" Type="http://schemas.openxmlformats.org/officeDocument/2006/relationships/hyperlink" Target="https://podminky.urs.cz/item/CS_URS_2022_02/417351115" TargetMode="External"/><Relationship Id="rId42" Type="http://schemas.openxmlformats.org/officeDocument/2006/relationships/hyperlink" Target="https://podminky.urs.cz/item/CS_URS_2022_02/622252001" TargetMode="External"/><Relationship Id="rId63" Type="http://schemas.openxmlformats.org/officeDocument/2006/relationships/hyperlink" Target="https://podminky.urs.cz/item/CS_URS_2022_02/952901111" TargetMode="External"/><Relationship Id="rId84" Type="http://schemas.openxmlformats.org/officeDocument/2006/relationships/hyperlink" Target="https://podminky.urs.cz/item/CS_URS_2022_02/762083121" TargetMode="External"/><Relationship Id="rId138" Type="http://schemas.openxmlformats.org/officeDocument/2006/relationships/hyperlink" Target="https://podminky.urs.cz/item/CS_URS_2022_02/765115302" TargetMode="External"/><Relationship Id="rId159" Type="http://schemas.openxmlformats.org/officeDocument/2006/relationships/hyperlink" Target="https://podminky.urs.cz/item/CS_URS_2022_02/767627307" TargetMode="External"/><Relationship Id="rId170" Type="http://schemas.openxmlformats.org/officeDocument/2006/relationships/hyperlink" Target="https://podminky.urs.cz/item/CS_URS_2022_02/771474113" TargetMode="External"/><Relationship Id="rId191" Type="http://schemas.openxmlformats.org/officeDocument/2006/relationships/hyperlink" Target="https://podminky.urs.cz/item/CS_URS_2022_02/777611101" TargetMode="External"/><Relationship Id="rId205" Type="http://schemas.openxmlformats.org/officeDocument/2006/relationships/hyperlink" Target="https://podminky.urs.cz/item/CS_URS_2022_02/783301401" TargetMode="External"/><Relationship Id="rId107" Type="http://schemas.openxmlformats.org/officeDocument/2006/relationships/hyperlink" Target="https://podminky.urs.cz/item/CS_URS_2022_02/763131751" TargetMode="External"/><Relationship Id="rId11" Type="http://schemas.openxmlformats.org/officeDocument/2006/relationships/hyperlink" Target="https://podminky.urs.cz/item/CS_URS_2022_02/311234111" TargetMode="External"/><Relationship Id="rId32" Type="http://schemas.openxmlformats.org/officeDocument/2006/relationships/hyperlink" Target="https://podminky.urs.cz/item/CS_URS_2022_02/612325302" TargetMode="External"/><Relationship Id="rId37" Type="http://schemas.openxmlformats.org/officeDocument/2006/relationships/hyperlink" Target="https://podminky.urs.cz/item/CS_URS_2022_02/622131121" TargetMode="External"/><Relationship Id="rId53" Type="http://schemas.openxmlformats.org/officeDocument/2006/relationships/hyperlink" Target="https://podminky.urs.cz/item/CS_URS_2022_02/941211111" TargetMode="External"/><Relationship Id="rId58" Type="http://schemas.openxmlformats.org/officeDocument/2006/relationships/hyperlink" Target="https://podminky.urs.cz/item/CS_URS_2022_02/942322111" TargetMode="External"/><Relationship Id="rId74" Type="http://schemas.openxmlformats.org/officeDocument/2006/relationships/hyperlink" Target="https://podminky.urs.cz/item/CS_URS_2022_02/711141559" TargetMode="External"/><Relationship Id="rId79" Type="http://schemas.openxmlformats.org/officeDocument/2006/relationships/hyperlink" Target="https://podminky.urs.cz/item/CS_URS_2022_02/713131141" TargetMode="External"/><Relationship Id="rId102" Type="http://schemas.openxmlformats.org/officeDocument/2006/relationships/hyperlink" Target="https://podminky.urs.cz/item/CS_URS_2022_02/763111333" TargetMode="External"/><Relationship Id="rId123" Type="http://schemas.openxmlformats.org/officeDocument/2006/relationships/hyperlink" Target="https://podminky.urs.cz/item/CS_URS_2022_02/764235406" TargetMode="External"/><Relationship Id="rId128" Type="http://schemas.openxmlformats.org/officeDocument/2006/relationships/hyperlink" Target="https://podminky.urs.cz/item/CS_URS_2022_02/764531446" TargetMode="External"/><Relationship Id="rId144" Type="http://schemas.openxmlformats.org/officeDocument/2006/relationships/hyperlink" Target="https://podminky.urs.cz/item/CS_URS_2022_02/765191021" TargetMode="External"/><Relationship Id="rId149" Type="http://schemas.openxmlformats.org/officeDocument/2006/relationships/hyperlink" Target="https://podminky.urs.cz/item/CS_URS_2022_02/998765203" TargetMode="External"/><Relationship Id="rId5" Type="http://schemas.openxmlformats.org/officeDocument/2006/relationships/hyperlink" Target="https://podminky.urs.cz/item/CS_URS_2022_02/273362021" TargetMode="External"/><Relationship Id="rId90" Type="http://schemas.openxmlformats.org/officeDocument/2006/relationships/hyperlink" Target="https://podminky.urs.cz/item/CS_URS_2022_02/762341042" TargetMode="External"/><Relationship Id="rId95" Type="http://schemas.openxmlformats.org/officeDocument/2006/relationships/hyperlink" Target="https://podminky.urs.cz/item/CS_URS_2022_02/762511145" TargetMode="External"/><Relationship Id="rId160" Type="http://schemas.openxmlformats.org/officeDocument/2006/relationships/hyperlink" Target="https://podminky.urs.cz/item/CS_URS_2022_02/767995113" TargetMode="External"/><Relationship Id="rId165" Type="http://schemas.openxmlformats.org/officeDocument/2006/relationships/hyperlink" Target="https://podminky.urs.cz/item/CS_URS_2022_02/771121011" TargetMode="External"/><Relationship Id="rId181" Type="http://schemas.openxmlformats.org/officeDocument/2006/relationships/hyperlink" Target="https://podminky.urs.cz/item/CS_URS_2022_02/776111311" TargetMode="External"/><Relationship Id="rId186" Type="http://schemas.openxmlformats.org/officeDocument/2006/relationships/hyperlink" Target="https://podminky.urs.cz/item/CS_URS_2022_02/776991121" TargetMode="External"/><Relationship Id="rId211" Type="http://schemas.openxmlformats.org/officeDocument/2006/relationships/hyperlink" Target="https://podminky.urs.cz/item/CS_URS_2022_02/786626121" TargetMode="External"/><Relationship Id="rId22" Type="http://schemas.openxmlformats.org/officeDocument/2006/relationships/hyperlink" Target="https://podminky.urs.cz/item/CS_URS_2022_02/417351116" TargetMode="External"/><Relationship Id="rId27" Type="http://schemas.openxmlformats.org/officeDocument/2006/relationships/hyperlink" Target="https://podminky.urs.cz/item/CS_URS_2022_02/434351142" TargetMode="External"/><Relationship Id="rId43" Type="http://schemas.openxmlformats.org/officeDocument/2006/relationships/hyperlink" Target="https://podminky.urs.cz/item/CS_URS_2022_02/622252002" TargetMode="External"/><Relationship Id="rId48" Type="http://schemas.openxmlformats.org/officeDocument/2006/relationships/hyperlink" Target="https://podminky.urs.cz/item/CS_URS_2022_02/631311114" TargetMode="External"/><Relationship Id="rId64" Type="http://schemas.openxmlformats.org/officeDocument/2006/relationships/hyperlink" Target="https://podminky.urs.cz/item/CS_URS_2022_02/953943211" TargetMode="External"/><Relationship Id="rId69" Type="http://schemas.openxmlformats.org/officeDocument/2006/relationships/hyperlink" Target="https://podminky.urs.cz/item/CS_URS_2022_02/997013501" TargetMode="External"/><Relationship Id="rId113" Type="http://schemas.openxmlformats.org/officeDocument/2006/relationships/hyperlink" Target="https://podminky.urs.cz/item/CS_URS_2022_02/763182411" TargetMode="External"/><Relationship Id="rId118" Type="http://schemas.openxmlformats.org/officeDocument/2006/relationships/hyperlink" Target="https://podminky.urs.cz/item/CS_URS_2022_02/764131403" TargetMode="External"/><Relationship Id="rId134" Type="http://schemas.openxmlformats.org/officeDocument/2006/relationships/hyperlink" Target="https://podminky.urs.cz/item/CS_URS_2022_02/765111253" TargetMode="External"/><Relationship Id="rId139" Type="http://schemas.openxmlformats.org/officeDocument/2006/relationships/hyperlink" Target="https://podminky.urs.cz/item/CS_URS_2022_02/765115351" TargetMode="External"/><Relationship Id="rId80" Type="http://schemas.openxmlformats.org/officeDocument/2006/relationships/hyperlink" Target="https://podminky.urs.cz/item/CS_URS_2022_02/713151111" TargetMode="External"/><Relationship Id="rId85" Type="http://schemas.openxmlformats.org/officeDocument/2006/relationships/hyperlink" Target="https://podminky.urs.cz/item/CS_URS_2022_02/762332542" TargetMode="External"/><Relationship Id="rId150" Type="http://schemas.openxmlformats.org/officeDocument/2006/relationships/hyperlink" Target="https://podminky.urs.cz/item/CS_URS_2022_02/766231113" TargetMode="External"/><Relationship Id="rId155" Type="http://schemas.openxmlformats.org/officeDocument/2006/relationships/hyperlink" Target="https://podminky.urs.cz/item/CS_URS_2022_02/998766203" TargetMode="External"/><Relationship Id="rId171" Type="http://schemas.openxmlformats.org/officeDocument/2006/relationships/hyperlink" Target="https://podminky.urs.cz/item/CS_URS_2022_02/771474133" TargetMode="External"/><Relationship Id="rId176" Type="http://schemas.openxmlformats.org/officeDocument/2006/relationships/hyperlink" Target="https://podminky.urs.cz/item/CS_URS_2022_02/771591241" TargetMode="External"/><Relationship Id="rId192" Type="http://schemas.openxmlformats.org/officeDocument/2006/relationships/hyperlink" Target="https://podminky.urs.cz/item/CS_URS_2022_02/777911113" TargetMode="External"/><Relationship Id="rId197" Type="http://schemas.openxmlformats.org/officeDocument/2006/relationships/hyperlink" Target="https://podminky.urs.cz/item/CS_URS_2022_02/781477111" TargetMode="External"/><Relationship Id="rId206" Type="http://schemas.openxmlformats.org/officeDocument/2006/relationships/hyperlink" Target="https://podminky.urs.cz/item/CS_URS_2022_02/783314203" TargetMode="External"/><Relationship Id="rId201" Type="http://schemas.openxmlformats.org/officeDocument/2006/relationships/hyperlink" Target="https://podminky.urs.cz/item/CS_URS_2022_02/998781203" TargetMode="External"/><Relationship Id="rId12" Type="http://schemas.openxmlformats.org/officeDocument/2006/relationships/hyperlink" Target="https://podminky.urs.cz/item/CS_URS_2022_02/311236101" TargetMode="External"/><Relationship Id="rId17" Type="http://schemas.openxmlformats.org/officeDocument/2006/relationships/hyperlink" Target="https://podminky.urs.cz/item/CS_URS_2022_02/317234410" TargetMode="External"/><Relationship Id="rId33" Type="http://schemas.openxmlformats.org/officeDocument/2006/relationships/hyperlink" Target="https://podminky.urs.cz/item/CS_URS_2022_02/612325419" TargetMode="External"/><Relationship Id="rId38" Type="http://schemas.openxmlformats.org/officeDocument/2006/relationships/hyperlink" Target="https://podminky.urs.cz/item/CS_URS_2022_02/622142001" TargetMode="External"/><Relationship Id="rId59" Type="http://schemas.openxmlformats.org/officeDocument/2006/relationships/hyperlink" Target="https://podminky.urs.cz/item/CS_URS_2022_02/942322211" TargetMode="External"/><Relationship Id="rId103" Type="http://schemas.openxmlformats.org/officeDocument/2006/relationships/hyperlink" Target="https://podminky.urs.cz/item/CS_URS_2022_02/763121411" TargetMode="External"/><Relationship Id="rId108" Type="http://schemas.openxmlformats.org/officeDocument/2006/relationships/hyperlink" Target="https://podminky.urs.cz/item/CS_URS_2022_02/763132121" TargetMode="External"/><Relationship Id="rId124" Type="http://schemas.openxmlformats.org/officeDocument/2006/relationships/hyperlink" Target="https://podminky.urs.cz/item/CS_URS_2022_02/764235411" TargetMode="External"/><Relationship Id="rId129" Type="http://schemas.openxmlformats.org/officeDocument/2006/relationships/hyperlink" Target="https://podminky.urs.cz/item/CS_URS_2022_02/764533412" TargetMode="External"/><Relationship Id="rId54" Type="http://schemas.openxmlformats.org/officeDocument/2006/relationships/hyperlink" Target="https://podminky.urs.cz/item/CS_URS_2022_02/941211112" TargetMode="External"/><Relationship Id="rId70" Type="http://schemas.openxmlformats.org/officeDocument/2006/relationships/hyperlink" Target="https://podminky.urs.cz/item/CS_URS_2022_02/997013509" TargetMode="External"/><Relationship Id="rId75" Type="http://schemas.openxmlformats.org/officeDocument/2006/relationships/hyperlink" Target="https://podminky.urs.cz/item/CS_URS_2022_02/998711203" TargetMode="External"/><Relationship Id="rId91" Type="http://schemas.openxmlformats.org/officeDocument/2006/relationships/hyperlink" Target="https://podminky.urs.cz/item/CS_URS_2022_02/762341270" TargetMode="External"/><Relationship Id="rId96" Type="http://schemas.openxmlformats.org/officeDocument/2006/relationships/hyperlink" Target="https://podminky.urs.cz/item/CS_URS_2022_02/762511277" TargetMode="External"/><Relationship Id="rId140" Type="http://schemas.openxmlformats.org/officeDocument/2006/relationships/hyperlink" Target="https://podminky.urs.cz/item/CS_URS_2022_02/765115352" TargetMode="External"/><Relationship Id="rId145" Type="http://schemas.openxmlformats.org/officeDocument/2006/relationships/hyperlink" Target="https://podminky.urs.cz/item/CS_URS_2022_02/765191045" TargetMode="External"/><Relationship Id="rId161" Type="http://schemas.openxmlformats.org/officeDocument/2006/relationships/hyperlink" Target="https://podminky.urs.cz/item/CS_URS_2022_02/767995114" TargetMode="External"/><Relationship Id="rId166" Type="http://schemas.openxmlformats.org/officeDocument/2006/relationships/hyperlink" Target="https://podminky.urs.cz/item/CS_URS_2022_02/771151012" TargetMode="External"/><Relationship Id="rId182" Type="http://schemas.openxmlformats.org/officeDocument/2006/relationships/hyperlink" Target="https://podminky.urs.cz/item/CS_URS_2022_02/776121112" TargetMode="External"/><Relationship Id="rId187" Type="http://schemas.openxmlformats.org/officeDocument/2006/relationships/hyperlink" Target="https://podminky.urs.cz/item/CS_URS_2022_02/998776203" TargetMode="External"/><Relationship Id="rId1" Type="http://schemas.openxmlformats.org/officeDocument/2006/relationships/hyperlink" Target="https://podminky.urs.cz/item/CS_URS_2022_02/181912112" TargetMode="External"/><Relationship Id="rId6" Type="http://schemas.openxmlformats.org/officeDocument/2006/relationships/hyperlink" Target="https://podminky.urs.cz/item/CS_URS_2022_02/274321411" TargetMode="External"/><Relationship Id="rId212" Type="http://schemas.openxmlformats.org/officeDocument/2006/relationships/hyperlink" Target="https://podminky.urs.cz/item/CS_URS_2022_02/998786203" TargetMode="External"/><Relationship Id="rId23" Type="http://schemas.openxmlformats.org/officeDocument/2006/relationships/hyperlink" Target="https://podminky.urs.cz/item/CS_URS_2022_02/417361821" TargetMode="External"/><Relationship Id="rId28" Type="http://schemas.openxmlformats.org/officeDocument/2006/relationships/hyperlink" Target="https://podminky.urs.cz/item/CS_URS_2022_02/564760001" TargetMode="External"/><Relationship Id="rId49" Type="http://schemas.openxmlformats.org/officeDocument/2006/relationships/hyperlink" Target="https://podminky.urs.cz/item/CS_URS_2022_02/631319011" TargetMode="External"/><Relationship Id="rId114" Type="http://schemas.openxmlformats.org/officeDocument/2006/relationships/hyperlink" Target="https://podminky.urs.cz/item/CS_URS_2022_02/763264542" TargetMode="External"/><Relationship Id="rId119" Type="http://schemas.openxmlformats.org/officeDocument/2006/relationships/hyperlink" Target="https://podminky.urs.cz/item/CS_URS_2022_02/764131491" TargetMode="External"/><Relationship Id="rId44" Type="http://schemas.openxmlformats.org/officeDocument/2006/relationships/hyperlink" Target="https://podminky.urs.cz/item/CS_URS_2022_02/622326359" TargetMode="External"/><Relationship Id="rId60" Type="http://schemas.openxmlformats.org/officeDocument/2006/relationships/hyperlink" Target="https://podminky.urs.cz/item/CS_URS_2022_02/942322811" TargetMode="External"/><Relationship Id="rId65" Type="http://schemas.openxmlformats.org/officeDocument/2006/relationships/hyperlink" Target="https://podminky.urs.cz/item/CS_URS_2022_02/953961114" TargetMode="External"/><Relationship Id="rId81" Type="http://schemas.openxmlformats.org/officeDocument/2006/relationships/hyperlink" Target="https://podminky.urs.cz/item/CS_URS_2022_02/713191132" TargetMode="External"/><Relationship Id="rId86" Type="http://schemas.openxmlformats.org/officeDocument/2006/relationships/hyperlink" Target="https://podminky.urs.cz/item/CS_URS_2022_02/762332543" TargetMode="External"/><Relationship Id="rId130" Type="http://schemas.openxmlformats.org/officeDocument/2006/relationships/hyperlink" Target="https://podminky.urs.cz/item/CS_URS_2022_02/764538424" TargetMode="External"/><Relationship Id="rId135" Type="http://schemas.openxmlformats.org/officeDocument/2006/relationships/hyperlink" Target="https://podminky.urs.cz/item/CS_URS_2022_02/765111403" TargetMode="External"/><Relationship Id="rId151" Type="http://schemas.openxmlformats.org/officeDocument/2006/relationships/hyperlink" Target="https://podminky.urs.cz/item/CS_URS_2022_02/766671023" TargetMode="External"/><Relationship Id="rId156" Type="http://schemas.openxmlformats.org/officeDocument/2006/relationships/hyperlink" Target="https://podminky.urs.cz/item/CS_URS_2022_02/767610127" TargetMode="External"/><Relationship Id="rId177" Type="http://schemas.openxmlformats.org/officeDocument/2006/relationships/hyperlink" Target="https://podminky.urs.cz/item/CS_URS_2022_02/771591242" TargetMode="External"/><Relationship Id="rId198" Type="http://schemas.openxmlformats.org/officeDocument/2006/relationships/hyperlink" Target="https://podminky.urs.cz/item/CS_URS_2022_02/781494111" TargetMode="External"/><Relationship Id="rId172" Type="http://schemas.openxmlformats.org/officeDocument/2006/relationships/hyperlink" Target="https://podminky.urs.cz/item/CS_URS_2022_02/771574263" TargetMode="External"/><Relationship Id="rId193" Type="http://schemas.openxmlformats.org/officeDocument/2006/relationships/hyperlink" Target="https://podminky.urs.cz/item/CS_URS_2022_02/998777203" TargetMode="External"/><Relationship Id="rId202" Type="http://schemas.openxmlformats.org/officeDocument/2006/relationships/hyperlink" Target="https://podminky.urs.cz/item/CS_URS_2022_02/782132412" TargetMode="External"/><Relationship Id="rId207" Type="http://schemas.openxmlformats.org/officeDocument/2006/relationships/hyperlink" Target="https://podminky.urs.cz/item/CS_URS_2022_02/784111001" TargetMode="External"/><Relationship Id="rId13" Type="http://schemas.openxmlformats.org/officeDocument/2006/relationships/hyperlink" Target="https://podminky.urs.cz/item/CS_URS_2022_02/311238803" TargetMode="External"/><Relationship Id="rId18" Type="http://schemas.openxmlformats.org/officeDocument/2006/relationships/hyperlink" Target="https://podminky.urs.cz/item/CS_URS_2022_02/317998143" TargetMode="External"/><Relationship Id="rId39" Type="http://schemas.openxmlformats.org/officeDocument/2006/relationships/hyperlink" Target="https://podminky.urs.cz/item/CS_URS_2022_02/622151011" TargetMode="External"/><Relationship Id="rId109" Type="http://schemas.openxmlformats.org/officeDocument/2006/relationships/hyperlink" Target="https://podminky.urs.cz/item/CS_URS_2022_02/763158115" TargetMode="External"/><Relationship Id="rId34" Type="http://schemas.openxmlformats.org/officeDocument/2006/relationships/hyperlink" Target="https://podminky.urs.cz/item/CS_URS_2022_02/619996117" TargetMode="External"/><Relationship Id="rId50" Type="http://schemas.openxmlformats.org/officeDocument/2006/relationships/hyperlink" Target="https://podminky.urs.cz/item/CS_URS_2022_02/631319171" TargetMode="External"/><Relationship Id="rId55" Type="http://schemas.openxmlformats.org/officeDocument/2006/relationships/hyperlink" Target="https://podminky.urs.cz/item/CS_URS_2022_02/941211211" TargetMode="External"/><Relationship Id="rId76" Type="http://schemas.openxmlformats.org/officeDocument/2006/relationships/hyperlink" Target="https://podminky.urs.cz/item/CS_URS_2022_02/713121111" TargetMode="External"/><Relationship Id="rId97" Type="http://schemas.openxmlformats.org/officeDocument/2006/relationships/hyperlink" Target="https://podminky.urs.cz/item/CS_URS_2022_02/762511264" TargetMode="External"/><Relationship Id="rId104" Type="http://schemas.openxmlformats.org/officeDocument/2006/relationships/hyperlink" Target="https://podminky.urs.cz/item/CS_URS_2022_02/763121415" TargetMode="External"/><Relationship Id="rId120" Type="http://schemas.openxmlformats.org/officeDocument/2006/relationships/hyperlink" Target="https://podminky.urs.cz/item/CS_URS_2022_02/764231466" TargetMode="External"/><Relationship Id="rId125" Type="http://schemas.openxmlformats.org/officeDocument/2006/relationships/hyperlink" Target="https://podminky.urs.cz/item/CS_URS_2022_02/764246404" TargetMode="External"/><Relationship Id="rId141" Type="http://schemas.openxmlformats.org/officeDocument/2006/relationships/hyperlink" Target="https://podminky.urs.cz/item/CS_URS_2022_02/765115401" TargetMode="External"/><Relationship Id="rId146" Type="http://schemas.openxmlformats.org/officeDocument/2006/relationships/hyperlink" Target="https://podminky.urs.cz/item/CS_URS_2022_02/765191051" TargetMode="External"/><Relationship Id="rId167" Type="http://schemas.openxmlformats.org/officeDocument/2006/relationships/hyperlink" Target="https://podminky.urs.cz/item/CS_URS_2022_02/771161022" TargetMode="External"/><Relationship Id="rId188" Type="http://schemas.openxmlformats.org/officeDocument/2006/relationships/hyperlink" Target="https://podminky.urs.cz/item/CS_URS_2022_02/777111111" TargetMode="External"/><Relationship Id="rId7" Type="http://schemas.openxmlformats.org/officeDocument/2006/relationships/hyperlink" Target="https://podminky.urs.cz/item/CS_URS_2022_02/274351121" TargetMode="External"/><Relationship Id="rId71" Type="http://schemas.openxmlformats.org/officeDocument/2006/relationships/hyperlink" Target="https://podminky.urs.cz/item/CS_URS_2022_02/997013631" TargetMode="External"/><Relationship Id="rId92" Type="http://schemas.openxmlformats.org/officeDocument/2006/relationships/hyperlink" Target="https://podminky.urs.cz/item/CS_URS_2022_02/762342214" TargetMode="External"/><Relationship Id="rId162" Type="http://schemas.openxmlformats.org/officeDocument/2006/relationships/hyperlink" Target="https://podminky.urs.cz/item/CS_URS_2022_02/998767203" TargetMode="External"/><Relationship Id="rId183" Type="http://schemas.openxmlformats.org/officeDocument/2006/relationships/hyperlink" Target="https://podminky.urs.cz/item/CS_URS_2022_02/776141113" TargetMode="External"/><Relationship Id="rId213" Type="http://schemas.openxmlformats.org/officeDocument/2006/relationships/hyperlink" Target="https://podminky.urs.cz/item/CS_URS_2022_02/HZS1442" TargetMode="External"/><Relationship Id="rId2" Type="http://schemas.openxmlformats.org/officeDocument/2006/relationships/hyperlink" Target="https://podminky.urs.cz/item/CS_URS_2022_02/273321511" TargetMode="External"/><Relationship Id="rId29" Type="http://schemas.openxmlformats.org/officeDocument/2006/relationships/hyperlink" Target="https://podminky.urs.cz/item/CS_URS_2022_02/596211110" TargetMode="External"/><Relationship Id="rId24" Type="http://schemas.openxmlformats.org/officeDocument/2006/relationships/hyperlink" Target="https://podminky.urs.cz/item/CS_URS_2022_02/430321212" TargetMode="External"/><Relationship Id="rId40" Type="http://schemas.openxmlformats.org/officeDocument/2006/relationships/hyperlink" Target="https://podminky.urs.cz/item/CS_URS_2022_02/622221021" TargetMode="External"/><Relationship Id="rId45" Type="http://schemas.openxmlformats.org/officeDocument/2006/relationships/hyperlink" Target="https://podminky.urs.cz/item/CS_URS_2022_02/622521012" TargetMode="External"/><Relationship Id="rId66" Type="http://schemas.openxmlformats.org/officeDocument/2006/relationships/hyperlink" Target="https://podminky.urs.cz/item/CS_URS_2022_02/953965133" TargetMode="External"/><Relationship Id="rId87" Type="http://schemas.openxmlformats.org/officeDocument/2006/relationships/hyperlink" Target="https://podminky.urs.cz/item/CS_URS_2022_02/762332544" TargetMode="External"/><Relationship Id="rId110" Type="http://schemas.openxmlformats.org/officeDocument/2006/relationships/hyperlink" Target="https://podminky.urs.cz/item/CS_URS_2022_02/763158118" TargetMode="External"/><Relationship Id="rId115" Type="http://schemas.openxmlformats.org/officeDocument/2006/relationships/hyperlink" Target="https://podminky.urs.cz/item/CS_URS_2022_02/763782213" TargetMode="External"/><Relationship Id="rId131" Type="http://schemas.openxmlformats.org/officeDocument/2006/relationships/hyperlink" Target="https://podminky.urs.cz/item/CS_URS_2022_02/998764203" TargetMode="External"/><Relationship Id="rId136" Type="http://schemas.openxmlformats.org/officeDocument/2006/relationships/hyperlink" Target="https://podminky.urs.cz/item/CS_URS_2022_02/765111404" TargetMode="External"/><Relationship Id="rId157" Type="http://schemas.openxmlformats.org/officeDocument/2006/relationships/hyperlink" Target="https://podminky.urs.cz/item/CS_URS_2022_02/767610128" TargetMode="External"/><Relationship Id="rId178" Type="http://schemas.openxmlformats.org/officeDocument/2006/relationships/hyperlink" Target="https://podminky.urs.cz/item/CS_URS_2022_02/771591264" TargetMode="External"/><Relationship Id="rId61" Type="http://schemas.openxmlformats.org/officeDocument/2006/relationships/hyperlink" Target="https://podminky.urs.cz/item/CS_URS_2022_02/945421112" TargetMode="External"/><Relationship Id="rId82" Type="http://schemas.openxmlformats.org/officeDocument/2006/relationships/hyperlink" Target="https://podminky.urs.cz/item/CS_URS_2022_02/998713203" TargetMode="External"/><Relationship Id="rId152" Type="http://schemas.openxmlformats.org/officeDocument/2006/relationships/hyperlink" Target="https://podminky.urs.cz/item/CS_URS_2022_02/766671026" TargetMode="External"/><Relationship Id="rId173" Type="http://schemas.openxmlformats.org/officeDocument/2006/relationships/hyperlink" Target="https://podminky.urs.cz/item/CS_URS_2022_02/771591112" TargetMode="External"/><Relationship Id="rId194" Type="http://schemas.openxmlformats.org/officeDocument/2006/relationships/hyperlink" Target="https://podminky.urs.cz/item/CS_URS_2022_02/781111011" TargetMode="External"/><Relationship Id="rId199" Type="http://schemas.openxmlformats.org/officeDocument/2006/relationships/hyperlink" Target="https://podminky.urs.cz/item/CS_URS_2022_02/781495115" TargetMode="External"/><Relationship Id="rId203" Type="http://schemas.openxmlformats.org/officeDocument/2006/relationships/hyperlink" Target="https://podminky.urs.cz/item/CS_URS_2022_02/998782201" TargetMode="External"/><Relationship Id="rId208" Type="http://schemas.openxmlformats.org/officeDocument/2006/relationships/hyperlink" Target="https://podminky.urs.cz/item/CS_URS_2022_02/784181101" TargetMode="External"/><Relationship Id="rId19" Type="http://schemas.openxmlformats.org/officeDocument/2006/relationships/hyperlink" Target="https://podminky.urs.cz/item/CS_URS_2022_02/411121232" TargetMode="External"/><Relationship Id="rId14" Type="http://schemas.openxmlformats.org/officeDocument/2006/relationships/hyperlink" Target="https://podminky.urs.cz/item/CS_URS_2022_02/317168052" TargetMode="External"/><Relationship Id="rId30" Type="http://schemas.openxmlformats.org/officeDocument/2006/relationships/hyperlink" Target="https://podminky.urs.cz/item/CS_URS_2022_02/612131121" TargetMode="External"/><Relationship Id="rId35" Type="http://schemas.openxmlformats.org/officeDocument/2006/relationships/hyperlink" Target="https://podminky.urs.cz/item/CS_URS_2022_02/619996145" TargetMode="External"/><Relationship Id="rId56" Type="http://schemas.openxmlformats.org/officeDocument/2006/relationships/hyperlink" Target="https://podminky.urs.cz/item/CS_URS_2022_02/941211811" TargetMode="External"/><Relationship Id="rId77" Type="http://schemas.openxmlformats.org/officeDocument/2006/relationships/hyperlink" Target="https://podminky.urs.cz/item/CS_URS_2022_02/713121121" TargetMode="External"/><Relationship Id="rId100" Type="http://schemas.openxmlformats.org/officeDocument/2006/relationships/hyperlink" Target="https://podminky.urs.cz/item/CS_URS_2022_02/998762203" TargetMode="External"/><Relationship Id="rId105" Type="http://schemas.openxmlformats.org/officeDocument/2006/relationships/hyperlink" Target="https://podminky.urs.cz/item/CS_URS_2022_02/763121422" TargetMode="External"/><Relationship Id="rId126" Type="http://schemas.openxmlformats.org/officeDocument/2006/relationships/hyperlink" Target="https://podminky.urs.cz/item/CS_URS_2022_02/764331413" TargetMode="External"/><Relationship Id="rId147" Type="http://schemas.openxmlformats.org/officeDocument/2006/relationships/hyperlink" Target="https://podminky.urs.cz/item/CS_URS_2022_02/765191071" TargetMode="External"/><Relationship Id="rId168" Type="http://schemas.openxmlformats.org/officeDocument/2006/relationships/hyperlink" Target="https://podminky.urs.cz/item/CS_URS_2022_02/771274123" TargetMode="External"/><Relationship Id="rId8" Type="http://schemas.openxmlformats.org/officeDocument/2006/relationships/hyperlink" Target="https://podminky.urs.cz/item/CS_URS_2022_02/274351122" TargetMode="External"/><Relationship Id="rId51" Type="http://schemas.openxmlformats.org/officeDocument/2006/relationships/hyperlink" Target="https://podminky.urs.cz/item/CS_URS_2022_02/631362021" TargetMode="External"/><Relationship Id="rId72" Type="http://schemas.openxmlformats.org/officeDocument/2006/relationships/hyperlink" Target="https://podminky.urs.cz/item/CS_URS_2022_02/998017003" TargetMode="External"/><Relationship Id="rId93" Type="http://schemas.openxmlformats.org/officeDocument/2006/relationships/hyperlink" Target="https://podminky.urs.cz/item/CS_URS_2022_02/762342511" TargetMode="External"/><Relationship Id="rId98" Type="http://schemas.openxmlformats.org/officeDocument/2006/relationships/hyperlink" Target="https://podminky.urs.cz/item/CS_URS_2022_02/762512261" TargetMode="External"/><Relationship Id="rId121" Type="http://schemas.openxmlformats.org/officeDocument/2006/relationships/hyperlink" Target="https://podminky.urs.cz/item/CS_URS_2022_02/764232403" TargetMode="External"/><Relationship Id="rId142" Type="http://schemas.openxmlformats.org/officeDocument/2006/relationships/hyperlink" Target="https://podminky.urs.cz/item/CS_URS_2022_02/765115421" TargetMode="External"/><Relationship Id="rId163" Type="http://schemas.openxmlformats.org/officeDocument/2006/relationships/hyperlink" Target="https://podminky.urs.cz/item/CS_URS_2022_02/771111011" TargetMode="External"/><Relationship Id="rId184" Type="http://schemas.openxmlformats.org/officeDocument/2006/relationships/hyperlink" Target="https://podminky.urs.cz/item/CS_URS_2022_02/776221111" TargetMode="External"/><Relationship Id="rId189" Type="http://schemas.openxmlformats.org/officeDocument/2006/relationships/hyperlink" Target="https://podminky.urs.cz/item/CS_URS_2022_02/777131101" TargetMode="External"/><Relationship Id="rId3" Type="http://schemas.openxmlformats.org/officeDocument/2006/relationships/hyperlink" Target="https://podminky.urs.cz/item/CS_URS_2022_02/273351121" TargetMode="External"/><Relationship Id="rId214" Type="http://schemas.openxmlformats.org/officeDocument/2006/relationships/drawing" Target="../drawings/drawing3.xml"/><Relationship Id="rId25" Type="http://schemas.openxmlformats.org/officeDocument/2006/relationships/hyperlink" Target="https://podminky.urs.cz/item/CS_URS_2022_02/430361821" TargetMode="External"/><Relationship Id="rId46" Type="http://schemas.openxmlformats.org/officeDocument/2006/relationships/hyperlink" Target="https://podminky.urs.cz/item/CS_URS_2022_02/629991011" TargetMode="External"/><Relationship Id="rId67" Type="http://schemas.openxmlformats.org/officeDocument/2006/relationships/hyperlink" Target="https://podminky.urs.cz/item/CS_URS_2022_02/973031325" TargetMode="External"/><Relationship Id="rId116" Type="http://schemas.openxmlformats.org/officeDocument/2006/relationships/hyperlink" Target="https://podminky.urs.cz/item/CS_URS_2022_02/998763403" TargetMode="External"/><Relationship Id="rId137" Type="http://schemas.openxmlformats.org/officeDocument/2006/relationships/hyperlink" Target="https://podminky.urs.cz/item/CS_URS_2022_02/765111503" TargetMode="External"/><Relationship Id="rId158" Type="http://schemas.openxmlformats.org/officeDocument/2006/relationships/hyperlink" Target="https://podminky.urs.cz/item/CS_URS_2022_02/767627306" TargetMode="External"/><Relationship Id="rId20" Type="http://schemas.openxmlformats.org/officeDocument/2006/relationships/hyperlink" Target="https://podminky.urs.cz/item/CS_URS_2022_02/417321515" TargetMode="External"/><Relationship Id="rId41" Type="http://schemas.openxmlformats.org/officeDocument/2006/relationships/hyperlink" Target="https://podminky.urs.cz/item/CS_URS_2022_02/622212051" TargetMode="External"/><Relationship Id="rId62" Type="http://schemas.openxmlformats.org/officeDocument/2006/relationships/hyperlink" Target="https://podminky.urs.cz/item/CS_URS_2022_02/949101112" TargetMode="External"/><Relationship Id="rId83" Type="http://schemas.openxmlformats.org/officeDocument/2006/relationships/hyperlink" Target="https://podminky.urs.cz/item/CS_URS_2022_02/762081150" TargetMode="External"/><Relationship Id="rId88" Type="http://schemas.openxmlformats.org/officeDocument/2006/relationships/hyperlink" Target="https://podminky.urs.cz/item/CS_URS_2022_02/762332641" TargetMode="External"/><Relationship Id="rId111" Type="http://schemas.openxmlformats.org/officeDocument/2006/relationships/hyperlink" Target="https://podminky.urs.cz/item/CS_URS_2022_02/763161751" TargetMode="External"/><Relationship Id="rId132" Type="http://schemas.openxmlformats.org/officeDocument/2006/relationships/hyperlink" Target="https://podminky.urs.cz/item/CS_URS_2022_02/765111015" TargetMode="External"/><Relationship Id="rId153" Type="http://schemas.openxmlformats.org/officeDocument/2006/relationships/hyperlink" Target="https://podminky.urs.cz/item/CS_URS_2022_02/766694112" TargetMode="External"/><Relationship Id="rId174" Type="http://schemas.openxmlformats.org/officeDocument/2006/relationships/hyperlink" Target="https://podminky.urs.cz/item/CS_URS_2022_02/771591115" TargetMode="External"/><Relationship Id="rId179" Type="http://schemas.openxmlformats.org/officeDocument/2006/relationships/hyperlink" Target="https://podminky.urs.cz/item/CS_URS_2022_02/771592011" TargetMode="External"/><Relationship Id="rId195" Type="http://schemas.openxmlformats.org/officeDocument/2006/relationships/hyperlink" Target="https://podminky.urs.cz/item/CS_URS_2022_02/781121011" TargetMode="External"/><Relationship Id="rId209" Type="http://schemas.openxmlformats.org/officeDocument/2006/relationships/hyperlink" Target="https://podminky.urs.cz/item/CS_URS_2022_02/784211101" TargetMode="External"/><Relationship Id="rId190" Type="http://schemas.openxmlformats.org/officeDocument/2006/relationships/hyperlink" Target="https://podminky.urs.cz/item/CS_URS_2022_02/777511103" TargetMode="External"/><Relationship Id="rId204" Type="http://schemas.openxmlformats.org/officeDocument/2006/relationships/hyperlink" Target="https://podminky.urs.cz/item/CS_URS_2022_02/783301313" TargetMode="External"/><Relationship Id="rId15" Type="http://schemas.openxmlformats.org/officeDocument/2006/relationships/hyperlink" Target="https://podminky.urs.cz/item/CS_URS_2022_02/317168053" TargetMode="External"/><Relationship Id="rId36" Type="http://schemas.openxmlformats.org/officeDocument/2006/relationships/hyperlink" Target="https://podminky.urs.cz/item/CS_URS_2022_02/621211012" TargetMode="External"/><Relationship Id="rId57" Type="http://schemas.openxmlformats.org/officeDocument/2006/relationships/hyperlink" Target="https://podminky.urs.cz/item/CS_URS_2022_02/941211812" TargetMode="External"/><Relationship Id="rId106" Type="http://schemas.openxmlformats.org/officeDocument/2006/relationships/hyperlink" Target="https://podminky.urs.cz/item/CS_URS_2022_02/763131431" TargetMode="External"/><Relationship Id="rId127" Type="http://schemas.openxmlformats.org/officeDocument/2006/relationships/hyperlink" Target="https://podminky.urs.cz/item/CS_URS_2022_02/764531404" TargetMode="External"/><Relationship Id="rId10" Type="http://schemas.openxmlformats.org/officeDocument/2006/relationships/hyperlink" Target="https://podminky.urs.cz/item/CS_URS_2022_02/311234051" TargetMode="External"/><Relationship Id="rId31" Type="http://schemas.openxmlformats.org/officeDocument/2006/relationships/hyperlink" Target="https://podminky.urs.cz/item/CS_URS_2022_02/612321141" TargetMode="External"/><Relationship Id="rId52" Type="http://schemas.openxmlformats.org/officeDocument/2006/relationships/hyperlink" Target="https://podminky.urs.cz/item/CS_URS_2022_02/634112113" TargetMode="External"/><Relationship Id="rId73" Type="http://schemas.openxmlformats.org/officeDocument/2006/relationships/hyperlink" Target="https://podminky.urs.cz/item/CS_URS_2022_02/711111002" TargetMode="External"/><Relationship Id="rId78" Type="http://schemas.openxmlformats.org/officeDocument/2006/relationships/hyperlink" Target="https://podminky.urs.cz/item/CS_URS_2022_02/713121122" TargetMode="External"/><Relationship Id="rId94" Type="http://schemas.openxmlformats.org/officeDocument/2006/relationships/hyperlink" Target="https://podminky.urs.cz/item/CS_URS_2022_02/762395000" TargetMode="External"/><Relationship Id="rId99" Type="http://schemas.openxmlformats.org/officeDocument/2006/relationships/hyperlink" Target="https://podminky.urs.cz/item/CS_URS_2022_02/762595001" TargetMode="External"/><Relationship Id="rId101" Type="http://schemas.openxmlformats.org/officeDocument/2006/relationships/hyperlink" Target="https://podminky.urs.cz/item/CS_URS_2022_02/763111314" TargetMode="External"/><Relationship Id="rId122" Type="http://schemas.openxmlformats.org/officeDocument/2006/relationships/hyperlink" Target="https://podminky.urs.cz/item/CS_URS_2022_02/764232437" TargetMode="External"/><Relationship Id="rId143" Type="http://schemas.openxmlformats.org/officeDocument/2006/relationships/hyperlink" Target="https://podminky.urs.cz/item/CS_URS_2022_02/765191001" TargetMode="External"/><Relationship Id="rId148" Type="http://schemas.openxmlformats.org/officeDocument/2006/relationships/hyperlink" Target="https://podminky.urs.cz/item/CS_URS_2022_02/765191091" TargetMode="External"/><Relationship Id="rId164" Type="http://schemas.openxmlformats.org/officeDocument/2006/relationships/hyperlink" Target="https://podminky.urs.cz/item/CS_URS_2022_02/771111012" TargetMode="External"/><Relationship Id="rId169" Type="http://schemas.openxmlformats.org/officeDocument/2006/relationships/hyperlink" Target="https://podminky.urs.cz/item/CS_URS_2022_02/771274232" TargetMode="External"/><Relationship Id="rId185" Type="http://schemas.openxmlformats.org/officeDocument/2006/relationships/hyperlink" Target="https://podminky.urs.cz/item/CS_URS_2022_02/776411111" TargetMode="External"/><Relationship Id="rId4" Type="http://schemas.openxmlformats.org/officeDocument/2006/relationships/hyperlink" Target="https://podminky.urs.cz/item/CS_URS_2022_02/273351122" TargetMode="External"/><Relationship Id="rId9" Type="http://schemas.openxmlformats.org/officeDocument/2006/relationships/hyperlink" Target="https://podminky.urs.cz/item/CS_URS_2022_02/274361821" TargetMode="External"/><Relationship Id="rId180" Type="http://schemas.openxmlformats.org/officeDocument/2006/relationships/hyperlink" Target="https://podminky.urs.cz/item/CS_URS_2022_02/998771203" TargetMode="External"/><Relationship Id="rId210" Type="http://schemas.openxmlformats.org/officeDocument/2006/relationships/hyperlink" Target="https://podminky.urs.cz/item/CS_URS_2022_02/786623111" TargetMode="External"/><Relationship Id="rId26" Type="http://schemas.openxmlformats.org/officeDocument/2006/relationships/hyperlink" Target="https://podminky.urs.cz/item/CS_URS_2022_02/434351141" TargetMode="External"/><Relationship Id="rId47" Type="http://schemas.openxmlformats.org/officeDocument/2006/relationships/hyperlink" Target="https://podminky.urs.cz/item/CS_URS_2022_02/631311113" TargetMode="External"/><Relationship Id="rId68" Type="http://schemas.openxmlformats.org/officeDocument/2006/relationships/hyperlink" Target="https://podminky.urs.cz/item/CS_URS_2022_02/997013154" TargetMode="External"/><Relationship Id="rId89" Type="http://schemas.openxmlformats.org/officeDocument/2006/relationships/hyperlink" Target="https://podminky.urs.cz/item/CS_URS_2022_02/762332645" TargetMode="External"/><Relationship Id="rId112" Type="http://schemas.openxmlformats.org/officeDocument/2006/relationships/hyperlink" Target="https://podminky.urs.cz/item/CS_URS_2022_02/763181311" TargetMode="External"/><Relationship Id="rId133" Type="http://schemas.openxmlformats.org/officeDocument/2006/relationships/hyperlink" Target="https://podminky.urs.cz/item/CS_URS_2022_02/765111201" TargetMode="External"/><Relationship Id="rId154" Type="http://schemas.openxmlformats.org/officeDocument/2006/relationships/hyperlink" Target="https://podminky.urs.cz/item/CS_URS_2022_02/766694113" TargetMode="External"/><Relationship Id="rId175" Type="http://schemas.openxmlformats.org/officeDocument/2006/relationships/hyperlink" Target="https://podminky.urs.cz/item/CS_URS_2022_02/771591117" TargetMode="External"/><Relationship Id="rId196" Type="http://schemas.openxmlformats.org/officeDocument/2006/relationships/hyperlink" Target="https://podminky.urs.cz/item/CS_URS_2022_02/781474112" TargetMode="External"/><Relationship Id="rId200" Type="http://schemas.openxmlformats.org/officeDocument/2006/relationships/hyperlink" Target="https://podminky.urs.cz/item/CS_URS_2022_02/781495211" TargetMode="External"/><Relationship Id="rId16" Type="http://schemas.openxmlformats.org/officeDocument/2006/relationships/hyperlink" Target="https://podminky.urs.cz/item/CS_URS_2022_02/31716805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13284000" TargetMode="External"/><Relationship Id="rId13" Type="http://schemas.openxmlformats.org/officeDocument/2006/relationships/hyperlink" Target="https://podminky.urs.cz/item/CS_URS_2022_02/065002000" TargetMode="External"/><Relationship Id="rId3" Type="http://schemas.openxmlformats.org/officeDocument/2006/relationships/hyperlink" Target="https://podminky.urs.cz/item/CS_URS_2022_02/013124000" TargetMode="External"/><Relationship Id="rId7" Type="http://schemas.openxmlformats.org/officeDocument/2006/relationships/hyperlink" Target="https://podminky.urs.cz/item/CS_URS_2022_02/013274000" TargetMode="External"/><Relationship Id="rId12" Type="http://schemas.openxmlformats.org/officeDocument/2006/relationships/hyperlink" Target="https://podminky.urs.cz/item/CS_URS_2022_02/052103000" TargetMode="External"/><Relationship Id="rId2" Type="http://schemas.openxmlformats.org/officeDocument/2006/relationships/hyperlink" Target="https://podminky.urs.cz/item/CS_URS_2022_02/011503000" TargetMode="External"/><Relationship Id="rId1" Type="http://schemas.openxmlformats.org/officeDocument/2006/relationships/hyperlink" Target="https://podminky.urs.cz/item/CS_URS_2022_02/011434000" TargetMode="External"/><Relationship Id="rId6" Type="http://schemas.openxmlformats.org/officeDocument/2006/relationships/hyperlink" Target="https://podminky.urs.cz/item/CS_URS_2022_02/013254000" TargetMode="External"/><Relationship Id="rId11" Type="http://schemas.openxmlformats.org/officeDocument/2006/relationships/hyperlink" Target="https://podminky.urs.cz/item/CS_URS_2022_02/035002000" TargetMode="External"/><Relationship Id="rId5" Type="http://schemas.openxmlformats.org/officeDocument/2006/relationships/hyperlink" Target="https://podminky.urs.cz/item/CS_URS_2022_02/013244000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podminky.urs.cz/item/CS_URS_2022_02/033002000" TargetMode="External"/><Relationship Id="rId4" Type="http://schemas.openxmlformats.org/officeDocument/2006/relationships/hyperlink" Target="https://podminky.urs.cz/item/CS_URS_2022_02/013194000" TargetMode="External"/><Relationship Id="rId9" Type="http://schemas.openxmlformats.org/officeDocument/2006/relationships/hyperlink" Target="https://podminky.urs.cz/item/CS_URS_2022_02/030001000" TargetMode="External"/><Relationship Id="rId14" Type="http://schemas.openxmlformats.org/officeDocument/2006/relationships/hyperlink" Target="https://podminky.urs.cz/item/CS_URS_2022_02/094104000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7" customHeight="1"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9" t="s">
        <v>14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23"/>
      <c r="AQ5" s="23"/>
      <c r="AR5" s="21"/>
      <c r="BE5" s="326" t="s">
        <v>15</v>
      </c>
      <c r="BS5" s="18" t="s">
        <v>6</v>
      </c>
    </row>
    <row r="6" spans="1:74" s="1" customFormat="1" ht="37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1" t="s">
        <v>17</v>
      </c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23"/>
      <c r="AQ6" s="23"/>
      <c r="AR6" s="21"/>
      <c r="BE6" s="32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7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27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7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7"/>
      <c r="BS10" s="18" t="s">
        <v>6</v>
      </c>
    </row>
    <row r="11" spans="1:74" s="1" customFormat="1" ht="18.5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7"/>
      <c r="BS11" s="18" t="s">
        <v>6</v>
      </c>
    </row>
    <row r="12" spans="1:74" s="1" customFormat="1" ht="7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7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27"/>
      <c r="BS13" s="18" t="s">
        <v>6</v>
      </c>
    </row>
    <row r="14" spans="1:74" ht="12.5">
      <c r="B14" s="22"/>
      <c r="C14" s="23"/>
      <c r="D14" s="23"/>
      <c r="E14" s="332" t="s">
        <v>30</v>
      </c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27"/>
      <c r="BS14" s="18" t="s">
        <v>6</v>
      </c>
    </row>
    <row r="15" spans="1:74" s="1" customFormat="1" ht="7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7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27"/>
      <c r="BS16" s="18" t="s">
        <v>4</v>
      </c>
    </row>
    <row r="17" spans="1:71" s="1" customFormat="1" ht="18.5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7"/>
      <c r="BS17" s="18" t="s">
        <v>34</v>
      </c>
    </row>
    <row r="18" spans="1:71" s="1" customFormat="1" ht="7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7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7"/>
      <c r="BS19" s="18" t="s">
        <v>6</v>
      </c>
    </row>
    <row r="20" spans="1:71" s="1" customFormat="1" ht="18.5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7"/>
      <c r="BS20" s="18" t="s">
        <v>4</v>
      </c>
    </row>
    <row r="21" spans="1:71" s="1" customFormat="1" ht="7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7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7"/>
    </row>
    <row r="23" spans="1:71" s="1" customFormat="1" ht="47.25" customHeight="1">
      <c r="B23" s="22"/>
      <c r="C23" s="23"/>
      <c r="D23" s="23"/>
      <c r="E23" s="334" t="s">
        <v>37</v>
      </c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23"/>
      <c r="AP23" s="23"/>
      <c r="AQ23" s="23"/>
      <c r="AR23" s="21"/>
      <c r="BE23" s="327"/>
    </row>
    <row r="24" spans="1:71" s="1" customFormat="1" ht="7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7"/>
    </row>
    <row r="25" spans="1:71" s="1" customFormat="1" ht="7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7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5">
        <f>ROUND(AG54,2)</f>
        <v>0</v>
      </c>
      <c r="AL26" s="336"/>
      <c r="AM26" s="336"/>
      <c r="AN26" s="336"/>
      <c r="AO26" s="336"/>
      <c r="AP26" s="37"/>
      <c r="AQ26" s="37"/>
      <c r="AR26" s="40"/>
      <c r="BE26" s="327"/>
    </row>
    <row r="27" spans="1:71" s="2" customFormat="1" ht="7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7"/>
    </row>
    <row r="28" spans="1:71" s="2" customFormat="1" ht="12.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7" t="s">
        <v>39</v>
      </c>
      <c r="M28" s="337"/>
      <c r="N28" s="337"/>
      <c r="O28" s="337"/>
      <c r="P28" s="337"/>
      <c r="Q28" s="37"/>
      <c r="R28" s="37"/>
      <c r="S28" s="37"/>
      <c r="T28" s="37"/>
      <c r="U28" s="37"/>
      <c r="V28" s="37"/>
      <c r="W28" s="337" t="s">
        <v>40</v>
      </c>
      <c r="X28" s="337"/>
      <c r="Y28" s="337"/>
      <c r="Z28" s="337"/>
      <c r="AA28" s="337"/>
      <c r="AB28" s="337"/>
      <c r="AC28" s="337"/>
      <c r="AD28" s="337"/>
      <c r="AE28" s="337"/>
      <c r="AF28" s="37"/>
      <c r="AG28" s="37"/>
      <c r="AH28" s="37"/>
      <c r="AI28" s="37"/>
      <c r="AJ28" s="37"/>
      <c r="AK28" s="337" t="s">
        <v>41</v>
      </c>
      <c r="AL28" s="337"/>
      <c r="AM28" s="337"/>
      <c r="AN28" s="337"/>
      <c r="AO28" s="337"/>
      <c r="AP28" s="37"/>
      <c r="AQ28" s="37"/>
      <c r="AR28" s="40"/>
      <c r="BE28" s="327"/>
    </row>
    <row r="29" spans="1:71" s="3" customFormat="1" ht="14.4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40">
        <v>0.21</v>
      </c>
      <c r="M29" s="339"/>
      <c r="N29" s="339"/>
      <c r="O29" s="339"/>
      <c r="P29" s="339"/>
      <c r="Q29" s="42"/>
      <c r="R29" s="42"/>
      <c r="S29" s="42"/>
      <c r="T29" s="42"/>
      <c r="U29" s="42"/>
      <c r="V29" s="42"/>
      <c r="W29" s="338">
        <f>ROUND(AZ54, 2)</f>
        <v>0</v>
      </c>
      <c r="X29" s="339"/>
      <c r="Y29" s="339"/>
      <c r="Z29" s="339"/>
      <c r="AA29" s="339"/>
      <c r="AB29" s="339"/>
      <c r="AC29" s="339"/>
      <c r="AD29" s="339"/>
      <c r="AE29" s="339"/>
      <c r="AF29" s="42"/>
      <c r="AG29" s="42"/>
      <c r="AH29" s="42"/>
      <c r="AI29" s="42"/>
      <c r="AJ29" s="42"/>
      <c r="AK29" s="338">
        <f>ROUND(AV54, 2)</f>
        <v>0</v>
      </c>
      <c r="AL29" s="339"/>
      <c r="AM29" s="339"/>
      <c r="AN29" s="339"/>
      <c r="AO29" s="339"/>
      <c r="AP29" s="42"/>
      <c r="AQ29" s="42"/>
      <c r="AR29" s="43"/>
      <c r="BE29" s="328"/>
    </row>
    <row r="30" spans="1:71" s="3" customFormat="1" ht="14.4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40">
        <v>0.15</v>
      </c>
      <c r="M30" s="339"/>
      <c r="N30" s="339"/>
      <c r="O30" s="339"/>
      <c r="P30" s="339"/>
      <c r="Q30" s="42"/>
      <c r="R30" s="42"/>
      <c r="S30" s="42"/>
      <c r="T30" s="42"/>
      <c r="U30" s="42"/>
      <c r="V30" s="42"/>
      <c r="W30" s="338">
        <f>ROUND(BA54, 2)</f>
        <v>0</v>
      </c>
      <c r="X30" s="339"/>
      <c r="Y30" s="339"/>
      <c r="Z30" s="339"/>
      <c r="AA30" s="339"/>
      <c r="AB30" s="339"/>
      <c r="AC30" s="339"/>
      <c r="AD30" s="339"/>
      <c r="AE30" s="339"/>
      <c r="AF30" s="42"/>
      <c r="AG30" s="42"/>
      <c r="AH30" s="42"/>
      <c r="AI30" s="42"/>
      <c r="AJ30" s="42"/>
      <c r="AK30" s="338">
        <f>ROUND(AW54, 2)</f>
        <v>0</v>
      </c>
      <c r="AL30" s="339"/>
      <c r="AM30" s="339"/>
      <c r="AN30" s="339"/>
      <c r="AO30" s="339"/>
      <c r="AP30" s="42"/>
      <c r="AQ30" s="42"/>
      <c r="AR30" s="43"/>
      <c r="BE30" s="328"/>
    </row>
    <row r="31" spans="1:71" s="3" customFormat="1" ht="14.4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40">
        <v>0.21</v>
      </c>
      <c r="M31" s="339"/>
      <c r="N31" s="339"/>
      <c r="O31" s="339"/>
      <c r="P31" s="339"/>
      <c r="Q31" s="42"/>
      <c r="R31" s="42"/>
      <c r="S31" s="42"/>
      <c r="T31" s="42"/>
      <c r="U31" s="42"/>
      <c r="V31" s="42"/>
      <c r="W31" s="338">
        <f>ROUND(BB54, 2)</f>
        <v>0</v>
      </c>
      <c r="X31" s="339"/>
      <c r="Y31" s="339"/>
      <c r="Z31" s="339"/>
      <c r="AA31" s="339"/>
      <c r="AB31" s="339"/>
      <c r="AC31" s="339"/>
      <c r="AD31" s="339"/>
      <c r="AE31" s="339"/>
      <c r="AF31" s="42"/>
      <c r="AG31" s="42"/>
      <c r="AH31" s="42"/>
      <c r="AI31" s="42"/>
      <c r="AJ31" s="42"/>
      <c r="AK31" s="338">
        <v>0</v>
      </c>
      <c r="AL31" s="339"/>
      <c r="AM31" s="339"/>
      <c r="AN31" s="339"/>
      <c r="AO31" s="339"/>
      <c r="AP31" s="42"/>
      <c r="AQ31" s="42"/>
      <c r="AR31" s="43"/>
      <c r="BE31" s="328"/>
    </row>
    <row r="32" spans="1:71" s="3" customFormat="1" ht="14.4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40">
        <v>0.15</v>
      </c>
      <c r="M32" s="339"/>
      <c r="N32" s="339"/>
      <c r="O32" s="339"/>
      <c r="P32" s="339"/>
      <c r="Q32" s="42"/>
      <c r="R32" s="42"/>
      <c r="S32" s="42"/>
      <c r="T32" s="42"/>
      <c r="U32" s="42"/>
      <c r="V32" s="42"/>
      <c r="W32" s="338">
        <f>ROUND(BC54, 2)</f>
        <v>0</v>
      </c>
      <c r="X32" s="339"/>
      <c r="Y32" s="339"/>
      <c r="Z32" s="339"/>
      <c r="AA32" s="339"/>
      <c r="AB32" s="339"/>
      <c r="AC32" s="339"/>
      <c r="AD32" s="339"/>
      <c r="AE32" s="339"/>
      <c r="AF32" s="42"/>
      <c r="AG32" s="42"/>
      <c r="AH32" s="42"/>
      <c r="AI32" s="42"/>
      <c r="AJ32" s="42"/>
      <c r="AK32" s="338">
        <v>0</v>
      </c>
      <c r="AL32" s="339"/>
      <c r="AM32" s="339"/>
      <c r="AN32" s="339"/>
      <c r="AO32" s="339"/>
      <c r="AP32" s="42"/>
      <c r="AQ32" s="42"/>
      <c r="AR32" s="43"/>
      <c r="BE32" s="328"/>
    </row>
    <row r="33" spans="1:57" s="3" customFormat="1" ht="14.4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40">
        <v>0</v>
      </c>
      <c r="M33" s="339"/>
      <c r="N33" s="339"/>
      <c r="O33" s="339"/>
      <c r="P33" s="339"/>
      <c r="Q33" s="42"/>
      <c r="R33" s="42"/>
      <c r="S33" s="42"/>
      <c r="T33" s="42"/>
      <c r="U33" s="42"/>
      <c r="V33" s="42"/>
      <c r="W33" s="338">
        <f>ROUND(BD54, 2)</f>
        <v>0</v>
      </c>
      <c r="X33" s="339"/>
      <c r="Y33" s="339"/>
      <c r="Z33" s="339"/>
      <c r="AA33" s="339"/>
      <c r="AB33" s="339"/>
      <c r="AC33" s="339"/>
      <c r="AD33" s="339"/>
      <c r="AE33" s="339"/>
      <c r="AF33" s="42"/>
      <c r="AG33" s="42"/>
      <c r="AH33" s="42"/>
      <c r="AI33" s="42"/>
      <c r="AJ33" s="42"/>
      <c r="AK33" s="338">
        <v>0</v>
      </c>
      <c r="AL33" s="339"/>
      <c r="AM33" s="339"/>
      <c r="AN33" s="339"/>
      <c r="AO33" s="339"/>
      <c r="AP33" s="42"/>
      <c r="AQ33" s="42"/>
      <c r="AR33" s="43"/>
    </row>
    <row r="34" spans="1:57" s="2" customFormat="1" ht="7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41" t="s">
        <v>50</v>
      </c>
      <c r="Y35" s="342"/>
      <c r="Z35" s="342"/>
      <c r="AA35" s="342"/>
      <c r="AB35" s="342"/>
      <c r="AC35" s="46"/>
      <c r="AD35" s="46"/>
      <c r="AE35" s="46"/>
      <c r="AF35" s="46"/>
      <c r="AG35" s="46"/>
      <c r="AH35" s="46"/>
      <c r="AI35" s="46"/>
      <c r="AJ35" s="46"/>
      <c r="AK35" s="343">
        <f>SUM(AK26:AK33)</f>
        <v>0</v>
      </c>
      <c r="AL35" s="342"/>
      <c r="AM35" s="342"/>
      <c r="AN35" s="342"/>
      <c r="AO35" s="344"/>
      <c r="AP35" s="44"/>
      <c r="AQ35" s="44"/>
      <c r="AR35" s="40"/>
      <c r="BE35" s="35"/>
    </row>
    <row r="36" spans="1:57" s="2" customFormat="1" ht="7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7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7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7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22/393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7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5" t="str">
        <f>K6</f>
        <v>gymnáziu Hostivice - rekonstrukce gymnázia II.etapa</v>
      </c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57"/>
      <c r="AQ45" s="57"/>
      <c r="AR45" s="58"/>
    </row>
    <row r="46" spans="1:57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Gymnázium Hostivice, Komenského 141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7" t="str">
        <f>IF(AN8= "","",AN8)</f>
        <v>9. 12. 2022</v>
      </c>
      <c r="AN47" s="347"/>
      <c r="AO47" s="37"/>
      <c r="AP47" s="37"/>
      <c r="AQ47" s="37"/>
      <c r="AR47" s="40"/>
      <c r="BE47" s="35"/>
    </row>
    <row r="48" spans="1:57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15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Středočeský kraj, Zborovská 81/11, Praha 5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48" t="str">
        <f>IF(E17="","",E17)</f>
        <v>Ing. Petr Petele</v>
      </c>
      <c r="AN49" s="349"/>
      <c r="AO49" s="349"/>
      <c r="AP49" s="349"/>
      <c r="AQ49" s="37"/>
      <c r="AR49" s="40"/>
      <c r="AS49" s="350" t="s">
        <v>52</v>
      </c>
      <c r="AT49" s="351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15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48" t="str">
        <f>IF(E20="","",E20)</f>
        <v>Ing. Petr Petele</v>
      </c>
      <c r="AN50" s="349"/>
      <c r="AO50" s="349"/>
      <c r="AP50" s="349"/>
      <c r="AQ50" s="37"/>
      <c r="AR50" s="40"/>
      <c r="AS50" s="352"/>
      <c r="AT50" s="353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7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4"/>
      <c r="AT51" s="355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56" t="s">
        <v>53</v>
      </c>
      <c r="D52" s="357"/>
      <c r="E52" s="357"/>
      <c r="F52" s="357"/>
      <c r="G52" s="357"/>
      <c r="H52" s="67"/>
      <c r="I52" s="358" t="s">
        <v>54</v>
      </c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9" t="s">
        <v>55</v>
      </c>
      <c r="AH52" s="357"/>
      <c r="AI52" s="357"/>
      <c r="AJ52" s="357"/>
      <c r="AK52" s="357"/>
      <c r="AL52" s="357"/>
      <c r="AM52" s="357"/>
      <c r="AN52" s="358" t="s">
        <v>56</v>
      </c>
      <c r="AO52" s="357"/>
      <c r="AP52" s="357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7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63">
        <f>ROUND(SUM(AG55:AG57),2)</f>
        <v>0</v>
      </c>
      <c r="AH54" s="363"/>
      <c r="AI54" s="363"/>
      <c r="AJ54" s="363"/>
      <c r="AK54" s="363"/>
      <c r="AL54" s="363"/>
      <c r="AM54" s="363"/>
      <c r="AN54" s="364">
        <f>SUM(AG54,AT54)</f>
        <v>0</v>
      </c>
      <c r="AO54" s="364"/>
      <c r="AP54" s="364"/>
      <c r="AQ54" s="79" t="s">
        <v>19</v>
      </c>
      <c r="AR54" s="80"/>
      <c r="AS54" s="81">
        <f>ROUND(SUM(AS55:AS57),2)</f>
        <v>0</v>
      </c>
      <c r="AT54" s="82">
        <f>ROUND(SUM(AV54:AW54),2)</f>
        <v>0</v>
      </c>
      <c r="AU54" s="83">
        <f>ROUND(SUM(AU55:AU57),5)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ROUND(SUM(AZ55:AZ57),2)</f>
        <v>0</v>
      </c>
      <c r="BA54" s="82">
        <f>ROUND(SUM(BA55:BA57),2)</f>
        <v>0</v>
      </c>
      <c r="BB54" s="82">
        <f>ROUND(SUM(BB55:BB57),2)</f>
        <v>0</v>
      </c>
      <c r="BC54" s="82">
        <f>ROUND(SUM(BC55:BC57),2)</f>
        <v>0</v>
      </c>
      <c r="BD54" s="84">
        <f>ROUND(SUM(BD55:BD57),2)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16.5" customHeight="1">
      <c r="A55" s="87" t="s">
        <v>76</v>
      </c>
      <c r="B55" s="88"/>
      <c r="C55" s="89"/>
      <c r="D55" s="362" t="s">
        <v>77</v>
      </c>
      <c r="E55" s="362"/>
      <c r="F55" s="362"/>
      <c r="G55" s="362"/>
      <c r="H55" s="362"/>
      <c r="I55" s="90"/>
      <c r="J55" s="362" t="s">
        <v>78</v>
      </c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0">
        <f>'01 - Bourací práce'!J30</f>
        <v>0</v>
      </c>
      <c r="AH55" s="361"/>
      <c r="AI55" s="361"/>
      <c r="AJ55" s="361"/>
      <c r="AK55" s="361"/>
      <c r="AL55" s="361"/>
      <c r="AM55" s="361"/>
      <c r="AN55" s="360">
        <f>SUM(AG55,AT55)</f>
        <v>0</v>
      </c>
      <c r="AO55" s="361"/>
      <c r="AP55" s="361"/>
      <c r="AQ55" s="91" t="s">
        <v>79</v>
      </c>
      <c r="AR55" s="92"/>
      <c r="AS55" s="93">
        <v>0</v>
      </c>
      <c r="AT55" s="94">
        <f>ROUND(SUM(AV55:AW55),2)</f>
        <v>0</v>
      </c>
      <c r="AU55" s="95">
        <f>'01 - Bourací práce'!P96</f>
        <v>0</v>
      </c>
      <c r="AV55" s="94">
        <f>'01 - Bourací práce'!J33</f>
        <v>0</v>
      </c>
      <c r="AW55" s="94">
        <f>'01 - Bourací práce'!J34</f>
        <v>0</v>
      </c>
      <c r="AX55" s="94">
        <f>'01 - Bourací práce'!J35</f>
        <v>0</v>
      </c>
      <c r="AY55" s="94">
        <f>'01 - Bourací práce'!J36</f>
        <v>0</v>
      </c>
      <c r="AZ55" s="94">
        <f>'01 - Bourací práce'!F33</f>
        <v>0</v>
      </c>
      <c r="BA55" s="94">
        <f>'01 - Bourací práce'!F34</f>
        <v>0</v>
      </c>
      <c r="BB55" s="94">
        <f>'01 - Bourací práce'!F35</f>
        <v>0</v>
      </c>
      <c r="BC55" s="94">
        <f>'01 - Bourací práce'!F36</f>
        <v>0</v>
      </c>
      <c r="BD55" s="96">
        <f>'01 - Bourací práce'!F37</f>
        <v>0</v>
      </c>
      <c r="BT55" s="97" t="s">
        <v>80</v>
      </c>
      <c r="BV55" s="97" t="s">
        <v>74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7" customFormat="1" ht="16.5" customHeight="1">
      <c r="A56" s="87" t="s">
        <v>76</v>
      </c>
      <c r="B56" s="88"/>
      <c r="C56" s="89"/>
      <c r="D56" s="362" t="s">
        <v>83</v>
      </c>
      <c r="E56" s="362"/>
      <c r="F56" s="362"/>
      <c r="G56" s="362"/>
      <c r="H56" s="362"/>
      <c r="I56" s="90"/>
      <c r="J56" s="362" t="s">
        <v>84</v>
      </c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0">
        <f>'02 - Nové konstrukce'!J30</f>
        <v>0</v>
      </c>
      <c r="AH56" s="361"/>
      <c r="AI56" s="361"/>
      <c r="AJ56" s="361"/>
      <c r="AK56" s="361"/>
      <c r="AL56" s="361"/>
      <c r="AM56" s="361"/>
      <c r="AN56" s="360">
        <f>SUM(AG56,AT56)</f>
        <v>0</v>
      </c>
      <c r="AO56" s="361"/>
      <c r="AP56" s="361"/>
      <c r="AQ56" s="91" t="s">
        <v>79</v>
      </c>
      <c r="AR56" s="92"/>
      <c r="AS56" s="93">
        <v>0</v>
      </c>
      <c r="AT56" s="94">
        <f>ROUND(SUM(AV56:AW56),2)</f>
        <v>0</v>
      </c>
      <c r="AU56" s="95">
        <f>'02 - Nové konstrukce'!P111</f>
        <v>0</v>
      </c>
      <c r="AV56" s="94">
        <f>'02 - Nové konstrukce'!J33</f>
        <v>0</v>
      </c>
      <c r="AW56" s="94">
        <f>'02 - Nové konstrukce'!J34</f>
        <v>0</v>
      </c>
      <c r="AX56" s="94">
        <f>'02 - Nové konstrukce'!J35</f>
        <v>0</v>
      </c>
      <c r="AY56" s="94">
        <f>'02 - Nové konstrukce'!J36</f>
        <v>0</v>
      </c>
      <c r="AZ56" s="94">
        <f>'02 - Nové konstrukce'!F33</f>
        <v>0</v>
      </c>
      <c r="BA56" s="94">
        <f>'02 - Nové konstrukce'!F34</f>
        <v>0</v>
      </c>
      <c r="BB56" s="94">
        <f>'02 - Nové konstrukce'!F35</f>
        <v>0</v>
      </c>
      <c r="BC56" s="94">
        <f>'02 - Nové konstrukce'!F36</f>
        <v>0</v>
      </c>
      <c r="BD56" s="96">
        <f>'02 - Nové konstrukce'!F37</f>
        <v>0</v>
      </c>
      <c r="BT56" s="97" t="s">
        <v>80</v>
      </c>
      <c r="BV56" s="97" t="s">
        <v>74</v>
      </c>
      <c r="BW56" s="97" t="s">
        <v>85</v>
      </c>
      <c r="BX56" s="97" t="s">
        <v>5</v>
      </c>
      <c r="CL56" s="97" t="s">
        <v>19</v>
      </c>
      <c r="CM56" s="97" t="s">
        <v>82</v>
      </c>
    </row>
    <row r="57" spans="1:91" s="7" customFormat="1" ht="16.5" customHeight="1">
      <c r="A57" s="87" t="s">
        <v>76</v>
      </c>
      <c r="B57" s="88"/>
      <c r="C57" s="89"/>
      <c r="D57" s="362" t="s">
        <v>86</v>
      </c>
      <c r="E57" s="362"/>
      <c r="F57" s="362"/>
      <c r="G57" s="362"/>
      <c r="H57" s="362"/>
      <c r="I57" s="90"/>
      <c r="J57" s="362" t="s">
        <v>87</v>
      </c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0">
        <f>'03 - Vedlejší rozpočtové ...'!J30</f>
        <v>0</v>
      </c>
      <c r="AH57" s="361"/>
      <c r="AI57" s="361"/>
      <c r="AJ57" s="361"/>
      <c r="AK57" s="361"/>
      <c r="AL57" s="361"/>
      <c r="AM57" s="361"/>
      <c r="AN57" s="360">
        <f>SUM(AG57,AT57)</f>
        <v>0</v>
      </c>
      <c r="AO57" s="361"/>
      <c r="AP57" s="361"/>
      <c r="AQ57" s="91" t="s">
        <v>79</v>
      </c>
      <c r="AR57" s="92"/>
      <c r="AS57" s="98">
        <v>0</v>
      </c>
      <c r="AT57" s="99">
        <f>ROUND(SUM(AV57:AW57),2)</f>
        <v>0</v>
      </c>
      <c r="AU57" s="100">
        <f>'03 - Vedlejší rozpočtové ...'!P85</f>
        <v>0</v>
      </c>
      <c r="AV57" s="99">
        <f>'03 - Vedlejší rozpočtové ...'!J33</f>
        <v>0</v>
      </c>
      <c r="AW57" s="99">
        <f>'03 - Vedlejší rozpočtové ...'!J34</f>
        <v>0</v>
      </c>
      <c r="AX57" s="99">
        <f>'03 - Vedlejší rozpočtové ...'!J35</f>
        <v>0</v>
      </c>
      <c r="AY57" s="99">
        <f>'03 - Vedlejší rozpočtové ...'!J36</f>
        <v>0</v>
      </c>
      <c r="AZ57" s="99">
        <f>'03 - Vedlejší rozpočtové ...'!F33</f>
        <v>0</v>
      </c>
      <c r="BA57" s="99">
        <f>'03 - Vedlejší rozpočtové ...'!F34</f>
        <v>0</v>
      </c>
      <c r="BB57" s="99">
        <f>'03 - Vedlejší rozpočtové ...'!F35</f>
        <v>0</v>
      </c>
      <c r="BC57" s="99">
        <f>'03 - Vedlejší rozpočtové ...'!F36</f>
        <v>0</v>
      </c>
      <c r="BD57" s="101">
        <f>'03 - Vedlejší rozpočtové ...'!F37</f>
        <v>0</v>
      </c>
      <c r="BT57" s="97" t="s">
        <v>80</v>
      </c>
      <c r="BV57" s="97" t="s">
        <v>74</v>
      </c>
      <c r="BW57" s="97" t="s">
        <v>88</v>
      </c>
      <c r="BX57" s="97" t="s">
        <v>5</v>
      </c>
      <c r="CL57" s="97" t="s">
        <v>19</v>
      </c>
      <c r="CM57" s="97" t="s">
        <v>82</v>
      </c>
    </row>
    <row r="58" spans="1:91" s="2" customFormat="1" ht="30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pans="1:91" s="2" customFormat="1" ht="7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</sheetData>
  <sheetProtection algorithmName="SHA-512" hashValue="firpYI+HJMeYgM/oNiaqAG/H1Bir/foSyeYzggrKOd0+5v40AZFHEa7vTbrVC1iikmG9pnFHLxX520BUYaehGA==" saltValue="kdvZG7df+MeO1Ywwx76PYFp1msgTHa3bDpq+iR+Qiflux7gOgZCLTFSIA1JVcmPRaT3QlXvgO9IJGZSNPxuku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Bourací práce'!C2" display="/" xr:uid="{00000000-0004-0000-0000-000000000000}"/>
    <hyperlink ref="A56" location="'02 - Nové konstrukce'!C2" display="/" xr:uid="{00000000-0004-0000-0000-000001000000}"/>
    <hyperlink ref="A57" location="'03 - Vedlejší rozpočtové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63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81</v>
      </c>
    </row>
    <row r="3" spans="1:4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5" customHeight="1">
      <c r="B4" s="21"/>
      <c r="D4" s="104" t="s">
        <v>89</v>
      </c>
      <c r="L4" s="21"/>
      <c r="M4" s="105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gymnáziu Hostivice - rekonstrukce gymnázia II.etapa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90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91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9. 12. 2022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32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33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33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ROUND(J96,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17" t="s">
        <v>42</v>
      </c>
      <c r="E33" s="106" t="s">
        <v>43</v>
      </c>
      <c r="F33" s="118">
        <f>ROUND((SUM(BE96:BE362)),  2)</f>
        <v>0</v>
      </c>
      <c r="G33" s="35"/>
      <c r="H33" s="35"/>
      <c r="I33" s="119">
        <v>0.21</v>
      </c>
      <c r="J33" s="118">
        <f>ROUND(((SUM(BE96:BE362))*I33),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06" t="s">
        <v>44</v>
      </c>
      <c r="F34" s="118">
        <f>ROUND((SUM(BF96:BF362)),  2)</f>
        <v>0</v>
      </c>
      <c r="G34" s="35"/>
      <c r="H34" s="35"/>
      <c r="I34" s="119">
        <v>0.15</v>
      </c>
      <c r="J34" s="118">
        <f>ROUND(((SUM(BF96:BF362))*I34),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45</v>
      </c>
      <c r="F35" s="118">
        <f>ROUND((SUM(BG96:BG362)),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46</v>
      </c>
      <c r="F36" s="118">
        <f>ROUND((SUM(BH96:BH362)),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47</v>
      </c>
      <c r="F37" s="118">
        <f>ROUND((SUM(BI96:BI362)),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gymnáziu Hostivice - rekonstrukce gymnázia II.etapa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5" t="str">
        <f>E9</f>
        <v>01 - Bourací práce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Gymnázium Hostivice, Komenského 141</v>
      </c>
      <c r="G52" s="37"/>
      <c r="H52" s="37"/>
      <c r="I52" s="30" t="s">
        <v>23</v>
      </c>
      <c r="J52" s="60" t="str">
        <f>IF(J12="","",J12)</f>
        <v>9. 12. 2022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15" customHeight="1">
      <c r="A54" s="35"/>
      <c r="B54" s="36"/>
      <c r="C54" s="30" t="s">
        <v>25</v>
      </c>
      <c r="D54" s="37"/>
      <c r="E54" s="37"/>
      <c r="F54" s="28" t="str">
        <f>E15</f>
        <v>Středočeský kraj, Zborovská 81/11, Praha 5</v>
      </c>
      <c r="G54" s="37"/>
      <c r="H54" s="37"/>
      <c r="I54" s="30" t="s">
        <v>31</v>
      </c>
      <c r="J54" s="33" t="str">
        <f>E21</f>
        <v>Ing. Petr Petele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Petr Petele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2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93</v>
      </c>
      <c r="D57" s="132"/>
      <c r="E57" s="132"/>
      <c r="F57" s="132"/>
      <c r="G57" s="132"/>
      <c r="H57" s="132"/>
      <c r="I57" s="132"/>
      <c r="J57" s="133" t="s">
        <v>94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2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75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J96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5" customHeight="1">
      <c r="B60" s="135"/>
      <c r="C60" s="136"/>
      <c r="D60" s="137" t="s">
        <v>96</v>
      </c>
      <c r="E60" s="138"/>
      <c r="F60" s="138"/>
      <c r="G60" s="138"/>
      <c r="H60" s="138"/>
      <c r="I60" s="138"/>
      <c r="J60" s="139">
        <f>J97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97</v>
      </c>
      <c r="E61" s="144"/>
      <c r="F61" s="144"/>
      <c r="G61" s="144"/>
      <c r="H61" s="144"/>
      <c r="I61" s="144"/>
      <c r="J61" s="145">
        <f>J98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98</v>
      </c>
      <c r="E62" s="144"/>
      <c r="F62" s="144"/>
      <c r="G62" s="144"/>
      <c r="H62" s="144"/>
      <c r="I62" s="144"/>
      <c r="J62" s="145">
        <f>J134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99</v>
      </c>
      <c r="E63" s="144"/>
      <c r="F63" s="144"/>
      <c r="G63" s="144"/>
      <c r="H63" s="144"/>
      <c r="I63" s="144"/>
      <c r="J63" s="145">
        <f>J228</f>
        <v>0</v>
      </c>
      <c r="K63" s="142"/>
      <c r="L63" s="146"/>
    </row>
    <row r="64" spans="1:47" s="9" customFormat="1" ht="25" customHeight="1">
      <c r="B64" s="135"/>
      <c r="C64" s="136"/>
      <c r="D64" s="137" t="s">
        <v>100</v>
      </c>
      <c r="E64" s="138"/>
      <c r="F64" s="138"/>
      <c r="G64" s="138"/>
      <c r="H64" s="138"/>
      <c r="I64" s="138"/>
      <c r="J64" s="139">
        <f>J243</f>
        <v>0</v>
      </c>
      <c r="K64" s="136"/>
      <c r="L64" s="140"/>
    </row>
    <row r="65" spans="1:31" s="10" customFormat="1" ht="19.899999999999999" customHeight="1">
      <c r="B65" s="141"/>
      <c r="C65" s="142"/>
      <c r="D65" s="143" t="s">
        <v>101</v>
      </c>
      <c r="E65" s="144"/>
      <c r="F65" s="144"/>
      <c r="G65" s="144"/>
      <c r="H65" s="144"/>
      <c r="I65" s="144"/>
      <c r="J65" s="145">
        <f>J244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102</v>
      </c>
      <c r="E66" s="144"/>
      <c r="F66" s="144"/>
      <c r="G66" s="144"/>
      <c r="H66" s="144"/>
      <c r="I66" s="144"/>
      <c r="J66" s="145">
        <f>J256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103</v>
      </c>
      <c r="E67" s="144"/>
      <c r="F67" s="144"/>
      <c r="G67" s="144"/>
      <c r="H67" s="144"/>
      <c r="I67" s="144"/>
      <c r="J67" s="145">
        <f>J258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104</v>
      </c>
      <c r="E68" s="144"/>
      <c r="F68" s="144"/>
      <c r="G68" s="144"/>
      <c r="H68" s="144"/>
      <c r="I68" s="144"/>
      <c r="J68" s="145">
        <f>J260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105</v>
      </c>
      <c r="E69" s="144"/>
      <c r="F69" s="144"/>
      <c r="G69" s="144"/>
      <c r="H69" s="144"/>
      <c r="I69" s="144"/>
      <c r="J69" s="145">
        <f>J263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106</v>
      </c>
      <c r="E70" s="144"/>
      <c r="F70" s="144"/>
      <c r="G70" s="144"/>
      <c r="H70" s="144"/>
      <c r="I70" s="144"/>
      <c r="J70" s="145">
        <f>J265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107</v>
      </c>
      <c r="E71" s="144"/>
      <c r="F71" s="144"/>
      <c r="G71" s="144"/>
      <c r="H71" s="144"/>
      <c r="I71" s="144"/>
      <c r="J71" s="145">
        <f>J291</f>
        <v>0</v>
      </c>
      <c r="K71" s="142"/>
      <c r="L71" s="146"/>
    </row>
    <row r="72" spans="1:31" s="10" customFormat="1" ht="19.899999999999999" customHeight="1">
      <c r="B72" s="141"/>
      <c r="C72" s="142"/>
      <c r="D72" s="143" t="s">
        <v>108</v>
      </c>
      <c r="E72" s="144"/>
      <c r="F72" s="144"/>
      <c r="G72" s="144"/>
      <c r="H72" s="144"/>
      <c r="I72" s="144"/>
      <c r="J72" s="145">
        <f>J327</f>
        <v>0</v>
      </c>
      <c r="K72" s="142"/>
      <c r="L72" s="146"/>
    </row>
    <row r="73" spans="1:31" s="10" customFormat="1" ht="19.899999999999999" customHeight="1">
      <c r="B73" s="141"/>
      <c r="C73" s="142"/>
      <c r="D73" s="143" t="s">
        <v>109</v>
      </c>
      <c r="E73" s="144"/>
      <c r="F73" s="144"/>
      <c r="G73" s="144"/>
      <c r="H73" s="144"/>
      <c r="I73" s="144"/>
      <c r="J73" s="145">
        <f>J343</f>
        <v>0</v>
      </c>
      <c r="K73" s="142"/>
      <c r="L73" s="146"/>
    </row>
    <row r="74" spans="1:31" s="10" customFormat="1" ht="19.899999999999999" customHeight="1">
      <c r="B74" s="141"/>
      <c r="C74" s="142"/>
      <c r="D74" s="143" t="s">
        <v>110</v>
      </c>
      <c r="E74" s="144"/>
      <c r="F74" s="144"/>
      <c r="G74" s="144"/>
      <c r="H74" s="144"/>
      <c r="I74" s="144"/>
      <c r="J74" s="145">
        <f>J355</f>
        <v>0</v>
      </c>
      <c r="K74" s="142"/>
      <c r="L74" s="146"/>
    </row>
    <row r="75" spans="1:31" s="9" customFormat="1" ht="25" customHeight="1">
      <c r="B75" s="135"/>
      <c r="C75" s="136"/>
      <c r="D75" s="137" t="s">
        <v>111</v>
      </c>
      <c r="E75" s="138"/>
      <c r="F75" s="138"/>
      <c r="G75" s="138"/>
      <c r="H75" s="138"/>
      <c r="I75" s="138"/>
      <c r="J75" s="139">
        <f>J359</f>
        <v>0</v>
      </c>
      <c r="K75" s="136"/>
      <c r="L75" s="140"/>
    </row>
    <row r="76" spans="1:31" s="10" customFormat="1" ht="19.899999999999999" customHeight="1">
      <c r="B76" s="141"/>
      <c r="C76" s="142"/>
      <c r="D76" s="143" t="s">
        <v>112</v>
      </c>
      <c r="E76" s="144"/>
      <c r="F76" s="144"/>
      <c r="G76" s="144"/>
      <c r="H76" s="144"/>
      <c r="I76" s="144"/>
      <c r="J76" s="145">
        <f>J360</f>
        <v>0</v>
      </c>
      <c r="K76" s="142"/>
      <c r="L76" s="146"/>
    </row>
    <row r="77" spans="1:31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7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63" s="2" customFormat="1" ht="7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25" customHeight="1">
      <c r="A83" s="35"/>
      <c r="B83" s="36"/>
      <c r="C83" s="24" t="s">
        <v>113</v>
      </c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7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73" t="str">
        <f>E7</f>
        <v>gymnáziu Hostivice - rekonstrukce gymnázia II.etapa</v>
      </c>
      <c r="F86" s="374"/>
      <c r="G86" s="374"/>
      <c r="H86" s="374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2" customHeight="1">
      <c r="A87" s="35"/>
      <c r="B87" s="36"/>
      <c r="C87" s="30" t="s">
        <v>90</v>
      </c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6.5" customHeight="1">
      <c r="A88" s="35"/>
      <c r="B88" s="36"/>
      <c r="C88" s="37"/>
      <c r="D88" s="37"/>
      <c r="E88" s="345" t="str">
        <f>E9</f>
        <v>01 - Bourací práce</v>
      </c>
      <c r="F88" s="375"/>
      <c r="G88" s="375"/>
      <c r="H88" s="375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7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2" customHeight="1">
      <c r="A90" s="35"/>
      <c r="B90" s="36"/>
      <c r="C90" s="30" t="s">
        <v>21</v>
      </c>
      <c r="D90" s="37"/>
      <c r="E90" s="37"/>
      <c r="F90" s="28" t="str">
        <f>F12</f>
        <v>Gymnázium Hostivice, Komenského 141</v>
      </c>
      <c r="G90" s="37"/>
      <c r="H90" s="37"/>
      <c r="I90" s="30" t="s">
        <v>23</v>
      </c>
      <c r="J90" s="60" t="str">
        <f>IF(J12="","",J12)</f>
        <v>9. 12. 2022</v>
      </c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7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5.15" customHeight="1">
      <c r="A92" s="35"/>
      <c r="B92" s="36"/>
      <c r="C92" s="30" t="s">
        <v>25</v>
      </c>
      <c r="D92" s="37"/>
      <c r="E92" s="37"/>
      <c r="F92" s="28" t="str">
        <f>E15</f>
        <v>Středočeský kraj, Zborovská 81/11, Praha 5</v>
      </c>
      <c r="G92" s="37"/>
      <c r="H92" s="37"/>
      <c r="I92" s="30" t="s">
        <v>31</v>
      </c>
      <c r="J92" s="33" t="str">
        <f>E21</f>
        <v>Ing. Petr Petele</v>
      </c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5.15" customHeight="1">
      <c r="A93" s="35"/>
      <c r="B93" s="36"/>
      <c r="C93" s="30" t="s">
        <v>29</v>
      </c>
      <c r="D93" s="37"/>
      <c r="E93" s="37"/>
      <c r="F93" s="28" t="str">
        <f>IF(E18="","",E18)</f>
        <v>Vyplň údaj</v>
      </c>
      <c r="G93" s="37"/>
      <c r="H93" s="37"/>
      <c r="I93" s="30" t="s">
        <v>35</v>
      </c>
      <c r="J93" s="33" t="str">
        <f>E24</f>
        <v>Ing. Petr Petele</v>
      </c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2" customFormat="1" ht="10.2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63" s="11" customFormat="1" ht="29.25" customHeight="1">
      <c r="A95" s="147"/>
      <c r="B95" s="148"/>
      <c r="C95" s="149" t="s">
        <v>114</v>
      </c>
      <c r="D95" s="150" t="s">
        <v>57</v>
      </c>
      <c r="E95" s="150" t="s">
        <v>53</v>
      </c>
      <c r="F95" s="150" t="s">
        <v>54</v>
      </c>
      <c r="G95" s="150" t="s">
        <v>115</v>
      </c>
      <c r="H95" s="150" t="s">
        <v>116</v>
      </c>
      <c r="I95" s="150" t="s">
        <v>117</v>
      </c>
      <c r="J95" s="150" t="s">
        <v>94</v>
      </c>
      <c r="K95" s="151" t="s">
        <v>118</v>
      </c>
      <c r="L95" s="152"/>
      <c r="M95" s="69" t="s">
        <v>19</v>
      </c>
      <c r="N95" s="70" t="s">
        <v>42</v>
      </c>
      <c r="O95" s="70" t="s">
        <v>119</v>
      </c>
      <c r="P95" s="70" t="s">
        <v>120</v>
      </c>
      <c r="Q95" s="70" t="s">
        <v>121</v>
      </c>
      <c r="R95" s="70" t="s">
        <v>122</v>
      </c>
      <c r="S95" s="70" t="s">
        <v>123</v>
      </c>
      <c r="T95" s="71" t="s">
        <v>124</v>
      </c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</row>
    <row r="96" spans="1:63" s="2" customFormat="1" ht="22.75" customHeight="1">
      <c r="A96" s="35"/>
      <c r="B96" s="36"/>
      <c r="C96" s="76" t="s">
        <v>125</v>
      </c>
      <c r="D96" s="37"/>
      <c r="E96" s="37"/>
      <c r="F96" s="37"/>
      <c r="G96" s="37"/>
      <c r="H96" s="37"/>
      <c r="I96" s="37"/>
      <c r="J96" s="153">
        <f>BK96</f>
        <v>0</v>
      </c>
      <c r="K96" s="37"/>
      <c r="L96" s="40"/>
      <c r="M96" s="72"/>
      <c r="N96" s="154"/>
      <c r="O96" s="73"/>
      <c r="P96" s="155">
        <f>P97+P243+P359</f>
        <v>0</v>
      </c>
      <c r="Q96" s="73"/>
      <c r="R96" s="155">
        <f>R97+R243+R359</f>
        <v>3.4332203999999997</v>
      </c>
      <c r="S96" s="73"/>
      <c r="T96" s="156">
        <f>T97+T243+T359</f>
        <v>397.56837457999995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71</v>
      </c>
      <c r="AU96" s="18" t="s">
        <v>95</v>
      </c>
      <c r="BK96" s="157">
        <f>BK97+BK243+BK359</f>
        <v>0</v>
      </c>
    </row>
    <row r="97" spans="1:65" s="12" customFormat="1" ht="25.9" customHeight="1">
      <c r="B97" s="158"/>
      <c r="C97" s="159"/>
      <c r="D97" s="160" t="s">
        <v>71</v>
      </c>
      <c r="E97" s="161" t="s">
        <v>126</v>
      </c>
      <c r="F97" s="161" t="s">
        <v>127</v>
      </c>
      <c r="G97" s="159"/>
      <c r="H97" s="159"/>
      <c r="I97" s="162"/>
      <c r="J97" s="163">
        <f>BK97</f>
        <v>0</v>
      </c>
      <c r="K97" s="159"/>
      <c r="L97" s="164"/>
      <c r="M97" s="165"/>
      <c r="N97" s="166"/>
      <c r="O97" s="166"/>
      <c r="P97" s="167">
        <f>P98+P134+P228</f>
        <v>0</v>
      </c>
      <c r="Q97" s="166"/>
      <c r="R97" s="167">
        <f>R98+R134+R228</f>
        <v>0</v>
      </c>
      <c r="S97" s="166"/>
      <c r="T97" s="168">
        <f>T98+T134+T228</f>
        <v>286.54310199999998</v>
      </c>
      <c r="AR97" s="169" t="s">
        <v>80</v>
      </c>
      <c r="AT97" s="170" t="s">
        <v>71</v>
      </c>
      <c r="AU97" s="170" t="s">
        <v>72</v>
      </c>
      <c r="AY97" s="169" t="s">
        <v>128</v>
      </c>
      <c r="BK97" s="171">
        <f>BK98+BK134+BK228</f>
        <v>0</v>
      </c>
    </row>
    <row r="98" spans="1:65" s="12" customFormat="1" ht="22.75" customHeight="1">
      <c r="B98" s="158"/>
      <c r="C98" s="159"/>
      <c r="D98" s="160" t="s">
        <v>71</v>
      </c>
      <c r="E98" s="172" t="s">
        <v>80</v>
      </c>
      <c r="F98" s="172" t="s">
        <v>129</v>
      </c>
      <c r="G98" s="159"/>
      <c r="H98" s="159"/>
      <c r="I98" s="162"/>
      <c r="J98" s="173">
        <f>BK98</f>
        <v>0</v>
      </c>
      <c r="K98" s="159"/>
      <c r="L98" s="164"/>
      <c r="M98" s="165"/>
      <c r="N98" s="166"/>
      <c r="O98" s="166"/>
      <c r="P98" s="167">
        <f>SUM(P99:P133)</f>
        <v>0</v>
      </c>
      <c r="Q98" s="166"/>
      <c r="R98" s="167">
        <f>SUM(R99:R133)</f>
        <v>0</v>
      </c>
      <c r="S98" s="166"/>
      <c r="T98" s="168">
        <f>SUM(T99:T133)</f>
        <v>11.9</v>
      </c>
      <c r="AR98" s="169" t="s">
        <v>80</v>
      </c>
      <c r="AT98" s="170" t="s">
        <v>71</v>
      </c>
      <c r="AU98" s="170" t="s">
        <v>80</v>
      </c>
      <c r="AY98" s="169" t="s">
        <v>128</v>
      </c>
      <c r="BK98" s="171">
        <f>SUM(BK99:BK133)</f>
        <v>0</v>
      </c>
    </row>
    <row r="99" spans="1:65" s="2" customFormat="1" ht="37.75" customHeight="1">
      <c r="A99" s="35"/>
      <c r="B99" s="36"/>
      <c r="C99" s="174" t="s">
        <v>80</v>
      </c>
      <c r="D99" s="174" t="s">
        <v>130</v>
      </c>
      <c r="E99" s="175" t="s">
        <v>131</v>
      </c>
      <c r="F99" s="176" t="s">
        <v>132</v>
      </c>
      <c r="G99" s="177" t="s">
        <v>133</v>
      </c>
      <c r="H99" s="178">
        <v>17</v>
      </c>
      <c r="I99" s="179"/>
      <c r="J99" s="180">
        <f>ROUND(I99*H99,2)</f>
        <v>0</v>
      </c>
      <c r="K99" s="176" t="s">
        <v>134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0.26</v>
      </c>
      <c r="T99" s="184">
        <f>S99*H99</f>
        <v>4.42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135</v>
      </c>
      <c r="AT99" s="185" t="s">
        <v>130</v>
      </c>
      <c r="AU99" s="185" t="s">
        <v>82</v>
      </c>
      <c r="AY99" s="18" t="s">
        <v>128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135</v>
      </c>
      <c r="BM99" s="185" t="s">
        <v>136</v>
      </c>
    </row>
    <row r="100" spans="1:65" s="2" customFormat="1" ht="10">
      <c r="A100" s="35"/>
      <c r="B100" s="36"/>
      <c r="C100" s="37"/>
      <c r="D100" s="187" t="s">
        <v>137</v>
      </c>
      <c r="E100" s="37"/>
      <c r="F100" s="188" t="s">
        <v>138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137</v>
      </c>
      <c r="AU100" s="18" t="s">
        <v>82</v>
      </c>
    </row>
    <row r="101" spans="1:65" s="13" customFormat="1" ht="10">
      <c r="B101" s="192"/>
      <c r="C101" s="193"/>
      <c r="D101" s="194" t="s">
        <v>139</v>
      </c>
      <c r="E101" s="195" t="s">
        <v>19</v>
      </c>
      <c r="F101" s="196" t="s">
        <v>140</v>
      </c>
      <c r="G101" s="193"/>
      <c r="H101" s="197">
        <v>17</v>
      </c>
      <c r="I101" s="198"/>
      <c r="J101" s="193"/>
      <c r="K101" s="193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139</v>
      </c>
      <c r="AU101" s="203" t="s">
        <v>82</v>
      </c>
      <c r="AV101" s="13" t="s">
        <v>82</v>
      </c>
      <c r="AW101" s="13" t="s">
        <v>34</v>
      </c>
      <c r="AX101" s="13" t="s">
        <v>80</v>
      </c>
      <c r="AY101" s="203" t="s">
        <v>128</v>
      </c>
    </row>
    <row r="102" spans="1:65" s="2" customFormat="1" ht="33" customHeight="1">
      <c r="A102" s="35"/>
      <c r="B102" s="36"/>
      <c r="C102" s="174" t="s">
        <v>82</v>
      </c>
      <c r="D102" s="174" t="s">
        <v>130</v>
      </c>
      <c r="E102" s="175" t="s">
        <v>141</v>
      </c>
      <c r="F102" s="176" t="s">
        <v>142</v>
      </c>
      <c r="G102" s="177" t="s">
        <v>133</v>
      </c>
      <c r="H102" s="178">
        <v>17</v>
      </c>
      <c r="I102" s="179"/>
      <c r="J102" s="180">
        <f>ROUND(I102*H102,2)</f>
        <v>0</v>
      </c>
      <c r="K102" s="176" t="s">
        <v>134</v>
      </c>
      <c r="L102" s="40"/>
      <c r="M102" s="181" t="s">
        <v>19</v>
      </c>
      <c r="N102" s="182" t="s">
        <v>43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0.44</v>
      </c>
      <c r="T102" s="184">
        <f>S102*H102</f>
        <v>7.48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135</v>
      </c>
      <c r="AT102" s="185" t="s">
        <v>130</v>
      </c>
      <c r="AU102" s="185" t="s">
        <v>82</v>
      </c>
      <c r="AY102" s="18" t="s">
        <v>128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80</v>
      </c>
      <c r="BK102" s="186">
        <f>ROUND(I102*H102,2)</f>
        <v>0</v>
      </c>
      <c r="BL102" s="18" t="s">
        <v>135</v>
      </c>
      <c r="BM102" s="185" t="s">
        <v>143</v>
      </c>
    </row>
    <row r="103" spans="1:65" s="2" customFormat="1" ht="10">
      <c r="A103" s="35"/>
      <c r="B103" s="36"/>
      <c r="C103" s="37"/>
      <c r="D103" s="187" t="s">
        <v>137</v>
      </c>
      <c r="E103" s="37"/>
      <c r="F103" s="188" t="s">
        <v>144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137</v>
      </c>
      <c r="AU103" s="18" t="s">
        <v>82</v>
      </c>
    </row>
    <row r="104" spans="1:65" s="13" customFormat="1" ht="10">
      <c r="B104" s="192"/>
      <c r="C104" s="193"/>
      <c r="D104" s="194" t="s">
        <v>139</v>
      </c>
      <c r="E104" s="195" t="s">
        <v>19</v>
      </c>
      <c r="F104" s="196" t="s">
        <v>140</v>
      </c>
      <c r="G104" s="193"/>
      <c r="H104" s="197">
        <v>17</v>
      </c>
      <c r="I104" s="198"/>
      <c r="J104" s="193"/>
      <c r="K104" s="193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139</v>
      </c>
      <c r="AU104" s="203" t="s">
        <v>82</v>
      </c>
      <c r="AV104" s="13" t="s">
        <v>82</v>
      </c>
      <c r="AW104" s="13" t="s">
        <v>34</v>
      </c>
      <c r="AX104" s="13" t="s">
        <v>80</v>
      </c>
      <c r="AY104" s="203" t="s">
        <v>128</v>
      </c>
    </row>
    <row r="105" spans="1:65" s="2" customFormat="1" ht="24.15" customHeight="1">
      <c r="A105" s="35"/>
      <c r="B105" s="36"/>
      <c r="C105" s="174" t="s">
        <v>145</v>
      </c>
      <c r="D105" s="174" t="s">
        <v>130</v>
      </c>
      <c r="E105" s="175" t="s">
        <v>146</v>
      </c>
      <c r="F105" s="176" t="s">
        <v>147</v>
      </c>
      <c r="G105" s="177" t="s">
        <v>148</v>
      </c>
      <c r="H105" s="178">
        <v>4.5119999999999996</v>
      </c>
      <c r="I105" s="179"/>
      <c r="J105" s="180">
        <f>ROUND(I105*H105,2)</f>
        <v>0</v>
      </c>
      <c r="K105" s="176" t="s">
        <v>134</v>
      </c>
      <c r="L105" s="40"/>
      <c r="M105" s="181" t="s">
        <v>19</v>
      </c>
      <c r="N105" s="182" t="s">
        <v>43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135</v>
      </c>
      <c r="AT105" s="185" t="s">
        <v>130</v>
      </c>
      <c r="AU105" s="185" t="s">
        <v>82</v>
      </c>
      <c r="AY105" s="18" t="s">
        <v>128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80</v>
      </c>
      <c r="BK105" s="186">
        <f>ROUND(I105*H105,2)</f>
        <v>0</v>
      </c>
      <c r="BL105" s="18" t="s">
        <v>135</v>
      </c>
      <c r="BM105" s="185" t="s">
        <v>149</v>
      </c>
    </row>
    <row r="106" spans="1:65" s="2" customFormat="1" ht="10">
      <c r="A106" s="35"/>
      <c r="B106" s="36"/>
      <c r="C106" s="37"/>
      <c r="D106" s="187" t="s">
        <v>137</v>
      </c>
      <c r="E106" s="37"/>
      <c r="F106" s="188" t="s">
        <v>150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137</v>
      </c>
      <c r="AU106" s="18" t="s">
        <v>82</v>
      </c>
    </row>
    <row r="107" spans="1:65" s="13" customFormat="1" ht="10">
      <c r="B107" s="192"/>
      <c r="C107" s="193"/>
      <c r="D107" s="194" t="s">
        <v>139</v>
      </c>
      <c r="E107" s="195" t="s">
        <v>19</v>
      </c>
      <c r="F107" s="196" t="s">
        <v>151</v>
      </c>
      <c r="G107" s="193"/>
      <c r="H107" s="197">
        <v>4.2249999999999996</v>
      </c>
      <c r="I107" s="198"/>
      <c r="J107" s="193"/>
      <c r="K107" s="193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139</v>
      </c>
      <c r="AU107" s="203" t="s">
        <v>82</v>
      </c>
      <c r="AV107" s="13" t="s">
        <v>82</v>
      </c>
      <c r="AW107" s="13" t="s">
        <v>34</v>
      </c>
      <c r="AX107" s="13" t="s">
        <v>72</v>
      </c>
      <c r="AY107" s="203" t="s">
        <v>128</v>
      </c>
    </row>
    <row r="108" spans="1:65" s="13" customFormat="1" ht="10">
      <c r="B108" s="192"/>
      <c r="C108" s="193"/>
      <c r="D108" s="194" t="s">
        <v>139</v>
      </c>
      <c r="E108" s="195" t="s">
        <v>19</v>
      </c>
      <c r="F108" s="196" t="s">
        <v>152</v>
      </c>
      <c r="G108" s="193"/>
      <c r="H108" s="197">
        <v>0.28699999999999998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139</v>
      </c>
      <c r="AU108" s="203" t="s">
        <v>82</v>
      </c>
      <c r="AV108" s="13" t="s">
        <v>82</v>
      </c>
      <c r="AW108" s="13" t="s">
        <v>34</v>
      </c>
      <c r="AX108" s="13" t="s">
        <v>72</v>
      </c>
      <c r="AY108" s="203" t="s">
        <v>128</v>
      </c>
    </row>
    <row r="109" spans="1:65" s="14" customFormat="1" ht="10">
      <c r="B109" s="204"/>
      <c r="C109" s="205"/>
      <c r="D109" s="194" t="s">
        <v>139</v>
      </c>
      <c r="E109" s="206" t="s">
        <v>19</v>
      </c>
      <c r="F109" s="207" t="s">
        <v>153</v>
      </c>
      <c r="G109" s="205"/>
      <c r="H109" s="208">
        <v>4.5119999999999996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139</v>
      </c>
      <c r="AU109" s="214" t="s">
        <v>82</v>
      </c>
      <c r="AV109" s="14" t="s">
        <v>135</v>
      </c>
      <c r="AW109" s="14" t="s">
        <v>34</v>
      </c>
      <c r="AX109" s="14" t="s">
        <v>80</v>
      </c>
      <c r="AY109" s="214" t="s">
        <v>128</v>
      </c>
    </row>
    <row r="110" spans="1:65" s="2" customFormat="1" ht="37.75" customHeight="1">
      <c r="A110" s="35"/>
      <c r="B110" s="36"/>
      <c r="C110" s="174" t="s">
        <v>135</v>
      </c>
      <c r="D110" s="174" t="s">
        <v>130</v>
      </c>
      <c r="E110" s="175" t="s">
        <v>154</v>
      </c>
      <c r="F110" s="176" t="s">
        <v>155</v>
      </c>
      <c r="G110" s="177" t="s">
        <v>148</v>
      </c>
      <c r="H110" s="178">
        <v>7.4989999999999997</v>
      </c>
      <c r="I110" s="179"/>
      <c r="J110" s="180">
        <f>ROUND(I110*H110,2)</f>
        <v>0</v>
      </c>
      <c r="K110" s="176" t="s">
        <v>134</v>
      </c>
      <c r="L110" s="40"/>
      <c r="M110" s="181" t="s">
        <v>19</v>
      </c>
      <c r="N110" s="182" t="s">
        <v>43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135</v>
      </c>
      <c r="AT110" s="185" t="s">
        <v>130</v>
      </c>
      <c r="AU110" s="185" t="s">
        <v>82</v>
      </c>
      <c r="AY110" s="18" t="s">
        <v>128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80</v>
      </c>
      <c r="BK110" s="186">
        <f>ROUND(I110*H110,2)</f>
        <v>0</v>
      </c>
      <c r="BL110" s="18" t="s">
        <v>135</v>
      </c>
      <c r="BM110" s="185" t="s">
        <v>156</v>
      </c>
    </row>
    <row r="111" spans="1:65" s="2" customFormat="1" ht="10">
      <c r="A111" s="35"/>
      <c r="B111" s="36"/>
      <c r="C111" s="37"/>
      <c r="D111" s="187" t="s">
        <v>137</v>
      </c>
      <c r="E111" s="37"/>
      <c r="F111" s="188" t="s">
        <v>157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137</v>
      </c>
      <c r="AU111" s="18" t="s">
        <v>82</v>
      </c>
    </row>
    <row r="112" spans="1:65" s="13" customFormat="1" ht="10">
      <c r="B112" s="192"/>
      <c r="C112" s="193"/>
      <c r="D112" s="194" t="s">
        <v>139</v>
      </c>
      <c r="E112" s="195" t="s">
        <v>19</v>
      </c>
      <c r="F112" s="196" t="s">
        <v>158</v>
      </c>
      <c r="G112" s="193"/>
      <c r="H112" s="197">
        <v>5.0999999999999996</v>
      </c>
      <c r="I112" s="198"/>
      <c r="J112" s="193"/>
      <c r="K112" s="193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139</v>
      </c>
      <c r="AU112" s="203" t="s">
        <v>82</v>
      </c>
      <c r="AV112" s="13" t="s">
        <v>82</v>
      </c>
      <c r="AW112" s="13" t="s">
        <v>34</v>
      </c>
      <c r="AX112" s="13" t="s">
        <v>72</v>
      </c>
      <c r="AY112" s="203" t="s">
        <v>128</v>
      </c>
    </row>
    <row r="113" spans="1:65" s="13" customFormat="1" ht="10">
      <c r="B113" s="192"/>
      <c r="C113" s="193"/>
      <c r="D113" s="194" t="s">
        <v>139</v>
      </c>
      <c r="E113" s="195" t="s">
        <v>19</v>
      </c>
      <c r="F113" s="196" t="s">
        <v>159</v>
      </c>
      <c r="G113" s="193"/>
      <c r="H113" s="197">
        <v>2.1120000000000001</v>
      </c>
      <c r="I113" s="198"/>
      <c r="J113" s="193"/>
      <c r="K113" s="193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139</v>
      </c>
      <c r="AU113" s="203" t="s">
        <v>82</v>
      </c>
      <c r="AV113" s="13" t="s">
        <v>82</v>
      </c>
      <c r="AW113" s="13" t="s">
        <v>34</v>
      </c>
      <c r="AX113" s="13" t="s">
        <v>72</v>
      </c>
      <c r="AY113" s="203" t="s">
        <v>128</v>
      </c>
    </row>
    <row r="114" spans="1:65" s="13" customFormat="1" ht="10">
      <c r="B114" s="192"/>
      <c r="C114" s="193"/>
      <c r="D114" s="194" t="s">
        <v>139</v>
      </c>
      <c r="E114" s="195" t="s">
        <v>19</v>
      </c>
      <c r="F114" s="196" t="s">
        <v>152</v>
      </c>
      <c r="G114" s="193"/>
      <c r="H114" s="197">
        <v>0.28699999999999998</v>
      </c>
      <c r="I114" s="198"/>
      <c r="J114" s="193"/>
      <c r="K114" s="193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139</v>
      </c>
      <c r="AU114" s="203" t="s">
        <v>82</v>
      </c>
      <c r="AV114" s="13" t="s">
        <v>82</v>
      </c>
      <c r="AW114" s="13" t="s">
        <v>34</v>
      </c>
      <c r="AX114" s="13" t="s">
        <v>72</v>
      </c>
      <c r="AY114" s="203" t="s">
        <v>128</v>
      </c>
    </row>
    <row r="115" spans="1:65" s="14" customFormat="1" ht="10">
      <c r="B115" s="204"/>
      <c r="C115" s="205"/>
      <c r="D115" s="194" t="s">
        <v>139</v>
      </c>
      <c r="E115" s="206" t="s">
        <v>19</v>
      </c>
      <c r="F115" s="207" t="s">
        <v>153</v>
      </c>
      <c r="G115" s="205"/>
      <c r="H115" s="208">
        <v>7.4989999999999997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139</v>
      </c>
      <c r="AU115" s="214" t="s">
        <v>82</v>
      </c>
      <c r="AV115" s="14" t="s">
        <v>135</v>
      </c>
      <c r="AW115" s="14" t="s">
        <v>34</v>
      </c>
      <c r="AX115" s="14" t="s">
        <v>80</v>
      </c>
      <c r="AY115" s="214" t="s">
        <v>128</v>
      </c>
    </row>
    <row r="116" spans="1:65" s="2" customFormat="1" ht="37.75" customHeight="1">
      <c r="A116" s="35"/>
      <c r="B116" s="36"/>
      <c r="C116" s="174" t="s">
        <v>160</v>
      </c>
      <c r="D116" s="174" t="s">
        <v>130</v>
      </c>
      <c r="E116" s="175" t="s">
        <v>161</v>
      </c>
      <c r="F116" s="176" t="s">
        <v>162</v>
      </c>
      <c r="G116" s="177" t="s">
        <v>148</v>
      </c>
      <c r="H116" s="178">
        <v>74.989999999999995</v>
      </c>
      <c r="I116" s="179"/>
      <c r="J116" s="180">
        <f>ROUND(I116*H116,2)</f>
        <v>0</v>
      </c>
      <c r="K116" s="176" t="s">
        <v>134</v>
      </c>
      <c r="L116" s="40"/>
      <c r="M116" s="181" t="s">
        <v>19</v>
      </c>
      <c r="N116" s="182" t="s">
        <v>43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135</v>
      </c>
      <c r="AT116" s="185" t="s">
        <v>130</v>
      </c>
      <c r="AU116" s="185" t="s">
        <v>82</v>
      </c>
      <c r="AY116" s="18" t="s">
        <v>128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80</v>
      </c>
      <c r="BK116" s="186">
        <f>ROUND(I116*H116,2)</f>
        <v>0</v>
      </c>
      <c r="BL116" s="18" t="s">
        <v>135</v>
      </c>
      <c r="BM116" s="185" t="s">
        <v>163</v>
      </c>
    </row>
    <row r="117" spans="1:65" s="2" customFormat="1" ht="10">
      <c r="A117" s="35"/>
      <c r="B117" s="36"/>
      <c r="C117" s="37"/>
      <c r="D117" s="187" t="s">
        <v>137</v>
      </c>
      <c r="E117" s="37"/>
      <c r="F117" s="188" t="s">
        <v>164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137</v>
      </c>
      <c r="AU117" s="18" t="s">
        <v>82</v>
      </c>
    </row>
    <row r="118" spans="1:65" s="13" customFormat="1" ht="10">
      <c r="B118" s="192"/>
      <c r="C118" s="193"/>
      <c r="D118" s="194" t="s">
        <v>139</v>
      </c>
      <c r="E118" s="193"/>
      <c r="F118" s="196" t="s">
        <v>165</v>
      </c>
      <c r="G118" s="193"/>
      <c r="H118" s="197">
        <v>74.989999999999995</v>
      </c>
      <c r="I118" s="198"/>
      <c r="J118" s="193"/>
      <c r="K118" s="193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139</v>
      </c>
      <c r="AU118" s="203" t="s">
        <v>82</v>
      </c>
      <c r="AV118" s="13" t="s">
        <v>82</v>
      </c>
      <c r="AW118" s="13" t="s">
        <v>4</v>
      </c>
      <c r="AX118" s="13" t="s">
        <v>80</v>
      </c>
      <c r="AY118" s="203" t="s">
        <v>128</v>
      </c>
    </row>
    <row r="119" spans="1:65" s="2" customFormat="1" ht="24.15" customHeight="1">
      <c r="A119" s="35"/>
      <c r="B119" s="36"/>
      <c r="C119" s="174" t="s">
        <v>166</v>
      </c>
      <c r="D119" s="174" t="s">
        <v>130</v>
      </c>
      <c r="E119" s="175" t="s">
        <v>167</v>
      </c>
      <c r="F119" s="176" t="s">
        <v>168</v>
      </c>
      <c r="G119" s="177" t="s">
        <v>148</v>
      </c>
      <c r="H119" s="178">
        <v>7.4989999999999997</v>
      </c>
      <c r="I119" s="179"/>
      <c r="J119" s="180">
        <f>ROUND(I119*H119,2)</f>
        <v>0</v>
      </c>
      <c r="K119" s="176" t="s">
        <v>134</v>
      </c>
      <c r="L119" s="40"/>
      <c r="M119" s="181" t="s">
        <v>19</v>
      </c>
      <c r="N119" s="182" t="s">
        <v>43</v>
      </c>
      <c r="O119" s="65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135</v>
      </c>
      <c r="AT119" s="185" t="s">
        <v>130</v>
      </c>
      <c r="AU119" s="185" t="s">
        <v>82</v>
      </c>
      <c r="AY119" s="18" t="s">
        <v>128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80</v>
      </c>
      <c r="BK119" s="186">
        <f>ROUND(I119*H119,2)</f>
        <v>0</v>
      </c>
      <c r="BL119" s="18" t="s">
        <v>135</v>
      </c>
      <c r="BM119" s="185" t="s">
        <v>169</v>
      </c>
    </row>
    <row r="120" spans="1:65" s="2" customFormat="1" ht="10">
      <c r="A120" s="35"/>
      <c r="B120" s="36"/>
      <c r="C120" s="37"/>
      <c r="D120" s="187" t="s">
        <v>137</v>
      </c>
      <c r="E120" s="37"/>
      <c r="F120" s="188" t="s">
        <v>170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137</v>
      </c>
      <c r="AU120" s="18" t="s">
        <v>82</v>
      </c>
    </row>
    <row r="121" spans="1:65" s="13" customFormat="1" ht="10">
      <c r="B121" s="192"/>
      <c r="C121" s="193"/>
      <c r="D121" s="194" t="s">
        <v>139</v>
      </c>
      <c r="E121" s="195" t="s">
        <v>19</v>
      </c>
      <c r="F121" s="196" t="s">
        <v>158</v>
      </c>
      <c r="G121" s="193"/>
      <c r="H121" s="197">
        <v>5.0999999999999996</v>
      </c>
      <c r="I121" s="198"/>
      <c r="J121" s="193"/>
      <c r="K121" s="193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139</v>
      </c>
      <c r="AU121" s="203" t="s">
        <v>82</v>
      </c>
      <c r="AV121" s="13" t="s">
        <v>82</v>
      </c>
      <c r="AW121" s="13" t="s">
        <v>34</v>
      </c>
      <c r="AX121" s="13" t="s">
        <v>72</v>
      </c>
      <c r="AY121" s="203" t="s">
        <v>128</v>
      </c>
    </row>
    <row r="122" spans="1:65" s="13" customFormat="1" ht="10">
      <c r="B122" s="192"/>
      <c r="C122" s="193"/>
      <c r="D122" s="194" t="s">
        <v>139</v>
      </c>
      <c r="E122" s="195" t="s">
        <v>19</v>
      </c>
      <c r="F122" s="196" t="s">
        <v>159</v>
      </c>
      <c r="G122" s="193"/>
      <c r="H122" s="197">
        <v>2.1120000000000001</v>
      </c>
      <c r="I122" s="198"/>
      <c r="J122" s="193"/>
      <c r="K122" s="193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139</v>
      </c>
      <c r="AU122" s="203" t="s">
        <v>82</v>
      </c>
      <c r="AV122" s="13" t="s">
        <v>82</v>
      </c>
      <c r="AW122" s="13" t="s">
        <v>34</v>
      </c>
      <c r="AX122" s="13" t="s">
        <v>72</v>
      </c>
      <c r="AY122" s="203" t="s">
        <v>128</v>
      </c>
    </row>
    <row r="123" spans="1:65" s="13" customFormat="1" ht="10">
      <c r="B123" s="192"/>
      <c r="C123" s="193"/>
      <c r="D123" s="194" t="s">
        <v>139</v>
      </c>
      <c r="E123" s="195" t="s">
        <v>19</v>
      </c>
      <c r="F123" s="196" t="s">
        <v>152</v>
      </c>
      <c r="G123" s="193"/>
      <c r="H123" s="197">
        <v>0.28699999999999998</v>
      </c>
      <c r="I123" s="198"/>
      <c r="J123" s="193"/>
      <c r="K123" s="193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139</v>
      </c>
      <c r="AU123" s="203" t="s">
        <v>82</v>
      </c>
      <c r="AV123" s="13" t="s">
        <v>82</v>
      </c>
      <c r="AW123" s="13" t="s">
        <v>34</v>
      </c>
      <c r="AX123" s="13" t="s">
        <v>72</v>
      </c>
      <c r="AY123" s="203" t="s">
        <v>128</v>
      </c>
    </row>
    <row r="124" spans="1:65" s="14" customFormat="1" ht="10">
      <c r="B124" s="204"/>
      <c r="C124" s="205"/>
      <c r="D124" s="194" t="s">
        <v>139</v>
      </c>
      <c r="E124" s="206" t="s">
        <v>19</v>
      </c>
      <c r="F124" s="207" t="s">
        <v>153</v>
      </c>
      <c r="G124" s="205"/>
      <c r="H124" s="208">
        <v>7.4989999999999997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139</v>
      </c>
      <c r="AU124" s="214" t="s">
        <v>82</v>
      </c>
      <c r="AV124" s="14" t="s">
        <v>135</v>
      </c>
      <c r="AW124" s="14" t="s">
        <v>34</v>
      </c>
      <c r="AX124" s="14" t="s">
        <v>80</v>
      </c>
      <c r="AY124" s="214" t="s">
        <v>128</v>
      </c>
    </row>
    <row r="125" spans="1:65" s="2" customFormat="1" ht="24.15" customHeight="1">
      <c r="A125" s="35"/>
      <c r="B125" s="36"/>
      <c r="C125" s="174" t="s">
        <v>171</v>
      </c>
      <c r="D125" s="174" t="s">
        <v>130</v>
      </c>
      <c r="E125" s="175" t="s">
        <v>172</v>
      </c>
      <c r="F125" s="176" t="s">
        <v>173</v>
      </c>
      <c r="G125" s="177" t="s">
        <v>174</v>
      </c>
      <c r="H125" s="178">
        <v>14.250999999999999</v>
      </c>
      <c r="I125" s="179"/>
      <c r="J125" s="180">
        <f>ROUND(I125*H125,2)</f>
        <v>0</v>
      </c>
      <c r="K125" s="176" t="s">
        <v>134</v>
      </c>
      <c r="L125" s="40"/>
      <c r="M125" s="181" t="s">
        <v>19</v>
      </c>
      <c r="N125" s="182" t="s">
        <v>43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135</v>
      </c>
      <c r="AT125" s="185" t="s">
        <v>130</v>
      </c>
      <c r="AU125" s="185" t="s">
        <v>82</v>
      </c>
      <c r="AY125" s="18" t="s">
        <v>128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80</v>
      </c>
      <c r="BK125" s="186">
        <f>ROUND(I125*H125,2)</f>
        <v>0</v>
      </c>
      <c r="BL125" s="18" t="s">
        <v>135</v>
      </c>
      <c r="BM125" s="185" t="s">
        <v>175</v>
      </c>
    </row>
    <row r="126" spans="1:65" s="2" customFormat="1" ht="10">
      <c r="A126" s="35"/>
      <c r="B126" s="36"/>
      <c r="C126" s="37"/>
      <c r="D126" s="187" t="s">
        <v>137</v>
      </c>
      <c r="E126" s="37"/>
      <c r="F126" s="188" t="s">
        <v>176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137</v>
      </c>
      <c r="AU126" s="18" t="s">
        <v>82</v>
      </c>
    </row>
    <row r="127" spans="1:65" s="13" customFormat="1" ht="10">
      <c r="B127" s="192"/>
      <c r="C127" s="193"/>
      <c r="D127" s="194" t="s">
        <v>139</v>
      </c>
      <c r="E127" s="193"/>
      <c r="F127" s="196" t="s">
        <v>177</v>
      </c>
      <c r="G127" s="193"/>
      <c r="H127" s="197">
        <v>14.250999999999999</v>
      </c>
      <c r="I127" s="198"/>
      <c r="J127" s="193"/>
      <c r="K127" s="193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139</v>
      </c>
      <c r="AU127" s="203" t="s">
        <v>82</v>
      </c>
      <c r="AV127" s="13" t="s">
        <v>82</v>
      </c>
      <c r="AW127" s="13" t="s">
        <v>4</v>
      </c>
      <c r="AX127" s="13" t="s">
        <v>80</v>
      </c>
      <c r="AY127" s="203" t="s">
        <v>128</v>
      </c>
    </row>
    <row r="128" spans="1:65" s="2" customFormat="1" ht="24.15" customHeight="1">
      <c r="A128" s="35"/>
      <c r="B128" s="36"/>
      <c r="C128" s="174" t="s">
        <v>178</v>
      </c>
      <c r="D128" s="174" t="s">
        <v>130</v>
      </c>
      <c r="E128" s="175" t="s">
        <v>179</v>
      </c>
      <c r="F128" s="176" t="s">
        <v>180</v>
      </c>
      <c r="G128" s="177" t="s">
        <v>148</v>
      </c>
      <c r="H128" s="178">
        <v>7.9169999999999998</v>
      </c>
      <c r="I128" s="179"/>
      <c r="J128" s="180">
        <f>ROUND(I128*H128,2)</f>
        <v>0</v>
      </c>
      <c r="K128" s="176" t="s">
        <v>134</v>
      </c>
      <c r="L128" s="40"/>
      <c r="M128" s="181" t="s">
        <v>19</v>
      </c>
      <c r="N128" s="182" t="s">
        <v>43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135</v>
      </c>
      <c r="AT128" s="185" t="s">
        <v>130</v>
      </c>
      <c r="AU128" s="185" t="s">
        <v>82</v>
      </c>
      <c r="AY128" s="18" t="s">
        <v>128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80</v>
      </c>
      <c r="BK128" s="186">
        <f>ROUND(I128*H128,2)</f>
        <v>0</v>
      </c>
      <c r="BL128" s="18" t="s">
        <v>135</v>
      </c>
      <c r="BM128" s="185" t="s">
        <v>181</v>
      </c>
    </row>
    <row r="129" spans="1:65" s="2" customFormat="1" ht="10">
      <c r="A129" s="35"/>
      <c r="B129" s="36"/>
      <c r="C129" s="37"/>
      <c r="D129" s="187" t="s">
        <v>137</v>
      </c>
      <c r="E129" s="37"/>
      <c r="F129" s="188" t="s">
        <v>182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137</v>
      </c>
      <c r="AU129" s="18" t="s">
        <v>82</v>
      </c>
    </row>
    <row r="130" spans="1:65" s="2" customFormat="1" ht="24.15" customHeight="1">
      <c r="A130" s="35"/>
      <c r="B130" s="36"/>
      <c r="C130" s="174" t="s">
        <v>183</v>
      </c>
      <c r="D130" s="174" t="s">
        <v>130</v>
      </c>
      <c r="E130" s="175" t="s">
        <v>184</v>
      </c>
      <c r="F130" s="176" t="s">
        <v>185</v>
      </c>
      <c r="G130" s="177" t="s">
        <v>148</v>
      </c>
      <c r="H130" s="178">
        <v>2.1120000000000001</v>
      </c>
      <c r="I130" s="179"/>
      <c r="J130" s="180">
        <f>ROUND(I130*H130,2)</f>
        <v>0</v>
      </c>
      <c r="K130" s="176" t="s">
        <v>134</v>
      </c>
      <c r="L130" s="40"/>
      <c r="M130" s="181" t="s">
        <v>19</v>
      </c>
      <c r="N130" s="182" t="s">
        <v>43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135</v>
      </c>
      <c r="AT130" s="185" t="s">
        <v>130</v>
      </c>
      <c r="AU130" s="185" t="s">
        <v>82</v>
      </c>
      <c r="AY130" s="18" t="s">
        <v>128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80</v>
      </c>
      <c r="BK130" s="186">
        <f>ROUND(I130*H130,2)</f>
        <v>0</v>
      </c>
      <c r="BL130" s="18" t="s">
        <v>135</v>
      </c>
      <c r="BM130" s="185" t="s">
        <v>186</v>
      </c>
    </row>
    <row r="131" spans="1:65" s="2" customFormat="1" ht="10">
      <c r="A131" s="35"/>
      <c r="B131" s="36"/>
      <c r="C131" s="37"/>
      <c r="D131" s="187" t="s">
        <v>137</v>
      </c>
      <c r="E131" s="37"/>
      <c r="F131" s="188" t="s">
        <v>187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137</v>
      </c>
      <c r="AU131" s="18" t="s">
        <v>82</v>
      </c>
    </row>
    <row r="132" spans="1:65" s="13" customFormat="1" ht="10">
      <c r="B132" s="192"/>
      <c r="C132" s="193"/>
      <c r="D132" s="194" t="s">
        <v>139</v>
      </c>
      <c r="E132" s="195" t="s">
        <v>19</v>
      </c>
      <c r="F132" s="196" t="s">
        <v>188</v>
      </c>
      <c r="G132" s="193"/>
      <c r="H132" s="197">
        <v>2.1120000000000001</v>
      </c>
      <c r="I132" s="198"/>
      <c r="J132" s="193"/>
      <c r="K132" s="193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139</v>
      </c>
      <c r="AU132" s="203" t="s">
        <v>82</v>
      </c>
      <c r="AV132" s="13" t="s">
        <v>82</v>
      </c>
      <c r="AW132" s="13" t="s">
        <v>34</v>
      </c>
      <c r="AX132" s="13" t="s">
        <v>80</v>
      </c>
      <c r="AY132" s="203" t="s">
        <v>128</v>
      </c>
    </row>
    <row r="133" spans="1:65" s="2" customFormat="1" ht="16.5" customHeight="1">
      <c r="A133" s="35"/>
      <c r="B133" s="36"/>
      <c r="C133" s="174" t="s">
        <v>189</v>
      </c>
      <c r="D133" s="174" t="s">
        <v>130</v>
      </c>
      <c r="E133" s="175" t="s">
        <v>190</v>
      </c>
      <c r="F133" s="176" t="s">
        <v>191</v>
      </c>
      <c r="G133" s="177" t="s">
        <v>192</v>
      </c>
      <c r="H133" s="178">
        <v>1</v>
      </c>
      <c r="I133" s="179"/>
      <c r="J133" s="180">
        <f>ROUND(I133*H133,2)</f>
        <v>0</v>
      </c>
      <c r="K133" s="176" t="s">
        <v>19</v>
      </c>
      <c r="L133" s="40"/>
      <c r="M133" s="181" t="s">
        <v>19</v>
      </c>
      <c r="N133" s="182" t="s">
        <v>43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135</v>
      </c>
      <c r="AT133" s="185" t="s">
        <v>130</v>
      </c>
      <c r="AU133" s="185" t="s">
        <v>82</v>
      </c>
      <c r="AY133" s="18" t="s">
        <v>128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80</v>
      </c>
      <c r="BK133" s="186">
        <f>ROUND(I133*H133,2)</f>
        <v>0</v>
      </c>
      <c r="BL133" s="18" t="s">
        <v>135</v>
      </c>
      <c r="BM133" s="185" t="s">
        <v>193</v>
      </c>
    </row>
    <row r="134" spans="1:65" s="12" customFormat="1" ht="22.75" customHeight="1">
      <c r="B134" s="158"/>
      <c r="C134" s="159"/>
      <c r="D134" s="160" t="s">
        <v>71</v>
      </c>
      <c r="E134" s="172" t="s">
        <v>189</v>
      </c>
      <c r="F134" s="172" t="s">
        <v>194</v>
      </c>
      <c r="G134" s="159"/>
      <c r="H134" s="159"/>
      <c r="I134" s="162"/>
      <c r="J134" s="173">
        <f>BK134</f>
        <v>0</v>
      </c>
      <c r="K134" s="159"/>
      <c r="L134" s="164"/>
      <c r="M134" s="165"/>
      <c r="N134" s="166"/>
      <c r="O134" s="166"/>
      <c r="P134" s="167">
        <f>SUM(P135:P227)</f>
        <v>0</v>
      </c>
      <c r="Q134" s="166"/>
      <c r="R134" s="167">
        <f>SUM(R135:R227)</f>
        <v>0</v>
      </c>
      <c r="S134" s="166"/>
      <c r="T134" s="168">
        <f>SUM(T135:T227)</f>
        <v>274.643102</v>
      </c>
      <c r="AR134" s="169" t="s">
        <v>80</v>
      </c>
      <c r="AT134" s="170" t="s">
        <v>71</v>
      </c>
      <c r="AU134" s="170" t="s">
        <v>80</v>
      </c>
      <c r="AY134" s="169" t="s">
        <v>128</v>
      </c>
      <c r="BK134" s="171">
        <f>SUM(BK135:BK227)</f>
        <v>0</v>
      </c>
    </row>
    <row r="135" spans="1:65" s="2" customFormat="1" ht="24.15" customHeight="1">
      <c r="A135" s="35"/>
      <c r="B135" s="36"/>
      <c r="C135" s="174" t="s">
        <v>195</v>
      </c>
      <c r="D135" s="174" t="s">
        <v>130</v>
      </c>
      <c r="E135" s="175" t="s">
        <v>196</v>
      </c>
      <c r="F135" s="176" t="s">
        <v>197</v>
      </c>
      <c r="G135" s="177" t="s">
        <v>148</v>
      </c>
      <c r="H135" s="178">
        <v>236.46600000000001</v>
      </c>
      <c r="I135" s="179"/>
      <c r="J135" s="180">
        <f>ROUND(I135*H135,2)</f>
        <v>0</v>
      </c>
      <c r="K135" s="176" t="s">
        <v>134</v>
      </c>
      <c r="L135" s="40"/>
      <c r="M135" s="181" t="s">
        <v>19</v>
      </c>
      <c r="N135" s="182" t="s">
        <v>43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135</v>
      </c>
      <c r="AT135" s="185" t="s">
        <v>130</v>
      </c>
      <c r="AU135" s="185" t="s">
        <v>82</v>
      </c>
      <c r="AY135" s="18" t="s">
        <v>128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80</v>
      </c>
      <c r="BK135" s="186">
        <f>ROUND(I135*H135,2)</f>
        <v>0</v>
      </c>
      <c r="BL135" s="18" t="s">
        <v>135</v>
      </c>
      <c r="BM135" s="185" t="s">
        <v>198</v>
      </c>
    </row>
    <row r="136" spans="1:65" s="2" customFormat="1" ht="10">
      <c r="A136" s="35"/>
      <c r="B136" s="36"/>
      <c r="C136" s="37"/>
      <c r="D136" s="187" t="s">
        <v>137</v>
      </c>
      <c r="E136" s="37"/>
      <c r="F136" s="188" t="s">
        <v>199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137</v>
      </c>
      <c r="AU136" s="18" t="s">
        <v>82</v>
      </c>
    </row>
    <row r="137" spans="1:65" s="13" customFormat="1" ht="10">
      <c r="B137" s="192"/>
      <c r="C137" s="193"/>
      <c r="D137" s="194" t="s">
        <v>139</v>
      </c>
      <c r="E137" s="195" t="s">
        <v>19</v>
      </c>
      <c r="F137" s="196" t="s">
        <v>200</v>
      </c>
      <c r="G137" s="193"/>
      <c r="H137" s="197">
        <v>236.46600000000001</v>
      </c>
      <c r="I137" s="198"/>
      <c r="J137" s="193"/>
      <c r="K137" s="193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139</v>
      </c>
      <c r="AU137" s="203" t="s">
        <v>82</v>
      </c>
      <c r="AV137" s="13" t="s">
        <v>82</v>
      </c>
      <c r="AW137" s="13" t="s">
        <v>34</v>
      </c>
      <c r="AX137" s="13" t="s">
        <v>80</v>
      </c>
      <c r="AY137" s="203" t="s">
        <v>128</v>
      </c>
    </row>
    <row r="138" spans="1:65" s="2" customFormat="1" ht="24.15" customHeight="1">
      <c r="A138" s="35"/>
      <c r="B138" s="36"/>
      <c r="C138" s="174" t="s">
        <v>201</v>
      </c>
      <c r="D138" s="174" t="s">
        <v>130</v>
      </c>
      <c r="E138" s="175" t="s">
        <v>202</v>
      </c>
      <c r="F138" s="176" t="s">
        <v>203</v>
      </c>
      <c r="G138" s="177" t="s">
        <v>148</v>
      </c>
      <c r="H138" s="178">
        <v>14187.96</v>
      </c>
      <c r="I138" s="179"/>
      <c r="J138" s="180">
        <f>ROUND(I138*H138,2)</f>
        <v>0</v>
      </c>
      <c r="K138" s="176" t="s">
        <v>134</v>
      </c>
      <c r="L138" s="40"/>
      <c r="M138" s="181" t="s">
        <v>19</v>
      </c>
      <c r="N138" s="182" t="s">
        <v>43</v>
      </c>
      <c r="O138" s="65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135</v>
      </c>
      <c r="AT138" s="185" t="s">
        <v>130</v>
      </c>
      <c r="AU138" s="185" t="s">
        <v>82</v>
      </c>
      <c r="AY138" s="18" t="s">
        <v>128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80</v>
      </c>
      <c r="BK138" s="186">
        <f>ROUND(I138*H138,2)</f>
        <v>0</v>
      </c>
      <c r="BL138" s="18" t="s">
        <v>135</v>
      </c>
      <c r="BM138" s="185" t="s">
        <v>204</v>
      </c>
    </row>
    <row r="139" spans="1:65" s="2" customFormat="1" ht="10">
      <c r="A139" s="35"/>
      <c r="B139" s="36"/>
      <c r="C139" s="37"/>
      <c r="D139" s="187" t="s">
        <v>137</v>
      </c>
      <c r="E139" s="37"/>
      <c r="F139" s="188" t="s">
        <v>205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137</v>
      </c>
      <c r="AU139" s="18" t="s">
        <v>82</v>
      </c>
    </row>
    <row r="140" spans="1:65" s="13" customFormat="1" ht="10">
      <c r="B140" s="192"/>
      <c r="C140" s="193"/>
      <c r="D140" s="194" t="s">
        <v>139</v>
      </c>
      <c r="E140" s="193"/>
      <c r="F140" s="196" t="s">
        <v>206</v>
      </c>
      <c r="G140" s="193"/>
      <c r="H140" s="197">
        <v>14187.96</v>
      </c>
      <c r="I140" s="198"/>
      <c r="J140" s="193"/>
      <c r="K140" s="193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139</v>
      </c>
      <c r="AU140" s="203" t="s">
        <v>82</v>
      </c>
      <c r="AV140" s="13" t="s">
        <v>82</v>
      </c>
      <c r="AW140" s="13" t="s">
        <v>4</v>
      </c>
      <c r="AX140" s="13" t="s">
        <v>80</v>
      </c>
      <c r="AY140" s="203" t="s">
        <v>128</v>
      </c>
    </row>
    <row r="141" spans="1:65" s="2" customFormat="1" ht="24.15" customHeight="1">
      <c r="A141" s="35"/>
      <c r="B141" s="36"/>
      <c r="C141" s="174" t="s">
        <v>207</v>
      </c>
      <c r="D141" s="174" t="s">
        <v>130</v>
      </c>
      <c r="E141" s="175" t="s">
        <v>208</v>
      </c>
      <c r="F141" s="176" t="s">
        <v>209</v>
      </c>
      <c r="G141" s="177" t="s">
        <v>148</v>
      </c>
      <c r="H141" s="178">
        <v>236.46600000000001</v>
      </c>
      <c r="I141" s="179"/>
      <c r="J141" s="180">
        <f>ROUND(I141*H141,2)</f>
        <v>0</v>
      </c>
      <c r="K141" s="176" t="s">
        <v>134</v>
      </c>
      <c r="L141" s="40"/>
      <c r="M141" s="181" t="s">
        <v>19</v>
      </c>
      <c r="N141" s="182" t="s">
        <v>43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135</v>
      </c>
      <c r="AT141" s="185" t="s">
        <v>130</v>
      </c>
      <c r="AU141" s="185" t="s">
        <v>82</v>
      </c>
      <c r="AY141" s="18" t="s">
        <v>128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80</v>
      </c>
      <c r="BK141" s="186">
        <f>ROUND(I141*H141,2)</f>
        <v>0</v>
      </c>
      <c r="BL141" s="18" t="s">
        <v>135</v>
      </c>
      <c r="BM141" s="185" t="s">
        <v>210</v>
      </c>
    </row>
    <row r="142" spans="1:65" s="2" customFormat="1" ht="10">
      <c r="A142" s="35"/>
      <c r="B142" s="36"/>
      <c r="C142" s="37"/>
      <c r="D142" s="187" t="s">
        <v>137</v>
      </c>
      <c r="E142" s="37"/>
      <c r="F142" s="188" t="s">
        <v>211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137</v>
      </c>
      <c r="AU142" s="18" t="s">
        <v>82</v>
      </c>
    </row>
    <row r="143" spans="1:65" s="2" customFormat="1" ht="24.15" customHeight="1">
      <c r="A143" s="35"/>
      <c r="B143" s="36"/>
      <c r="C143" s="174" t="s">
        <v>212</v>
      </c>
      <c r="D143" s="174" t="s">
        <v>130</v>
      </c>
      <c r="E143" s="175" t="s">
        <v>213</v>
      </c>
      <c r="F143" s="176" t="s">
        <v>214</v>
      </c>
      <c r="G143" s="177" t="s">
        <v>133</v>
      </c>
      <c r="H143" s="178">
        <v>128.76</v>
      </c>
      <c r="I143" s="179"/>
      <c r="J143" s="180">
        <f>ROUND(I143*H143,2)</f>
        <v>0</v>
      </c>
      <c r="K143" s="176" t="s">
        <v>134</v>
      </c>
      <c r="L143" s="40"/>
      <c r="M143" s="181" t="s">
        <v>19</v>
      </c>
      <c r="N143" s="182" t="s">
        <v>43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0.26100000000000001</v>
      </c>
      <c r="T143" s="184">
        <f>S143*H143</f>
        <v>33.606360000000002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135</v>
      </c>
      <c r="AT143" s="185" t="s">
        <v>130</v>
      </c>
      <c r="AU143" s="185" t="s">
        <v>82</v>
      </c>
      <c r="AY143" s="18" t="s">
        <v>128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80</v>
      </c>
      <c r="BK143" s="186">
        <f>ROUND(I143*H143,2)</f>
        <v>0</v>
      </c>
      <c r="BL143" s="18" t="s">
        <v>135</v>
      </c>
      <c r="BM143" s="185" t="s">
        <v>215</v>
      </c>
    </row>
    <row r="144" spans="1:65" s="2" customFormat="1" ht="10">
      <c r="A144" s="35"/>
      <c r="B144" s="36"/>
      <c r="C144" s="37"/>
      <c r="D144" s="187" t="s">
        <v>137</v>
      </c>
      <c r="E144" s="37"/>
      <c r="F144" s="188" t="s">
        <v>216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137</v>
      </c>
      <c r="AU144" s="18" t="s">
        <v>82</v>
      </c>
    </row>
    <row r="145" spans="1:65" s="13" customFormat="1" ht="10">
      <c r="B145" s="192"/>
      <c r="C145" s="193"/>
      <c r="D145" s="194" t="s">
        <v>139</v>
      </c>
      <c r="E145" s="195" t="s">
        <v>19</v>
      </c>
      <c r="F145" s="196" t="s">
        <v>217</v>
      </c>
      <c r="G145" s="193"/>
      <c r="H145" s="197">
        <v>128.76</v>
      </c>
      <c r="I145" s="198"/>
      <c r="J145" s="193"/>
      <c r="K145" s="193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139</v>
      </c>
      <c r="AU145" s="203" t="s">
        <v>82</v>
      </c>
      <c r="AV145" s="13" t="s">
        <v>82</v>
      </c>
      <c r="AW145" s="13" t="s">
        <v>34</v>
      </c>
      <c r="AX145" s="13" t="s">
        <v>80</v>
      </c>
      <c r="AY145" s="203" t="s">
        <v>128</v>
      </c>
    </row>
    <row r="146" spans="1:65" s="2" customFormat="1" ht="24.15" customHeight="1">
      <c r="A146" s="35"/>
      <c r="B146" s="36"/>
      <c r="C146" s="174" t="s">
        <v>218</v>
      </c>
      <c r="D146" s="174" t="s">
        <v>130</v>
      </c>
      <c r="E146" s="175" t="s">
        <v>219</v>
      </c>
      <c r="F146" s="176" t="s">
        <v>220</v>
      </c>
      <c r="G146" s="177" t="s">
        <v>148</v>
      </c>
      <c r="H146" s="178">
        <v>39.476999999999997</v>
      </c>
      <c r="I146" s="179"/>
      <c r="J146" s="180">
        <f>ROUND(I146*H146,2)</f>
        <v>0</v>
      </c>
      <c r="K146" s="176" t="s">
        <v>134</v>
      </c>
      <c r="L146" s="40"/>
      <c r="M146" s="181" t="s">
        <v>19</v>
      </c>
      <c r="N146" s="182" t="s">
        <v>43</v>
      </c>
      <c r="O146" s="65"/>
      <c r="P146" s="183">
        <f>O146*H146</f>
        <v>0</v>
      </c>
      <c r="Q146" s="183">
        <v>0</v>
      </c>
      <c r="R146" s="183">
        <f>Q146*H146</f>
        <v>0</v>
      </c>
      <c r="S146" s="183">
        <v>1.8</v>
      </c>
      <c r="T146" s="184">
        <f>S146*H146</f>
        <v>71.058599999999998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135</v>
      </c>
      <c r="AT146" s="185" t="s">
        <v>130</v>
      </c>
      <c r="AU146" s="185" t="s">
        <v>82</v>
      </c>
      <c r="AY146" s="18" t="s">
        <v>128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80</v>
      </c>
      <c r="BK146" s="186">
        <f>ROUND(I146*H146,2)</f>
        <v>0</v>
      </c>
      <c r="BL146" s="18" t="s">
        <v>135</v>
      </c>
      <c r="BM146" s="185" t="s">
        <v>221</v>
      </c>
    </row>
    <row r="147" spans="1:65" s="2" customFormat="1" ht="10">
      <c r="A147" s="35"/>
      <c r="B147" s="36"/>
      <c r="C147" s="37"/>
      <c r="D147" s="187" t="s">
        <v>137</v>
      </c>
      <c r="E147" s="37"/>
      <c r="F147" s="188" t="s">
        <v>222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137</v>
      </c>
      <c r="AU147" s="18" t="s">
        <v>82</v>
      </c>
    </row>
    <row r="148" spans="1:65" s="13" customFormat="1" ht="10">
      <c r="B148" s="192"/>
      <c r="C148" s="193"/>
      <c r="D148" s="194" t="s">
        <v>139</v>
      </c>
      <c r="E148" s="195" t="s">
        <v>19</v>
      </c>
      <c r="F148" s="196" t="s">
        <v>223</v>
      </c>
      <c r="G148" s="193"/>
      <c r="H148" s="197">
        <v>12.156000000000001</v>
      </c>
      <c r="I148" s="198"/>
      <c r="J148" s="193"/>
      <c r="K148" s="193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139</v>
      </c>
      <c r="AU148" s="203" t="s">
        <v>82</v>
      </c>
      <c r="AV148" s="13" t="s">
        <v>82</v>
      </c>
      <c r="AW148" s="13" t="s">
        <v>34</v>
      </c>
      <c r="AX148" s="13" t="s">
        <v>72</v>
      </c>
      <c r="AY148" s="203" t="s">
        <v>128</v>
      </c>
    </row>
    <row r="149" spans="1:65" s="13" customFormat="1" ht="10">
      <c r="B149" s="192"/>
      <c r="C149" s="193"/>
      <c r="D149" s="194" t="s">
        <v>139</v>
      </c>
      <c r="E149" s="195" t="s">
        <v>19</v>
      </c>
      <c r="F149" s="196" t="s">
        <v>224</v>
      </c>
      <c r="G149" s="193"/>
      <c r="H149" s="197">
        <v>27.321000000000002</v>
      </c>
      <c r="I149" s="198"/>
      <c r="J149" s="193"/>
      <c r="K149" s="193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139</v>
      </c>
      <c r="AU149" s="203" t="s">
        <v>82</v>
      </c>
      <c r="AV149" s="13" t="s">
        <v>82</v>
      </c>
      <c r="AW149" s="13" t="s">
        <v>34</v>
      </c>
      <c r="AX149" s="13" t="s">
        <v>72</v>
      </c>
      <c r="AY149" s="203" t="s">
        <v>128</v>
      </c>
    </row>
    <row r="150" spans="1:65" s="14" customFormat="1" ht="10">
      <c r="B150" s="204"/>
      <c r="C150" s="205"/>
      <c r="D150" s="194" t="s">
        <v>139</v>
      </c>
      <c r="E150" s="206" t="s">
        <v>19</v>
      </c>
      <c r="F150" s="207" t="s">
        <v>153</v>
      </c>
      <c r="G150" s="205"/>
      <c r="H150" s="208">
        <v>39.476999999999997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139</v>
      </c>
      <c r="AU150" s="214" t="s">
        <v>82</v>
      </c>
      <c r="AV150" s="14" t="s">
        <v>135</v>
      </c>
      <c r="AW150" s="14" t="s">
        <v>34</v>
      </c>
      <c r="AX150" s="14" t="s">
        <v>80</v>
      </c>
      <c r="AY150" s="214" t="s">
        <v>128</v>
      </c>
    </row>
    <row r="151" spans="1:65" s="2" customFormat="1" ht="24.15" customHeight="1">
      <c r="A151" s="35"/>
      <c r="B151" s="36"/>
      <c r="C151" s="174" t="s">
        <v>8</v>
      </c>
      <c r="D151" s="174" t="s">
        <v>130</v>
      </c>
      <c r="E151" s="175" t="s">
        <v>225</v>
      </c>
      <c r="F151" s="176" t="s">
        <v>226</v>
      </c>
      <c r="G151" s="177" t="s">
        <v>148</v>
      </c>
      <c r="H151" s="178">
        <v>8.0630000000000006</v>
      </c>
      <c r="I151" s="179"/>
      <c r="J151" s="180">
        <f>ROUND(I151*H151,2)</f>
        <v>0</v>
      </c>
      <c r="K151" s="176" t="s">
        <v>134</v>
      </c>
      <c r="L151" s="40"/>
      <c r="M151" s="181" t="s">
        <v>19</v>
      </c>
      <c r="N151" s="182" t="s">
        <v>43</v>
      </c>
      <c r="O151" s="65"/>
      <c r="P151" s="183">
        <f>O151*H151</f>
        <v>0</v>
      </c>
      <c r="Q151" s="183">
        <v>0</v>
      </c>
      <c r="R151" s="183">
        <f>Q151*H151</f>
        <v>0</v>
      </c>
      <c r="S151" s="183">
        <v>1.5940000000000001</v>
      </c>
      <c r="T151" s="184">
        <f>S151*H151</f>
        <v>12.852422000000002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135</v>
      </c>
      <c r="AT151" s="185" t="s">
        <v>130</v>
      </c>
      <c r="AU151" s="185" t="s">
        <v>82</v>
      </c>
      <c r="AY151" s="18" t="s">
        <v>128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80</v>
      </c>
      <c r="BK151" s="186">
        <f>ROUND(I151*H151,2)</f>
        <v>0</v>
      </c>
      <c r="BL151" s="18" t="s">
        <v>135</v>
      </c>
      <c r="BM151" s="185" t="s">
        <v>227</v>
      </c>
    </row>
    <row r="152" spans="1:65" s="2" customFormat="1" ht="10">
      <c r="A152" s="35"/>
      <c r="B152" s="36"/>
      <c r="C152" s="37"/>
      <c r="D152" s="187" t="s">
        <v>137</v>
      </c>
      <c r="E152" s="37"/>
      <c r="F152" s="188" t="s">
        <v>228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137</v>
      </c>
      <c r="AU152" s="18" t="s">
        <v>82</v>
      </c>
    </row>
    <row r="153" spans="1:65" s="13" customFormat="1" ht="10">
      <c r="B153" s="192"/>
      <c r="C153" s="193"/>
      <c r="D153" s="194" t="s">
        <v>139</v>
      </c>
      <c r="E153" s="195" t="s">
        <v>19</v>
      </c>
      <c r="F153" s="196" t="s">
        <v>229</v>
      </c>
      <c r="G153" s="193"/>
      <c r="H153" s="197">
        <v>8.0630000000000006</v>
      </c>
      <c r="I153" s="198"/>
      <c r="J153" s="193"/>
      <c r="K153" s="193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139</v>
      </c>
      <c r="AU153" s="203" t="s">
        <v>82</v>
      </c>
      <c r="AV153" s="13" t="s">
        <v>82</v>
      </c>
      <c r="AW153" s="13" t="s">
        <v>34</v>
      </c>
      <c r="AX153" s="13" t="s">
        <v>80</v>
      </c>
      <c r="AY153" s="203" t="s">
        <v>128</v>
      </c>
    </row>
    <row r="154" spans="1:65" s="2" customFormat="1" ht="21.75" customHeight="1">
      <c r="A154" s="35"/>
      <c r="B154" s="36"/>
      <c r="C154" s="174" t="s">
        <v>230</v>
      </c>
      <c r="D154" s="174" t="s">
        <v>130</v>
      </c>
      <c r="E154" s="175" t="s">
        <v>231</v>
      </c>
      <c r="F154" s="176" t="s">
        <v>232</v>
      </c>
      <c r="G154" s="177" t="s">
        <v>148</v>
      </c>
      <c r="H154" s="178">
        <v>0.33300000000000002</v>
      </c>
      <c r="I154" s="179"/>
      <c r="J154" s="180">
        <f>ROUND(I154*H154,2)</f>
        <v>0</v>
      </c>
      <c r="K154" s="176" t="s">
        <v>134</v>
      </c>
      <c r="L154" s="40"/>
      <c r="M154" s="181" t="s">
        <v>19</v>
      </c>
      <c r="N154" s="182" t="s">
        <v>43</v>
      </c>
      <c r="O154" s="65"/>
      <c r="P154" s="183">
        <f>O154*H154</f>
        <v>0</v>
      </c>
      <c r="Q154" s="183">
        <v>0</v>
      </c>
      <c r="R154" s="183">
        <f>Q154*H154</f>
        <v>0</v>
      </c>
      <c r="S154" s="183">
        <v>2.4</v>
      </c>
      <c r="T154" s="184">
        <f>S154*H154</f>
        <v>0.79920000000000002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135</v>
      </c>
      <c r="AT154" s="185" t="s">
        <v>130</v>
      </c>
      <c r="AU154" s="185" t="s">
        <v>82</v>
      </c>
      <c r="AY154" s="18" t="s">
        <v>128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80</v>
      </c>
      <c r="BK154" s="186">
        <f>ROUND(I154*H154,2)</f>
        <v>0</v>
      </c>
      <c r="BL154" s="18" t="s">
        <v>135</v>
      </c>
      <c r="BM154" s="185" t="s">
        <v>233</v>
      </c>
    </row>
    <row r="155" spans="1:65" s="2" customFormat="1" ht="10">
      <c r="A155" s="35"/>
      <c r="B155" s="36"/>
      <c r="C155" s="37"/>
      <c r="D155" s="187" t="s">
        <v>137</v>
      </c>
      <c r="E155" s="37"/>
      <c r="F155" s="188" t="s">
        <v>234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137</v>
      </c>
      <c r="AU155" s="18" t="s">
        <v>82</v>
      </c>
    </row>
    <row r="156" spans="1:65" s="13" customFormat="1" ht="10">
      <c r="B156" s="192"/>
      <c r="C156" s="193"/>
      <c r="D156" s="194" t="s">
        <v>139</v>
      </c>
      <c r="E156" s="195" t="s">
        <v>19</v>
      </c>
      <c r="F156" s="196" t="s">
        <v>235</v>
      </c>
      <c r="G156" s="193"/>
      <c r="H156" s="197">
        <v>0.33300000000000002</v>
      </c>
      <c r="I156" s="198"/>
      <c r="J156" s="193"/>
      <c r="K156" s="193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139</v>
      </c>
      <c r="AU156" s="203" t="s">
        <v>82</v>
      </c>
      <c r="AV156" s="13" t="s">
        <v>82</v>
      </c>
      <c r="AW156" s="13" t="s">
        <v>34</v>
      </c>
      <c r="AX156" s="13" t="s">
        <v>80</v>
      </c>
      <c r="AY156" s="203" t="s">
        <v>128</v>
      </c>
    </row>
    <row r="157" spans="1:65" s="2" customFormat="1" ht="16.5" customHeight="1">
      <c r="A157" s="35"/>
      <c r="B157" s="36"/>
      <c r="C157" s="174" t="s">
        <v>236</v>
      </c>
      <c r="D157" s="174" t="s">
        <v>130</v>
      </c>
      <c r="E157" s="175" t="s">
        <v>237</v>
      </c>
      <c r="F157" s="176" t="s">
        <v>238</v>
      </c>
      <c r="G157" s="177" t="s">
        <v>148</v>
      </c>
      <c r="H157" s="178">
        <v>13.606</v>
      </c>
      <c r="I157" s="179"/>
      <c r="J157" s="180">
        <f>ROUND(I157*H157,2)</f>
        <v>0</v>
      </c>
      <c r="K157" s="176" t="s">
        <v>134</v>
      </c>
      <c r="L157" s="40"/>
      <c r="M157" s="181" t="s">
        <v>19</v>
      </c>
      <c r="N157" s="182" t="s">
        <v>43</v>
      </c>
      <c r="O157" s="65"/>
      <c r="P157" s="183">
        <f>O157*H157</f>
        <v>0</v>
      </c>
      <c r="Q157" s="183">
        <v>0</v>
      </c>
      <c r="R157" s="183">
        <f>Q157*H157</f>
        <v>0</v>
      </c>
      <c r="S157" s="183">
        <v>1.6</v>
      </c>
      <c r="T157" s="184">
        <f>S157*H157</f>
        <v>21.769600000000001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135</v>
      </c>
      <c r="AT157" s="185" t="s">
        <v>130</v>
      </c>
      <c r="AU157" s="185" t="s">
        <v>82</v>
      </c>
      <c r="AY157" s="18" t="s">
        <v>128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80</v>
      </c>
      <c r="BK157" s="186">
        <f>ROUND(I157*H157,2)</f>
        <v>0</v>
      </c>
      <c r="BL157" s="18" t="s">
        <v>135</v>
      </c>
      <c r="BM157" s="185" t="s">
        <v>239</v>
      </c>
    </row>
    <row r="158" spans="1:65" s="2" customFormat="1" ht="10">
      <c r="A158" s="35"/>
      <c r="B158" s="36"/>
      <c r="C158" s="37"/>
      <c r="D158" s="187" t="s">
        <v>137</v>
      </c>
      <c r="E158" s="37"/>
      <c r="F158" s="188" t="s">
        <v>240</v>
      </c>
      <c r="G158" s="37"/>
      <c r="H158" s="37"/>
      <c r="I158" s="189"/>
      <c r="J158" s="37"/>
      <c r="K158" s="37"/>
      <c r="L158" s="40"/>
      <c r="M158" s="190"/>
      <c r="N158" s="191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137</v>
      </c>
      <c r="AU158" s="18" t="s">
        <v>82</v>
      </c>
    </row>
    <row r="159" spans="1:65" s="13" customFormat="1" ht="10">
      <c r="B159" s="192"/>
      <c r="C159" s="193"/>
      <c r="D159" s="194" t="s">
        <v>139</v>
      </c>
      <c r="E159" s="195" t="s">
        <v>19</v>
      </c>
      <c r="F159" s="196" t="s">
        <v>241</v>
      </c>
      <c r="G159" s="193"/>
      <c r="H159" s="197">
        <v>13.606</v>
      </c>
      <c r="I159" s="198"/>
      <c r="J159" s="193"/>
      <c r="K159" s="193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139</v>
      </c>
      <c r="AU159" s="203" t="s">
        <v>82</v>
      </c>
      <c r="AV159" s="13" t="s">
        <v>82</v>
      </c>
      <c r="AW159" s="13" t="s">
        <v>34</v>
      </c>
      <c r="AX159" s="13" t="s">
        <v>80</v>
      </c>
      <c r="AY159" s="203" t="s">
        <v>128</v>
      </c>
    </row>
    <row r="160" spans="1:65" s="2" customFormat="1" ht="24.15" customHeight="1">
      <c r="A160" s="35"/>
      <c r="B160" s="36"/>
      <c r="C160" s="174" t="s">
        <v>242</v>
      </c>
      <c r="D160" s="174" t="s">
        <v>130</v>
      </c>
      <c r="E160" s="175" t="s">
        <v>243</v>
      </c>
      <c r="F160" s="176" t="s">
        <v>244</v>
      </c>
      <c r="G160" s="177" t="s">
        <v>133</v>
      </c>
      <c r="H160" s="178">
        <v>516.75</v>
      </c>
      <c r="I160" s="179"/>
      <c r="J160" s="180">
        <f>ROUND(I160*H160,2)</f>
        <v>0</v>
      </c>
      <c r="K160" s="176" t="s">
        <v>134</v>
      </c>
      <c r="L160" s="40"/>
      <c r="M160" s="181" t="s">
        <v>19</v>
      </c>
      <c r="N160" s="182" t="s">
        <v>43</v>
      </c>
      <c r="O160" s="65"/>
      <c r="P160" s="183">
        <f>O160*H160</f>
        <v>0</v>
      </c>
      <c r="Q160" s="183">
        <v>0</v>
      </c>
      <c r="R160" s="183">
        <f>Q160*H160</f>
        <v>0</v>
      </c>
      <c r="S160" s="183">
        <v>4.4999999999999998E-2</v>
      </c>
      <c r="T160" s="184">
        <f>S160*H160</f>
        <v>23.25375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135</v>
      </c>
      <c r="AT160" s="185" t="s">
        <v>130</v>
      </c>
      <c r="AU160" s="185" t="s">
        <v>82</v>
      </c>
      <c r="AY160" s="18" t="s">
        <v>128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8" t="s">
        <v>80</v>
      </c>
      <c r="BK160" s="186">
        <f>ROUND(I160*H160,2)</f>
        <v>0</v>
      </c>
      <c r="BL160" s="18" t="s">
        <v>135</v>
      </c>
      <c r="BM160" s="185" t="s">
        <v>245</v>
      </c>
    </row>
    <row r="161" spans="1:65" s="2" customFormat="1" ht="10">
      <c r="A161" s="35"/>
      <c r="B161" s="36"/>
      <c r="C161" s="37"/>
      <c r="D161" s="187" t="s">
        <v>137</v>
      </c>
      <c r="E161" s="37"/>
      <c r="F161" s="188" t="s">
        <v>246</v>
      </c>
      <c r="G161" s="37"/>
      <c r="H161" s="37"/>
      <c r="I161" s="189"/>
      <c r="J161" s="37"/>
      <c r="K161" s="37"/>
      <c r="L161" s="40"/>
      <c r="M161" s="190"/>
      <c r="N161" s="191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137</v>
      </c>
      <c r="AU161" s="18" t="s">
        <v>82</v>
      </c>
    </row>
    <row r="162" spans="1:65" s="13" customFormat="1" ht="10">
      <c r="B162" s="192"/>
      <c r="C162" s="193"/>
      <c r="D162" s="194" t="s">
        <v>139</v>
      </c>
      <c r="E162" s="195" t="s">
        <v>19</v>
      </c>
      <c r="F162" s="196" t="s">
        <v>247</v>
      </c>
      <c r="G162" s="193"/>
      <c r="H162" s="197">
        <v>544.25</v>
      </c>
      <c r="I162" s="198"/>
      <c r="J162" s="193"/>
      <c r="K162" s="193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139</v>
      </c>
      <c r="AU162" s="203" t="s">
        <v>82</v>
      </c>
      <c r="AV162" s="13" t="s">
        <v>82</v>
      </c>
      <c r="AW162" s="13" t="s">
        <v>34</v>
      </c>
      <c r="AX162" s="13" t="s">
        <v>72</v>
      </c>
      <c r="AY162" s="203" t="s">
        <v>128</v>
      </c>
    </row>
    <row r="163" spans="1:65" s="13" customFormat="1" ht="10">
      <c r="B163" s="192"/>
      <c r="C163" s="193"/>
      <c r="D163" s="194" t="s">
        <v>139</v>
      </c>
      <c r="E163" s="195" t="s">
        <v>19</v>
      </c>
      <c r="F163" s="196" t="s">
        <v>248</v>
      </c>
      <c r="G163" s="193"/>
      <c r="H163" s="197">
        <v>-27.5</v>
      </c>
      <c r="I163" s="198"/>
      <c r="J163" s="193"/>
      <c r="K163" s="193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139</v>
      </c>
      <c r="AU163" s="203" t="s">
        <v>82</v>
      </c>
      <c r="AV163" s="13" t="s">
        <v>82</v>
      </c>
      <c r="AW163" s="13" t="s">
        <v>34</v>
      </c>
      <c r="AX163" s="13" t="s">
        <v>72</v>
      </c>
      <c r="AY163" s="203" t="s">
        <v>128</v>
      </c>
    </row>
    <row r="164" spans="1:65" s="14" customFormat="1" ht="10">
      <c r="B164" s="204"/>
      <c r="C164" s="205"/>
      <c r="D164" s="194" t="s">
        <v>139</v>
      </c>
      <c r="E164" s="206" t="s">
        <v>19</v>
      </c>
      <c r="F164" s="207" t="s">
        <v>153</v>
      </c>
      <c r="G164" s="205"/>
      <c r="H164" s="208">
        <v>516.75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139</v>
      </c>
      <c r="AU164" s="214" t="s">
        <v>82</v>
      </c>
      <c r="AV164" s="14" t="s">
        <v>135</v>
      </c>
      <c r="AW164" s="14" t="s">
        <v>34</v>
      </c>
      <c r="AX164" s="14" t="s">
        <v>80</v>
      </c>
      <c r="AY164" s="214" t="s">
        <v>128</v>
      </c>
    </row>
    <row r="165" spans="1:65" s="2" customFormat="1" ht="21.75" customHeight="1">
      <c r="A165" s="35"/>
      <c r="B165" s="36"/>
      <c r="C165" s="174" t="s">
        <v>249</v>
      </c>
      <c r="D165" s="174" t="s">
        <v>130</v>
      </c>
      <c r="E165" s="175" t="s">
        <v>250</v>
      </c>
      <c r="F165" s="176" t="s">
        <v>251</v>
      </c>
      <c r="G165" s="177" t="s">
        <v>148</v>
      </c>
      <c r="H165" s="178">
        <v>38.097999999999999</v>
      </c>
      <c r="I165" s="179"/>
      <c r="J165" s="180">
        <f>ROUND(I165*H165,2)</f>
        <v>0</v>
      </c>
      <c r="K165" s="176" t="s">
        <v>134</v>
      </c>
      <c r="L165" s="40"/>
      <c r="M165" s="181" t="s">
        <v>19</v>
      </c>
      <c r="N165" s="182" t="s">
        <v>43</v>
      </c>
      <c r="O165" s="65"/>
      <c r="P165" s="183">
        <f>O165*H165</f>
        <v>0</v>
      </c>
      <c r="Q165" s="183">
        <v>0</v>
      </c>
      <c r="R165" s="183">
        <f>Q165*H165</f>
        <v>0</v>
      </c>
      <c r="S165" s="183">
        <v>1.4</v>
      </c>
      <c r="T165" s="184">
        <f>S165*H165</f>
        <v>53.337199999999996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135</v>
      </c>
      <c r="AT165" s="185" t="s">
        <v>130</v>
      </c>
      <c r="AU165" s="185" t="s">
        <v>82</v>
      </c>
      <c r="AY165" s="18" t="s">
        <v>128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80</v>
      </c>
      <c r="BK165" s="186">
        <f>ROUND(I165*H165,2)</f>
        <v>0</v>
      </c>
      <c r="BL165" s="18" t="s">
        <v>135</v>
      </c>
      <c r="BM165" s="185" t="s">
        <v>252</v>
      </c>
    </row>
    <row r="166" spans="1:65" s="2" customFormat="1" ht="10">
      <c r="A166" s="35"/>
      <c r="B166" s="36"/>
      <c r="C166" s="37"/>
      <c r="D166" s="187" t="s">
        <v>137</v>
      </c>
      <c r="E166" s="37"/>
      <c r="F166" s="188" t="s">
        <v>253</v>
      </c>
      <c r="G166" s="37"/>
      <c r="H166" s="37"/>
      <c r="I166" s="189"/>
      <c r="J166" s="37"/>
      <c r="K166" s="37"/>
      <c r="L166" s="40"/>
      <c r="M166" s="190"/>
      <c r="N166" s="191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137</v>
      </c>
      <c r="AU166" s="18" t="s">
        <v>82</v>
      </c>
    </row>
    <row r="167" spans="1:65" s="13" customFormat="1" ht="10">
      <c r="B167" s="192"/>
      <c r="C167" s="193"/>
      <c r="D167" s="194" t="s">
        <v>139</v>
      </c>
      <c r="E167" s="195" t="s">
        <v>19</v>
      </c>
      <c r="F167" s="196" t="s">
        <v>254</v>
      </c>
      <c r="G167" s="193"/>
      <c r="H167" s="197">
        <v>38.097999999999999</v>
      </c>
      <c r="I167" s="198"/>
      <c r="J167" s="193"/>
      <c r="K167" s="193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139</v>
      </c>
      <c r="AU167" s="203" t="s">
        <v>82</v>
      </c>
      <c r="AV167" s="13" t="s">
        <v>82</v>
      </c>
      <c r="AW167" s="13" t="s">
        <v>34</v>
      </c>
      <c r="AX167" s="13" t="s">
        <v>80</v>
      </c>
      <c r="AY167" s="203" t="s">
        <v>128</v>
      </c>
    </row>
    <row r="168" spans="1:65" s="2" customFormat="1" ht="16.5" customHeight="1">
      <c r="A168" s="35"/>
      <c r="B168" s="36"/>
      <c r="C168" s="174" t="s">
        <v>255</v>
      </c>
      <c r="D168" s="174" t="s">
        <v>130</v>
      </c>
      <c r="E168" s="175" t="s">
        <v>256</v>
      </c>
      <c r="F168" s="176" t="s">
        <v>257</v>
      </c>
      <c r="G168" s="177" t="s">
        <v>258</v>
      </c>
      <c r="H168" s="178">
        <v>13.638</v>
      </c>
      <c r="I168" s="179"/>
      <c r="J168" s="180">
        <f>ROUND(I168*H168,2)</f>
        <v>0</v>
      </c>
      <c r="K168" s="176" t="s">
        <v>134</v>
      </c>
      <c r="L168" s="40"/>
      <c r="M168" s="181" t="s">
        <v>19</v>
      </c>
      <c r="N168" s="182" t="s">
        <v>43</v>
      </c>
      <c r="O168" s="65"/>
      <c r="P168" s="183">
        <f>O168*H168</f>
        <v>0</v>
      </c>
      <c r="Q168" s="183">
        <v>0</v>
      </c>
      <c r="R168" s="183">
        <f>Q168*H168</f>
        <v>0</v>
      </c>
      <c r="S168" s="183">
        <v>8.2000000000000003E-2</v>
      </c>
      <c r="T168" s="184">
        <f>S168*H168</f>
        <v>1.1183160000000001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135</v>
      </c>
      <c r="AT168" s="185" t="s">
        <v>130</v>
      </c>
      <c r="AU168" s="185" t="s">
        <v>82</v>
      </c>
      <c r="AY168" s="18" t="s">
        <v>128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8" t="s">
        <v>80</v>
      </c>
      <c r="BK168" s="186">
        <f>ROUND(I168*H168,2)</f>
        <v>0</v>
      </c>
      <c r="BL168" s="18" t="s">
        <v>135</v>
      </c>
      <c r="BM168" s="185" t="s">
        <v>259</v>
      </c>
    </row>
    <row r="169" spans="1:65" s="2" customFormat="1" ht="10">
      <c r="A169" s="35"/>
      <c r="B169" s="36"/>
      <c r="C169" s="37"/>
      <c r="D169" s="187" t="s">
        <v>137</v>
      </c>
      <c r="E169" s="37"/>
      <c r="F169" s="188" t="s">
        <v>260</v>
      </c>
      <c r="G169" s="37"/>
      <c r="H169" s="37"/>
      <c r="I169" s="189"/>
      <c r="J169" s="37"/>
      <c r="K169" s="37"/>
      <c r="L169" s="40"/>
      <c r="M169" s="190"/>
      <c r="N169" s="191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137</v>
      </c>
      <c r="AU169" s="18" t="s">
        <v>82</v>
      </c>
    </row>
    <row r="170" spans="1:65" s="13" customFormat="1" ht="10">
      <c r="B170" s="192"/>
      <c r="C170" s="193"/>
      <c r="D170" s="194" t="s">
        <v>139</v>
      </c>
      <c r="E170" s="195" t="s">
        <v>19</v>
      </c>
      <c r="F170" s="196" t="s">
        <v>261</v>
      </c>
      <c r="G170" s="193"/>
      <c r="H170" s="197">
        <v>13.638</v>
      </c>
      <c r="I170" s="198"/>
      <c r="J170" s="193"/>
      <c r="K170" s="193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139</v>
      </c>
      <c r="AU170" s="203" t="s">
        <v>82</v>
      </c>
      <c r="AV170" s="13" t="s">
        <v>82</v>
      </c>
      <c r="AW170" s="13" t="s">
        <v>34</v>
      </c>
      <c r="AX170" s="13" t="s">
        <v>80</v>
      </c>
      <c r="AY170" s="203" t="s">
        <v>128</v>
      </c>
    </row>
    <row r="171" spans="1:65" s="2" customFormat="1" ht="16.5" customHeight="1">
      <c r="A171" s="35"/>
      <c r="B171" s="36"/>
      <c r="C171" s="174" t="s">
        <v>7</v>
      </c>
      <c r="D171" s="174" t="s">
        <v>130</v>
      </c>
      <c r="E171" s="175" t="s">
        <v>262</v>
      </c>
      <c r="F171" s="176" t="s">
        <v>263</v>
      </c>
      <c r="G171" s="177" t="s">
        <v>258</v>
      </c>
      <c r="H171" s="178">
        <v>27.276</v>
      </c>
      <c r="I171" s="179"/>
      <c r="J171" s="180">
        <f>ROUND(I171*H171,2)</f>
        <v>0</v>
      </c>
      <c r="K171" s="176" t="s">
        <v>134</v>
      </c>
      <c r="L171" s="40"/>
      <c r="M171" s="181" t="s">
        <v>19</v>
      </c>
      <c r="N171" s="182" t="s">
        <v>43</v>
      </c>
      <c r="O171" s="65"/>
      <c r="P171" s="183">
        <f>O171*H171</f>
        <v>0</v>
      </c>
      <c r="Q171" s="183">
        <v>0</v>
      </c>
      <c r="R171" s="183">
        <f>Q171*H171</f>
        <v>0</v>
      </c>
      <c r="S171" s="183">
        <v>0.11</v>
      </c>
      <c r="T171" s="184">
        <f>S171*H171</f>
        <v>3.0003600000000001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135</v>
      </c>
      <c r="AT171" s="185" t="s">
        <v>130</v>
      </c>
      <c r="AU171" s="185" t="s">
        <v>82</v>
      </c>
      <c r="AY171" s="18" t="s">
        <v>128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8" t="s">
        <v>80</v>
      </c>
      <c r="BK171" s="186">
        <f>ROUND(I171*H171,2)</f>
        <v>0</v>
      </c>
      <c r="BL171" s="18" t="s">
        <v>135</v>
      </c>
      <c r="BM171" s="185" t="s">
        <v>264</v>
      </c>
    </row>
    <row r="172" spans="1:65" s="2" customFormat="1" ht="10">
      <c r="A172" s="35"/>
      <c r="B172" s="36"/>
      <c r="C172" s="37"/>
      <c r="D172" s="187" t="s">
        <v>137</v>
      </c>
      <c r="E172" s="37"/>
      <c r="F172" s="188" t="s">
        <v>265</v>
      </c>
      <c r="G172" s="37"/>
      <c r="H172" s="37"/>
      <c r="I172" s="189"/>
      <c r="J172" s="37"/>
      <c r="K172" s="37"/>
      <c r="L172" s="40"/>
      <c r="M172" s="190"/>
      <c r="N172" s="191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137</v>
      </c>
      <c r="AU172" s="18" t="s">
        <v>82</v>
      </c>
    </row>
    <row r="173" spans="1:65" s="13" customFormat="1" ht="10">
      <c r="B173" s="192"/>
      <c r="C173" s="193"/>
      <c r="D173" s="194" t="s">
        <v>139</v>
      </c>
      <c r="E173" s="195" t="s">
        <v>19</v>
      </c>
      <c r="F173" s="196" t="s">
        <v>266</v>
      </c>
      <c r="G173" s="193"/>
      <c r="H173" s="197">
        <v>13.638</v>
      </c>
      <c r="I173" s="198"/>
      <c r="J173" s="193"/>
      <c r="K173" s="193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139</v>
      </c>
      <c r="AU173" s="203" t="s">
        <v>82</v>
      </c>
      <c r="AV173" s="13" t="s">
        <v>82</v>
      </c>
      <c r="AW173" s="13" t="s">
        <v>34</v>
      </c>
      <c r="AX173" s="13" t="s">
        <v>72</v>
      </c>
      <c r="AY173" s="203" t="s">
        <v>128</v>
      </c>
    </row>
    <row r="174" spans="1:65" s="13" customFormat="1" ht="10">
      <c r="B174" s="192"/>
      <c r="C174" s="193"/>
      <c r="D174" s="194" t="s">
        <v>139</v>
      </c>
      <c r="E174" s="195" t="s">
        <v>19</v>
      </c>
      <c r="F174" s="196" t="s">
        <v>267</v>
      </c>
      <c r="G174" s="193"/>
      <c r="H174" s="197">
        <v>13.638</v>
      </c>
      <c r="I174" s="198"/>
      <c r="J174" s="193"/>
      <c r="K174" s="193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139</v>
      </c>
      <c r="AU174" s="203" t="s">
        <v>82</v>
      </c>
      <c r="AV174" s="13" t="s">
        <v>82</v>
      </c>
      <c r="AW174" s="13" t="s">
        <v>34</v>
      </c>
      <c r="AX174" s="13" t="s">
        <v>72</v>
      </c>
      <c r="AY174" s="203" t="s">
        <v>128</v>
      </c>
    </row>
    <row r="175" spans="1:65" s="14" customFormat="1" ht="10">
      <c r="B175" s="204"/>
      <c r="C175" s="205"/>
      <c r="D175" s="194" t="s">
        <v>139</v>
      </c>
      <c r="E175" s="206" t="s">
        <v>19</v>
      </c>
      <c r="F175" s="207" t="s">
        <v>153</v>
      </c>
      <c r="G175" s="205"/>
      <c r="H175" s="208">
        <v>27.276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139</v>
      </c>
      <c r="AU175" s="214" t="s">
        <v>82</v>
      </c>
      <c r="AV175" s="14" t="s">
        <v>135</v>
      </c>
      <c r="AW175" s="14" t="s">
        <v>34</v>
      </c>
      <c r="AX175" s="14" t="s">
        <v>80</v>
      </c>
      <c r="AY175" s="214" t="s">
        <v>128</v>
      </c>
    </row>
    <row r="176" spans="1:65" s="2" customFormat="1" ht="16.5" customHeight="1">
      <c r="A176" s="35"/>
      <c r="B176" s="36"/>
      <c r="C176" s="174" t="s">
        <v>268</v>
      </c>
      <c r="D176" s="174" t="s">
        <v>130</v>
      </c>
      <c r="E176" s="175" t="s">
        <v>269</v>
      </c>
      <c r="F176" s="176" t="s">
        <v>270</v>
      </c>
      <c r="G176" s="177" t="s">
        <v>133</v>
      </c>
      <c r="H176" s="178">
        <v>12.419</v>
      </c>
      <c r="I176" s="179"/>
      <c r="J176" s="180">
        <f>ROUND(I176*H176,2)</f>
        <v>0</v>
      </c>
      <c r="K176" s="176" t="s">
        <v>134</v>
      </c>
      <c r="L176" s="40"/>
      <c r="M176" s="181" t="s">
        <v>19</v>
      </c>
      <c r="N176" s="182" t="s">
        <v>43</v>
      </c>
      <c r="O176" s="65"/>
      <c r="P176" s="183">
        <f>O176*H176</f>
        <v>0</v>
      </c>
      <c r="Q176" s="183">
        <v>0</v>
      </c>
      <c r="R176" s="183">
        <f>Q176*H176</f>
        <v>0</v>
      </c>
      <c r="S176" s="183">
        <v>0.25</v>
      </c>
      <c r="T176" s="184">
        <f>S176*H176</f>
        <v>3.1047500000000001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135</v>
      </c>
      <c r="AT176" s="185" t="s">
        <v>130</v>
      </c>
      <c r="AU176" s="185" t="s">
        <v>82</v>
      </c>
      <c r="AY176" s="18" t="s">
        <v>128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80</v>
      </c>
      <c r="BK176" s="186">
        <f>ROUND(I176*H176,2)</f>
        <v>0</v>
      </c>
      <c r="BL176" s="18" t="s">
        <v>135</v>
      </c>
      <c r="BM176" s="185" t="s">
        <v>271</v>
      </c>
    </row>
    <row r="177" spans="1:65" s="2" customFormat="1" ht="10">
      <c r="A177" s="35"/>
      <c r="B177" s="36"/>
      <c r="C177" s="37"/>
      <c r="D177" s="187" t="s">
        <v>137</v>
      </c>
      <c r="E177" s="37"/>
      <c r="F177" s="188" t="s">
        <v>272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137</v>
      </c>
      <c r="AU177" s="18" t="s">
        <v>82</v>
      </c>
    </row>
    <row r="178" spans="1:65" s="13" customFormat="1" ht="10">
      <c r="B178" s="192"/>
      <c r="C178" s="193"/>
      <c r="D178" s="194" t="s">
        <v>139</v>
      </c>
      <c r="E178" s="195" t="s">
        <v>19</v>
      </c>
      <c r="F178" s="196" t="s">
        <v>273</v>
      </c>
      <c r="G178" s="193"/>
      <c r="H178" s="197">
        <v>12.419</v>
      </c>
      <c r="I178" s="198"/>
      <c r="J178" s="193"/>
      <c r="K178" s="193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139</v>
      </c>
      <c r="AU178" s="203" t="s">
        <v>82</v>
      </c>
      <c r="AV178" s="13" t="s">
        <v>82</v>
      </c>
      <c r="AW178" s="13" t="s">
        <v>34</v>
      </c>
      <c r="AX178" s="13" t="s">
        <v>80</v>
      </c>
      <c r="AY178" s="203" t="s">
        <v>128</v>
      </c>
    </row>
    <row r="179" spans="1:65" s="2" customFormat="1" ht="24.15" customHeight="1">
      <c r="A179" s="35"/>
      <c r="B179" s="36"/>
      <c r="C179" s="174" t="s">
        <v>274</v>
      </c>
      <c r="D179" s="174" t="s">
        <v>130</v>
      </c>
      <c r="E179" s="175" t="s">
        <v>275</v>
      </c>
      <c r="F179" s="176" t="s">
        <v>276</v>
      </c>
      <c r="G179" s="177" t="s">
        <v>133</v>
      </c>
      <c r="H179" s="178">
        <v>2.67</v>
      </c>
      <c r="I179" s="179"/>
      <c r="J179" s="180">
        <f>ROUND(I179*H179,2)</f>
        <v>0</v>
      </c>
      <c r="K179" s="176" t="s">
        <v>134</v>
      </c>
      <c r="L179" s="40"/>
      <c r="M179" s="181" t="s">
        <v>19</v>
      </c>
      <c r="N179" s="182" t="s">
        <v>43</v>
      </c>
      <c r="O179" s="65"/>
      <c r="P179" s="183">
        <f>O179*H179</f>
        <v>0</v>
      </c>
      <c r="Q179" s="183">
        <v>0</v>
      </c>
      <c r="R179" s="183">
        <f>Q179*H179</f>
        <v>0</v>
      </c>
      <c r="S179" s="183">
        <v>2.7E-2</v>
      </c>
      <c r="T179" s="184">
        <f>S179*H179</f>
        <v>7.2090000000000001E-2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135</v>
      </c>
      <c r="AT179" s="185" t="s">
        <v>130</v>
      </c>
      <c r="AU179" s="185" t="s">
        <v>82</v>
      </c>
      <c r="AY179" s="18" t="s">
        <v>128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80</v>
      </c>
      <c r="BK179" s="186">
        <f>ROUND(I179*H179,2)</f>
        <v>0</v>
      </c>
      <c r="BL179" s="18" t="s">
        <v>135</v>
      </c>
      <c r="BM179" s="185" t="s">
        <v>277</v>
      </c>
    </row>
    <row r="180" spans="1:65" s="2" customFormat="1" ht="10">
      <c r="A180" s="35"/>
      <c r="B180" s="36"/>
      <c r="C180" s="37"/>
      <c r="D180" s="187" t="s">
        <v>137</v>
      </c>
      <c r="E180" s="37"/>
      <c r="F180" s="188" t="s">
        <v>278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137</v>
      </c>
      <c r="AU180" s="18" t="s">
        <v>82</v>
      </c>
    </row>
    <row r="181" spans="1:65" s="13" customFormat="1" ht="10">
      <c r="B181" s="192"/>
      <c r="C181" s="193"/>
      <c r="D181" s="194" t="s">
        <v>139</v>
      </c>
      <c r="E181" s="195" t="s">
        <v>19</v>
      </c>
      <c r="F181" s="196" t="s">
        <v>279</v>
      </c>
      <c r="G181" s="193"/>
      <c r="H181" s="197">
        <v>1.829</v>
      </c>
      <c r="I181" s="198"/>
      <c r="J181" s="193"/>
      <c r="K181" s="193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139</v>
      </c>
      <c r="AU181" s="203" t="s">
        <v>82</v>
      </c>
      <c r="AV181" s="13" t="s">
        <v>82</v>
      </c>
      <c r="AW181" s="13" t="s">
        <v>34</v>
      </c>
      <c r="AX181" s="13" t="s">
        <v>72</v>
      </c>
      <c r="AY181" s="203" t="s">
        <v>128</v>
      </c>
    </row>
    <row r="182" spans="1:65" s="13" customFormat="1" ht="10">
      <c r="B182" s="192"/>
      <c r="C182" s="193"/>
      <c r="D182" s="194" t="s">
        <v>139</v>
      </c>
      <c r="E182" s="195" t="s">
        <v>19</v>
      </c>
      <c r="F182" s="196" t="s">
        <v>280</v>
      </c>
      <c r="G182" s="193"/>
      <c r="H182" s="197">
        <v>0.40899999999999997</v>
      </c>
      <c r="I182" s="198"/>
      <c r="J182" s="193"/>
      <c r="K182" s="193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139</v>
      </c>
      <c r="AU182" s="203" t="s">
        <v>82</v>
      </c>
      <c r="AV182" s="13" t="s">
        <v>82</v>
      </c>
      <c r="AW182" s="13" t="s">
        <v>34</v>
      </c>
      <c r="AX182" s="13" t="s">
        <v>72</v>
      </c>
      <c r="AY182" s="203" t="s">
        <v>128</v>
      </c>
    </row>
    <row r="183" spans="1:65" s="13" customFormat="1" ht="10">
      <c r="B183" s="192"/>
      <c r="C183" s="193"/>
      <c r="D183" s="194" t="s">
        <v>139</v>
      </c>
      <c r="E183" s="195" t="s">
        <v>19</v>
      </c>
      <c r="F183" s="196" t="s">
        <v>281</v>
      </c>
      <c r="G183" s="193"/>
      <c r="H183" s="197">
        <v>0.432</v>
      </c>
      <c r="I183" s="198"/>
      <c r="J183" s="193"/>
      <c r="K183" s="193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139</v>
      </c>
      <c r="AU183" s="203" t="s">
        <v>82</v>
      </c>
      <c r="AV183" s="13" t="s">
        <v>82</v>
      </c>
      <c r="AW183" s="13" t="s">
        <v>34</v>
      </c>
      <c r="AX183" s="13" t="s">
        <v>72</v>
      </c>
      <c r="AY183" s="203" t="s">
        <v>128</v>
      </c>
    </row>
    <row r="184" spans="1:65" s="14" customFormat="1" ht="10">
      <c r="B184" s="204"/>
      <c r="C184" s="205"/>
      <c r="D184" s="194" t="s">
        <v>139</v>
      </c>
      <c r="E184" s="206" t="s">
        <v>19</v>
      </c>
      <c r="F184" s="207" t="s">
        <v>153</v>
      </c>
      <c r="G184" s="205"/>
      <c r="H184" s="208">
        <v>2.67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139</v>
      </c>
      <c r="AU184" s="214" t="s">
        <v>82</v>
      </c>
      <c r="AV184" s="14" t="s">
        <v>135</v>
      </c>
      <c r="AW184" s="14" t="s">
        <v>34</v>
      </c>
      <c r="AX184" s="14" t="s">
        <v>80</v>
      </c>
      <c r="AY184" s="214" t="s">
        <v>128</v>
      </c>
    </row>
    <row r="185" spans="1:65" s="2" customFormat="1" ht="24.15" customHeight="1">
      <c r="A185" s="35"/>
      <c r="B185" s="36"/>
      <c r="C185" s="174" t="s">
        <v>282</v>
      </c>
      <c r="D185" s="174" t="s">
        <v>130</v>
      </c>
      <c r="E185" s="175" t="s">
        <v>283</v>
      </c>
      <c r="F185" s="176" t="s">
        <v>284</v>
      </c>
      <c r="G185" s="177" t="s">
        <v>133</v>
      </c>
      <c r="H185" s="178">
        <v>4.827</v>
      </c>
      <c r="I185" s="179"/>
      <c r="J185" s="180">
        <f>ROUND(I185*H185,2)</f>
        <v>0</v>
      </c>
      <c r="K185" s="176" t="s">
        <v>134</v>
      </c>
      <c r="L185" s="40"/>
      <c r="M185" s="181" t="s">
        <v>19</v>
      </c>
      <c r="N185" s="182" t="s">
        <v>43</v>
      </c>
      <c r="O185" s="65"/>
      <c r="P185" s="183">
        <f>O185*H185</f>
        <v>0</v>
      </c>
      <c r="Q185" s="183">
        <v>0</v>
      </c>
      <c r="R185" s="183">
        <f>Q185*H185</f>
        <v>0</v>
      </c>
      <c r="S185" s="183">
        <v>7.5999999999999998E-2</v>
      </c>
      <c r="T185" s="184">
        <f>S185*H185</f>
        <v>0.36685200000000001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135</v>
      </c>
      <c r="AT185" s="185" t="s">
        <v>130</v>
      </c>
      <c r="AU185" s="185" t="s">
        <v>82</v>
      </c>
      <c r="AY185" s="18" t="s">
        <v>128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8" t="s">
        <v>80</v>
      </c>
      <c r="BK185" s="186">
        <f>ROUND(I185*H185,2)</f>
        <v>0</v>
      </c>
      <c r="BL185" s="18" t="s">
        <v>135</v>
      </c>
      <c r="BM185" s="185" t="s">
        <v>285</v>
      </c>
    </row>
    <row r="186" spans="1:65" s="2" customFormat="1" ht="10">
      <c r="A186" s="35"/>
      <c r="B186" s="36"/>
      <c r="C186" s="37"/>
      <c r="D186" s="187" t="s">
        <v>137</v>
      </c>
      <c r="E186" s="37"/>
      <c r="F186" s="188" t="s">
        <v>286</v>
      </c>
      <c r="G186" s="37"/>
      <c r="H186" s="37"/>
      <c r="I186" s="189"/>
      <c r="J186" s="37"/>
      <c r="K186" s="37"/>
      <c r="L186" s="40"/>
      <c r="M186" s="190"/>
      <c r="N186" s="191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137</v>
      </c>
      <c r="AU186" s="18" t="s">
        <v>82</v>
      </c>
    </row>
    <row r="187" spans="1:65" s="13" customFormat="1" ht="10">
      <c r="B187" s="192"/>
      <c r="C187" s="193"/>
      <c r="D187" s="194" t="s">
        <v>139</v>
      </c>
      <c r="E187" s="195" t="s">
        <v>19</v>
      </c>
      <c r="F187" s="196" t="s">
        <v>287</v>
      </c>
      <c r="G187" s="193"/>
      <c r="H187" s="197">
        <v>4.827</v>
      </c>
      <c r="I187" s="198"/>
      <c r="J187" s="193"/>
      <c r="K187" s="193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139</v>
      </c>
      <c r="AU187" s="203" t="s">
        <v>82</v>
      </c>
      <c r="AV187" s="13" t="s">
        <v>82</v>
      </c>
      <c r="AW187" s="13" t="s">
        <v>34</v>
      </c>
      <c r="AX187" s="13" t="s">
        <v>80</v>
      </c>
      <c r="AY187" s="203" t="s">
        <v>128</v>
      </c>
    </row>
    <row r="188" spans="1:65" s="2" customFormat="1" ht="24.15" customHeight="1">
      <c r="A188" s="35"/>
      <c r="B188" s="36"/>
      <c r="C188" s="174" t="s">
        <v>288</v>
      </c>
      <c r="D188" s="174" t="s">
        <v>130</v>
      </c>
      <c r="E188" s="175" t="s">
        <v>289</v>
      </c>
      <c r="F188" s="176" t="s">
        <v>290</v>
      </c>
      <c r="G188" s="177" t="s">
        <v>133</v>
      </c>
      <c r="H188" s="178">
        <v>5.2549999999999999</v>
      </c>
      <c r="I188" s="179"/>
      <c r="J188" s="180">
        <f>ROUND(I188*H188,2)</f>
        <v>0</v>
      </c>
      <c r="K188" s="176" t="s">
        <v>134</v>
      </c>
      <c r="L188" s="40"/>
      <c r="M188" s="181" t="s">
        <v>19</v>
      </c>
      <c r="N188" s="182" t="s">
        <v>43</v>
      </c>
      <c r="O188" s="65"/>
      <c r="P188" s="183">
        <f>O188*H188</f>
        <v>0</v>
      </c>
      <c r="Q188" s="183">
        <v>0</v>
      </c>
      <c r="R188" s="183">
        <f>Q188*H188</f>
        <v>0</v>
      </c>
      <c r="S188" s="183">
        <v>6.3E-2</v>
      </c>
      <c r="T188" s="184">
        <f>S188*H188</f>
        <v>0.331065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135</v>
      </c>
      <c r="AT188" s="185" t="s">
        <v>130</v>
      </c>
      <c r="AU188" s="185" t="s">
        <v>82</v>
      </c>
      <c r="AY188" s="18" t="s">
        <v>128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80</v>
      </c>
      <c r="BK188" s="186">
        <f>ROUND(I188*H188,2)</f>
        <v>0</v>
      </c>
      <c r="BL188" s="18" t="s">
        <v>135</v>
      </c>
      <c r="BM188" s="185" t="s">
        <v>291</v>
      </c>
    </row>
    <row r="189" spans="1:65" s="2" customFormat="1" ht="10">
      <c r="A189" s="35"/>
      <c r="B189" s="36"/>
      <c r="C189" s="37"/>
      <c r="D189" s="187" t="s">
        <v>137</v>
      </c>
      <c r="E189" s="37"/>
      <c r="F189" s="188" t="s">
        <v>292</v>
      </c>
      <c r="G189" s="37"/>
      <c r="H189" s="37"/>
      <c r="I189" s="189"/>
      <c r="J189" s="37"/>
      <c r="K189" s="37"/>
      <c r="L189" s="40"/>
      <c r="M189" s="190"/>
      <c r="N189" s="191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137</v>
      </c>
      <c r="AU189" s="18" t="s">
        <v>82</v>
      </c>
    </row>
    <row r="190" spans="1:65" s="13" customFormat="1" ht="10">
      <c r="B190" s="192"/>
      <c r="C190" s="193"/>
      <c r="D190" s="194" t="s">
        <v>139</v>
      </c>
      <c r="E190" s="195" t="s">
        <v>19</v>
      </c>
      <c r="F190" s="196" t="s">
        <v>293</v>
      </c>
      <c r="G190" s="193"/>
      <c r="H190" s="197">
        <v>5.2549999999999999</v>
      </c>
      <c r="I190" s="198"/>
      <c r="J190" s="193"/>
      <c r="K190" s="193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139</v>
      </c>
      <c r="AU190" s="203" t="s">
        <v>82</v>
      </c>
      <c r="AV190" s="13" t="s">
        <v>82</v>
      </c>
      <c r="AW190" s="13" t="s">
        <v>34</v>
      </c>
      <c r="AX190" s="13" t="s">
        <v>80</v>
      </c>
      <c r="AY190" s="203" t="s">
        <v>128</v>
      </c>
    </row>
    <row r="191" spans="1:65" s="2" customFormat="1" ht="24.15" customHeight="1">
      <c r="A191" s="35"/>
      <c r="B191" s="36"/>
      <c r="C191" s="174" t="s">
        <v>294</v>
      </c>
      <c r="D191" s="174" t="s">
        <v>130</v>
      </c>
      <c r="E191" s="175" t="s">
        <v>295</v>
      </c>
      <c r="F191" s="176" t="s">
        <v>296</v>
      </c>
      <c r="G191" s="177" t="s">
        <v>148</v>
      </c>
      <c r="H191" s="178">
        <v>11.427</v>
      </c>
      <c r="I191" s="179"/>
      <c r="J191" s="180">
        <f>ROUND(I191*H191,2)</f>
        <v>0</v>
      </c>
      <c r="K191" s="176" t="s">
        <v>134</v>
      </c>
      <c r="L191" s="40"/>
      <c r="M191" s="181" t="s">
        <v>19</v>
      </c>
      <c r="N191" s="182" t="s">
        <v>43</v>
      </c>
      <c r="O191" s="65"/>
      <c r="P191" s="183">
        <f>O191*H191</f>
        <v>0</v>
      </c>
      <c r="Q191" s="183">
        <v>0</v>
      </c>
      <c r="R191" s="183">
        <f>Q191*H191</f>
        <v>0</v>
      </c>
      <c r="S191" s="183">
        <v>1.8</v>
      </c>
      <c r="T191" s="184">
        <f>S191*H191</f>
        <v>20.5686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135</v>
      </c>
      <c r="AT191" s="185" t="s">
        <v>130</v>
      </c>
      <c r="AU191" s="185" t="s">
        <v>82</v>
      </c>
      <c r="AY191" s="18" t="s">
        <v>128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80</v>
      </c>
      <c r="BK191" s="186">
        <f>ROUND(I191*H191,2)</f>
        <v>0</v>
      </c>
      <c r="BL191" s="18" t="s">
        <v>135</v>
      </c>
      <c r="BM191" s="185" t="s">
        <v>297</v>
      </c>
    </row>
    <row r="192" spans="1:65" s="2" customFormat="1" ht="10">
      <c r="A192" s="35"/>
      <c r="B192" s="36"/>
      <c r="C192" s="37"/>
      <c r="D192" s="187" t="s">
        <v>137</v>
      </c>
      <c r="E192" s="37"/>
      <c r="F192" s="188" t="s">
        <v>298</v>
      </c>
      <c r="G192" s="37"/>
      <c r="H192" s="37"/>
      <c r="I192" s="189"/>
      <c r="J192" s="37"/>
      <c r="K192" s="37"/>
      <c r="L192" s="40"/>
      <c r="M192" s="190"/>
      <c r="N192" s="191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137</v>
      </c>
      <c r="AU192" s="18" t="s">
        <v>82</v>
      </c>
    </row>
    <row r="193" spans="1:65" s="13" customFormat="1" ht="10">
      <c r="B193" s="192"/>
      <c r="C193" s="193"/>
      <c r="D193" s="194" t="s">
        <v>139</v>
      </c>
      <c r="E193" s="195" t="s">
        <v>19</v>
      </c>
      <c r="F193" s="196" t="s">
        <v>299</v>
      </c>
      <c r="G193" s="193"/>
      <c r="H193" s="197">
        <v>7.35</v>
      </c>
      <c r="I193" s="198"/>
      <c r="J193" s="193"/>
      <c r="K193" s="193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139</v>
      </c>
      <c r="AU193" s="203" t="s">
        <v>82</v>
      </c>
      <c r="AV193" s="13" t="s">
        <v>82</v>
      </c>
      <c r="AW193" s="13" t="s">
        <v>34</v>
      </c>
      <c r="AX193" s="13" t="s">
        <v>72</v>
      </c>
      <c r="AY193" s="203" t="s">
        <v>128</v>
      </c>
    </row>
    <row r="194" spans="1:65" s="13" customFormat="1" ht="10">
      <c r="B194" s="192"/>
      <c r="C194" s="193"/>
      <c r="D194" s="194" t="s">
        <v>139</v>
      </c>
      <c r="E194" s="195" t="s">
        <v>19</v>
      </c>
      <c r="F194" s="196" t="s">
        <v>300</v>
      </c>
      <c r="G194" s="193"/>
      <c r="H194" s="197">
        <v>2.327</v>
      </c>
      <c r="I194" s="198"/>
      <c r="J194" s="193"/>
      <c r="K194" s="193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139</v>
      </c>
      <c r="AU194" s="203" t="s">
        <v>82</v>
      </c>
      <c r="AV194" s="13" t="s">
        <v>82</v>
      </c>
      <c r="AW194" s="13" t="s">
        <v>34</v>
      </c>
      <c r="AX194" s="13" t="s">
        <v>72</v>
      </c>
      <c r="AY194" s="203" t="s">
        <v>128</v>
      </c>
    </row>
    <row r="195" spans="1:65" s="13" customFormat="1" ht="10">
      <c r="B195" s="192"/>
      <c r="C195" s="193"/>
      <c r="D195" s="194" t="s">
        <v>139</v>
      </c>
      <c r="E195" s="195" t="s">
        <v>19</v>
      </c>
      <c r="F195" s="196" t="s">
        <v>301</v>
      </c>
      <c r="G195" s="193"/>
      <c r="H195" s="197">
        <v>1.75</v>
      </c>
      <c r="I195" s="198"/>
      <c r="J195" s="193"/>
      <c r="K195" s="193"/>
      <c r="L195" s="199"/>
      <c r="M195" s="200"/>
      <c r="N195" s="201"/>
      <c r="O195" s="201"/>
      <c r="P195" s="201"/>
      <c r="Q195" s="201"/>
      <c r="R195" s="201"/>
      <c r="S195" s="201"/>
      <c r="T195" s="202"/>
      <c r="AT195" s="203" t="s">
        <v>139</v>
      </c>
      <c r="AU195" s="203" t="s">
        <v>82</v>
      </c>
      <c r="AV195" s="13" t="s">
        <v>82</v>
      </c>
      <c r="AW195" s="13" t="s">
        <v>34</v>
      </c>
      <c r="AX195" s="13" t="s">
        <v>72</v>
      </c>
      <c r="AY195" s="203" t="s">
        <v>128</v>
      </c>
    </row>
    <row r="196" spans="1:65" s="14" customFormat="1" ht="10">
      <c r="B196" s="204"/>
      <c r="C196" s="205"/>
      <c r="D196" s="194" t="s">
        <v>139</v>
      </c>
      <c r="E196" s="206" t="s">
        <v>19</v>
      </c>
      <c r="F196" s="207" t="s">
        <v>153</v>
      </c>
      <c r="G196" s="205"/>
      <c r="H196" s="208">
        <v>11.427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139</v>
      </c>
      <c r="AU196" s="214" t="s">
        <v>82</v>
      </c>
      <c r="AV196" s="14" t="s">
        <v>135</v>
      </c>
      <c r="AW196" s="14" t="s">
        <v>34</v>
      </c>
      <c r="AX196" s="14" t="s">
        <v>80</v>
      </c>
      <c r="AY196" s="214" t="s">
        <v>128</v>
      </c>
    </row>
    <row r="197" spans="1:65" s="2" customFormat="1" ht="24.15" customHeight="1">
      <c r="A197" s="35"/>
      <c r="B197" s="36"/>
      <c r="C197" s="174" t="s">
        <v>302</v>
      </c>
      <c r="D197" s="174" t="s">
        <v>130</v>
      </c>
      <c r="E197" s="175" t="s">
        <v>303</v>
      </c>
      <c r="F197" s="176" t="s">
        <v>304</v>
      </c>
      <c r="G197" s="177" t="s">
        <v>305</v>
      </c>
      <c r="H197" s="178">
        <v>20.303999999999998</v>
      </c>
      <c r="I197" s="179"/>
      <c r="J197" s="180">
        <f>ROUND(I197*H197,2)</f>
        <v>0</v>
      </c>
      <c r="K197" s="176" t="s">
        <v>134</v>
      </c>
      <c r="L197" s="40"/>
      <c r="M197" s="181" t="s">
        <v>19</v>
      </c>
      <c r="N197" s="182" t="s">
        <v>43</v>
      </c>
      <c r="O197" s="65"/>
      <c r="P197" s="183">
        <f>O197*H197</f>
        <v>0</v>
      </c>
      <c r="Q197" s="183">
        <v>0</v>
      </c>
      <c r="R197" s="183">
        <f>Q197*H197</f>
        <v>0</v>
      </c>
      <c r="S197" s="183">
        <v>6.2E-2</v>
      </c>
      <c r="T197" s="184">
        <f>S197*H197</f>
        <v>1.258848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135</v>
      </c>
      <c r="AT197" s="185" t="s">
        <v>130</v>
      </c>
      <c r="AU197" s="185" t="s">
        <v>82</v>
      </c>
      <c r="AY197" s="18" t="s">
        <v>128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8" t="s">
        <v>80</v>
      </c>
      <c r="BK197" s="186">
        <f>ROUND(I197*H197,2)</f>
        <v>0</v>
      </c>
      <c r="BL197" s="18" t="s">
        <v>135</v>
      </c>
      <c r="BM197" s="185" t="s">
        <v>306</v>
      </c>
    </row>
    <row r="198" spans="1:65" s="2" customFormat="1" ht="10">
      <c r="A198" s="35"/>
      <c r="B198" s="36"/>
      <c r="C198" s="37"/>
      <c r="D198" s="187" t="s">
        <v>137</v>
      </c>
      <c r="E198" s="37"/>
      <c r="F198" s="188" t="s">
        <v>307</v>
      </c>
      <c r="G198" s="37"/>
      <c r="H198" s="37"/>
      <c r="I198" s="189"/>
      <c r="J198" s="37"/>
      <c r="K198" s="37"/>
      <c r="L198" s="40"/>
      <c r="M198" s="190"/>
      <c r="N198" s="191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137</v>
      </c>
      <c r="AU198" s="18" t="s">
        <v>82</v>
      </c>
    </row>
    <row r="199" spans="1:65" s="13" customFormat="1" ht="10">
      <c r="B199" s="192"/>
      <c r="C199" s="193"/>
      <c r="D199" s="194" t="s">
        <v>139</v>
      </c>
      <c r="E199" s="195" t="s">
        <v>19</v>
      </c>
      <c r="F199" s="196" t="s">
        <v>308</v>
      </c>
      <c r="G199" s="193"/>
      <c r="H199" s="197">
        <v>14</v>
      </c>
      <c r="I199" s="198"/>
      <c r="J199" s="193"/>
      <c r="K199" s="193"/>
      <c r="L199" s="199"/>
      <c r="M199" s="200"/>
      <c r="N199" s="201"/>
      <c r="O199" s="201"/>
      <c r="P199" s="201"/>
      <c r="Q199" s="201"/>
      <c r="R199" s="201"/>
      <c r="S199" s="201"/>
      <c r="T199" s="202"/>
      <c r="AT199" s="203" t="s">
        <v>139</v>
      </c>
      <c r="AU199" s="203" t="s">
        <v>82</v>
      </c>
      <c r="AV199" s="13" t="s">
        <v>82</v>
      </c>
      <c r="AW199" s="13" t="s">
        <v>34</v>
      </c>
      <c r="AX199" s="13" t="s">
        <v>72</v>
      </c>
      <c r="AY199" s="203" t="s">
        <v>128</v>
      </c>
    </row>
    <row r="200" spans="1:65" s="13" customFormat="1" ht="10">
      <c r="B200" s="192"/>
      <c r="C200" s="193"/>
      <c r="D200" s="194" t="s">
        <v>139</v>
      </c>
      <c r="E200" s="195" t="s">
        <v>19</v>
      </c>
      <c r="F200" s="196" t="s">
        <v>309</v>
      </c>
      <c r="G200" s="193"/>
      <c r="H200" s="197">
        <v>6</v>
      </c>
      <c r="I200" s="198"/>
      <c r="J200" s="193"/>
      <c r="K200" s="193"/>
      <c r="L200" s="199"/>
      <c r="M200" s="200"/>
      <c r="N200" s="201"/>
      <c r="O200" s="201"/>
      <c r="P200" s="201"/>
      <c r="Q200" s="201"/>
      <c r="R200" s="201"/>
      <c r="S200" s="201"/>
      <c r="T200" s="202"/>
      <c r="AT200" s="203" t="s">
        <v>139</v>
      </c>
      <c r="AU200" s="203" t="s">
        <v>82</v>
      </c>
      <c r="AV200" s="13" t="s">
        <v>82</v>
      </c>
      <c r="AW200" s="13" t="s">
        <v>34</v>
      </c>
      <c r="AX200" s="13" t="s">
        <v>72</v>
      </c>
      <c r="AY200" s="203" t="s">
        <v>128</v>
      </c>
    </row>
    <row r="201" spans="1:65" s="13" customFormat="1" ht="10">
      <c r="B201" s="192"/>
      <c r="C201" s="193"/>
      <c r="D201" s="194" t="s">
        <v>139</v>
      </c>
      <c r="E201" s="195" t="s">
        <v>19</v>
      </c>
      <c r="F201" s="196" t="s">
        <v>310</v>
      </c>
      <c r="G201" s="193"/>
      <c r="H201" s="197">
        <v>0.30399999999999999</v>
      </c>
      <c r="I201" s="198"/>
      <c r="J201" s="193"/>
      <c r="K201" s="193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139</v>
      </c>
      <c r="AU201" s="203" t="s">
        <v>82</v>
      </c>
      <c r="AV201" s="13" t="s">
        <v>82</v>
      </c>
      <c r="AW201" s="13" t="s">
        <v>34</v>
      </c>
      <c r="AX201" s="13" t="s">
        <v>72</v>
      </c>
      <c r="AY201" s="203" t="s">
        <v>128</v>
      </c>
    </row>
    <row r="202" spans="1:65" s="14" customFormat="1" ht="10">
      <c r="B202" s="204"/>
      <c r="C202" s="205"/>
      <c r="D202" s="194" t="s">
        <v>139</v>
      </c>
      <c r="E202" s="206" t="s">
        <v>19</v>
      </c>
      <c r="F202" s="207" t="s">
        <v>153</v>
      </c>
      <c r="G202" s="205"/>
      <c r="H202" s="208">
        <v>20.303999999999998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139</v>
      </c>
      <c r="AU202" s="214" t="s">
        <v>82</v>
      </c>
      <c r="AV202" s="14" t="s">
        <v>135</v>
      </c>
      <c r="AW202" s="14" t="s">
        <v>34</v>
      </c>
      <c r="AX202" s="14" t="s">
        <v>80</v>
      </c>
      <c r="AY202" s="214" t="s">
        <v>128</v>
      </c>
    </row>
    <row r="203" spans="1:65" s="2" customFormat="1" ht="24.15" customHeight="1">
      <c r="A203" s="35"/>
      <c r="B203" s="36"/>
      <c r="C203" s="174" t="s">
        <v>311</v>
      </c>
      <c r="D203" s="174" t="s">
        <v>130</v>
      </c>
      <c r="E203" s="175" t="s">
        <v>312</v>
      </c>
      <c r="F203" s="176" t="s">
        <v>313</v>
      </c>
      <c r="G203" s="177" t="s">
        <v>258</v>
      </c>
      <c r="H203" s="178">
        <v>44.808</v>
      </c>
      <c r="I203" s="179"/>
      <c r="J203" s="180">
        <f>ROUND(I203*H203,2)</f>
        <v>0</v>
      </c>
      <c r="K203" s="176" t="s">
        <v>134</v>
      </c>
      <c r="L203" s="40"/>
      <c r="M203" s="181" t="s">
        <v>19</v>
      </c>
      <c r="N203" s="182" t="s">
        <v>43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135</v>
      </c>
      <c r="AT203" s="185" t="s">
        <v>130</v>
      </c>
      <c r="AU203" s="185" t="s">
        <v>82</v>
      </c>
      <c r="AY203" s="18" t="s">
        <v>128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80</v>
      </c>
      <c r="BK203" s="186">
        <f>ROUND(I203*H203,2)</f>
        <v>0</v>
      </c>
      <c r="BL203" s="18" t="s">
        <v>135</v>
      </c>
      <c r="BM203" s="185" t="s">
        <v>314</v>
      </c>
    </row>
    <row r="204" spans="1:65" s="2" customFormat="1" ht="10">
      <c r="A204" s="35"/>
      <c r="B204" s="36"/>
      <c r="C204" s="37"/>
      <c r="D204" s="187" t="s">
        <v>137</v>
      </c>
      <c r="E204" s="37"/>
      <c r="F204" s="188" t="s">
        <v>315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137</v>
      </c>
      <c r="AU204" s="18" t="s">
        <v>82</v>
      </c>
    </row>
    <row r="205" spans="1:65" s="13" customFormat="1" ht="10">
      <c r="B205" s="192"/>
      <c r="C205" s="193"/>
      <c r="D205" s="194" t="s">
        <v>139</v>
      </c>
      <c r="E205" s="195" t="s">
        <v>19</v>
      </c>
      <c r="F205" s="196" t="s">
        <v>316</v>
      </c>
      <c r="G205" s="193"/>
      <c r="H205" s="197">
        <v>44.808</v>
      </c>
      <c r="I205" s="198"/>
      <c r="J205" s="193"/>
      <c r="K205" s="193"/>
      <c r="L205" s="199"/>
      <c r="M205" s="200"/>
      <c r="N205" s="201"/>
      <c r="O205" s="201"/>
      <c r="P205" s="201"/>
      <c r="Q205" s="201"/>
      <c r="R205" s="201"/>
      <c r="S205" s="201"/>
      <c r="T205" s="202"/>
      <c r="AT205" s="203" t="s">
        <v>139</v>
      </c>
      <c r="AU205" s="203" t="s">
        <v>82</v>
      </c>
      <c r="AV205" s="13" t="s">
        <v>82</v>
      </c>
      <c r="AW205" s="13" t="s">
        <v>34</v>
      </c>
      <c r="AX205" s="13" t="s">
        <v>80</v>
      </c>
      <c r="AY205" s="203" t="s">
        <v>128</v>
      </c>
    </row>
    <row r="206" spans="1:65" s="2" customFormat="1" ht="24.15" customHeight="1">
      <c r="A206" s="35"/>
      <c r="B206" s="36"/>
      <c r="C206" s="174" t="s">
        <v>317</v>
      </c>
      <c r="D206" s="174" t="s">
        <v>130</v>
      </c>
      <c r="E206" s="175" t="s">
        <v>318</v>
      </c>
      <c r="F206" s="176" t="s">
        <v>319</v>
      </c>
      <c r="G206" s="177" t="s">
        <v>258</v>
      </c>
      <c r="H206" s="178">
        <v>1344.24</v>
      </c>
      <c r="I206" s="179"/>
      <c r="J206" s="180">
        <f>ROUND(I206*H206,2)</f>
        <v>0</v>
      </c>
      <c r="K206" s="176" t="s">
        <v>134</v>
      </c>
      <c r="L206" s="40"/>
      <c r="M206" s="181" t="s">
        <v>19</v>
      </c>
      <c r="N206" s="182" t="s">
        <v>43</v>
      </c>
      <c r="O206" s="65"/>
      <c r="P206" s="183">
        <f>O206*H206</f>
        <v>0</v>
      </c>
      <c r="Q206" s="183">
        <v>0</v>
      </c>
      <c r="R206" s="183">
        <f>Q206*H206</f>
        <v>0</v>
      </c>
      <c r="S206" s="183">
        <v>0</v>
      </c>
      <c r="T206" s="18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135</v>
      </c>
      <c r="AT206" s="185" t="s">
        <v>130</v>
      </c>
      <c r="AU206" s="185" t="s">
        <v>82</v>
      </c>
      <c r="AY206" s="18" t="s">
        <v>128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8" t="s">
        <v>80</v>
      </c>
      <c r="BK206" s="186">
        <f>ROUND(I206*H206,2)</f>
        <v>0</v>
      </c>
      <c r="BL206" s="18" t="s">
        <v>135</v>
      </c>
      <c r="BM206" s="185" t="s">
        <v>320</v>
      </c>
    </row>
    <row r="207" spans="1:65" s="2" customFormat="1" ht="10">
      <c r="A207" s="35"/>
      <c r="B207" s="36"/>
      <c r="C207" s="37"/>
      <c r="D207" s="187" t="s">
        <v>137</v>
      </c>
      <c r="E207" s="37"/>
      <c r="F207" s="188" t="s">
        <v>321</v>
      </c>
      <c r="G207" s="37"/>
      <c r="H207" s="37"/>
      <c r="I207" s="189"/>
      <c r="J207" s="37"/>
      <c r="K207" s="37"/>
      <c r="L207" s="40"/>
      <c r="M207" s="190"/>
      <c r="N207" s="191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137</v>
      </c>
      <c r="AU207" s="18" t="s">
        <v>82</v>
      </c>
    </row>
    <row r="208" spans="1:65" s="13" customFormat="1" ht="10">
      <c r="B208" s="192"/>
      <c r="C208" s="193"/>
      <c r="D208" s="194" t="s">
        <v>139</v>
      </c>
      <c r="E208" s="193"/>
      <c r="F208" s="196" t="s">
        <v>322</v>
      </c>
      <c r="G208" s="193"/>
      <c r="H208" s="197">
        <v>1344.24</v>
      </c>
      <c r="I208" s="198"/>
      <c r="J208" s="193"/>
      <c r="K208" s="193"/>
      <c r="L208" s="199"/>
      <c r="M208" s="200"/>
      <c r="N208" s="201"/>
      <c r="O208" s="201"/>
      <c r="P208" s="201"/>
      <c r="Q208" s="201"/>
      <c r="R208" s="201"/>
      <c r="S208" s="201"/>
      <c r="T208" s="202"/>
      <c r="AT208" s="203" t="s">
        <v>139</v>
      </c>
      <c r="AU208" s="203" t="s">
        <v>82</v>
      </c>
      <c r="AV208" s="13" t="s">
        <v>82</v>
      </c>
      <c r="AW208" s="13" t="s">
        <v>4</v>
      </c>
      <c r="AX208" s="13" t="s">
        <v>80</v>
      </c>
      <c r="AY208" s="203" t="s">
        <v>128</v>
      </c>
    </row>
    <row r="209" spans="1:65" s="2" customFormat="1" ht="24.15" customHeight="1">
      <c r="A209" s="35"/>
      <c r="B209" s="36"/>
      <c r="C209" s="174" t="s">
        <v>323</v>
      </c>
      <c r="D209" s="174" t="s">
        <v>130</v>
      </c>
      <c r="E209" s="175" t="s">
        <v>324</v>
      </c>
      <c r="F209" s="176" t="s">
        <v>325</v>
      </c>
      <c r="G209" s="177" t="s">
        <v>258</v>
      </c>
      <c r="H209" s="178">
        <v>44.808</v>
      </c>
      <c r="I209" s="179"/>
      <c r="J209" s="180">
        <f>ROUND(I209*H209,2)</f>
        <v>0</v>
      </c>
      <c r="K209" s="176" t="s">
        <v>134</v>
      </c>
      <c r="L209" s="40"/>
      <c r="M209" s="181" t="s">
        <v>19</v>
      </c>
      <c r="N209" s="182" t="s">
        <v>43</v>
      </c>
      <c r="O209" s="65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135</v>
      </c>
      <c r="AT209" s="185" t="s">
        <v>130</v>
      </c>
      <c r="AU209" s="185" t="s">
        <v>82</v>
      </c>
      <c r="AY209" s="18" t="s">
        <v>128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8" t="s">
        <v>80</v>
      </c>
      <c r="BK209" s="186">
        <f>ROUND(I209*H209,2)</f>
        <v>0</v>
      </c>
      <c r="BL209" s="18" t="s">
        <v>135</v>
      </c>
      <c r="BM209" s="185" t="s">
        <v>326</v>
      </c>
    </row>
    <row r="210" spans="1:65" s="2" customFormat="1" ht="10">
      <c r="A210" s="35"/>
      <c r="B210" s="36"/>
      <c r="C210" s="37"/>
      <c r="D210" s="187" t="s">
        <v>137</v>
      </c>
      <c r="E210" s="37"/>
      <c r="F210" s="188" t="s">
        <v>327</v>
      </c>
      <c r="G210" s="37"/>
      <c r="H210" s="37"/>
      <c r="I210" s="189"/>
      <c r="J210" s="37"/>
      <c r="K210" s="37"/>
      <c r="L210" s="40"/>
      <c r="M210" s="190"/>
      <c r="N210" s="191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137</v>
      </c>
      <c r="AU210" s="18" t="s">
        <v>82</v>
      </c>
    </row>
    <row r="211" spans="1:65" s="2" customFormat="1" ht="24.15" customHeight="1">
      <c r="A211" s="35"/>
      <c r="B211" s="36"/>
      <c r="C211" s="174" t="s">
        <v>328</v>
      </c>
      <c r="D211" s="174" t="s">
        <v>130</v>
      </c>
      <c r="E211" s="175" t="s">
        <v>329</v>
      </c>
      <c r="F211" s="176" t="s">
        <v>330</v>
      </c>
      <c r="G211" s="177" t="s">
        <v>258</v>
      </c>
      <c r="H211" s="178">
        <v>21.474</v>
      </c>
      <c r="I211" s="179"/>
      <c r="J211" s="180">
        <f>ROUND(I211*H211,2)</f>
        <v>0</v>
      </c>
      <c r="K211" s="176" t="s">
        <v>134</v>
      </c>
      <c r="L211" s="40"/>
      <c r="M211" s="181" t="s">
        <v>19</v>
      </c>
      <c r="N211" s="182" t="s">
        <v>43</v>
      </c>
      <c r="O211" s="65"/>
      <c r="P211" s="183">
        <f>O211*H211</f>
        <v>0</v>
      </c>
      <c r="Q211" s="183">
        <v>0</v>
      </c>
      <c r="R211" s="183">
        <f>Q211*H211</f>
        <v>0</v>
      </c>
      <c r="S211" s="183">
        <v>0</v>
      </c>
      <c r="T211" s="18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5" t="s">
        <v>135</v>
      </c>
      <c r="AT211" s="185" t="s">
        <v>130</v>
      </c>
      <c r="AU211" s="185" t="s">
        <v>82</v>
      </c>
      <c r="AY211" s="18" t="s">
        <v>128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8" t="s">
        <v>80</v>
      </c>
      <c r="BK211" s="186">
        <f>ROUND(I211*H211,2)</f>
        <v>0</v>
      </c>
      <c r="BL211" s="18" t="s">
        <v>135</v>
      </c>
      <c r="BM211" s="185" t="s">
        <v>331</v>
      </c>
    </row>
    <row r="212" spans="1:65" s="2" customFormat="1" ht="10">
      <c r="A212" s="35"/>
      <c r="B212" s="36"/>
      <c r="C212" s="37"/>
      <c r="D212" s="187" t="s">
        <v>137</v>
      </c>
      <c r="E212" s="37"/>
      <c r="F212" s="188" t="s">
        <v>332</v>
      </c>
      <c r="G212" s="37"/>
      <c r="H212" s="37"/>
      <c r="I212" s="189"/>
      <c r="J212" s="37"/>
      <c r="K212" s="37"/>
      <c r="L212" s="40"/>
      <c r="M212" s="190"/>
      <c r="N212" s="191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137</v>
      </c>
      <c r="AU212" s="18" t="s">
        <v>82</v>
      </c>
    </row>
    <row r="213" spans="1:65" s="13" customFormat="1" ht="10">
      <c r="B213" s="192"/>
      <c r="C213" s="193"/>
      <c r="D213" s="194" t="s">
        <v>139</v>
      </c>
      <c r="E213" s="195" t="s">
        <v>19</v>
      </c>
      <c r="F213" s="196" t="s">
        <v>333</v>
      </c>
      <c r="G213" s="193"/>
      <c r="H213" s="197">
        <v>21.474</v>
      </c>
      <c r="I213" s="198"/>
      <c r="J213" s="193"/>
      <c r="K213" s="193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139</v>
      </c>
      <c r="AU213" s="203" t="s">
        <v>82</v>
      </c>
      <c r="AV213" s="13" t="s">
        <v>82</v>
      </c>
      <c r="AW213" s="13" t="s">
        <v>34</v>
      </c>
      <c r="AX213" s="13" t="s">
        <v>80</v>
      </c>
      <c r="AY213" s="203" t="s">
        <v>128</v>
      </c>
    </row>
    <row r="214" spans="1:65" s="2" customFormat="1" ht="24.15" customHeight="1">
      <c r="A214" s="35"/>
      <c r="B214" s="36"/>
      <c r="C214" s="174" t="s">
        <v>334</v>
      </c>
      <c r="D214" s="174" t="s">
        <v>130</v>
      </c>
      <c r="E214" s="175" t="s">
        <v>335</v>
      </c>
      <c r="F214" s="176" t="s">
        <v>336</v>
      </c>
      <c r="G214" s="177" t="s">
        <v>258</v>
      </c>
      <c r="H214" s="178">
        <v>644.22</v>
      </c>
      <c r="I214" s="179"/>
      <c r="J214" s="180">
        <f>ROUND(I214*H214,2)</f>
        <v>0</v>
      </c>
      <c r="K214" s="176" t="s">
        <v>134</v>
      </c>
      <c r="L214" s="40"/>
      <c r="M214" s="181" t="s">
        <v>19</v>
      </c>
      <c r="N214" s="182" t="s">
        <v>43</v>
      </c>
      <c r="O214" s="65"/>
      <c r="P214" s="183">
        <f>O214*H214</f>
        <v>0</v>
      </c>
      <c r="Q214" s="183">
        <v>0</v>
      </c>
      <c r="R214" s="183">
        <f>Q214*H214</f>
        <v>0</v>
      </c>
      <c r="S214" s="183">
        <v>0</v>
      </c>
      <c r="T214" s="18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5" t="s">
        <v>135</v>
      </c>
      <c r="AT214" s="185" t="s">
        <v>130</v>
      </c>
      <c r="AU214" s="185" t="s">
        <v>82</v>
      </c>
      <c r="AY214" s="18" t="s">
        <v>128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18" t="s">
        <v>80</v>
      </c>
      <c r="BK214" s="186">
        <f>ROUND(I214*H214,2)</f>
        <v>0</v>
      </c>
      <c r="BL214" s="18" t="s">
        <v>135</v>
      </c>
      <c r="BM214" s="185" t="s">
        <v>337</v>
      </c>
    </row>
    <row r="215" spans="1:65" s="2" customFormat="1" ht="10">
      <c r="A215" s="35"/>
      <c r="B215" s="36"/>
      <c r="C215" s="37"/>
      <c r="D215" s="187" t="s">
        <v>137</v>
      </c>
      <c r="E215" s="37"/>
      <c r="F215" s="188" t="s">
        <v>338</v>
      </c>
      <c r="G215" s="37"/>
      <c r="H215" s="37"/>
      <c r="I215" s="189"/>
      <c r="J215" s="37"/>
      <c r="K215" s="37"/>
      <c r="L215" s="40"/>
      <c r="M215" s="190"/>
      <c r="N215" s="191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137</v>
      </c>
      <c r="AU215" s="18" t="s">
        <v>82</v>
      </c>
    </row>
    <row r="216" spans="1:65" s="13" customFormat="1" ht="10">
      <c r="B216" s="192"/>
      <c r="C216" s="193"/>
      <c r="D216" s="194" t="s">
        <v>139</v>
      </c>
      <c r="E216" s="193"/>
      <c r="F216" s="196" t="s">
        <v>339</v>
      </c>
      <c r="G216" s="193"/>
      <c r="H216" s="197">
        <v>644.22</v>
      </c>
      <c r="I216" s="198"/>
      <c r="J216" s="193"/>
      <c r="K216" s="193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139</v>
      </c>
      <c r="AU216" s="203" t="s">
        <v>82</v>
      </c>
      <c r="AV216" s="13" t="s">
        <v>82</v>
      </c>
      <c r="AW216" s="13" t="s">
        <v>4</v>
      </c>
      <c r="AX216" s="13" t="s">
        <v>80</v>
      </c>
      <c r="AY216" s="203" t="s">
        <v>128</v>
      </c>
    </row>
    <row r="217" spans="1:65" s="2" customFormat="1" ht="24.15" customHeight="1">
      <c r="A217" s="35"/>
      <c r="B217" s="36"/>
      <c r="C217" s="174" t="s">
        <v>340</v>
      </c>
      <c r="D217" s="174" t="s">
        <v>130</v>
      </c>
      <c r="E217" s="175" t="s">
        <v>341</v>
      </c>
      <c r="F217" s="176" t="s">
        <v>342</v>
      </c>
      <c r="G217" s="177" t="s">
        <v>258</v>
      </c>
      <c r="H217" s="178">
        <v>21.474</v>
      </c>
      <c r="I217" s="179"/>
      <c r="J217" s="180">
        <f>ROUND(I217*H217,2)</f>
        <v>0</v>
      </c>
      <c r="K217" s="176" t="s">
        <v>134</v>
      </c>
      <c r="L217" s="40"/>
      <c r="M217" s="181" t="s">
        <v>19</v>
      </c>
      <c r="N217" s="182" t="s">
        <v>43</v>
      </c>
      <c r="O217" s="65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135</v>
      </c>
      <c r="AT217" s="185" t="s">
        <v>130</v>
      </c>
      <c r="AU217" s="185" t="s">
        <v>82</v>
      </c>
      <c r="AY217" s="18" t="s">
        <v>128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8" t="s">
        <v>80</v>
      </c>
      <c r="BK217" s="186">
        <f>ROUND(I217*H217,2)</f>
        <v>0</v>
      </c>
      <c r="BL217" s="18" t="s">
        <v>135</v>
      </c>
      <c r="BM217" s="185" t="s">
        <v>343</v>
      </c>
    </row>
    <row r="218" spans="1:65" s="2" customFormat="1" ht="10">
      <c r="A218" s="35"/>
      <c r="B218" s="36"/>
      <c r="C218" s="37"/>
      <c r="D218" s="187" t="s">
        <v>137</v>
      </c>
      <c r="E218" s="37"/>
      <c r="F218" s="188" t="s">
        <v>344</v>
      </c>
      <c r="G218" s="37"/>
      <c r="H218" s="37"/>
      <c r="I218" s="189"/>
      <c r="J218" s="37"/>
      <c r="K218" s="37"/>
      <c r="L218" s="40"/>
      <c r="M218" s="190"/>
      <c r="N218" s="191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137</v>
      </c>
      <c r="AU218" s="18" t="s">
        <v>82</v>
      </c>
    </row>
    <row r="219" spans="1:65" s="2" customFormat="1" ht="24.15" customHeight="1">
      <c r="A219" s="35"/>
      <c r="B219" s="36"/>
      <c r="C219" s="174" t="s">
        <v>345</v>
      </c>
      <c r="D219" s="174" t="s">
        <v>130</v>
      </c>
      <c r="E219" s="175" t="s">
        <v>346</v>
      </c>
      <c r="F219" s="176" t="s">
        <v>347</v>
      </c>
      <c r="G219" s="177" t="s">
        <v>133</v>
      </c>
      <c r="H219" s="178">
        <v>157</v>
      </c>
      <c r="I219" s="179"/>
      <c r="J219" s="180">
        <f>ROUND(I219*H219,2)</f>
        <v>0</v>
      </c>
      <c r="K219" s="176" t="s">
        <v>134</v>
      </c>
      <c r="L219" s="40"/>
      <c r="M219" s="181" t="s">
        <v>19</v>
      </c>
      <c r="N219" s="182" t="s">
        <v>43</v>
      </c>
      <c r="O219" s="65"/>
      <c r="P219" s="183">
        <f>O219*H219</f>
        <v>0</v>
      </c>
      <c r="Q219" s="183">
        <v>0</v>
      </c>
      <c r="R219" s="183">
        <f>Q219*H219</f>
        <v>0</v>
      </c>
      <c r="S219" s="183">
        <v>0.05</v>
      </c>
      <c r="T219" s="184">
        <f>S219*H219</f>
        <v>7.8500000000000005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5" t="s">
        <v>135</v>
      </c>
      <c r="AT219" s="185" t="s">
        <v>130</v>
      </c>
      <c r="AU219" s="185" t="s">
        <v>82</v>
      </c>
      <c r="AY219" s="18" t="s">
        <v>128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8" t="s">
        <v>80</v>
      </c>
      <c r="BK219" s="186">
        <f>ROUND(I219*H219,2)</f>
        <v>0</v>
      </c>
      <c r="BL219" s="18" t="s">
        <v>135</v>
      </c>
      <c r="BM219" s="185" t="s">
        <v>348</v>
      </c>
    </row>
    <row r="220" spans="1:65" s="2" customFormat="1" ht="10">
      <c r="A220" s="35"/>
      <c r="B220" s="36"/>
      <c r="C220" s="37"/>
      <c r="D220" s="187" t="s">
        <v>137</v>
      </c>
      <c r="E220" s="37"/>
      <c r="F220" s="188" t="s">
        <v>349</v>
      </c>
      <c r="G220" s="37"/>
      <c r="H220" s="37"/>
      <c r="I220" s="189"/>
      <c r="J220" s="37"/>
      <c r="K220" s="37"/>
      <c r="L220" s="40"/>
      <c r="M220" s="190"/>
      <c r="N220" s="191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137</v>
      </c>
      <c r="AU220" s="18" t="s">
        <v>82</v>
      </c>
    </row>
    <row r="221" spans="1:65" s="13" customFormat="1" ht="10">
      <c r="B221" s="192"/>
      <c r="C221" s="193"/>
      <c r="D221" s="194" t="s">
        <v>139</v>
      </c>
      <c r="E221" s="195" t="s">
        <v>19</v>
      </c>
      <c r="F221" s="196" t="s">
        <v>350</v>
      </c>
      <c r="G221" s="193"/>
      <c r="H221" s="197">
        <v>157</v>
      </c>
      <c r="I221" s="198"/>
      <c r="J221" s="193"/>
      <c r="K221" s="193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139</v>
      </c>
      <c r="AU221" s="203" t="s">
        <v>82</v>
      </c>
      <c r="AV221" s="13" t="s">
        <v>82</v>
      </c>
      <c r="AW221" s="13" t="s">
        <v>34</v>
      </c>
      <c r="AX221" s="13" t="s">
        <v>80</v>
      </c>
      <c r="AY221" s="203" t="s">
        <v>128</v>
      </c>
    </row>
    <row r="222" spans="1:65" s="2" customFormat="1" ht="24.15" customHeight="1">
      <c r="A222" s="35"/>
      <c r="B222" s="36"/>
      <c r="C222" s="174" t="s">
        <v>351</v>
      </c>
      <c r="D222" s="174" t="s">
        <v>130</v>
      </c>
      <c r="E222" s="175" t="s">
        <v>352</v>
      </c>
      <c r="F222" s="176" t="s">
        <v>353</v>
      </c>
      <c r="G222" s="177" t="s">
        <v>133</v>
      </c>
      <c r="H222" s="178">
        <v>158.24</v>
      </c>
      <c r="I222" s="179"/>
      <c r="J222" s="180">
        <f>ROUND(I222*H222,2)</f>
        <v>0</v>
      </c>
      <c r="K222" s="176" t="s">
        <v>134</v>
      </c>
      <c r="L222" s="40"/>
      <c r="M222" s="181" t="s">
        <v>19</v>
      </c>
      <c r="N222" s="182" t="s">
        <v>43</v>
      </c>
      <c r="O222" s="65"/>
      <c r="P222" s="183">
        <f>O222*H222</f>
        <v>0</v>
      </c>
      <c r="Q222" s="183">
        <v>0</v>
      </c>
      <c r="R222" s="183">
        <f>Q222*H222</f>
        <v>0</v>
      </c>
      <c r="S222" s="183">
        <v>4.5999999999999999E-2</v>
      </c>
      <c r="T222" s="184">
        <f>S222*H222</f>
        <v>7.2790400000000002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5" t="s">
        <v>135</v>
      </c>
      <c r="AT222" s="185" t="s">
        <v>130</v>
      </c>
      <c r="AU222" s="185" t="s">
        <v>82</v>
      </c>
      <c r="AY222" s="18" t="s">
        <v>128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18" t="s">
        <v>80</v>
      </c>
      <c r="BK222" s="186">
        <f>ROUND(I222*H222,2)</f>
        <v>0</v>
      </c>
      <c r="BL222" s="18" t="s">
        <v>135</v>
      </c>
      <c r="BM222" s="185" t="s">
        <v>354</v>
      </c>
    </row>
    <row r="223" spans="1:65" s="2" customFormat="1" ht="10">
      <c r="A223" s="35"/>
      <c r="B223" s="36"/>
      <c r="C223" s="37"/>
      <c r="D223" s="187" t="s">
        <v>137</v>
      </c>
      <c r="E223" s="37"/>
      <c r="F223" s="188" t="s">
        <v>355</v>
      </c>
      <c r="G223" s="37"/>
      <c r="H223" s="37"/>
      <c r="I223" s="189"/>
      <c r="J223" s="37"/>
      <c r="K223" s="37"/>
      <c r="L223" s="40"/>
      <c r="M223" s="190"/>
      <c r="N223" s="191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137</v>
      </c>
      <c r="AU223" s="18" t="s">
        <v>82</v>
      </c>
    </row>
    <row r="224" spans="1:65" s="13" customFormat="1" ht="10">
      <c r="B224" s="192"/>
      <c r="C224" s="193"/>
      <c r="D224" s="194" t="s">
        <v>139</v>
      </c>
      <c r="E224" s="195" t="s">
        <v>19</v>
      </c>
      <c r="F224" s="196" t="s">
        <v>356</v>
      </c>
      <c r="G224" s="193"/>
      <c r="H224" s="197">
        <v>158.24</v>
      </c>
      <c r="I224" s="198"/>
      <c r="J224" s="193"/>
      <c r="K224" s="193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139</v>
      </c>
      <c r="AU224" s="203" t="s">
        <v>82</v>
      </c>
      <c r="AV224" s="13" t="s">
        <v>82</v>
      </c>
      <c r="AW224" s="13" t="s">
        <v>34</v>
      </c>
      <c r="AX224" s="13" t="s">
        <v>80</v>
      </c>
      <c r="AY224" s="203" t="s">
        <v>128</v>
      </c>
    </row>
    <row r="225" spans="1:65" s="2" customFormat="1" ht="24.15" customHeight="1">
      <c r="A225" s="35"/>
      <c r="B225" s="36"/>
      <c r="C225" s="174" t="s">
        <v>357</v>
      </c>
      <c r="D225" s="174" t="s">
        <v>130</v>
      </c>
      <c r="E225" s="175" t="s">
        <v>358</v>
      </c>
      <c r="F225" s="176" t="s">
        <v>359</v>
      </c>
      <c r="G225" s="177" t="s">
        <v>133</v>
      </c>
      <c r="H225" s="178">
        <v>220.61099999999999</v>
      </c>
      <c r="I225" s="179"/>
      <c r="J225" s="180">
        <f>ROUND(I225*H225,2)</f>
        <v>0</v>
      </c>
      <c r="K225" s="176" t="s">
        <v>134</v>
      </c>
      <c r="L225" s="40"/>
      <c r="M225" s="181" t="s">
        <v>19</v>
      </c>
      <c r="N225" s="182" t="s">
        <v>43</v>
      </c>
      <c r="O225" s="65"/>
      <c r="P225" s="183">
        <f>O225*H225</f>
        <v>0</v>
      </c>
      <c r="Q225" s="183">
        <v>0</v>
      </c>
      <c r="R225" s="183">
        <f>Q225*H225</f>
        <v>0</v>
      </c>
      <c r="S225" s="183">
        <v>5.8999999999999997E-2</v>
      </c>
      <c r="T225" s="184">
        <f>S225*H225</f>
        <v>13.016048999999999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5" t="s">
        <v>135</v>
      </c>
      <c r="AT225" s="185" t="s">
        <v>130</v>
      </c>
      <c r="AU225" s="185" t="s">
        <v>82</v>
      </c>
      <c r="AY225" s="18" t="s">
        <v>128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8" t="s">
        <v>80</v>
      </c>
      <c r="BK225" s="186">
        <f>ROUND(I225*H225,2)</f>
        <v>0</v>
      </c>
      <c r="BL225" s="18" t="s">
        <v>135</v>
      </c>
      <c r="BM225" s="185" t="s">
        <v>360</v>
      </c>
    </row>
    <row r="226" spans="1:65" s="2" customFormat="1" ht="10">
      <c r="A226" s="35"/>
      <c r="B226" s="36"/>
      <c r="C226" s="37"/>
      <c r="D226" s="187" t="s">
        <v>137</v>
      </c>
      <c r="E226" s="37"/>
      <c r="F226" s="188" t="s">
        <v>361</v>
      </c>
      <c r="G226" s="37"/>
      <c r="H226" s="37"/>
      <c r="I226" s="189"/>
      <c r="J226" s="37"/>
      <c r="K226" s="37"/>
      <c r="L226" s="40"/>
      <c r="M226" s="190"/>
      <c r="N226" s="191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137</v>
      </c>
      <c r="AU226" s="18" t="s">
        <v>82</v>
      </c>
    </row>
    <row r="227" spans="1:65" s="13" customFormat="1" ht="10">
      <c r="B227" s="192"/>
      <c r="C227" s="193"/>
      <c r="D227" s="194" t="s">
        <v>139</v>
      </c>
      <c r="E227" s="195" t="s">
        <v>19</v>
      </c>
      <c r="F227" s="196" t="s">
        <v>362</v>
      </c>
      <c r="G227" s="193"/>
      <c r="H227" s="197">
        <v>220.61099999999999</v>
      </c>
      <c r="I227" s="198"/>
      <c r="J227" s="193"/>
      <c r="K227" s="193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139</v>
      </c>
      <c r="AU227" s="203" t="s">
        <v>82</v>
      </c>
      <c r="AV227" s="13" t="s">
        <v>82</v>
      </c>
      <c r="AW227" s="13" t="s">
        <v>34</v>
      </c>
      <c r="AX227" s="13" t="s">
        <v>80</v>
      </c>
      <c r="AY227" s="203" t="s">
        <v>128</v>
      </c>
    </row>
    <row r="228" spans="1:65" s="12" customFormat="1" ht="22.75" customHeight="1">
      <c r="B228" s="158"/>
      <c r="C228" s="159"/>
      <c r="D228" s="160" t="s">
        <v>71</v>
      </c>
      <c r="E228" s="172" t="s">
        <v>363</v>
      </c>
      <c r="F228" s="172" t="s">
        <v>364</v>
      </c>
      <c r="G228" s="159"/>
      <c r="H228" s="159"/>
      <c r="I228" s="162"/>
      <c r="J228" s="173">
        <f>BK228</f>
        <v>0</v>
      </c>
      <c r="K228" s="159"/>
      <c r="L228" s="164"/>
      <c r="M228" s="165"/>
      <c r="N228" s="166"/>
      <c r="O228" s="166"/>
      <c r="P228" s="167">
        <f>SUM(P229:P242)</f>
        <v>0</v>
      </c>
      <c r="Q228" s="166"/>
      <c r="R228" s="167">
        <f>SUM(R229:R242)</f>
        <v>0</v>
      </c>
      <c r="S228" s="166"/>
      <c r="T228" s="168">
        <f>SUM(T229:T242)</f>
        <v>0</v>
      </c>
      <c r="AR228" s="169" t="s">
        <v>80</v>
      </c>
      <c r="AT228" s="170" t="s">
        <v>71</v>
      </c>
      <c r="AU228" s="170" t="s">
        <v>80</v>
      </c>
      <c r="AY228" s="169" t="s">
        <v>128</v>
      </c>
      <c r="BK228" s="171">
        <f>SUM(BK229:BK242)</f>
        <v>0</v>
      </c>
    </row>
    <row r="229" spans="1:65" s="2" customFormat="1" ht="24.15" customHeight="1">
      <c r="A229" s="35"/>
      <c r="B229" s="36"/>
      <c r="C229" s="174" t="s">
        <v>365</v>
      </c>
      <c r="D229" s="174" t="s">
        <v>130</v>
      </c>
      <c r="E229" s="175" t="s">
        <v>366</v>
      </c>
      <c r="F229" s="176" t="s">
        <v>367</v>
      </c>
      <c r="G229" s="177" t="s">
        <v>174</v>
      </c>
      <c r="H229" s="178">
        <v>397.56799999999998</v>
      </c>
      <c r="I229" s="179"/>
      <c r="J229" s="180">
        <f>ROUND(I229*H229,2)</f>
        <v>0</v>
      </c>
      <c r="K229" s="176" t="s">
        <v>134</v>
      </c>
      <c r="L229" s="40"/>
      <c r="M229" s="181" t="s">
        <v>19</v>
      </c>
      <c r="N229" s="182" t="s">
        <v>43</v>
      </c>
      <c r="O229" s="65"/>
      <c r="P229" s="183">
        <f>O229*H229</f>
        <v>0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5" t="s">
        <v>135</v>
      </c>
      <c r="AT229" s="185" t="s">
        <v>130</v>
      </c>
      <c r="AU229" s="185" t="s">
        <v>82</v>
      </c>
      <c r="AY229" s="18" t="s">
        <v>128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8" t="s">
        <v>80</v>
      </c>
      <c r="BK229" s="186">
        <f>ROUND(I229*H229,2)</f>
        <v>0</v>
      </c>
      <c r="BL229" s="18" t="s">
        <v>135</v>
      </c>
      <c r="BM229" s="185" t="s">
        <v>368</v>
      </c>
    </row>
    <row r="230" spans="1:65" s="2" customFormat="1" ht="10">
      <c r="A230" s="35"/>
      <c r="B230" s="36"/>
      <c r="C230" s="37"/>
      <c r="D230" s="187" t="s">
        <v>137</v>
      </c>
      <c r="E230" s="37"/>
      <c r="F230" s="188" t="s">
        <v>369</v>
      </c>
      <c r="G230" s="37"/>
      <c r="H230" s="37"/>
      <c r="I230" s="189"/>
      <c r="J230" s="37"/>
      <c r="K230" s="37"/>
      <c r="L230" s="40"/>
      <c r="M230" s="190"/>
      <c r="N230" s="191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137</v>
      </c>
      <c r="AU230" s="18" t="s">
        <v>82</v>
      </c>
    </row>
    <row r="231" spans="1:65" s="2" customFormat="1" ht="16.5" customHeight="1">
      <c r="A231" s="35"/>
      <c r="B231" s="36"/>
      <c r="C231" s="174" t="s">
        <v>370</v>
      </c>
      <c r="D231" s="174" t="s">
        <v>130</v>
      </c>
      <c r="E231" s="175" t="s">
        <v>371</v>
      </c>
      <c r="F231" s="176" t="s">
        <v>372</v>
      </c>
      <c r="G231" s="177" t="s">
        <v>258</v>
      </c>
      <c r="H231" s="178">
        <v>17</v>
      </c>
      <c r="I231" s="179"/>
      <c r="J231" s="180">
        <f>ROUND(I231*H231,2)</f>
        <v>0</v>
      </c>
      <c r="K231" s="176" t="s">
        <v>134</v>
      </c>
      <c r="L231" s="40"/>
      <c r="M231" s="181" t="s">
        <v>19</v>
      </c>
      <c r="N231" s="182" t="s">
        <v>43</v>
      </c>
      <c r="O231" s="65"/>
      <c r="P231" s="183">
        <f>O231*H231</f>
        <v>0</v>
      </c>
      <c r="Q231" s="183">
        <v>0</v>
      </c>
      <c r="R231" s="183">
        <f>Q231*H231</f>
        <v>0</v>
      </c>
      <c r="S231" s="183">
        <v>0</v>
      </c>
      <c r="T231" s="18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135</v>
      </c>
      <c r="AT231" s="185" t="s">
        <v>130</v>
      </c>
      <c r="AU231" s="185" t="s">
        <v>82</v>
      </c>
      <c r="AY231" s="18" t="s">
        <v>128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8" t="s">
        <v>80</v>
      </c>
      <c r="BK231" s="186">
        <f>ROUND(I231*H231,2)</f>
        <v>0</v>
      </c>
      <c r="BL231" s="18" t="s">
        <v>135</v>
      </c>
      <c r="BM231" s="185" t="s">
        <v>373</v>
      </c>
    </row>
    <row r="232" spans="1:65" s="2" customFormat="1" ht="10">
      <c r="A232" s="35"/>
      <c r="B232" s="36"/>
      <c r="C232" s="37"/>
      <c r="D232" s="187" t="s">
        <v>137</v>
      </c>
      <c r="E232" s="37"/>
      <c r="F232" s="188" t="s">
        <v>374</v>
      </c>
      <c r="G232" s="37"/>
      <c r="H232" s="37"/>
      <c r="I232" s="189"/>
      <c r="J232" s="37"/>
      <c r="K232" s="37"/>
      <c r="L232" s="40"/>
      <c r="M232" s="190"/>
      <c r="N232" s="191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137</v>
      </c>
      <c r="AU232" s="18" t="s">
        <v>82</v>
      </c>
    </row>
    <row r="233" spans="1:65" s="2" customFormat="1" ht="24.15" customHeight="1">
      <c r="A233" s="35"/>
      <c r="B233" s="36"/>
      <c r="C233" s="174" t="s">
        <v>375</v>
      </c>
      <c r="D233" s="174" t="s">
        <v>130</v>
      </c>
      <c r="E233" s="175" t="s">
        <v>376</v>
      </c>
      <c r="F233" s="176" t="s">
        <v>377</v>
      </c>
      <c r="G233" s="177" t="s">
        <v>258</v>
      </c>
      <c r="H233" s="178">
        <v>1530</v>
      </c>
      <c r="I233" s="179"/>
      <c r="J233" s="180">
        <f>ROUND(I233*H233,2)</f>
        <v>0</v>
      </c>
      <c r="K233" s="176" t="s">
        <v>134</v>
      </c>
      <c r="L233" s="40"/>
      <c r="M233" s="181" t="s">
        <v>19</v>
      </c>
      <c r="N233" s="182" t="s">
        <v>43</v>
      </c>
      <c r="O233" s="65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135</v>
      </c>
      <c r="AT233" s="185" t="s">
        <v>130</v>
      </c>
      <c r="AU233" s="185" t="s">
        <v>82</v>
      </c>
      <c r="AY233" s="18" t="s">
        <v>128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8" t="s">
        <v>80</v>
      </c>
      <c r="BK233" s="186">
        <f>ROUND(I233*H233,2)</f>
        <v>0</v>
      </c>
      <c r="BL233" s="18" t="s">
        <v>135</v>
      </c>
      <c r="BM233" s="185" t="s">
        <v>378</v>
      </c>
    </row>
    <row r="234" spans="1:65" s="2" customFormat="1" ht="10">
      <c r="A234" s="35"/>
      <c r="B234" s="36"/>
      <c r="C234" s="37"/>
      <c r="D234" s="187" t="s">
        <v>137</v>
      </c>
      <c r="E234" s="37"/>
      <c r="F234" s="188" t="s">
        <v>379</v>
      </c>
      <c r="G234" s="37"/>
      <c r="H234" s="37"/>
      <c r="I234" s="189"/>
      <c r="J234" s="37"/>
      <c r="K234" s="37"/>
      <c r="L234" s="40"/>
      <c r="M234" s="190"/>
      <c r="N234" s="191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137</v>
      </c>
      <c r="AU234" s="18" t="s">
        <v>82</v>
      </c>
    </row>
    <row r="235" spans="1:65" s="13" customFormat="1" ht="10">
      <c r="B235" s="192"/>
      <c r="C235" s="193"/>
      <c r="D235" s="194" t="s">
        <v>139</v>
      </c>
      <c r="E235" s="193"/>
      <c r="F235" s="196" t="s">
        <v>380</v>
      </c>
      <c r="G235" s="193"/>
      <c r="H235" s="197">
        <v>1530</v>
      </c>
      <c r="I235" s="198"/>
      <c r="J235" s="193"/>
      <c r="K235" s="193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139</v>
      </c>
      <c r="AU235" s="203" t="s">
        <v>82</v>
      </c>
      <c r="AV235" s="13" t="s">
        <v>82</v>
      </c>
      <c r="AW235" s="13" t="s">
        <v>4</v>
      </c>
      <c r="AX235" s="13" t="s">
        <v>80</v>
      </c>
      <c r="AY235" s="203" t="s">
        <v>128</v>
      </c>
    </row>
    <row r="236" spans="1:65" s="2" customFormat="1" ht="21.75" customHeight="1">
      <c r="A236" s="35"/>
      <c r="B236" s="36"/>
      <c r="C236" s="174" t="s">
        <v>381</v>
      </c>
      <c r="D236" s="174" t="s">
        <v>130</v>
      </c>
      <c r="E236" s="175" t="s">
        <v>382</v>
      </c>
      <c r="F236" s="176" t="s">
        <v>383</v>
      </c>
      <c r="G236" s="177" t="s">
        <v>174</v>
      </c>
      <c r="H236" s="178">
        <v>397.56799999999998</v>
      </c>
      <c r="I236" s="179"/>
      <c r="J236" s="180">
        <f>ROUND(I236*H236,2)</f>
        <v>0</v>
      </c>
      <c r="K236" s="176" t="s">
        <v>134</v>
      </c>
      <c r="L236" s="40"/>
      <c r="M236" s="181" t="s">
        <v>19</v>
      </c>
      <c r="N236" s="182" t="s">
        <v>43</v>
      </c>
      <c r="O236" s="65"/>
      <c r="P236" s="183">
        <f>O236*H236</f>
        <v>0</v>
      </c>
      <c r="Q236" s="183">
        <v>0</v>
      </c>
      <c r="R236" s="183">
        <f>Q236*H236</f>
        <v>0</v>
      </c>
      <c r="S236" s="183">
        <v>0</v>
      </c>
      <c r="T236" s="18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135</v>
      </c>
      <c r="AT236" s="185" t="s">
        <v>130</v>
      </c>
      <c r="AU236" s="185" t="s">
        <v>82</v>
      </c>
      <c r="AY236" s="18" t="s">
        <v>128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8" t="s">
        <v>80</v>
      </c>
      <c r="BK236" s="186">
        <f>ROUND(I236*H236,2)</f>
        <v>0</v>
      </c>
      <c r="BL236" s="18" t="s">
        <v>135</v>
      </c>
      <c r="BM236" s="185" t="s">
        <v>384</v>
      </c>
    </row>
    <row r="237" spans="1:65" s="2" customFormat="1" ht="10">
      <c r="A237" s="35"/>
      <c r="B237" s="36"/>
      <c r="C237" s="37"/>
      <c r="D237" s="187" t="s">
        <v>137</v>
      </c>
      <c r="E237" s="37"/>
      <c r="F237" s="188" t="s">
        <v>385</v>
      </c>
      <c r="G237" s="37"/>
      <c r="H237" s="37"/>
      <c r="I237" s="189"/>
      <c r="J237" s="37"/>
      <c r="K237" s="37"/>
      <c r="L237" s="40"/>
      <c r="M237" s="190"/>
      <c r="N237" s="191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137</v>
      </c>
      <c r="AU237" s="18" t="s">
        <v>82</v>
      </c>
    </row>
    <row r="238" spans="1:65" s="2" customFormat="1" ht="24.15" customHeight="1">
      <c r="A238" s="35"/>
      <c r="B238" s="36"/>
      <c r="C238" s="174" t="s">
        <v>386</v>
      </c>
      <c r="D238" s="174" t="s">
        <v>130</v>
      </c>
      <c r="E238" s="175" t="s">
        <v>387</v>
      </c>
      <c r="F238" s="176" t="s">
        <v>388</v>
      </c>
      <c r="G238" s="177" t="s">
        <v>174</v>
      </c>
      <c r="H238" s="178">
        <v>7553.7920000000004</v>
      </c>
      <c r="I238" s="179"/>
      <c r="J238" s="180">
        <f>ROUND(I238*H238,2)</f>
        <v>0</v>
      </c>
      <c r="K238" s="176" t="s">
        <v>134</v>
      </c>
      <c r="L238" s="40"/>
      <c r="M238" s="181" t="s">
        <v>19</v>
      </c>
      <c r="N238" s="182" t="s">
        <v>43</v>
      </c>
      <c r="O238" s="65"/>
      <c r="P238" s="183">
        <f>O238*H238</f>
        <v>0</v>
      </c>
      <c r="Q238" s="183">
        <v>0</v>
      </c>
      <c r="R238" s="183">
        <f>Q238*H238</f>
        <v>0</v>
      </c>
      <c r="S238" s="183">
        <v>0</v>
      </c>
      <c r="T238" s="18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135</v>
      </c>
      <c r="AT238" s="185" t="s">
        <v>130</v>
      </c>
      <c r="AU238" s="185" t="s">
        <v>82</v>
      </c>
      <c r="AY238" s="18" t="s">
        <v>128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8" t="s">
        <v>80</v>
      </c>
      <c r="BK238" s="186">
        <f>ROUND(I238*H238,2)</f>
        <v>0</v>
      </c>
      <c r="BL238" s="18" t="s">
        <v>135</v>
      </c>
      <c r="BM238" s="185" t="s">
        <v>389</v>
      </c>
    </row>
    <row r="239" spans="1:65" s="2" customFormat="1" ht="10">
      <c r="A239" s="35"/>
      <c r="B239" s="36"/>
      <c r="C239" s="37"/>
      <c r="D239" s="187" t="s">
        <v>137</v>
      </c>
      <c r="E239" s="37"/>
      <c r="F239" s="188" t="s">
        <v>390</v>
      </c>
      <c r="G239" s="37"/>
      <c r="H239" s="37"/>
      <c r="I239" s="189"/>
      <c r="J239" s="37"/>
      <c r="K239" s="37"/>
      <c r="L239" s="40"/>
      <c r="M239" s="190"/>
      <c r="N239" s="191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137</v>
      </c>
      <c r="AU239" s="18" t="s">
        <v>82</v>
      </c>
    </row>
    <row r="240" spans="1:65" s="13" customFormat="1" ht="10">
      <c r="B240" s="192"/>
      <c r="C240" s="193"/>
      <c r="D240" s="194" t="s">
        <v>139</v>
      </c>
      <c r="E240" s="193"/>
      <c r="F240" s="196" t="s">
        <v>391</v>
      </c>
      <c r="G240" s="193"/>
      <c r="H240" s="197">
        <v>7553.7920000000004</v>
      </c>
      <c r="I240" s="198"/>
      <c r="J240" s="193"/>
      <c r="K240" s="193"/>
      <c r="L240" s="199"/>
      <c r="M240" s="200"/>
      <c r="N240" s="201"/>
      <c r="O240" s="201"/>
      <c r="P240" s="201"/>
      <c r="Q240" s="201"/>
      <c r="R240" s="201"/>
      <c r="S240" s="201"/>
      <c r="T240" s="202"/>
      <c r="AT240" s="203" t="s">
        <v>139</v>
      </c>
      <c r="AU240" s="203" t="s">
        <v>82</v>
      </c>
      <c r="AV240" s="13" t="s">
        <v>82</v>
      </c>
      <c r="AW240" s="13" t="s">
        <v>4</v>
      </c>
      <c r="AX240" s="13" t="s">
        <v>80</v>
      </c>
      <c r="AY240" s="203" t="s">
        <v>128</v>
      </c>
    </row>
    <row r="241" spans="1:65" s="2" customFormat="1" ht="24.15" customHeight="1">
      <c r="A241" s="35"/>
      <c r="B241" s="36"/>
      <c r="C241" s="174" t="s">
        <v>392</v>
      </c>
      <c r="D241" s="174" t="s">
        <v>130</v>
      </c>
      <c r="E241" s="175" t="s">
        <v>393</v>
      </c>
      <c r="F241" s="176" t="s">
        <v>394</v>
      </c>
      <c r="G241" s="177" t="s">
        <v>174</v>
      </c>
      <c r="H241" s="178">
        <v>397.56799999999998</v>
      </c>
      <c r="I241" s="179"/>
      <c r="J241" s="180">
        <f>ROUND(I241*H241,2)</f>
        <v>0</v>
      </c>
      <c r="K241" s="176" t="s">
        <v>134</v>
      </c>
      <c r="L241" s="40"/>
      <c r="M241" s="181" t="s">
        <v>19</v>
      </c>
      <c r="N241" s="182" t="s">
        <v>43</v>
      </c>
      <c r="O241" s="65"/>
      <c r="P241" s="183">
        <f>O241*H241</f>
        <v>0</v>
      </c>
      <c r="Q241" s="183">
        <v>0</v>
      </c>
      <c r="R241" s="183">
        <f>Q241*H241</f>
        <v>0</v>
      </c>
      <c r="S241" s="183">
        <v>0</v>
      </c>
      <c r="T241" s="18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135</v>
      </c>
      <c r="AT241" s="185" t="s">
        <v>130</v>
      </c>
      <c r="AU241" s="185" t="s">
        <v>82</v>
      </c>
      <c r="AY241" s="18" t="s">
        <v>128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8" t="s">
        <v>80</v>
      </c>
      <c r="BK241" s="186">
        <f>ROUND(I241*H241,2)</f>
        <v>0</v>
      </c>
      <c r="BL241" s="18" t="s">
        <v>135</v>
      </c>
      <c r="BM241" s="185" t="s">
        <v>395</v>
      </c>
    </row>
    <row r="242" spans="1:65" s="2" customFormat="1" ht="10">
      <c r="A242" s="35"/>
      <c r="B242" s="36"/>
      <c r="C242" s="37"/>
      <c r="D242" s="187" t="s">
        <v>137</v>
      </c>
      <c r="E242" s="37"/>
      <c r="F242" s="188" t="s">
        <v>396</v>
      </c>
      <c r="G242" s="37"/>
      <c r="H242" s="37"/>
      <c r="I242" s="189"/>
      <c r="J242" s="37"/>
      <c r="K242" s="37"/>
      <c r="L242" s="40"/>
      <c r="M242" s="190"/>
      <c r="N242" s="191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137</v>
      </c>
      <c r="AU242" s="18" t="s">
        <v>82</v>
      </c>
    </row>
    <row r="243" spans="1:65" s="12" customFormat="1" ht="25.9" customHeight="1">
      <c r="B243" s="158"/>
      <c r="C243" s="159"/>
      <c r="D243" s="160" t="s">
        <v>71</v>
      </c>
      <c r="E243" s="161" t="s">
        <v>397</v>
      </c>
      <c r="F243" s="161" t="s">
        <v>398</v>
      </c>
      <c r="G243" s="159"/>
      <c r="H243" s="159"/>
      <c r="I243" s="162"/>
      <c r="J243" s="163">
        <f>BK243</f>
        <v>0</v>
      </c>
      <c r="K243" s="159"/>
      <c r="L243" s="164"/>
      <c r="M243" s="165"/>
      <c r="N243" s="166"/>
      <c r="O243" s="166"/>
      <c r="P243" s="167">
        <f>P244+P256+P258+P260+P263+P265+P291+P327+P343+P355</f>
        <v>0</v>
      </c>
      <c r="Q243" s="166"/>
      <c r="R243" s="167">
        <f>R244+R256+R258+R260+R263+R265+R291+R327+R343+R355</f>
        <v>3.4332203999999997</v>
      </c>
      <c r="S243" s="166"/>
      <c r="T243" s="168">
        <f>T244+T256+T258+T260+T263+T265+T291+T327+T343+T355</f>
        <v>111.02527258000001</v>
      </c>
      <c r="AR243" s="169" t="s">
        <v>82</v>
      </c>
      <c r="AT243" s="170" t="s">
        <v>71</v>
      </c>
      <c r="AU243" s="170" t="s">
        <v>72</v>
      </c>
      <c r="AY243" s="169" t="s">
        <v>128</v>
      </c>
      <c r="BK243" s="171">
        <f>BK244+BK256+BK258+BK260+BK263+BK265+BK291+BK327+BK343+BK355</f>
        <v>0</v>
      </c>
    </row>
    <row r="244" spans="1:65" s="12" customFormat="1" ht="22.75" customHeight="1">
      <c r="B244" s="158"/>
      <c r="C244" s="159"/>
      <c r="D244" s="160" t="s">
        <v>71</v>
      </c>
      <c r="E244" s="172" t="s">
        <v>399</v>
      </c>
      <c r="F244" s="172" t="s">
        <v>400</v>
      </c>
      <c r="G244" s="159"/>
      <c r="H244" s="159"/>
      <c r="I244" s="162"/>
      <c r="J244" s="173">
        <f>BK244</f>
        <v>0</v>
      </c>
      <c r="K244" s="159"/>
      <c r="L244" s="164"/>
      <c r="M244" s="165"/>
      <c r="N244" s="166"/>
      <c r="O244" s="166"/>
      <c r="P244" s="167">
        <f>SUM(P245:P255)</f>
        <v>0</v>
      </c>
      <c r="Q244" s="166"/>
      <c r="R244" s="167">
        <f>SUM(R245:R255)</f>
        <v>3.2406803999999996</v>
      </c>
      <c r="S244" s="166"/>
      <c r="T244" s="168">
        <f>SUM(T245:T255)</f>
        <v>0.47850000000000004</v>
      </c>
      <c r="AR244" s="169" t="s">
        <v>82</v>
      </c>
      <c r="AT244" s="170" t="s">
        <v>71</v>
      </c>
      <c r="AU244" s="170" t="s">
        <v>80</v>
      </c>
      <c r="AY244" s="169" t="s">
        <v>128</v>
      </c>
      <c r="BK244" s="171">
        <f>SUM(BK245:BK255)</f>
        <v>0</v>
      </c>
    </row>
    <row r="245" spans="1:65" s="2" customFormat="1" ht="21.75" customHeight="1">
      <c r="A245" s="35"/>
      <c r="B245" s="36"/>
      <c r="C245" s="174" t="s">
        <v>401</v>
      </c>
      <c r="D245" s="174" t="s">
        <v>130</v>
      </c>
      <c r="E245" s="175" t="s">
        <v>402</v>
      </c>
      <c r="F245" s="176" t="s">
        <v>403</v>
      </c>
      <c r="G245" s="177" t="s">
        <v>133</v>
      </c>
      <c r="H245" s="178">
        <v>29</v>
      </c>
      <c r="I245" s="179"/>
      <c r="J245" s="180">
        <f>ROUND(I245*H245,2)</f>
        <v>0</v>
      </c>
      <c r="K245" s="176" t="s">
        <v>134</v>
      </c>
      <c r="L245" s="40"/>
      <c r="M245" s="181" t="s">
        <v>19</v>
      </c>
      <c r="N245" s="182" t="s">
        <v>43</v>
      </c>
      <c r="O245" s="65"/>
      <c r="P245" s="183">
        <f>O245*H245</f>
        <v>0</v>
      </c>
      <c r="Q245" s="183">
        <v>0</v>
      </c>
      <c r="R245" s="183">
        <f>Q245*H245</f>
        <v>0</v>
      </c>
      <c r="S245" s="183">
        <v>1.6500000000000001E-2</v>
      </c>
      <c r="T245" s="184">
        <f>S245*H245</f>
        <v>0.47850000000000004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230</v>
      </c>
      <c r="AT245" s="185" t="s">
        <v>130</v>
      </c>
      <c r="AU245" s="185" t="s">
        <v>82</v>
      </c>
      <c r="AY245" s="18" t="s">
        <v>128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8" t="s">
        <v>80</v>
      </c>
      <c r="BK245" s="186">
        <f>ROUND(I245*H245,2)</f>
        <v>0</v>
      </c>
      <c r="BL245" s="18" t="s">
        <v>230</v>
      </c>
      <c r="BM245" s="185" t="s">
        <v>404</v>
      </c>
    </row>
    <row r="246" spans="1:65" s="2" customFormat="1" ht="10">
      <c r="A246" s="35"/>
      <c r="B246" s="36"/>
      <c r="C246" s="37"/>
      <c r="D246" s="187" t="s">
        <v>137</v>
      </c>
      <c r="E246" s="37"/>
      <c r="F246" s="188" t="s">
        <v>405</v>
      </c>
      <c r="G246" s="37"/>
      <c r="H246" s="37"/>
      <c r="I246" s="189"/>
      <c r="J246" s="37"/>
      <c r="K246" s="37"/>
      <c r="L246" s="40"/>
      <c r="M246" s="190"/>
      <c r="N246" s="191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137</v>
      </c>
      <c r="AU246" s="18" t="s">
        <v>82</v>
      </c>
    </row>
    <row r="247" spans="1:65" s="13" customFormat="1" ht="10">
      <c r="B247" s="192"/>
      <c r="C247" s="193"/>
      <c r="D247" s="194" t="s">
        <v>139</v>
      </c>
      <c r="E247" s="195" t="s">
        <v>19</v>
      </c>
      <c r="F247" s="196" t="s">
        <v>406</v>
      </c>
      <c r="G247" s="193"/>
      <c r="H247" s="197">
        <v>29</v>
      </c>
      <c r="I247" s="198"/>
      <c r="J247" s="193"/>
      <c r="K247" s="193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139</v>
      </c>
      <c r="AU247" s="203" t="s">
        <v>82</v>
      </c>
      <c r="AV247" s="13" t="s">
        <v>82</v>
      </c>
      <c r="AW247" s="13" t="s">
        <v>34</v>
      </c>
      <c r="AX247" s="13" t="s">
        <v>80</v>
      </c>
      <c r="AY247" s="203" t="s">
        <v>128</v>
      </c>
    </row>
    <row r="248" spans="1:65" s="2" customFormat="1" ht="16.5" customHeight="1">
      <c r="A248" s="35"/>
      <c r="B248" s="36"/>
      <c r="C248" s="174" t="s">
        <v>407</v>
      </c>
      <c r="D248" s="174" t="s">
        <v>130</v>
      </c>
      <c r="E248" s="175" t="s">
        <v>408</v>
      </c>
      <c r="F248" s="176" t="s">
        <v>409</v>
      </c>
      <c r="G248" s="177" t="s">
        <v>133</v>
      </c>
      <c r="H248" s="178">
        <v>544.25</v>
      </c>
      <c r="I248" s="179"/>
      <c r="J248" s="180">
        <f>ROUND(I248*H248,2)</f>
        <v>0</v>
      </c>
      <c r="K248" s="176" t="s">
        <v>134</v>
      </c>
      <c r="L248" s="40"/>
      <c r="M248" s="181" t="s">
        <v>19</v>
      </c>
      <c r="N248" s="182" t="s">
        <v>43</v>
      </c>
      <c r="O248" s="65"/>
      <c r="P248" s="183">
        <f>O248*H248</f>
        <v>0</v>
      </c>
      <c r="Q248" s="183">
        <v>3.6000000000000002E-4</v>
      </c>
      <c r="R248" s="183">
        <f>Q248*H248</f>
        <v>0.19593000000000002</v>
      </c>
      <c r="S248" s="183">
        <v>0</v>
      </c>
      <c r="T248" s="18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5" t="s">
        <v>230</v>
      </c>
      <c r="AT248" s="185" t="s">
        <v>130</v>
      </c>
      <c r="AU248" s="185" t="s">
        <v>82</v>
      </c>
      <c r="AY248" s="18" t="s">
        <v>128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18" t="s">
        <v>80</v>
      </c>
      <c r="BK248" s="186">
        <f>ROUND(I248*H248,2)</f>
        <v>0</v>
      </c>
      <c r="BL248" s="18" t="s">
        <v>230</v>
      </c>
      <c r="BM248" s="185" t="s">
        <v>410</v>
      </c>
    </row>
    <row r="249" spans="1:65" s="2" customFormat="1" ht="10">
      <c r="A249" s="35"/>
      <c r="B249" s="36"/>
      <c r="C249" s="37"/>
      <c r="D249" s="187" t="s">
        <v>137</v>
      </c>
      <c r="E249" s="37"/>
      <c r="F249" s="188" t="s">
        <v>411</v>
      </c>
      <c r="G249" s="37"/>
      <c r="H249" s="37"/>
      <c r="I249" s="189"/>
      <c r="J249" s="37"/>
      <c r="K249" s="37"/>
      <c r="L249" s="40"/>
      <c r="M249" s="190"/>
      <c r="N249" s="191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137</v>
      </c>
      <c r="AU249" s="18" t="s">
        <v>82</v>
      </c>
    </row>
    <row r="250" spans="1:65" s="13" customFormat="1" ht="10">
      <c r="B250" s="192"/>
      <c r="C250" s="193"/>
      <c r="D250" s="194" t="s">
        <v>139</v>
      </c>
      <c r="E250" s="195" t="s">
        <v>19</v>
      </c>
      <c r="F250" s="196" t="s">
        <v>412</v>
      </c>
      <c r="G250" s="193"/>
      <c r="H250" s="197">
        <v>544.25</v>
      </c>
      <c r="I250" s="198"/>
      <c r="J250" s="193"/>
      <c r="K250" s="193"/>
      <c r="L250" s="199"/>
      <c r="M250" s="200"/>
      <c r="N250" s="201"/>
      <c r="O250" s="201"/>
      <c r="P250" s="201"/>
      <c r="Q250" s="201"/>
      <c r="R250" s="201"/>
      <c r="S250" s="201"/>
      <c r="T250" s="202"/>
      <c r="AT250" s="203" t="s">
        <v>139</v>
      </c>
      <c r="AU250" s="203" t="s">
        <v>82</v>
      </c>
      <c r="AV250" s="13" t="s">
        <v>82</v>
      </c>
      <c r="AW250" s="13" t="s">
        <v>34</v>
      </c>
      <c r="AX250" s="13" t="s">
        <v>80</v>
      </c>
      <c r="AY250" s="203" t="s">
        <v>128</v>
      </c>
    </row>
    <row r="251" spans="1:65" s="2" customFormat="1" ht="24.15" customHeight="1">
      <c r="A251" s="35"/>
      <c r="B251" s="36"/>
      <c r="C251" s="215" t="s">
        <v>413</v>
      </c>
      <c r="D251" s="215" t="s">
        <v>414</v>
      </c>
      <c r="E251" s="216" t="s">
        <v>415</v>
      </c>
      <c r="F251" s="217" t="s">
        <v>416</v>
      </c>
      <c r="G251" s="218" t="s">
        <v>133</v>
      </c>
      <c r="H251" s="219">
        <v>634.32299999999998</v>
      </c>
      <c r="I251" s="220"/>
      <c r="J251" s="221">
        <f>ROUND(I251*H251,2)</f>
        <v>0</v>
      </c>
      <c r="K251" s="217" t="s">
        <v>134</v>
      </c>
      <c r="L251" s="222"/>
      <c r="M251" s="223" t="s">
        <v>19</v>
      </c>
      <c r="N251" s="224" t="s">
        <v>43</v>
      </c>
      <c r="O251" s="65"/>
      <c r="P251" s="183">
        <f>O251*H251</f>
        <v>0</v>
      </c>
      <c r="Q251" s="183">
        <v>4.7999999999999996E-3</v>
      </c>
      <c r="R251" s="183">
        <f>Q251*H251</f>
        <v>3.0447503999999994</v>
      </c>
      <c r="S251" s="183">
        <v>0</v>
      </c>
      <c r="T251" s="18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5" t="s">
        <v>334</v>
      </c>
      <c r="AT251" s="185" t="s">
        <v>414</v>
      </c>
      <c r="AU251" s="185" t="s">
        <v>82</v>
      </c>
      <c r="AY251" s="18" t="s">
        <v>128</v>
      </c>
      <c r="BE251" s="186">
        <f>IF(N251="základní",J251,0)</f>
        <v>0</v>
      </c>
      <c r="BF251" s="186">
        <f>IF(N251="snížená",J251,0)</f>
        <v>0</v>
      </c>
      <c r="BG251" s="186">
        <f>IF(N251="zákl. přenesená",J251,0)</f>
        <v>0</v>
      </c>
      <c r="BH251" s="186">
        <f>IF(N251="sníž. přenesená",J251,0)</f>
        <v>0</v>
      </c>
      <c r="BI251" s="186">
        <f>IF(N251="nulová",J251,0)</f>
        <v>0</v>
      </c>
      <c r="BJ251" s="18" t="s">
        <v>80</v>
      </c>
      <c r="BK251" s="186">
        <f>ROUND(I251*H251,2)</f>
        <v>0</v>
      </c>
      <c r="BL251" s="18" t="s">
        <v>230</v>
      </c>
      <c r="BM251" s="185" t="s">
        <v>417</v>
      </c>
    </row>
    <row r="252" spans="1:65" s="13" customFormat="1" ht="10">
      <c r="B252" s="192"/>
      <c r="C252" s="193"/>
      <c r="D252" s="194" t="s">
        <v>139</v>
      </c>
      <c r="E252" s="193"/>
      <c r="F252" s="196" t="s">
        <v>418</v>
      </c>
      <c r="G252" s="193"/>
      <c r="H252" s="197">
        <v>634.32299999999998</v>
      </c>
      <c r="I252" s="198"/>
      <c r="J252" s="193"/>
      <c r="K252" s="193"/>
      <c r="L252" s="199"/>
      <c r="M252" s="200"/>
      <c r="N252" s="201"/>
      <c r="O252" s="201"/>
      <c r="P252" s="201"/>
      <c r="Q252" s="201"/>
      <c r="R252" s="201"/>
      <c r="S252" s="201"/>
      <c r="T252" s="202"/>
      <c r="AT252" s="203" t="s">
        <v>139</v>
      </c>
      <c r="AU252" s="203" t="s">
        <v>82</v>
      </c>
      <c r="AV252" s="13" t="s">
        <v>82</v>
      </c>
      <c r="AW252" s="13" t="s">
        <v>4</v>
      </c>
      <c r="AX252" s="13" t="s">
        <v>80</v>
      </c>
      <c r="AY252" s="203" t="s">
        <v>128</v>
      </c>
    </row>
    <row r="253" spans="1:65" s="2" customFormat="1" ht="16.5" customHeight="1">
      <c r="A253" s="35"/>
      <c r="B253" s="36"/>
      <c r="C253" s="174" t="s">
        <v>419</v>
      </c>
      <c r="D253" s="174" t="s">
        <v>130</v>
      </c>
      <c r="E253" s="175" t="s">
        <v>420</v>
      </c>
      <c r="F253" s="176" t="s">
        <v>421</v>
      </c>
      <c r="G253" s="177" t="s">
        <v>192</v>
      </c>
      <c r="H253" s="178">
        <v>1</v>
      </c>
      <c r="I253" s="179"/>
      <c r="J253" s="180">
        <f>ROUND(I253*H253,2)</f>
        <v>0</v>
      </c>
      <c r="K253" s="176" t="s">
        <v>19</v>
      </c>
      <c r="L253" s="40"/>
      <c r="M253" s="181" t="s">
        <v>19</v>
      </c>
      <c r="N253" s="182" t="s">
        <v>43</v>
      </c>
      <c r="O253" s="65"/>
      <c r="P253" s="183">
        <f>O253*H253</f>
        <v>0</v>
      </c>
      <c r="Q253" s="183">
        <v>0</v>
      </c>
      <c r="R253" s="183">
        <f>Q253*H253</f>
        <v>0</v>
      </c>
      <c r="S253" s="183">
        <v>0</v>
      </c>
      <c r="T253" s="18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5" t="s">
        <v>230</v>
      </c>
      <c r="AT253" s="185" t="s">
        <v>130</v>
      </c>
      <c r="AU253" s="185" t="s">
        <v>82</v>
      </c>
      <c r="AY253" s="18" t="s">
        <v>128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8" t="s">
        <v>80</v>
      </c>
      <c r="BK253" s="186">
        <f>ROUND(I253*H253,2)</f>
        <v>0</v>
      </c>
      <c r="BL253" s="18" t="s">
        <v>230</v>
      </c>
      <c r="BM253" s="185" t="s">
        <v>422</v>
      </c>
    </row>
    <row r="254" spans="1:65" s="2" customFormat="1" ht="24.15" customHeight="1">
      <c r="A254" s="35"/>
      <c r="B254" s="36"/>
      <c r="C254" s="174" t="s">
        <v>423</v>
      </c>
      <c r="D254" s="174" t="s">
        <v>130</v>
      </c>
      <c r="E254" s="175" t="s">
        <v>424</v>
      </c>
      <c r="F254" s="176" t="s">
        <v>425</v>
      </c>
      <c r="G254" s="177" t="s">
        <v>426</v>
      </c>
      <c r="H254" s="225"/>
      <c r="I254" s="179"/>
      <c r="J254" s="180">
        <f>ROUND(I254*H254,2)</f>
        <v>0</v>
      </c>
      <c r="K254" s="176" t="s">
        <v>134</v>
      </c>
      <c r="L254" s="40"/>
      <c r="M254" s="181" t="s">
        <v>19</v>
      </c>
      <c r="N254" s="182" t="s">
        <v>43</v>
      </c>
      <c r="O254" s="65"/>
      <c r="P254" s="183">
        <f>O254*H254</f>
        <v>0</v>
      </c>
      <c r="Q254" s="183">
        <v>0</v>
      </c>
      <c r="R254" s="183">
        <f>Q254*H254</f>
        <v>0</v>
      </c>
      <c r="S254" s="183">
        <v>0</v>
      </c>
      <c r="T254" s="18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5" t="s">
        <v>230</v>
      </c>
      <c r="AT254" s="185" t="s">
        <v>130</v>
      </c>
      <c r="AU254" s="185" t="s">
        <v>82</v>
      </c>
      <c r="AY254" s="18" t="s">
        <v>128</v>
      </c>
      <c r="BE254" s="186">
        <f>IF(N254="základní",J254,0)</f>
        <v>0</v>
      </c>
      <c r="BF254" s="186">
        <f>IF(N254="snížená",J254,0)</f>
        <v>0</v>
      </c>
      <c r="BG254" s="186">
        <f>IF(N254="zákl. přenesená",J254,0)</f>
        <v>0</v>
      </c>
      <c r="BH254" s="186">
        <f>IF(N254="sníž. přenesená",J254,0)</f>
        <v>0</v>
      </c>
      <c r="BI254" s="186">
        <f>IF(N254="nulová",J254,0)</f>
        <v>0</v>
      </c>
      <c r="BJ254" s="18" t="s">
        <v>80</v>
      </c>
      <c r="BK254" s="186">
        <f>ROUND(I254*H254,2)</f>
        <v>0</v>
      </c>
      <c r="BL254" s="18" t="s">
        <v>230</v>
      </c>
      <c r="BM254" s="185" t="s">
        <v>427</v>
      </c>
    </row>
    <row r="255" spans="1:65" s="2" customFormat="1" ht="10">
      <c r="A255" s="35"/>
      <c r="B255" s="36"/>
      <c r="C255" s="37"/>
      <c r="D255" s="187" t="s">
        <v>137</v>
      </c>
      <c r="E255" s="37"/>
      <c r="F255" s="188" t="s">
        <v>428</v>
      </c>
      <c r="G255" s="37"/>
      <c r="H255" s="37"/>
      <c r="I255" s="189"/>
      <c r="J255" s="37"/>
      <c r="K255" s="37"/>
      <c r="L255" s="40"/>
      <c r="M255" s="190"/>
      <c r="N255" s="191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137</v>
      </c>
      <c r="AU255" s="18" t="s">
        <v>82</v>
      </c>
    </row>
    <row r="256" spans="1:65" s="12" customFormat="1" ht="22.75" customHeight="1">
      <c r="B256" s="158"/>
      <c r="C256" s="159"/>
      <c r="D256" s="160" t="s">
        <v>71</v>
      </c>
      <c r="E256" s="172" t="s">
        <v>429</v>
      </c>
      <c r="F256" s="172" t="s">
        <v>430</v>
      </c>
      <c r="G256" s="159"/>
      <c r="H256" s="159"/>
      <c r="I256" s="162"/>
      <c r="J256" s="173">
        <f>BK256</f>
        <v>0</v>
      </c>
      <c r="K256" s="159"/>
      <c r="L256" s="164"/>
      <c r="M256" s="165"/>
      <c r="N256" s="166"/>
      <c r="O256" s="166"/>
      <c r="P256" s="167">
        <f>P257</f>
        <v>0</v>
      </c>
      <c r="Q256" s="166"/>
      <c r="R256" s="167">
        <f>R257</f>
        <v>0</v>
      </c>
      <c r="S256" s="166"/>
      <c r="T256" s="168">
        <f>T257</f>
        <v>0</v>
      </c>
      <c r="AR256" s="169" t="s">
        <v>82</v>
      </c>
      <c r="AT256" s="170" t="s">
        <v>71</v>
      </c>
      <c r="AU256" s="170" t="s">
        <v>80</v>
      </c>
      <c r="AY256" s="169" t="s">
        <v>128</v>
      </c>
      <c r="BK256" s="171">
        <f>BK257</f>
        <v>0</v>
      </c>
    </row>
    <row r="257" spans="1:65" s="2" customFormat="1" ht="16.5" customHeight="1">
      <c r="A257" s="35"/>
      <c r="B257" s="36"/>
      <c r="C257" s="174" t="s">
        <v>431</v>
      </c>
      <c r="D257" s="174" t="s">
        <v>130</v>
      </c>
      <c r="E257" s="175" t="s">
        <v>432</v>
      </c>
      <c r="F257" s="176" t="s">
        <v>433</v>
      </c>
      <c r="G257" s="177" t="s">
        <v>192</v>
      </c>
      <c r="H257" s="178">
        <v>1</v>
      </c>
      <c r="I257" s="179"/>
      <c r="J257" s="180">
        <f>ROUND(I257*H257,2)</f>
        <v>0</v>
      </c>
      <c r="K257" s="176" t="s">
        <v>19</v>
      </c>
      <c r="L257" s="40"/>
      <c r="M257" s="181" t="s">
        <v>19</v>
      </c>
      <c r="N257" s="182" t="s">
        <v>43</v>
      </c>
      <c r="O257" s="65"/>
      <c r="P257" s="183">
        <f>O257*H257</f>
        <v>0</v>
      </c>
      <c r="Q257" s="183">
        <v>0</v>
      </c>
      <c r="R257" s="183">
        <f>Q257*H257</f>
        <v>0</v>
      </c>
      <c r="S257" s="183">
        <v>0</v>
      </c>
      <c r="T257" s="18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230</v>
      </c>
      <c r="AT257" s="185" t="s">
        <v>130</v>
      </c>
      <c r="AU257" s="185" t="s">
        <v>82</v>
      </c>
      <c r="AY257" s="18" t="s">
        <v>128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8" t="s">
        <v>80</v>
      </c>
      <c r="BK257" s="186">
        <f>ROUND(I257*H257,2)</f>
        <v>0</v>
      </c>
      <c r="BL257" s="18" t="s">
        <v>230</v>
      </c>
      <c r="BM257" s="185" t="s">
        <v>434</v>
      </c>
    </row>
    <row r="258" spans="1:65" s="12" customFormat="1" ht="22.75" customHeight="1">
      <c r="B258" s="158"/>
      <c r="C258" s="159"/>
      <c r="D258" s="160" t="s">
        <v>71</v>
      </c>
      <c r="E258" s="172" t="s">
        <v>435</v>
      </c>
      <c r="F258" s="172" t="s">
        <v>436</v>
      </c>
      <c r="G258" s="159"/>
      <c r="H258" s="159"/>
      <c r="I258" s="162"/>
      <c r="J258" s="173">
        <f>BK258</f>
        <v>0</v>
      </c>
      <c r="K258" s="159"/>
      <c r="L258" s="164"/>
      <c r="M258" s="165"/>
      <c r="N258" s="166"/>
      <c r="O258" s="166"/>
      <c r="P258" s="167">
        <f>P259</f>
        <v>0</v>
      </c>
      <c r="Q258" s="166"/>
      <c r="R258" s="167">
        <f>R259</f>
        <v>0</v>
      </c>
      <c r="S258" s="166"/>
      <c r="T258" s="168">
        <f>T259</f>
        <v>0</v>
      </c>
      <c r="AR258" s="169" t="s">
        <v>82</v>
      </c>
      <c r="AT258" s="170" t="s">
        <v>71</v>
      </c>
      <c r="AU258" s="170" t="s">
        <v>80</v>
      </c>
      <c r="AY258" s="169" t="s">
        <v>128</v>
      </c>
      <c r="BK258" s="171">
        <f>BK259</f>
        <v>0</v>
      </c>
    </row>
    <row r="259" spans="1:65" s="2" customFormat="1" ht="16.5" customHeight="1">
      <c r="A259" s="35"/>
      <c r="B259" s="36"/>
      <c r="C259" s="174" t="s">
        <v>437</v>
      </c>
      <c r="D259" s="174" t="s">
        <v>130</v>
      </c>
      <c r="E259" s="175" t="s">
        <v>438</v>
      </c>
      <c r="F259" s="176" t="s">
        <v>439</v>
      </c>
      <c r="G259" s="177" t="s">
        <v>192</v>
      </c>
      <c r="H259" s="178">
        <v>1</v>
      </c>
      <c r="I259" s="179"/>
      <c r="J259" s="180">
        <f>ROUND(I259*H259,2)</f>
        <v>0</v>
      </c>
      <c r="K259" s="176" t="s">
        <v>19</v>
      </c>
      <c r="L259" s="40"/>
      <c r="M259" s="181" t="s">
        <v>19</v>
      </c>
      <c r="N259" s="182" t="s">
        <v>43</v>
      </c>
      <c r="O259" s="65"/>
      <c r="P259" s="183">
        <f>O259*H259</f>
        <v>0</v>
      </c>
      <c r="Q259" s="183">
        <v>0</v>
      </c>
      <c r="R259" s="183">
        <f>Q259*H259</f>
        <v>0</v>
      </c>
      <c r="S259" s="183">
        <v>0</v>
      </c>
      <c r="T259" s="18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230</v>
      </c>
      <c r="AT259" s="185" t="s">
        <v>130</v>
      </c>
      <c r="AU259" s="185" t="s">
        <v>82</v>
      </c>
      <c r="AY259" s="18" t="s">
        <v>128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18" t="s">
        <v>80</v>
      </c>
      <c r="BK259" s="186">
        <f>ROUND(I259*H259,2)</f>
        <v>0</v>
      </c>
      <c r="BL259" s="18" t="s">
        <v>230</v>
      </c>
      <c r="BM259" s="185" t="s">
        <v>440</v>
      </c>
    </row>
    <row r="260" spans="1:65" s="12" customFormat="1" ht="22.75" customHeight="1">
      <c r="B260" s="158"/>
      <c r="C260" s="159"/>
      <c r="D260" s="160" t="s">
        <v>71</v>
      </c>
      <c r="E260" s="172" t="s">
        <v>441</v>
      </c>
      <c r="F260" s="172" t="s">
        <v>442</v>
      </c>
      <c r="G260" s="159"/>
      <c r="H260" s="159"/>
      <c r="I260" s="162"/>
      <c r="J260" s="173">
        <f>BK260</f>
        <v>0</v>
      </c>
      <c r="K260" s="159"/>
      <c r="L260" s="164"/>
      <c r="M260" s="165"/>
      <c r="N260" s="166"/>
      <c r="O260" s="166"/>
      <c r="P260" s="167">
        <f>SUM(P261:P262)</f>
        <v>0</v>
      </c>
      <c r="Q260" s="166"/>
      <c r="R260" s="167">
        <f>SUM(R261:R262)</f>
        <v>0</v>
      </c>
      <c r="S260" s="166"/>
      <c r="T260" s="168">
        <f>SUM(T261:T262)</f>
        <v>0</v>
      </c>
      <c r="AR260" s="169" t="s">
        <v>82</v>
      </c>
      <c r="AT260" s="170" t="s">
        <v>71</v>
      </c>
      <c r="AU260" s="170" t="s">
        <v>80</v>
      </c>
      <c r="AY260" s="169" t="s">
        <v>128</v>
      </c>
      <c r="BK260" s="171">
        <f>SUM(BK261:BK262)</f>
        <v>0</v>
      </c>
    </row>
    <row r="261" spans="1:65" s="2" customFormat="1" ht="16.5" customHeight="1">
      <c r="A261" s="35"/>
      <c r="B261" s="36"/>
      <c r="C261" s="174" t="s">
        <v>443</v>
      </c>
      <c r="D261" s="174" t="s">
        <v>130</v>
      </c>
      <c r="E261" s="175" t="s">
        <v>444</v>
      </c>
      <c r="F261" s="176" t="s">
        <v>445</v>
      </c>
      <c r="G261" s="177" t="s">
        <v>192</v>
      </c>
      <c r="H261" s="178">
        <v>1</v>
      </c>
      <c r="I261" s="179"/>
      <c r="J261" s="180">
        <f>ROUND(I261*H261,2)</f>
        <v>0</v>
      </c>
      <c r="K261" s="176" t="s">
        <v>19</v>
      </c>
      <c r="L261" s="40"/>
      <c r="M261" s="181" t="s">
        <v>19</v>
      </c>
      <c r="N261" s="182" t="s">
        <v>43</v>
      </c>
      <c r="O261" s="65"/>
      <c r="P261" s="183">
        <f>O261*H261</f>
        <v>0</v>
      </c>
      <c r="Q261" s="183">
        <v>0</v>
      </c>
      <c r="R261" s="183">
        <f>Q261*H261</f>
        <v>0</v>
      </c>
      <c r="S261" s="183">
        <v>0</v>
      </c>
      <c r="T261" s="18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230</v>
      </c>
      <c r="AT261" s="185" t="s">
        <v>130</v>
      </c>
      <c r="AU261" s="185" t="s">
        <v>82</v>
      </c>
      <c r="AY261" s="18" t="s">
        <v>128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80</v>
      </c>
      <c r="BK261" s="186">
        <f>ROUND(I261*H261,2)</f>
        <v>0</v>
      </c>
      <c r="BL261" s="18" t="s">
        <v>230</v>
      </c>
      <c r="BM261" s="185" t="s">
        <v>446</v>
      </c>
    </row>
    <row r="262" spans="1:65" s="2" customFormat="1" ht="16.5" customHeight="1">
      <c r="A262" s="35"/>
      <c r="B262" s="36"/>
      <c r="C262" s="174" t="s">
        <v>447</v>
      </c>
      <c r="D262" s="174" t="s">
        <v>130</v>
      </c>
      <c r="E262" s="175" t="s">
        <v>448</v>
      </c>
      <c r="F262" s="176" t="s">
        <v>449</v>
      </c>
      <c r="G262" s="177" t="s">
        <v>192</v>
      </c>
      <c r="H262" s="178">
        <v>1</v>
      </c>
      <c r="I262" s="179"/>
      <c r="J262" s="180">
        <f>ROUND(I262*H262,2)</f>
        <v>0</v>
      </c>
      <c r="K262" s="176" t="s">
        <v>19</v>
      </c>
      <c r="L262" s="40"/>
      <c r="M262" s="181" t="s">
        <v>19</v>
      </c>
      <c r="N262" s="182" t="s">
        <v>43</v>
      </c>
      <c r="O262" s="65"/>
      <c r="P262" s="183">
        <f>O262*H262</f>
        <v>0</v>
      </c>
      <c r="Q262" s="183">
        <v>0</v>
      </c>
      <c r="R262" s="183">
        <f>Q262*H262</f>
        <v>0</v>
      </c>
      <c r="S262" s="183">
        <v>0</v>
      </c>
      <c r="T262" s="18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5" t="s">
        <v>230</v>
      </c>
      <c r="AT262" s="185" t="s">
        <v>130</v>
      </c>
      <c r="AU262" s="185" t="s">
        <v>82</v>
      </c>
      <c r="AY262" s="18" t="s">
        <v>128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8" t="s">
        <v>80</v>
      </c>
      <c r="BK262" s="186">
        <f>ROUND(I262*H262,2)</f>
        <v>0</v>
      </c>
      <c r="BL262" s="18" t="s">
        <v>230</v>
      </c>
      <c r="BM262" s="185" t="s">
        <v>450</v>
      </c>
    </row>
    <row r="263" spans="1:65" s="12" customFormat="1" ht="22.75" customHeight="1">
      <c r="B263" s="158"/>
      <c r="C263" s="159"/>
      <c r="D263" s="160" t="s">
        <v>71</v>
      </c>
      <c r="E263" s="172" t="s">
        <v>451</v>
      </c>
      <c r="F263" s="172" t="s">
        <v>452</v>
      </c>
      <c r="G263" s="159"/>
      <c r="H263" s="159"/>
      <c r="I263" s="162"/>
      <c r="J263" s="173">
        <f>BK263</f>
        <v>0</v>
      </c>
      <c r="K263" s="159"/>
      <c r="L263" s="164"/>
      <c r="M263" s="165"/>
      <c r="N263" s="166"/>
      <c r="O263" s="166"/>
      <c r="P263" s="167">
        <f>P264</f>
        <v>0</v>
      </c>
      <c r="Q263" s="166"/>
      <c r="R263" s="167">
        <f>R264</f>
        <v>0</v>
      </c>
      <c r="S263" s="166"/>
      <c r="T263" s="168">
        <f>T264</f>
        <v>0</v>
      </c>
      <c r="AR263" s="169" t="s">
        <v>82</v>
      </c>
      <c r="AT263" s="170" t="s">
        <v>71</v>
      </c>
      <c r="AU263" s="170" t="s">
        <v>80</v>
      </c>
      <c r="AY263" s="169" t="s">
        <v>128</v>
      </c>
      <c r="BK263" s="171">
        <f>BK264</f>
        <v>0</v>
      </c>
    </row>
    <row r="264" spans="1:65" s="2" customFormat="1" ht="16.5" customHeight="1">
      <c r="A264" s="35"/>
      <c r="B264" s="36"/>
      <c r="C264" s="174" t="s">
        <v>453</v>
      </c>
      <c r="D264" s="174" t="s">
        <v>130</v>
      </c>
      <c r="E264" s="175" t="s">
        <v>454</v>
      </c>
      <c r="F264" s="176" t="s">
        <v>455</v>
      </c>
      <c r="G264" s="177" t="s">
        <v>192</v>
      </c>
      <c r="H264" s="178">
        <v>1</v>
      </c>
      <c r="I264" s="179"/>
      <c r="J264" s="180">
        <f>ROUND(I264*H264,2)</f>
        <v>0</v>
      </c>
      <c r="K264" s="176" t="s">
        <v>19</v>
      </c>
      <c r="L264" s="40"/>
      <c r="M264" s="181" t="s">
        <v>19</v>
      </c>
      <c r="N264" s="182" t="s">
        <v>43</v>
      </c>
      <c r="O264" s="65"/>
      <c r="P264" s="183">
        <f>O264*H264</f>
        <v>0</v>
      </c>
      <c r="Q264" s="183">
        <v>0</v>
      </c>
      <c r="R264" s="183">
        <f>Q264*H264</f>
        <v>0</v>
      </c>
      <c r="S264" s="183">
        <v>0</v>
      </c>
      <c r="T264" s="18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230</v>
      </c>
      <c r="AT264" s="185" t="s">
        <v>130</v>
      </c>
      <c r="AU264" s="185" t="s">
        <v>82</v>
      </c>
      <c r="AY264" s="18" t="s">
        <v>128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8" t="s">
        <v>80</v>
      </c>
      <c r="BK264" s="186">
        <f>ROUND(I264*H264,2)</f>
        <v>0</v>
      </c>
      <c r="BL264" s="18" t="s">
        <v>230</v>
      </c>
      <c r="BM264" s="185" t="s">
        <v>456</v>
      </c>
    </row>
    <row r="265" spans="1:65" s="12" customFormat="1" ht="22.75" customHeight="1">
      <c r="B265" s="158"/>
      <c r="C265" s="159"/>
      <c r="D265" s="160" t="s">
        <v>71</v>
      </c>
      <c r="E265" s="172" t="s">
        <v>457</v>
      </c>
      <c r="F265" s="172" t="s">
        <v>458</v>
      </c>
      <c r="G265" s="159"/>
      <c r="H265" s="159"/>
      <c r="I265" s="162"/>
      <c r="J265" s="173">
        <f>BK265</f>
        <v>0</v>
      </c>
      <c r="K265" s="159"/>
      <c r="L265" s="164"/>
      <c r="M265" s="165"/>
      <c r="N265" s="166"/>
      <c r="O265" s="166"/>
      <c r="P265" s="167">
        <f>SUM(P266:P290)</f>
        <v>0</v>
      </c>
      <c r="Q265" s="166"/>
      <c r="R265" s="167">
        <f>SUM(R266:R290)</f>
        <v>0</v>
      </c>
      <c r="S265" s="166"/>
      <c r="T265" s="168">
        <f>SUM(T266:T290)</f>
        <v>70.913120000000006</v>
      </c>
      <c r="AR265" s="169" t="s">
        <v>82</v>
      </c>
      <c r="AT265" s="170" t="s">
        <v>71</v>
      </c>
      <c r="AU265" s="170" t="s">
        <v>80</v>
      </c>
      <c r="AY265" s="169" t="s">
        <v>128</v>
      </c>
      <c r="BK265" s="171">
        <f>SUM(BK266:BK290)</f>
        <v>0</v>
      </c>
    </row>
    <row r="266" spans="1:65" s="2" customFormat="1" ht="24.15" customHeight="1">
      <c r="A266" s="35"/>
      <c r="B266" s="36"/>
      <c r="C266" s="174" t="s">
        <v>459</v>
      </c>
      <c r="D266" s="174" t="s">
        <v>130</v>
      </c>
      <c r="E266" s="175" t="s">
        <v>460</v>
      </c>
      <c r="F266" s="176" t="s">
        <v>461</v>
      </c>
      <c r="G266" s="177" t="s">
        <v>258</v>
      </c>
      <c r="H266" s="178">
        <v>1321.13</v>
      </c>
      <c r="I266" s="179"/>
      <c r="J266" s="180">
        <f>ROUND(I266*H266,2)</f>
        <v>0</v>
      </c>
      <c r="K266" s="176" t="s">
        <v>134</v>
      </c>
      <c r="L266" s="40"/>
      <c r="M266" s="181" t="s">
        <v>19</v>
      </c>
      <c r="N266" s="182" t="s">
        <v>43</v>
      </c>
      <c r="O266" s="65"/>
      <c r="P266" s="183">
        <f>O266*H266</f>
        <v>0</v>
      </c>
      <c r="Q266" s="183">
        <v>0</v>
      </c>
      <c r="R266" s="183">
        <f>Q266*H266</f>
        <v>0</v>
      </c>
      <c r="S266" s="183">
        <v>2.4E-2</v>
      </c>
      <c r="T266" s="184">
        <f>S266*H266</f>
        <v>31.707120000000003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5" t="s">
        <v>230</v>
      </c>
      <c r="AT266" s="185" t="s">
        <v>130</v>
      </c>
      <c r="AU266" s="185" t="s">
        <v>82</v>
      </c>
      <c r="AY266" s="18" t="s">
        <v>128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18" t="s">
        <v>80</v>
      </c>
      <c r="BK266" s="186">
        <f>ROUND(I266*H266,2)</f>
        <v>0</v>
      </c>
      <c r="BL266" s="18" t="s">
        <v>230</v>
      </c>
      <c r="BM266" s="185" t="s">
        <v>462</v>
      </c>
    </row>
    <row r="267" spans="1:65" s="2" customFormat="1" ht="10">
      <c r="A267" s="35"/>
      <c r="B267" s="36"/>
      <c r="C267" s="37"/>
      <c r="D267" s="187" t="s">
        <v>137</v>
      </c>
      <c r="E267" s="37"/>
      <c r="F267" s="188" t="s">
        <v>463</v>
      </c>
      <c r="G267" s="37"/>
      <c r="H267" s="37"/>
      <c r="I267" s="189"/>
      <c r="J267" s="37"/>
      <c r="K267" s="37"/>
      <c r="L267" s="40"/>
      <c r="M267" s="190"/>
      <c r="N267" s="191"/>
      <c r="O267" s="65"/>
      <c r="P267" s="65"/>
      <c r="Q267" s="65"/>
      <c r="R267" s="65"/>
      <c r="S267" s="65"/>
      <c r="T267" s="66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137</v>
      </c>
      <c r="AU267" s="18" t="s">
        <v>82</v>
      </c>
    </row>
    <row r="268" spans="1:65" s="13" customFormat="1" ht="20">
      <c r="B268" s="192"/>
      <c r="C268" s="193"/>
      <c r="D268" s="194" t="s">
        <v>139</v>
      </c>
      <c r="E268" s="195" t="s">
        <v>19</v>
      </c>
      <c r="F268" s="196" t="s">
        <v>464</v>
      </c>
      <c r="G268" s="193"/>
      <c r="H268" s="197">
        <v>1161.0999999999999</v>
      </c>
      <c r="I268" s="198"/>
      <c r="J268" s="193"/>
      <c r="K268" s="193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139</v>
      </c>
      <c r="AU268" s="203" t="s">
        <v>82</v>
      </c>
      <c r="AV268" s="13" t="s">
        <v>82</v>
      </c>
      <c r="AW268" s="13" t="s">
        <v>34</v>
      </c>
      <c r="AX268" s="13" t="s">
        <v>72</v>
      </c>
      <c r="AY268" s="203" t="s">
        <v>128</v>
      </c>
    </row>
    <row r="269" spans="1:65" s="13" customFormat="1" ht="10">
      <c r="B269" s="192"/>
      <c r="C269" s="193"/>
      <c r="D269" s="194" t="s">
        <v>139</v>
      </c>
      <c r="E269" s="195" t="s">
        <v>19</v>
      </c>
      <c r="F269" s="196" t="s">
        <v>465</v>
      </c>
      <c r="G269" s="193"/>
      <c r="H269" s="197">
        <v>160.03</v>
      </c>
      <c r="I269" s="198"/>
      <c r="J269" s="193"/>
      <c r="K269" s="193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139</v>
      </c>
      <c r="AU269" s="203" t="s">
        <v>82</v>
      </c>
      <c r="AV269" s="13" t="s">
        <v>82</v>
      </c>
      <c r="AW269" s="13" t="s">
        <v>34</v>
      </c>
      <c r="AX269" s="13" t="s">
        <v>72</v>
      </c>
      <c r="AY269" s="203" t="s">
        <v>128</v>
      </c>
    </row>
    <row r="270" spans="1:65" s="14" customFormat="1" ht="10">
      <c r="B270" s="204"/>
      <c r="C270" s="205"/>
      <c r="D270" s="194" t="s">
        <v>139</v>
      </c>
      <c r="E270" s="206" t="s">
        <v>19</v>
      </c>
      <c r="F270" s="207" t="s">
        <v>153</v>
      </c>
      <c r="G270" s="205"/>
      <c r="H270" s="208">
        <v>1321.13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139</v>
      </c>
      <c r="AU270" s="214" t="s">
        <v>82</v>
      </c>
      <c r="AV270" s="14" t="s">
        <v>135</v>
      </c>
      <c r="AW270" s="14" t="s">
        <v>34</v>
      </c>
      <c r="AX270" s="14" t="s">
        <v>80</v>
      </c>
      <c r="AY270" s="214" t="s">
        <v>128</v>
      </c>
    </row>
    <row r="271" spans="1:65" s="2" customFormat="1" ht="24.15" customHeight="1">
      <c r="A271" s="35"/>
      <c r="B271" s="36"/>
      <c r="C271" s="174" t="s">
        <v>466</v>
      </c>
      <c r="D271" s="174" t="s">
        <v>130</v>
      </c>
      <c r="E271" s="175" t="s">
        <v>467</v>
      </c>
      <c r="F271" s="176" t="s">
        <v>468</v>
      </c>
      <c r="G271" s="177" t="s">
        <v>258</v>
      </c>
      <c r="H271" s="178">
        <v>48</v>
      </c>
      <c r="I271" s="179"/>
      <c r="J271" s="180">
        <f>ROUND(I271*H271,2)</f>
        <v>0</v>
      </c>
      <c r="K271" s="176" t="s">
        <v>134</v>
      </c>
      <c r="L271" s="40"/>
      <c r="M271" s="181" t="s">
        <v>19</v>
      </c>
      <c r="N271" s="182" t="s">
        <v>43</v>
      </c>
      <c r="O271" s="65"/>
      <c r="P271" s="183">
        <f>O271*H271</f>
        <v>0</v>
      </c>
      <c r="Q271" s="183">
        <v>0</v>
      </c>
      <c r="R271" s="183">
        <f>Q271*H271</f>
        <v>0</v>
      </c>
      <c r="S271" s="183">
        <v>3.2000000000000001E-2</v>
      </c>
      <c r="T271" s="184">
        <f>S271*H271</f>
        <v>1.536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230</v>
      </c>
      <c r="AT271" s="185" t="s">
        <v>130</v>
      </c>
      <c r="AU271" s="185" t="s">
        <v>82</v>
      </c>
      <c r="AY271" s="18" t="s">
        <v>128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80</v>
      </c>
      <c r="BK271" s="186">
        <f>ROUND(I271*H271,2)</f>
        <v>0</v>
      </c>
      <c r="BL271" s="18" t="s">
        <v>230</v>
      </c>
      <c r="BM271" s="185" t="s">
        <v>469</v>
      </c>
    </row>
    <row r="272" spans="1:65" s="2" customFormat="1" ht="10">
      <c r="A272" s="35"/>
      <c r="B272" s="36"/>
      <c r="C272" s="37"/>
      <c r="D272" s="187" t="s">
        <v>137</v>
      </c>
      <c r="E272" s="37"/>
      <c r="F272" s="188" t="s">
        <v>470</v>
      </c>
      <c r="G272" s="37"/>
      <c r="H272" s="37"/>
      <c r="I272" s="189"/>
      <c r="J272" s="37"/>
      <c r="K272" s="37"/>
      <c r="L272" s="40"/>
      <c r="M272" s="190"/>
      <c r="N272" s="191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137</v>
      </c>
      <c r="AU272" s="18" t="s">
        <v>82</v>
      </c>
    </row>
    <row r="273" spans="1:65" s="13" customFormat="1" ht="10">
      <c r="B273" s="192"/>
      <c r="C273" s="193"/>
      <c r="D273" s="194" t="s">
        <v>139</v>
      </c>
      <c r="E273" s="195" t="s">
        <v>19</v>
      </c>
      <c r="F273" s="196" t="s">
        <v>471</v>
      </c>
      <c r="G273" s="193"/>
      <c r="H273" s="197">
        <v>48</v>
      </c>
      <c r="I273" s="198"/>
      <c r="J273" s="193"/>
      <c r="K273" s="193"/>
      <c r="L273" s="199"/>
      <c r="M273" s="200"/>
      <c r="N273" s="201"/>
      <c r="O273" s="201"/>
      <c r="P273" s="201"/>
      <c r="Q273" s="201"/>
      <c r="R273" s="201"/>
      <c r="S273" s="201"/>
      <c r="T273" s="202"/>
      <c r="AT273" s="203" t="s">
        <v>139</v>
      </c>
      <c r="AU273" s="203" t="s">
        <v>82</v>
      </c>
      <c r="AV273" s="13" t="s">
        <v>82</v>
      </c>
      <c r="AW273" s="13" t="s">
        <v>34</v>
      </c>
      <c r="AX273" s="13" t="s">
        <v>80</v>
      </c>
      <c r="AY273" s="203" t="s">
        <v>128</v>
      </c>
    </row>
    <row r="274" spans="1:65" s="2" customFormat="1" ht="24.15" customHeight="1">
      <c r="A274" s="35"/>
      <c r="B274" s="36"/>
      <c r="C274" s="174" t="s">
        <v>472</v>
      </c>
      <c r="D274" s="174" t="s">
        <v>130</v>
      </c>
      <c r="E274" s="175" t="s">
        <v>473</v>
      </c>
      <c r="F274" s="176" t="s">
        <v>474</v>
      </c>
      <c r="G274" s="177" t="s">
        <v>133</v>
      </c>
      <c r="H274" s="178">
        <v>29</v>
      </c>
      <c r="I274" s="179"/>
      <c r="J274" s="180">
        <f>ROUND(I274*H274,2)</f>
        <v>0</v>
      </c>
      <c r="K274" s="176" t="s">
        <v>134</v>
      </c>
      <c r="L274" s="40"/>
      <c r="M274" s="181" t="s">
        <v>19</v>
      </c>
      <c r="N274" s="182" t="s">
        <v>43</v>
      </c>
      <c r="O274" s="65"/>
      <c r="P274" s="183">
        <f>O274*H274</f>
        <v>0</v>
      </c>
      <c r="Q274" s="183">
        <v>0</v>
      </c>
      <c r="R274" s="183">
        <f>Q274*H274</f>
        <v>0</v>
      </c>
      <c r="S274" s="183">
        <v>3.1E-2</v>
      </c>
      <c r="T274" s="184">
        <f>S274*H274</f>
        <v>0.89900000000000002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5" t="s">
        <v>230</v>
      </c>
      <c r="AT274" s="185" t="s">
        <v>130</v>
      </c>
      <c r="AU274" s="185" t="s">
        <v>82</v>
      </c>
      <c r="AY274" s="18" t="s">
        <v>128</v>
      </c>
      <c r="BE274" s="186">
        <f>IF(N274="základní",J274,0)</f>
        <v>0</v>
      </c>
      <c r="BF274" s="186">
        <f>IF(N274="snížená",J274,0)</f>
        <v>0</v>
      </c>
      <c r="BG274" s="186">
        <f>IF(N274="zákl. přenesená",J274,0)</f>
        <v>0</v>
      </c>
      <c r="BH274" s="186">
        <f>IF(N274="sníž. přenesená",J274,0)</f>
        <v>0</v>
      </c>
      <c r="BI274" s="186">
        <f>IF(N274="nulová",J274,0)</f>
        <v>0</v>
      </c>
      <c r="BJ274" s="18" t="s">
        <v>80</v>
      </c>
      <c r="BK274" s="186">
        <f>ROUND(I274*H274,2)</f>
        <v>0</v>
      </c>
      <c r="BL274" s="18" t="s">
        <v>230</v>
      </c>
      <c r="BM274" s="185" t="s">
        <v>475</v>
      </c>
    </row>
    <row r="275" spans="1:65" s="2" customFormat="1" ht="10">
      <c r="A275" s="35"/>
      <c r="B275" s="36"/>
      <c r="C275" s="37"/>
      <c r="D275" s="187" t="s">
        <v>137</v>
      </c>
      <c r="E275" s="37"/>
      <c r="F275" s="188" t="s">
        <v>476</v>
      </c>
      <c r="G275" s="37"/>
      <c r="H275" s="37"/>
      <c r="I275" s="189"/>
      <c r="J275" s="37"/>
      <c r="K275" s="37"/>
      <c r="L275" s="40"/>
      <c r="M275" s="190"/>
      <c r="N275" s="191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137</v>
      </c>
      <c r="AU275" s="18" t="s">
        <v>82</v>
      </c>
    </row>
    <row r="276" spans="1:65" s="13" customFormat="1" ht="10">
      <c r="B276" s="192"/>
      <c r="C276" s="193"/>
      <c r="D276" s="194" t="s">
        <v>139</v>
      </c>
      <c r="E276" s="195" t="s">
        <v>19</v>
      </c>
      <c r="F276" s="196" t="s">
        <v>406</v>
      </c>
      <c r="G276" s="193"/>
      <c r="H276" s="197">
        <v>29</v>
      </c>
      <c r="I276" s="198"/>
      <c r="J276" s="193"/>
      <c r="K276" s="193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139</v>
      </c>
      <c r="AU276" s="203" t="s">
        <v>82</v>
      </c>
      <c r="AV276" s="13" t="s">
        <v>82</v>
      </c>
      <c r="AW276" s="13" t="s">
        <v>34</v>
      </c>
      <c r="AX276" s="13" t="s">
        <v>80</v>
      </c>
      <c r="AY276" s="203" t="s">
        <v>128</v>
      </c>
    </row>
    <row r="277" spans="1:65" s="2" customFormat="1" ht="24.15" customHeight="1">
      <c r="A277" s="35"/>
      <c r="B277" s="36"/>
      <c r="C277" s="174" t="s">
        <v>477</v>
      </c>
      <c r="D277" s="174" t="s">
        <v>130</v>
      </c>
      <c r="E277" s="175" t="s">
        <v>478</v>
      </c>
      <c r="F277" s="176" t="s">
        <v>479</v>
      </c>
      <c r="G277" s="177" t="s">
        <v>133</v>
      </c>
      <c r="H277" s="178">
        <v>819</v>
      </c>
      <c r="I277" s="179"/>
      <c r="J277" s="180">
        <f>ROUND(I277*H277,2)</f>
        <v>0</v>
      </c>
      <c r="K277" s="176" t="s">
        <v>134</v>
      </c>
      <c r="L277" s="40"/>
      <c r="M277" s="181" t="s">
        <v>19</v>
      </c>
      <c r="N277" s="182" t="s">
        <v>43</v>
      </c>
      <c r="O277" s="65"/>
      <c r="P277" s="183">
        <f>O277*H277</f>
        <v>0</v>
      </c>
      <c r="Q277" s="183">
        <v>0</v>
      </c>
      <c r="R277" s="183">
        <f>Q277*H277</f>
        <v>0</v>
      </c>
      <c r="S277" s="183">
        <v>5.0000000000000001E-3</v>
      </c>
      <c r="T277" s="184">
        <f>S277*H277</f>
        <v>4.0949999999999998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230</v>
      </c>
      <c r="AT277" s="185" t="s">
        <v>130</v>
      </c>
      <c r="AU277" s="185" t="s">
        <v>82</v>
      </c>
      <c r="AY277" s="18" t="s">
        <v>128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8" t="s">
        <v>80</v>
      </c>
      <c r="BK277" s="186">
        <f>ROUND(I277*H277,2)</f>
        <v>0</v>
      </c>
      <c r="BL277" s="18" t="s">
        <v>230</v>
      </c>
      <c r="BM277" s="185" t="s">
        <v>480</v>
      </c>
    </row>
    <row r="278" spans="1:65" s="2" customFormat="1" ht="10">
      <c r="A278" s="35"/>
      <c r="B278" s="36"/>
      <c r="C278" s="37"/>
      <c r="D278" s="187" t="s">
        <v>137</v>
      </c>
      <c r="E278" s="37"/>
      <c r="F278" s="188" t="s">
        <v>481</v>
      </c>
      <c r="G278" s="37"/>
      <c r="H278" s="37"/>
      <c r="I278" s="189"/>
      <c r="J278" s="37"/>
      <c r="K278" s="37"/>
      <c r="L278" s="40"/>
      <c r="M278" s="190"/>
      <c r="N278" s="191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137</v>
      </c>
      <c r="AU278" s="18" t="s">
        <v>82</v>
      </c>
    </row>
    <row r="279" spans="1:65" s="13" customFormat="1" ht="10">
      <c r="B279" s="192"/>
      <c r="C279" s="193"/>
      <c r="D279" s="194" t="s">
        <v>139</v>
      </c>
      <c r="E279" s="195" t="s">
        <v>19</v>
      </c>
      <c r="F279" s="196" t="s">
        <v>482</v>
      </c>
      <c r="G279" s="193"/>
      <c r="H279" s="197">
        <v>790</v>
      </c>
      <c r="I279" s="198"/>
      <c r="J279" s="193"/>
      <c r="K279" s="193"/>
      <c r="L279" s="199"/>
      <c r="M279" s="200"/>
      <c r="N279" s="201"/>
      <c r="O279" s="201"/>
      <c r="P279" s="201"/>
      <c r="Q279" s="201"/>
      <c r="R279" s="201"/>
      <c r="S279" s="201"/>
      <c r="T279" s="202"/>
      <c r="AT279" s="203" t="s">
        <v>139</v>
      </c>
      <c r="AU279" s="203" t="s">
        <v>82</v>
      </c>
      <c r="AV279" s="13" t="s">
        <v>82</v>
      </c>
      <c r="AW279" s="13" t="s">
        <v>34</v>
      </c>
      <c r="AX279" s="13" t="s">
        <v>72</v>
      </c>
      <c r="AY279" s="203" t="s">
        <v>128</v>
      </c>
    </row>
    <row r="280" spans="1:65" s="13" customFormat="1" ht="10">
      <c r="B280" s="192"/>
      <c r="C280" s="193"/>
      <c r="D280" s="194" t="s">
        <v>139</v>
      </c>
      <c r="E280" s="195" t="s">
        <v>19</v>
      </c>
      <c r="F280" s="196" t="s">
        <v>406</v>
      </c>
      <c r="G280" s="193"/>
      <c r="H280" s="197">
        <v>29</v>
      </c>
      <c r="I280" s="198"/>
      <c r="J280" s="193"/>
      <c r="K280" s="193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139</v>
      </c>
      <c r="AU280" s="203" t="s">
        <v>82</v>
      </c>
      <c r="AV280" s="13" t="s">
        <v>82</v>
      </c>
      <c r="AW280" s="13" t="s">
        <v>34</v>
      </c>
      <c r="AX280" s="13" t="s">
        <v>72</v>
      </c>
      <c r="AY280" s="203" t="s">
        <v>128</v>
      </c>
    </row>
    <row r="281" spans="1:65" s="14" customFormat="1" ht="10">
      <c r="B281" s="204"/>
      <c r="C281" s="205"/>
      <c r="D281" s="194" t="s">
        <v>139</v>
      </c>
      <c r="E281" s="206" t="s">
        <v>19</v>
      </c>
      <c r="F281" s="207" t="s">
        <v>153</v>
      </c>
      <c r="G281" s="205"/>
      <c r="H281" s="208">
        <v>819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139</v>
      </c>
      <c r="AU281" s="214" t="s">
        <v>82</v>
      </c>
      <c r="AV281" s="14" t="s">
        <v>135</v>
      </c>
      <c r="AW281" s="14" t="s">
        <v>34</v>
      </c>
      <c r="AX281" s="14" t="s">
        <v>80</v>
      </c>
      <c r="AY281" s="214" t="s">
        <v>128</v>
      </c>
    </row>
    <row r="282" spans="1:65" s="2" customFormat="1" ht="16.5" customHeight="1">
      <c r="A282" s="35"/>
      <c r="B282" s="36"/>
      <c r="C282" s="174" t="s">
        <v>483</v>
      </c>
      <c r="D282" s="174" t="s">
        <v>130</v>
      </c>
      <c r="E282" s="175" t="s">
        <v>484</v>
      </c>
      <c r="F282" s="176" t="s">
        <v>485</v>
      </c>
      <c r="G282" s="177" t="s">
        <v>133</v>
      </c>
      <c r="H282" s="178">
        <v>544.25</v>
      </c>
      <c r="I282" s="179"/>
      <c r="J282" s="180">
        <f>ROUND(I282*H282,2)</f>
        <v>0</v>
      </c>
      <c r="K282" s="176" t="s">
        <v>134</v>
      </c>
      <c r="L282" s="40"/>
      <c r="M282" s="181" t="s">
        <v>19</v>
      </c>
      <c r="N282" s="182" t="s">
        <v>43</v>
      </c>
      <c r="O282" s="65"/>
      <c r="P282" s="183">
        <f>O282*H282</f>
        <v>0</v>
      </c>
      <c r="Q282" s="183">
        <v>0</v>
      </c>
      <c r="R282" s="183">
        <f>Q282*H282</f>
        <v>0</v>
      </c>
      <c r="S282" s="183">
        <v>1.6E-2</v>
      </c>
      <c r="T282" s="184">
        <f>S282*H282</f>
        <v>8.7080000000000002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230</v>
      </c>
      <c r="AT282" s="185" t="s">
        <v>130</v>
      </c>
      <c r="AU282" s="185" t="s">
        <v>82</v>
      </c>
      <c r="AY282" s="18" t="s">
        <v>128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8" t="s">
        <v>80</v>
      </c>
      <c r="BK282" s="186">
        <f>ROUND(I282*H282,2)</f>
        <v>0</v>
      </c>
      <c r="BL282" s="18" t="s">
        <v>230</v>
      </c>
      <c r="BM282" s="185" t="s">
        <v>486</v>
      </c>
    </row>
    <row r="283" spans="1:65" s="2" customFormat="1" ht="10">
      <c r="A283" s="35"/>
      <c r="B283" s="36"/>
      <c r="C283" s="37"/>
      <c r="D283" s="187" t="s">
        <v>137</v>
      </c>
      <c r="E283" s="37"/>
      <c r="F283" s="188" t="s">
        <v>487</v>
      </c>
      <c r="G283" s="37"/>
      <c r="H283" s="37"/>
      <c r="I283" s="189"/>
      <c r="J283" s="37"/>
      <c r="K283" s="37"/>
      <c r="L283" s="40"/>
      <c r="M283" s="190"/>
      <c r="N283" s="191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137</v>
      </c>
      <c r="AU283" s="18" t="s">
        <v>82</v>
      </c>
    </row>
    <row r="284" spans="1:65" s="13" customFormat="1" ht="10">
      <c r="B284" s="192"/>
      <c r="C284" s="193"/>
      <c r="D284" s="194" t="s">
        <v>139</v>
      </c>
      <c r="E284" s="195" t="s">
        <v>19</v>
      </c>
      <c r="F284" s="196" t="s">
        <v>488</v>
      </c>
      <c r="G284" s="193"/>
      <c r="H284" s="197">
        <v>544.25</v>
      </c>
      <c r="I284" s="198"/>
      <c r="J284" s="193"/>
      <c r="K284" s="193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139</v>
      </c>
      <c r="AU284" s="203" t="s">
        <v>82</v>
      </c>
      <c r="AV284" s="13" t="s">
        <v>82</v>
      </c>
      <c r="AW284" s="13" t="s">
        <v>34</v>
      </c>
      <c r="AX284" s="13" t="s">
        <v>80</v>
      </c>
      <c r="AY284" s="203" t="s">
        <v>128</v>
      </c>
    </row>
    <row r="285" spans="1:65" s="2" customFormat="1" ht="21.75" customHeight="1">
      <c r="A285" s="35"/>
      <c r="B285" s="36"/>
      <c r="C285" s="174" t="s">
        <v>489</v>
      </c>
      <c r="D285" s="174" t="s">
        <v>130</v>
      </c>
      <c r="E285" s="175" t="s">
        <v>490</v>
      </c>
      <c r="F285" s="176" t="s">
        <v>491</v>
      </c>
      <c r="G285" s="177" t="s">
        <v>133</v>
      </c>
      <c r="H285" s="178">
        <v>157</v>
      </c>
      <c r="I285" s="179"/>
      <c r="J285" s="180">
        <f>ROUND(I285*H285,2)</f>
        <v>0</v>
      </c>
      <c r="K285" s="176" t="s">
        <v>134</v>
      </c>
      <c r="L285" s="40"/>
      <c r="M285" s="181" t="s">
        <v>19</v>
      </c>
      <c r="N285" s="182" t="s">
        <v>43</v>
      </c>
      <c r="O285" s="65"/>
      <c r="P285" s="183">
        <f>O285*H285</f>
        <v>0</v>
      </c>
      <c r="Q285" s="183">
        <v>0</v>
      </c>
      <c r="R285" s="183">
        <f>Q285*H285</f>
        <v>0</v>
      </c>
      <c r="S285" s="183">
        <v>1.4E-2</v>
      </c>
      <c r="T285" s="184">
        <f>S285*H285</f>
        <v>2.198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5" t="s">
        <v>230</v>
      </c>
      <c r="AT285" s="185" t="s">
        <v>130</v>
      </c>
      <c r="AU285" s="185" t="s">
        <v>82</v>
      </c>
      <c r="AY285" s="18" t="s">
        <v>128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18" t="s">
        <v>80</v>
      </c>
      <c r="BK285" s="186">
        <f>ROUND(I285*H285,2)</f>
        <v>0</v>
      </c>
      <c r="BL285" s="18" t="s">
        <v>230</v>
      </c>
      <c r="BM285" s="185" t="s">
        <v>492</v>
      </c>
    </row>
    <row r="286" spans="1:65" s="2" customFormat="1" ht="10">
      <c r="A286" s="35"/>
      <c r="B286" s="36"/>
      <c r="C286" s="37"/>
      <c r="D286" s="187" t="s">
        <v>137</v>
      </c>
      <c r="E286" s="37"/>
      <c r="F286" s="188" t="s">
        <v>493</v>
      </c>
      <c r="G286" s="37"/>
      <c r="H286" s="37"/>
      <c r="I286" s="189"/>
      <c r="J286" s="37"/>
      <c r="K286" s="37"/>
      <c r="L286" s="40"/>
      <c r="M286" s="190"/>
      <c r="N286" s="191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137</v>
      </c>
      <c r="AU286" s="18" t="s">
        <v>82</v>
      </c>
    </row>
    <row r="287" spans="1:65" s="13" customFormat="1" ht="10">
      <c r="B287" s="192"/>
      <c r="C287" s="193"/>
      <c r="D287" s="194" t="s">
        <v>139</v>
      </c>
      <c r="E287" s="195" t="s">
        <v>19</v>
      </c>
      <c r="F287" s="196" t="s">
        <v>350</v>
      </c>
      <c r="G287" s="193"/>
      <c r="H287" s="197">
        <v>157</v>
      </c>
      <c r="I287" s="198"/>
      <c r="J287" s="193"/>
      <c r="K287" s="193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139</v>
      </c>
      <c r="AU287" s="203" t="s">
        <v>82</v>
      </c>
      <c r="AV287" s="13" t="s">
        <v>82</v>
      </c>
      <c r="AW287" s="13" t="s">
        <v>34</v>
      </c>
      <c r="AX287" s="13" t="s">
        <v>80</v>
      </c>
      <c r="AY287" s="203" t="s">
        <v>128</v>
      </c>
    </row>
    <row r="288" spans="1:65" s="2" customFormat="1" ht="21.75" customHeight="1">
      <c r="A288" s="35"/>
      <c r="B288" s="36"/>
      <c r="C288" s="174" t="s">
        <v>494</v>
      </c>
      <c r="D288" s="174" t="s">
        <v>130</v>
      </c>
      <c r="E288" s="175" t="s">
        <v>495</v>
      </c>
      <c r="F288" s="176" t="s">
        <v>496</v>
      </c>
      <c r="G288" s="177" t="s">
        <v>133</v>
      </c>
      <c r="H288" s="178">
        <v>544.25</v>
      </c>
      <c r="I288" s="179"/>
      <c r="J288" s="180">
        <f>ROUND(I288*H288,2)</f>
        <v>0</v>
      </c>
      <c r="K288" s="176" t="s">
        <v>134</v>
      </c>
      <c r="L288" s="40"/>
      <c r="M288" s="181" t="s">
        <v>19</v>
      </c>
      <c r="N288" s="182" t="s">
        <v>43</v>
      </c>
      <c r="O288" s="65"/>
      <c r="P288" s="183">
        <f>O288*H288</f>
        <v>0</v>
      </c>
      <c r="Q288" s="183">
        <v>0</v>
      </c>
      <c r="R288" s="183">
        <f>Q288*H288</f>
        <v>0</v>
      </c>
      <c r="S288" s="183">
        <v>0.04</v>
      </c>
      <c r="T288" s="184">
        <f>S288*H288</f>
        <v>21.77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5" t="s">
        <v>230</v>
      </c>
      <c r="AT288" s="185" t="s">
        <v>130</v>
      </c>
      <c r="AU288" s="185" t="s">
        <v>82</v>
      </c>
      <c r="AY288" s="18" t="s">
        <v>128</v>
      </c>
      <c r="BE288" s="186">
        <f>IF(N288="základní",J288,0)</f>
        <v>0</v>
      </c>
      <c r="BF288" s="186">
        <f>IF(N288="snížená",J288,0)</f>
        <v>0</v>
      </c>
      <c r="BG288" s="186">
        <f>IF(N288="zákl. přenesená",J288,0)</f>
        <v>0</v>
      </c>
      <c r="BH288" s="186">
        <f>IF(N288="sníž. přenesená",J288,0)</f>
        <v>0</v>
      </c>
      <c r="BI288" s="186">
        <f>IF(N288="nulová",J288,0)</f>
        <v>0</v>
      </c>
      <c r="BJ288" s="18" t="s">
        <v>80</v>
      </c>
      <c r="BK288" s="186">
        <f>ROUND(I288*H288,2)</f>
        <v>0</v>
      </c>
      <c r="BL288" s="18" t="s">
        <v>230</v>
      </c>
      <c r="BM288" s="185" t="s">
        <v>497</v>
      </c>
    </row>
    <row r="289" spans="1:65" s="2" customFormat="1" ht="10">
      <c r="A289" s="35"/>
      <c r="B289" s="36"/>
      <c r="C289" s="37"/>
      <c r="D289" s="187" t="s">
        <v>137</v>
      </c>
      <c r="E289" s="37"/>
      <c r="F289" s="188" t="s">
        <v>498</v>
      </c>
      <c r="G289" s="37"/>
      <c r="H289" s="37"/>
      <c r="I289" s="189"/>
      <c r="J289" s="37"/>
      <c r="K289" s="37"/>
      <c r="L289" s="40"/>
      <c r="M289" s="190"/>
      <c r="N289" s="191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137</v>
      </c>
      <c r="AU289" s="18" t="s">
        <v>82</v>
      </c>
    </row>
    <row r="290" spans="1:65" s="13" customFormat="1" ht="10">
      <c r="B290" s="192"/>
      <c r="C290" s="193"/>
      <c r="D290" s="194" t="s">
        <v>139</v>
      </c>
      <c r="E290" s="195" t="s">
        <v>19</v>
      </c>
      <c r="F290" s="196" t="s">
        <v>499</v>
      </c>
      <c r="G290" s="193"/>
      <c r="H290" s="197">
        <v>544.25</v>
      </c>
      <c r="I290" s="198"/>
      <c r="J290" s="193"/>
      <c r="K290" s="193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139</v>
      </c>
      <c r="AU290" s="203" t="s">
        <v>82</v>
      </c>
      <c r="AV290" s="13" t="s">
        <v>82</v>
      </c>
      <c r="AW290" s="13" t="s">
        <v>34</v>
      </c>
      <c r="AX290" s="13" t="s">
        <v>80</v>
      </c>
      <c r="AY290" s="203" t="s">
        <v>128</v>
      </c>
    </row>
    <row r="291" spans="1:65" s="12" customFormat="1" ht="22.75" customHeight="1">
      <c r="B291" s="158"/>
      <c r="C291" s="159"/>
      <c r="D291" s="160" t="s">
        <v>71</v>
      </c>
      <c r="E291" s="172" t="s">
        <v>500</v>
      </c>
      <c r="F291" s="172" t="s">
        <v>501</v>
      </c>
      <c r="G291" s="159"/>
      <c r="H291" s="159"/>
      <c r="I291" s="162"/>
      <c r="J291" s="173">
        <f>BK291</f>
        <v>0</v>
      </c>
      <c r="K291" s="159"/>
      <c r="L291" s="164"/>
      <c r="M291" s="165"/>
      <c r="N291" s="166"/>
      <c r="O291" s="166"/>
      <c r="P291" s="167">
        <f>SUM(P292:P326)</f>
        <v>0</v>
      </c>
      <c r="Q291" s="166"/>
      <c r="R291" s="167">
        <f>SUM(R292:R326)</f>
        <v>7.7880000000000005E-2</v>
      </c>
      <c r="S291" s="166"/>
      <c r="T291" s="168">
        <f>SUM(T292:T326)</f>
        <v>1.33881418</v>
      </c>
      <c r="AR291" s="169" t="s">
        <v>82</v>
      </c>
      <c r="AT291" s="170" t="s">
        <v>71</v>
      </c>
      <c r="AU291" s="170" t="s">
        <v>80</v>
      </c>
      <c r="AY291" s="169" t="s">
        <v>128</v>
      </c>
      <c r="BK291" s="171">
        <f>SUM(BK292:BK326)</f>
        <v>0</v>
      </c>
    </row>
    <row r="292" spans="1:65" s="2" customFormat="1" ht="16.5" customHeight="1">
      <c r="A292" s="35"/>
      <c r="B292" s="36"/>
      <c r="C292" s="174" t="s">
        <v>502</v>
      </c>
      <c r="D292" s="174" t="s">
        <v>130</v>
      </c>
      <c r="E292" s="175" t="s">
        <v>503</v>
      </c>
      <c r="F292" s="176" t="s">
        <v>504</v>
      </c>
      <c r="G292" s="177" t="s">
        <v>258</v>
      </c>
      <c r="H292" s="178">
        <v>51</v>
      </c>
      <c r="I292" s="179"/>
      <c r="J292" s="180">
        <f>ROUND(I292*H292,2)</f>
        <v>0</v>
      </c>
      <c r="K292" s="176" t="s">
        <v>134</v>
      </c>
      <c r="L292" s="40"/>
      <c r="M292" s="181" t="s">
        <v>19</v>
      </c>
      <c r="N292" s="182" t="s">
        <v>43</v>
      </c>
      <c r="O292" s="65"/>
      <c r="P292" s="183">
        <f>O292*H292</f>
        <v>0</v>
      </c>
      <c r="Q292" s="183">
        <v>0</v>
      </c>
      <c r="R292" s="183">
        <f>Q292*H292</f>
        <v>0</v>
      </c>
      <c r="S292" s="183">
        <v>3.48E-3</v>
      </c>
      <c r="T292" s="184">
        <f>S292*H292</f>
        <v>0.17748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5" t="s">
        <v>230</v>
      </c>
      <c r="AT292" s="185" t="s">
        <v>130</v>
      </c>
      <c r="AU292" s="185" t="s">
        <v>82</v>
      </c>
      <c r="AY292" s="18" t="s">
        <v>128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18" t="s">
        <v>80</v>
      </c>
      <c r="BK292" s="186">
        <f>ROUND(I292*H292,2)</f>
        <v>0</v>
      </c>
      <c r="BL292" s="18" t="s">
        <v>230</v>
      </c>
      <c r="BM292" s="185" t="s">
        <v>505</v>
      </c>
    </row>
    <row r="293" spans="1:65" s="2" customFormat="1" ht="10">
      <c r="A293" s="35"/>
      <c r="B293" s="36"/>
      <c r="C293" s="37"/>
      <c r="D293" s="187" t="s">
        <v>137</v>
      </c>
      <c r="E293" s="37"/>
      <c r="F293" s="188" t="s">
        <v>506</v>
      </c>
      <c r="G293" s="37"/>
      <c r="H293" s="37"/>
      <c r="I293" s="189"/>
      <c r="J293" s="37"/>
      <c r="K293" s="37"/>
      <c r="L293" s="40"/>
      <c r="M293" s="190"/>
      <c r="N293" s="191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137</v>
      </c>
      <c r="AU293" s="18" t="s">
        <v>82</v>
      </c>
    </row>
    <row r="294" spans="1:65" s="13" customFormat="1" ht="10">
      <c r="B294" s="192"/>
      <c r="C294" s="193"/>
      <c r="D294" s="194" t="s">
        <v>139</v>
      </c>
      <c r="E294" s="195" t="s">
        <v>19</v>
      </c>
      <c r="F294" s="196" t="s">
        <v>507</v>
      </c>
      <c r="G294" s="193"/>
      <c r="H294" s="197">
        <v>51</v>
      </c>
      <c r="I294" s="198"/>
      <c r="J294" s="193"/>
      <c r="K294" s="193"/>
      <c r="L294" s="199"/>
      <c r="M294" s="200"/>
      <c r="N294" s="201"/>
      <c r="O294" s="201"/>
      <c r="P294" s="201"/>
      <c r="Q294" s="201"/>
      <c r="R294" s="201"/>
      <c r="S294" s="201"/>
      <c r="T294" s="202"/>
      <c r="AT294" s="203" t="s">
        <v>139</v>
      </c>
      <c r="AU294" s="203" t="s">
        <v>82</v>
      </c>
      <c r="AV294" s="13" t="s">
        <v>82</v>
      </c>
      <c r="AW294" s="13" t="s">
        <v>34</v>
      </c>
      <c r="AX294" s="13" t="s">
        <v>80</v>
      </c>
      <c r="AY294" s="203" t="s">
        <v>128</v>
      </c>
    </row>
    <row r="295" spans="1:65" s="2" customFormat="1" ht="16.5" customHeight="1">
      <c r="A295" s="35"/>
      <c r="B295" s="36"/>
      <c r="C295" s="174" t="s">
        <v>508</v>
      </c>
      <c r="D295" s="174" t="s">
        <v>130</v>
      </c>
      <c r="E295" s="175" t="s">
        <v>509</v>
      </c>
      <c r="F295" s="176" t="s">
        <v>510</v>
      </c>
      <c r="G295" s="177" t="s">
        <v>258</v>
      </c>
      <c r="H295" s="178">
        <v>14</v>
      </c>
      <c r="I295" s="179"/>
      <c r="J295" s="180">
        <f>ROUND(I295*H295,2)</f>
        <v>0</v>
      </c>
      <c r="K295" s="176" t="s">
        <v>134</v>
      </c>
      <c r="L295" s="40"/>
      <c r="M295" s="181" t="s">
        <v>19</v>
      </c>
      <c r="N295" s="182" t="s">
        <v>43</v>
      </c>
      <c r="O295" s="65"/>
      <c r="P295" s="183">
        <f>O295*H295</f>
        <v>0</v>
      </c>
      <c r="Q295" s="183">
        <v>0</v>
      </c>
      <c r="R295" s="183">
        <f>Q295*H295</f>
        <v>0</v>
      </c>
      <c r="S295" s="183">
        <v>1.91E-3</v>
      </c>
      <c r="T295" s="184">
        <f>S295*H295</f>
        <v>2.674E-2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230</v>
      </c>
      <c r="AT295" s="185" t="s">
        <v>130</v>
      </c>
      <c r="AU295" s="185" t="s">
        <v>82</v>
      </c>
      <c r="AY295" s="18" t="s">
        <v>128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8" t="s">
        <v>80</v>
      </c>
      <c r="BK295" s="186">
        <f>ROUND(I295*H295,2)</f>
        <v>0</v>
      </c>
      <c r="BL295" s="18" t="s">
        <v>230</v>
      </c>
      <c r="BM295" s="185" t="s">
        <v>511</v>
      </c>
    </row>
    <row r="296" spans="1:65" s="2" customFormat="1" ht="10">
      <c r="A296" s="35"/>
      <c r="B296" s="36"/>
      <c r="C296" s="37"/>
      <c r="D296" s="187" t="s">
        <v>137</v>
      </c>
      <c r="E296" s="37"/>
      <c r="F296" s="188" t="s">
        <v>512</v>
      </c>
      <c r="G296" s="37"/>
      <c r="H296" s="37"/>
      <c r="I296" s="189"/>
      <c r="J296" s="37"/>
      <c r="K296" s="37"/>
      <c r="L296" s="40"/>
      <c r="M296" s="190"/>
      <c r="N296" s="191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137</v>
      </c>
      <c r="AU296" s="18" t="s">
        <v>82</v>
      </c>
    </row>
    <row r="297" spans="1:65" s="13" customFormat="1" ht="10">
      <c r="B297" s="192"/>
      <c r="C297" s="193"/>
      <c r="D297" s="194" t="s">
        <v>139</v>
      </c>
      <c r="E297" s="195" t="s">
        <v>19</v>
      </c>
      <c r="F297" s="196" t="s">
        <v>513</v>
      </c>
      <c r="G297" s="193"/>
      <c r="H297" s="197">
        <v>14</v>
      </c>
      <c r="I297" s="198"/>
      <c r="J297" s="193"/>
      <c r="K297" s="193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139</v>
      </c>
      <c r="AU297" s="203" t="s">
        <v>82</v>
      </c>
      <c r="AV297" s="13" t="s">
        <v>82</v>
      </c>
      <c r="AW297" s="13" t="s">
        <v>34</v>
      </c>
      <c r="AX297" s="13" t="s">
        <v>80</v>
      </c>
      <c r="AY297" s="203" t="s">
        <v>128</v>
      </c>
    </row>
    <row r="298" spans="1:65" s="2" customFormat="1" ht="16.5" customHeight="1">
      <c r="A298" s="35"/>
      <c r="B298" s="36"/>
      <c r="C298" s="174" t="s">
        <v>514</v>
      </c>
      <c r="D298" s="174" t="s">
        <v>130</v>
      </c>
      <c r="E298" s="175" t="s">
        <v>515</v>
      </c>
      <c r="F298" s="176" t="s">
        <v>516</v>
      </c>
      <c r="G298" s="177" t="s">
        <v>258</v>
      </c>
      <c r="H298" s="178">
        <v>3.16</v>
      </c>
      <c r="I298" s="179"/>
      <c r="J298" s="180">
        <f>ROUND(I298*H298,2)</f>
        <v>0</v>
      </c>
      <c r="K298" s="176" t="s">
        <v>134</v>
      </c>
      <c r="L298" s="40"/>
      <c r="M298" s="181" t="s">
        <v>19</v>
      </c>
      <c r="N298" s="182" t="s">
        <v>43</v>
      </c>
      <c r="O298" s="65"/>
      <c r="P298" s="183">
        <f>O298*H298</f>
        <v>0</v>
      </c>
      <c r="Q298" s="183">
        <v>0</v>
      </c>
      <c r="R298" s="183">
        <f>Q298*H298</f>
        <v>0</v>
      </c>
      <c r="S298" s="183">
        <v>1.67E-3</v>
      </c>
      <c r="T298" s="184">
        <f>S298*H298</f>
        <v>5.2772000000000001E-3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230</v>
      </c>
      <c r="AT298" s="185" t="s">
        <v>130</v>
      </c>
      <c r="AU298" s="185" t="s">
        <v>82</v>
      </c>
      <c r="AY298" s="18" t="s">
        <v>128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8" t="s">
        <v>80</v>
      </c>
      <c r="BK298" s="186">
        <f>ROUND(I298*H298,2)</f>
        <v>0</v>
      </c>
      <c r="BL298" s="18" t="s">
        <v>230</v>
      </c>
      <c r="BM298" s="185" t="s">
        <v>517</v>
      </c>
    </row>
    <row r="299" spans="1:65" s="2" customFormat="1" ht="10">
      <c r="A299" s="35"/>
      <c r="B299" s="36"/>
      <c r="C299" s="37"/>
      <c r="D299" s="187" t="s">
        <v>137</v>
      </c>
      <c r="E299" s="37"/>
      <c r="F299" s="188" t="s">
        <v>518</v>
      </c>
      <c r="G299" s="37"/>
      <c r="H299" s="37"/>
      <c r="I299" s="189"/>
      <c r="J299" s="37"/>
      <c r="K299" s="37"/>
      <c r="L299" s="40"/>
      <c r="M299" s="190"/>
      <c r="N299" s="191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137</v>
      </c>
      <c r="AU299" s="18" t="s">
        <v>82</v>
      </c>
    </row>
    <row r="300" spans="1:65" s="13" customFormat="1" ht="10">
      <c r="B300" s="192"/>
      <c r="C300" s="193"/>
      <c r="D300" s="194" t="s">
        <v>139</v>
      </c>
      <c r="E300" s="195" t="s">
        <v>19</v>
      </c>
      <c r="F300" s="196" t="s">
        <v>519</v>
      </c>
      <c r="G300" s="193"/>
      <c r="H300" s="197">
        <v>1.27</v>
      </c>
      <c r="I300" s="198"/>
      <c r="J300" s="193"/>
      <c r="K300" s="193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139</v>
      </c>
      <c r="AU300" s="203" t="s">
        <v>82</v>
      </c>
      <c r="AV300" s="13" t="s">
        <v>82</v>
      </c>
      <c r="AW300" s="13" t="s">
        <v>34</v>
      </c>
      <c r="AX300" s="13" t="s">
        <v>72</v>
      </c>
      <c r="AY300" s="203" t="s">
        <v>128</v>
      </c>
    </row>
    <row r="301" spans="1:65" s="13" customFormat="1" ht="10">
      <c r="B301" s="192"/>
      <c r="C301" s="193"/>
      <c r="D301" s="194" t="s">
        <v>139</v>
      </c>
      <c r="E301" s="195" t="s">
        <v>19</v>
      </c>
      <c r="F301" s="196" t="s">
        <v>520</v>
      </c>
      <c r="G301" s="193"/>
      <c r="H301" s="197">
        <v>0.95</v>
      </c>
      <c r="I301" s="198"/>
      <c r="J301" s="193"/>
      <c r="K301" s="193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139</v>
      </c>
      <c r="AU301" s="203" t="s">
        <v>82</v>
      </c>
      <c r="AV301" s="13" t="s">
        <v>82</v>
      </c>
      <c r="AW301" s="13" t="s">
        <v>34</v>
      </c>
      <c r="AX301" s="13" t="s">
        <v>72</v>
      </c>
      <c r="AY301" s="203" t="s">
        <v>128</v>
      </c>
    </row>
    <row r="302" spans="1:65" s="13" customFormat="1" ht="10">
      <c r="B302" s="192"/>
      <c r="C302" s="193"/>
      <c r="D302" s="194" t="s">
        <v>139</v>
      </c>
      <c r="E302" s="195" t="s">
        <v>19</v>
      </c>
      <c r="F302" s="196" t="s">
        <v>521</v>
      </c>
      <c r="G302" s="193"/>
      <c r="H302" s="197">
        <v>0.94</v>
      </c>
      <c r="I302" s="198"/>
      <c r="J302" s="193"/>
      <c r="K302" s="193"/>
      <c r="L302" s="199"/>
      <c r="M302" s="200"/>
      <c r="N302" s="201"/>
      <c r="O302" s="201"/>
      <c r="P302" s="201"/>
      <c r="Q302" s="201"/>
      <c r="R302" s="201"/>
      <c r="S302" s="201"/>
      <c r="T302" s="202"/>
      <c r="AT302" s="203" t="s">
        <v>139</v>
      </c>
      <c r="AU302" s="203" t="s">
        <v>82</v>
      </c>
      <c r="AV302" s="13" t="s">
        <v>82</v>
      </c>
      <c r="AW302" s="13" t="s">
        <v>34</v>
      </c>
      <c r="AX302" s="13" t="s">
        <v>72</v>
      </c>
      <c r="AY302" s="203" t="s">
        <v>128</v>
      </c>
    </row>
    <row r="303" spans="1:65" s="14" customFormat="1" ht="10">
      <c r="B303" s="204"/>
      <c r="C303" s="205"/>
      <c r="D303" s="194" t="s">
        <v>139</v>
      </c>
      <c r="E303" s="206" t="s">
        <v>19</v>
      </c>
      <c r="F303" s="207" t="s">
        <v>153</v>
      </c>
      <c r="G303" s="205"/>
      <c r="H303" s="208">
        <v>3.16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139</v>
      </c>
      <c r="AU303" s="214" t="s">
        <v>82</v>
      </c>
      <c r="AV303" s="14" t="s">
        <v>135</v>
      </c>
      <c r="AW303" s="14" t="s">
        <v>34</v>
      </c>
      <c r="AX303" s="14" t="s">
        <v>80</v>
      </c>
      <c r="AY303" s="214" t="s">
        <v>128</v>
      </c>
    </row>
    <row r="304" spans="1:65" s="2" customFormat="1" ht="16.5" customHeight="1">
      <c r="A304" s="35"/>
      <c r="B304" s="36"/>
      <c r="C304" s="174" t="s">
        <v>522</v>
      </c>
      <c r="D304" s="174" t="s">
        <v>130</v>
      </c>
      <c r="E304" s="175" t="s">
        <v>523</v>
      </c>
      <c r="F304" s="176" t="s">
        <v>524</v>
      </c>
      <c r="G304" s="177" t="s">
        <v>258</v>
      </c>
      <c r="H304" s="178">
        <v>159.92599999999999</v>
      </c>
      <c r="I304" s="179"/>
      <c r="J304" s="180">
        <f>ROUND(I304*H304,2)</f>
        <v>0</v>
      </c>
      <c r="K304" s="176" t="s">
        <v>134</v>
      </c>
      <c r="L304" s="40"/>
      <c r="M304" s="181" t="s">
        <v>19</v>
      </c>
      <c r="N304" s="182" t="s">
        <v>43</v>
      </c>
      <c r="O304" s="65"/>
      <c r="P304" s="183">
        <f>O304*H304</f>
        <v>0</v>
      </c>
      <c r="Q304" s="183">
        <v>0</v>
      </c>
      <c r="R304" s="183">
        <f>Q304*H304</f>
        <v>0</v>
      </c>
      <c r="S304" s="183">
        <v>2.2300000000000002E-3</v>
      </c>
      <c r="T304" s="184">
        <f>S304*H304</f>
        <v>0.35663497999999999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5" t="s">
        <v>135</v>
      </c>
      <c r="AT304" s="185" t="s">
        <v>130</v>
      </c>
      <c r="AU304" s="185" t="s">
        <v>82</v>
      </c>
      <c r="AY304" s="18" t="s">
        <v>128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18" t="s">
        <v>80</v>
      </c>
      <c r="BK304" s="186">
        <f>ROUND(I304*H304,2)</f>
        <v>0</v>
      </c>
      <c r="BL304" s="18" t="s">
        <v>135</v>
      </c>
      <c r="BM304" s="185" t="s">
        <v>525</v>
      </c>
    </row>
    <row r="305" spans="1:65" s="2" customFormat="1" ht="10">
      <c r="A305" s="35"/>
      <c r="B305" s="36"/>
      <c r="C305" s="37"/>
      <c r="D305" s="187" t="s">
        <v>137</v>
      </c>
      <c r="E305" s="37"/>
      <c r="F305" s="188" t="s">
        <v>526</v>
      </c>
      <c r="G305" s="37"/>
      <c r="H305" s="37"/>
      <c r="I305" s="189"/>
      <c r="J305" s="37"/>
      <c r="K305" s="37"/>
      <c r="L305" s="40"/>
      <c r="M305" s="190"/>
      <c r="N305" s="191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137</v>
      </c>
      <c r="AU305" s="18" t="s">
        <v>82</v>
      </c>
    </row>
    <row r="306" spans="1:65" s="13" customFormat="1" ht="10">
      <c r="B306" s="192"/>
      <c r="C306" s="193"/>
      <c r="D306" s="194" t="s">
        <v>139</v>
      </c>
      <c r="E306" s="195" t="s">
        <v>19</v>
      </c>
      <c r="F306" s="196" t="s">
        <v>527</v>
      </c>
      <c r="G306" s="193"/>
      <c r="H306" s="197">
        <v>132.65</v>
      </c>
      <c r="I306" s="198"/>
      <c r="J306" s="193"/>
      <c r="K306" s="193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139</v>
      </c>
      <c r="AU306" s="203" t="s">
        <v>82</v>
      </c>
      <c r="AV306" s="13" t="s">
        <v>82</v>
      </c>
      <c r="AW306" s="13" t="s">
        <v>34</v>
      </c>
      <c r="AX306" s="13" t="s">
        <v>72</v>
      </c>
      <c r="AY306" s="203" t="s">
        <v>128</v>
      </c>
    </row>
    <row r="307" spans="1:65" s="13" customFormat="1" ht="10">
      <c r="B307" s="192"/>
      <c r="C307" s="193"/>
      <c r="D307" s="194" t="s">
        <v>139</v>
      </c>
      <c r="E307" s="195" t="s">
        <v>19</v>
      </c>
      <c r="F307" s="196" t="s">
        <v>266</v>
      </c>
      <c r="G307" s="193"/>
      <c r="H307" s="197">
        <v>13.638</v>
      </c>
      <c r="I307" s="198"/>
      <c r="J307" s="193"/>
      <c r="K307" s="193"/>
      <c r="L307" s="199"/>
      <c r="M307" s="200"/>
      <c r="N307" s="201"/>
      <c r="O307" s="201"/>
      <c r="P307" s="201"/>
      <c r="Q307" s="201"/>
      <c r="R307" s="201"/>
      <c r="S307" s="201"/>
      <c r="T307" s="202"/>
      <c r="AT307" s="203" t="s">
        <v>139</v>
      </c>
      <c r="AU307" s="203" t="s">
        <v>82</v>
      </c>
      <c r="AV307" s="13" t="s">
        <v>82</v>
      </c>
      <c r="AW307" s="13" t="s">
        <v>34</v>
      </c>
      <c r="AX307" s="13" t="s">
        <v>72</v>
      </c>
      <c r="AY307" s="203" t="s">
        <v>128</v>
      </c>
    </row>
    <row r="308" spans="1:65" s="13" customFormat="1" ht="10">
      <c r="B308" s="192"/>
      <c r="C308" s="193"/>
      <c r="D308" s="194" t="s">
        <v>139</v>
      </c>
      <c r="E308" s="195" t="s">
        <v>19</v>
      </c>
      <c r="F308" s="196" t="s">
        <v>267</v>
      </c>
      <c r="G308" s="193"/>
      <c r="H308" s="197">
        <v>13.638</v>
      </c>
      <c r="I308" s="198"/>
      <c r="J308" s="193"/>
      <c r="K308" s="193"/>
      <c r="L308" s="199"/>
      <c r="M308" s="200"/>
      <c r="N308" s="201"/>
      <c r="O308" s="201"/>
      <c r="P308" s="201"/>
      <c r="Q308" s="201"/>
      <c r="R308" s="201"/>
      <c r="S308" s="201"/>
      <c r="T308" s="202"/>
      <c r="AT308" s="203" t="s">
        <v>139</v>
      </c>
      <c r="AU308" s="203" t="s">
        <v>82</v>
      </c>
      <c r="AV308" s="13" t="s">
        <v>82</v>
      </c>
      <c r="AW308" s="13" t="s">
        <v>34</v>
      </c>
      <c r="AX308" s="13" t="s">
        <v>72</v>
      </c>
      <c r="AY308" s="203" t="s">
        <v>128</v>
      </c>
    </row>
    <row r="309" spans="1:65" s="14" customFormat="1" ht="10">
      <c r="B309" s="204"/>
      <c r="C309" s="205"/>
      <c r="D309" s="194" t="s">
        <v>139</v>
      </c>
      <c r="E309" s="206" t="s">
        <v>19</v>
      </c>
      <c r="F309" s="207" t="s">
        <v>153</v>
      </c>
      <c r="G309" s="205"/>
      <c r="H309" s="208">
        <v>159.92599999999999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139</v>
      </c>
      <c r="AU309" s="214" t="s">
        <v>82</v>
      </c>
      <c r="AV309" s="14" t="s">
        <v>135</v>
      </c>
      <c r="AW309" s="14" t="s">
        <v>34</v>
      </c>
      <c r="AX309" s="14" t="s">
        <v>80</v>
      </c>
      <c r="AY309" s="214" t="s">
        <v>128</v>
      </c>
    </row>
    <row r="310" spans="1:65" s="2" customFormat="1" ht="16.5" customHeight="1">
      <c r="A310" s="35"/>
      <c r="B310" s="36"/>
      <c r="C310" s="174" t="s">
        <v>528</v>
      </c>
      <c r="D310" s="174" t="s">
        <v>130</v>
      </c>
      <c r="E310" s="175" t="s">
        <v>529</v>
      </c>
      <c r="F310" s="176" t="s">
        <v>530</v>
      </c>
      <c r="G310" s="177" t="s">
        <v>258</v>
      </c>
      <c r="H310" s="178">
        <v>34.752000000000002</v>
      </c>
      <c r="I310" s="179"/>
      <c r="J310" s="180">
        <f>ROUND(I310*H310,2)</f>
        <v>0</v>
      </c>
      <c r="K310" s="176" t="s">
        <v>134</v>
      </c>
      <c r="L310" s="40"/>
      <c r="M310" s="181" t="s">
        <v>19</v>
      </c>
      <c r="N310" s="182" t="s">
        <v>43</v>
      </c>
      <c r="O310" s="65"/>
      <c r="P310" s="183">
        <f>O310*H310</f>
        <v>0</v>
      </c>
      <c r="Q310" s="183">
        <v>0</v>
      </c>
      <c r="R310" s="183">
        <f>Q310*H310</f>
        <v>0</v>
      </c>
      <c r="S310" s="183">
        <v>1.75E-3</v>
      </c>
      <c r="T310" s="184">
        <f>S310*H310</f>
        <v>6.0816000000000009E-2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230</v>
      </c>
      <c r="AT310" s="185" t="s">
        <v>130</v>
      </c>
      <c r="AU310" s="185" t="s">
        <v>82</v>
      </c>
      <c r="AY310" s="18" t="s">
        <v>128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8" t="s">
        <v>80</v>
      </c>
      <c r="BK310" s="186">
        <f>ROUND(I310*H310,2)</f>
        <v>0</v>
      </c>
      <c r="BL310" s="18" t="s">
        <v>230</v>
      </c>
      <c r="BM310" s="185" t="s">
        <v>531</v>
      </c>
    </row>
    <row r="311" spans="1:65" s="2" customFormat="1" ht="10">
      <c r="A311" s="35"/>
      <c r="B311" s="36"/>
      <c r="C311" s="37"/>
      <c r="D311" s="187" t="s">
        <v>137</v>
      </c>
      <c r="E311" s="37"/>
      <c r="F311" s="188" t="s">
        <v>532</v>
      </c>
      <c r="G311" s="37"/>
      <c r="H311" s="37"/>
      <c r="I311" s="189"/>
      <c r="J311" s="37"/>
      <c r="K311" s="37"/>
      <c r="L311" s="40"/>
      <c r="M311" s="190"/>
      <c r="N311" s="191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137</v>
      </c>
      <c r="AU311" s="18" t="s">
        <v>82</v>
      </c>
    </row>
    <row r="312" spans="1:65" s="13" customFormat="1" ht="10">
      <c r="B312" s="192"/>
      <c r="C312" s="193"/>
      <c r="D312" s="194" t="s">
        <v>139</v>
      </c>
      <c r="E312" s="195" t="s">
        <v>19</v>
      </c>
      <c r="F312" s="196" t="s">
        <v>533</v>
      </c>
      <c r="G312" s="193"/>
      <c r="H312" s="197">
        <v>34.752000000000002</v>
      </c>
      <c r="I312" s="198"/>
      <c r="J312" s="193"/>
      <c r="K312" s="193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139</v>
      </c>
      <c r="AU312" s="203" t="s">
        <v>82</v>
      </c>
      <c r="AV312" s="13" t="s">
        <v>82</v>
      </c>
      <c r="AW312" s="13" t="s">
        <v>34</v>
      </c>
      <c r="AX312" s="13" t="s">
        <v>80</v>
      </c>
      <c r="AY312" s="203" t="s">
        <v>128</v>
      </c>
    </row>
    <row r="313" spans="1:65" s="2" customFormat="1" ht="16.5" customHeight="1">
      <c r="A313" s="35"/>
      <c r="B313" s="36"/>
      <c r="C313" s="174" t="s">
        <v>534</v>
      </c>
      <c r="D313" s="174" t="s">
        <v>130</v>
      </c>
      <c r="E313" s="175" t="s">
        <v>535</v>
      </c>
      <c r="F313" s="176" t="s">
        <v>536</v>
      </c>
      <c r="G313" s="177" t="s">
        <v>258</v>
      </c>
      <c r="H313" s="178">
        <v>137.41</v>
      </c>
      <c r="I313" s="179"/>
      <c r="J313" s="180">
        <f>ROUND(I313*H313,2)</f>
        <v>0</v>
      </c>
      <c r="K313" s="176" t="s">
        <v>134</v>
      </c>
      <c r="L313" s="40"/>
      <c r="M313" s="181" t="s">
        <v>19</v>
      </c>
      <c r="N313" s="182" t="s">
        <v>43</v>
      </c>
      <c r="O313" s="65"/>
      <c r="P313" s="183">
        <f>O313*H313</f>
        <v>0</v>
      </c>
      <c r="Q313" s="183">
        <v>0</v>
      </c>
      <c r="R313" s="183">
        <f>Q313*H313</f>
        <v>0</v>
      </c>
      <c r="S313" s="183">
        <v>2.5999999999999999E-3</v>
      </c>
      <c r="T313" s="184">
        <f>S313*H313</f>
        <v>0.35726599999999997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5" t="s">
        <v>230</v>
      </c>
      <c r="AT313" s="185" t="s">
        <v>130</v>
      </c>
      <c r="AU313" s="185" t="s">
        <v>82</v>
      </c>
      <c r="AY313" s="18" t="s">
        <v>128</v>
      </c>
      <c r="BE313" s="186">
        <f>IF(N313="základní",J313,0)</f>
        <v>0</v>
      </c>
      <c r="BF313" s="186">
        <f>IF(N313="snížená",J313,0)</f>
        <v>0</v>
      </c>
      <c r="BG313" s="186">
        <f>IF(N313="zákl. přenesená",J313,0)</f>
        <v>0</v>
      </c>
      <c r="BH313" s="186">
        <f>IF(N313="sníž. přenesená",J313,0)</f>
        <v>0</v>
      </c>
      <c r="BI313" s="186">
        <f>IF(N313="nulová",J313,0)</f>
        <v>0</v>
      </c>
      <c r="BJ313" s="18" t="s">
        <v>80</v>
      </c>
      <c r="BK313" s="186">
        <f>ROUND(I313*H313,2)</f>
        <v>0</v>
      </c>
      <c r="BL313" s="18" t="s">
        <v>230</v>
      </c>
      <c r="BM313" s="185" t="s">
        <v>537</v>
      </c>
    </row>
    <row r="314" spans="1:65" s="2" customFormat="1" ht="10">
      <c r="A314" s="35"/>
      <c r="B314" s="36"/>
      <c r="C314" s="37"/>
      <c r="D314" s="187" t="s">
        <v>137</v>
      </c>
      <c r="E314" s="37"/>
      <c r="F314" s="188" t="s">
        <v>538</v>
      </c>
      <c r="G314" s="37"/>
      <c r="H314" s="37"/>
      <c r="I314" s="189"/>
      <c r="J314" s="37"/>
      <c r="K314" s="37"/>
      <c r="L314" s="40"/>
      <c r="M314" s="190"/>
      <c r="N314" s="191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137</v>
      </c>
      <c r="AU314" s="18" t="s">
        <v>82</v>
      </c>
    </row>
    <row r="315" spans="1:65" s="13" customFormat="1" ht="10">
      <c r="B315" s="192"/>
      <c r="C315" s="193"/>
      <c r="D315" s="194" t="s">
        <v>139</v>
      </c>
      <c r="E315" s="195" t="s">
        <v>19</v>
      </c>
      <c r="F315" s="196" t="s">
        <v>539</v>
      </c>
      <c r="G315" s="193"/>
      <c r="H315" s="197">
        <v>137.41</v>
      </c>
      <c r="I315" s="198"/>
      <c r="J315" s="193"/>
      <c r="K315" s="193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139</v>
      </c>
      <c r="AU315" s="203" t="s">
        <v>82</v>
      </c>
      <c r="AV315" s="13" t="s">
        <v>82</v>
      </c>
      <c r="AW315" s="13" t="s">
        <v>34</v>
      </c>
      <c r="AX315" s="13" t="s">
        <v>80</v>
      </c>
      <c r="AY315" s="203" t="s">
        <v>128</v>
      </c>
    </row>
    <row r="316" spans="1:65" s="2" customFormat="1" ht="16.5" customHeight="1">
      <c r="A316" s="35"/>
      <c r="B316" s="36"/>
      <c r="C316" s="174" t="s">
        <v>540</v>
      </c>
      <c r="D316" s="174" t="s">
        <v>130</v>
      </c>
      <c r="E316" s="175" t="s">
        <v>541</v>
      </c>
      <c r="F316" s="176" t="s">
        <v>542</v>
      </c>
      <c r="G316" s="177" t="s">
        <v>258</v>
      </c>
      <c r="H316" s="178">
        <v>15</v>
      </c>
      <c r="I316" s="179"/>
      <c r="J316" s="180">
        <f>ROUND(I316*H316,2)</f>
        <v>0</v>
      </c>
      <c r="K316" s="176" t="s">
        <v>134</v>
      </c>
      <c r="L316" s="40"/>
      <c r="M316" s="181" t="s">
        <v>19</v>
      </c>
      <c r="N316" s="182" t="s">
        <v>43</v>
      </c>
      <c r="O316" s="65"/>
      <c r="P316" s="183">
        <f>O316*H316</f>
        <v>0</v>
      </c>
      <c r="Q316" s="183">
        <v>0</v>
      </c>
      <c r="R316" s="183">
        <f>Q316*H316</f>
        <v>0</v>
      </c>
      <c r="S316" s="183">
        <v>3.9399999999999999E-3</v>
      </c>
      <c r="T316" s="184">
        <f>S316*H316</f>
        <v>5.91E-2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5" t="s">
        <v>230</v>
      </c>
      <c r="AT316" s="185" t="s">
        <v>130</v>
      </c>
      <c r="AU316" s="185" t="s">
        <v>82</v>
      </c>
      <c r="AY316" s="18" t="s">
        <v>128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18" t="s">
        <v>80</v>
      </c>
      <c r="BK316" s="186">
        <f>ROUND(I316*H316,2)</f>
        <v>0</v>
      </c>
      <c r="BL316" s="18" t="s">
        <v>230</v>
      </c>
      <c r="BM316" s="185" t="s">
        <v>543</v>
      </c>
    </row>
    <row r="317" spans="1:65" s="2" customFormat="1" ht="10">
      <c r="A317" s="35"/>
      <c r="B317" s="36"/>
      <c r="C317" s="37"/>
      <c r="D317" s="187" t="s">
        <v>137</v>
      </c>
      <c r="E317" s="37"/>
      <c r="F317" s="188" t="s">
        <v>544</v>
      </c>
      <c r="G317" s="37"/>
      <c r="H317" s="37"/>
      <c r="I317" s="189"/>
      <c r="J317" s="37"/>
      <c r="K317" s="37"/>
      <c r="L317" s="40"/>
      <c r="M317" s="190"/>
      <c r="N317" s="191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137</v>
      </c>
      <c r="AU317" s="18" t="s">
        <v>82</v>
      </c>
    </row>
    <row r="318" spans="1:65" s="13" customFormat="1" ht="10">
      <c r="B318" s="192"/>
      <c r="C318" s="193"/>
      <c r="D318" s="194" t="s">
        <v>139</v>
      </c>
      <c r="E318" s="195" t="s">
        <v>19</v>
      </c>
      <c r="F318" s="196" t="s">
        <v>545</v>
      </c>
      <c r="G318" s="193"/>
      <c r="H318" s="197">
        <v>15</v>
      </c>
      <c r="I318" s="198"/>
      <c r="J318" s="193"/>
      <c r="K318" s="193"/>
      <c r="L318" s="199"/>
      <c r="M318" s="200"/>
      <c r="N318" s="201"/>
      <c r="O318" s="201"/>
      <c r="P318" s="201"/>
      <c r="Q318" s="201"/>
      <c r="R318" s="201"/>
      <c r="S318" s="201"/>
      <c r="T318" s="202"/>
      <c r="AT318" s="203" t="s">
        <v>139</v>
      </c>
      <c r="AU318" s="203" t="s">
        <v>82</v>
      </c>
      <c r="AV318" s="13" t="s">
        <v>82</v>
      </c>
      <c r="AW318" s="13" t="s">
        <v>34</v>
      </c>
      <c r="AX318" s="13" t="s">
        <v>80</v>
      </c>
      <c r="AY318" s="203" t="s">
        <v>128</v>
      </c>
    </row>
    <row r="319" spans="1:65" s="2" customFormat="1" ht="16.5" customHeight="1">
      <c r="A319" s="35"/>
      <c r="B319" s="36"/>
      <c r="C319" s="174" t="s">
        <v>546</v>
      </c>
      <c r="D319" s="174" t="s">
        <v>130</v>
      </c>
      <c r="E319" s="175" t="s">
        <v>547</v>
      </c>
      <c r="F319" s="176" t="s">
        <v>548</v>
      </c>
      <c r="G319" s="177" t="s">
        <v>258</v>
      </c>
      <c r="H319" s="178">
        <v>75</v>
      </c>
      <c r="I319" s="179"/>
      <c r="J319" s="180">
        <f>ROUND(I319*H319,2)</f>
        <v>0</v>
      </c>
      <c r="K319" s="176" t="s">
        <v>134</v>
      </c>
      <c r="L319" s="40"/>
      <c r="M319" s="181" t="s">
        <v>19</v>
      </c>
      <c r="N319" s="182" t="s">
        <v>43</v>
      </c>
      <c r="O319" s="65"/>
      <c r="P319" s="183">
        <f>O319*H319</f>
        <v>0</v>
      </c>
      <c r="Q319" s="183">
        <v>0</v>
      </c>
      <c r="R319" s="183">
        <f>Q319*H319</f>
        <v>0</v>
      </c>
      <c r="S319" s="183">
        <v>3.9399999999999999E-3</v>
      </c>
      <c r="T319" s="184">
        <f>S319*H319</f>
        <v>0.29549999999999998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5" t="s">
        <v>230</v>
      </c>
      <c r="AT319" s="185" t="s">
        <v>130</v>
      </c>
      <c r="AU319" s="185" t="s">
        <v>82</v>
      </c>
      <c r="AY319" s="18" t="s">
        <v>128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18" t="s">
        <v>80</v>
      </c>
      <c r="BK319" s="186">
        <f>ROUND(I319*H319,2)</f>
        <v>0</v>
      </c>
      <c r="BL319" s="18" t="s">
        <v>230</v>
      </c>
      <c r="BM319" s="185" t="s">
        <v>549</v>
      </c>
    </row>
    <row r="320" spans="1:65" s="2" customFormat="1" ht="10">
      <c r="A320" s="35"/>
      <c r="B320" s="36"/>
      <c r="C320" s="37"/>
      <c r="D320" s="187" t="s">
        <v>137</v>
      </c>
      <c r="E320" s="37"/>
      <c r="F320" s="188" t="s">
        <v>550</v>
      </c>
      <c r="G320" s="37"/>
      <c r="H320" s="37"/>
      <c r="I320" s="189"/>
      <c r="J320" s="37"/>
      <c r="K320" s="37"/>
      <c r="L320" s="40"/>
      <c r="M320" s="190"/>
      <c r="N320" s="191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137</v>
      </c>
      <c r="AU320" s="18" t="s">
        <v>82</v>
      </c>
    </row>
    <row r="321" spans="1:65" s="13" customFormat="1" ht="10">
      <c r="B321" s="192"/>
      <c r="C321" s="193"/>
      <c r="D321" s="194" t="s">
        <v>139</v>
      </c>
      <c r="E321" s="195" t="s">
        <v>19</v>
      </c>
      <c r="F321" s="196" t="s">
        <v>551</v>
      </c>
      <c r="G321" s="193"/>
      <c r="H321" s="197">
        <v>75</v>
      </c>
      <c r="I321" s="198"/>
      <c r="J321" s="193"/>
      <c r="K321" s="193"/>
      <c r="L321" s="199"/>
      <c r="M321" s="200"/>
      <c r="N321" s="201"/>
      <c r="O321" s="201"/>
      <c r="P321" s="201"/>
      <c r="Q321" s="201"/>
      <c r="R321" s="201"/>
      <c r="S321" s="201"/>
      <c r="T321" s="202"/>
      <c r="AT321" s="203" t="s">
        <v>139</v>
      </c>
      <c r="AU321" s="203" t="s">
        <v>82</v>
      </c>
      <c r="AV321" s="13" t="s">
        <v>82</v>
      </c>
      <c r="AW321" s="13" t="s">
        <v>34</v>
      </c>
      <c r="AX321" s="13" t="s">
        <v>80</v>
      </c>
      <c r="AY321" s="203" t="s">
        <v>128</v>
      </c>
    </row>
    <row r="322" spans="1:65" s="2" customFormat="1" ht="16.5" customHeight="1">
      <c r="A322" s="35"/>
      <c r="B322" s="36"/>
      <c r="C322" s="174" t="s">
        <v>552</v>
      </c>
      <c r="D322" s="174" t="s">
        <v>130</v>
      </c>
      <c r="E322" s="175" t="s">
        <v>553</v>
      </c>
      <c r="F322" s="176" t="s">
        <v>554</v>
      </c>
      <c r="G322" s="177" t="s">
        <v>258</v>
      </c>
      <c r="H322" s="178">
        <v>120</v>
      </c>
      <c r="I322" s="179"/>
      <c r="J322" s="180">
        <f>ROUND(I322*H322,2)</f>
        <v>0</v>
      </c>
      <c r="K322" s="176" t="s">
        <v>134</v>
      </c>
      <c r="L322" s="40"/>
      <c r="M322" s="181" t="s">
        <v>19</v>
      </c>
      <c r="N322" s="182" t="s">
        <v>43</v>
      </c>
      <c r="O322" s="65"/>
      <c r="P322" s="183">
        <f>O322*H322</f>
        <v>0</v>
      </c>
      <c r="Q322" s="183">
        <v>0</v>
      </c>
      <c r="R322" s="183">
        <f>Q322*H322</f>
        <v>0</v>
      </c>
      <c r="S322" s="183">
        <v>0</v>
      </c>
      <c r="T322" s="18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5" t="s">
        <v>135</v>
      </c>
      <c r="AT322" s="185" t="s">
        <v>130</v>
      </c>
      <c r="AU322" s="185" t="s">
        <v>82</v>
      </c>
      <c r="AY322" s="18" t="s">
        <v>128</v>
      </c>
      <c r="BE322" s="186">
        <f>IF(N322="základní",J322,0)</f>
        <v>0</v>
      </c>
      <c r="BF322" s="186">
        <f>IF(N322="snížená",J322,0)</f>
        <v>0</v>
      </c>
      <c r="BG322" s="186">
        <f>IF(N322="zákl. přenesená",J322,0)</f>
        <v>0</v>
      </c>
      <c r="BH322" s="186">
        <f>IF(N322="sníž. přenesená",J322,0)</f>
        <v>0</v>
      </c>
      <c r="BI322" s="186">
        <f>IF(N322="nulová",J322,0)</f>
        <v>0</v>
      </c>
      <c r="BJ322" s="18" t="s">
        <v>80</v>
      </c>
      <c r="BK322" s="186">
        <f>ROUND(I322*H322,2)</f>
        <v>0</v>
      </c>
      <c r="BL322" s="18" t="s">
        <v>135</v>
      </c>
      <c r="BM322" s="185" t="s">
        <v>555</v>
      </c>
    </row>
    <row r="323" spans="1:65" s="2" customFormat="1" ht="10">
      <c r="A323" s="35"/>
      <c r="B323" s="36"/>
      <c r="C323" s="37"/>
      <c r="D323" s="187" t="s">
        <v>137</v>
      </c>
      <c r="E323" s="37"/>
      <c r="F323" s="188" t="s">
        <v>556</v>
      </c>
      <c r="G323" s="37"/>
      <c r="H323" s="37"/>
      <c r="I323" s="189"/>
      <c r="J323" s="37"/>
      <c r="K323" s="37"/>
      <c r="L323" s="40"/>
      <c r="M323" s="190"/>
      <c r="N323" s="191"/>
      <c r="O323" s="65"/>
      <c r="P323" s="65"/>
      <c r="Q323" s="65"/>
      <c r="R323" s="65"/>
      <c r="S323" s="65"/>
      <c r="T323" s="66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137</v>
      </c>
      <c r="AU323" s="18" t="s">
        <v>82</v>
      </c>
    </row>
    <row r="324" spans="1:65" s="13" customFormat="1" ht="10">
      <c r="B324" s="192"/>
      <c r="C324" s="193"/>
      <c r="D324" s="194" t="s">
        <v>139</v>
      </c>
      <c r="E324" s="195" t="s">
        <v>19</v>
      </c>
      <c r="F324" s="196" t="s">
        <v>557</v>
      </c>
      <c r="G324" s="193"/>
      <c r="H324" s="197">
        <v>120</v>
      </c>
      <c r="I324" s="198"/>
      <c r="J324" s="193"/>
      <c r="K324" s="193"/>
      <c r="L324" s="199"/>
      <c r="M324" s="200"/>
      <c r="N324" s="201"/>
      <c r="O324" s="201"/>
      <c r="P324" s="201"/>
      <c r="Q324" s="201"/>
      <c r="R324" s="201"/>
      <c r="S324" s="201"/>
      <c r="T324" s="202"/>
      <c r="AT324" s="203" t="s">
        <v>139</v>
      </c>
      <c r="AU324" s="203" t="s">
        <v>82</v>
      </c>
      <c r="AV324" s="13" t="s">
        <v>82</v>
      </c>
      <c r="AW324" s="13" t="s">
        <v>34</v>
      </c>
      <c r="AX324" s="13" t="s">
        <v>80</v>
      </c>
      <c r="AY324" s="203" t="s">
        <v>128</v>
      </c>
    </row>
    <row r="325" spans="1:65" s="2" customFormat="1" ht="16.5" customHeight="1">
      <c r="A325" s="35"/>
      <c r="B325" s="36"/>
      <c r="C325" s="215" t="s">
        <v>558</v>
      </c>
      <c r="D325" s="215" t="s">
        <v>414</v>
      </c>
      <c r="E325" s="216" t="s">
        <v>559</v>
      </c>
      <c r="F325" s="217" t="s">
        <v>560</v>
      </c>
      <c r="G325" s="218" t="s">
        <v>258</v>
      </c>
      <c r="H325" s="219">
        <v>132</v>
      </c>
      <c r="I325" s="220"/>
      <c r="J325" s="221">
        <f>ROUND(I325*H325,2)</f>
        <v>0</v>
      </c>
      <c r="K325" s="217" t="s">
        <v>134</v>
      </c>
      <c r="L325" s="222"/>
      <c r="M325" s="223" t="s">
        <v>19</v>
      </c>
      <c r="N325" s="224" t="s">
        <v>43</v>
      </c>
      <c r="O325" s="65"/>
      <c r="P325" s="183">
        <f>O325*H325</f>
        <v>0</v>
      </c>
      <c r="Q325" s="183">
        <v>5.9000000000000003E-4</v>
      </c>
      <c r="R325" s="183">
        <f>Q325*H325</f>
        <v>7.7880000000000005E-2</v>
      </c>
      <c r="S325" s="183">
        <v>0</v>
      </c>
      <c r="T325" s="18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5" t="s">
        <v>178</v>
      </c>
      <c r="AT325" s="185" t="s">
        <v>414</v>
      </c>
      <c r="AU325" s="185" t="s">
        <v>82</v>
      </c>
      <c r="AY325" s="18" t="s">
        <v>128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18" t="s">
        <v>80</v>
      </c>
      <c r="BK325" s="186">
        <f>ROUND(I325*H325,2)</f>
        <v>0</v>
      </c>
      <c r="BL325" s="18" t="s">
        <v>135</v>
      </c>
      <c r="BM325" s="185" t="s">
        <v>561</v>
      </c>
    </row>
    <row r="326" spans="1:65" s="13" customFormat="1" ht="10">
      <c r="B326" s="192"/>
      <c r="C326" s="193"/>
      <c r="D326" s="194" t="s">
        <v>139</v>
      </c>
      <c r="E326" s="193"/>
      <c r="F326" s="196" t="s">
        <v>562</v>
      </c>
      <c r="G326" s="193"/>
      <c r="H326" s="197">
        <v>132</v>
      </c>
      <c r="I326" s="198"/>
      <c r="J326" s="193"/>
      <c r="K326" s="193"/>
      <c r="L326" s="199"/>
      <c r="M326" s="200"/>
      <c r="N326" s="201"/>
      <c r="O326" s="201"/>
      <c r="P326" s="201"/>
      <c r="Q326" s="201"/>
      <c r="R326" s="201"/>
      <c r="S326" s="201"/>
      <c r="T326" s="202"/>
      <c r="AT326" s="203" t="s">
        <v>139</v>
      </c>
      <c r="AU326" s="203" t="s">
        <v>82</v>
      </c>
      <c r="AV326" s="13" t="s">
        <v>82</v>
      </c>
      <c r="AW326" s="13" t="s">
        <v>4</v>
      </c>
      <c r="AX326" s="13" t="s">
        <v>80</v>
      </c>
      <c r="AY326" s="203" t="s">
        <v>128</v>
      </c>
    </row>
    <row r="327" spans="1:65" s="12" customFormat="1" ht="22.75" customHeight="1">
      <c r="B327" s="158"/>
      <c r="C327" s="159"/>
      <c r="D327" s="160" t="s">
        <v>71</v>
      </c>
      <c r="E327" s="172" t="s">
        <v>563</v>
      </c>
      <c r="F327" s="172" t="s">
        <v>564</v>
      </c>
      <c r="G327" s="159"/>
      <c r="H327" s="159"/>
      <c r="I327" s="162"/>
      <c r="J327" s="173">
        <f>BK327</f>
        <v>0</v>
      </c>
      <c r="K327" s="159"/>
      <c r="L327" s="164"/>
      <c r="M327" s="165"/>
      <c r="N327" s="166"/>
      <c r="O327" s="166"/>
      <c r="P327" s="167">
        <f>SUM(P328:P342)</f>
        <v>0</v>
      </c>
      <c r="Q327" s="166"/>
      <c r="R327" s="167">
        <f>SUM(R328:R342)</f>
        <v>0.11465999999999998</v>
      </c>
      <c r="S327" s="166"/>
      <c r="T327" s="168">
        <f>SUM(T328:T342)</f>
        <v>36.642888400000004</v>
      </c>
      <c r="AR327" s="169" t="s">
        <v>82</v>
      </c>
      <c r="AT327" s="170" t="s">
        <v>71</v>
      </c>
      <c r="AU327" s="170" t="s">
        <v>80</v>
      </c>
      <c r="AY327" s="169" t="s">
        <v>128</v>
      </c>
      <c r="BK327" s="171">
        <f>SUM(BK328:BK342)</f>
        <v>0</v>
      </c>
    </row>
    <row r="328" spans="1:65" s="2" customFormat="1" ht="16.5" customHeight="1">
      <c r="A328" s="35"/>
      <c r="B328" s="36"/>
      <c r="C328" s="174" t="s">
        <v>565</v>
      </c>
      <c r="D328" s="174" t="s">
        <v>130</v>
      </c>
      <c r="E328" s="175" t="s">
        <v>566</v>
      </c>
      <c r="F328" s="176" t="s">
        <v>567</v>
      </c>
      <c r="G328" s="177" t="s">
        <v>133</v>
      </c>
      <c r="H328" s="178">
        <v>790</v>
      </c>
      <c r="I328" s="179"/>
      <c r="J328" s="180">
        <f>ROUND(I328*H328,2)</f>
        <v>0</v>
      </c>
      <c r="K328" s="176" t="s">
        <v>134</v>
      </c>
      <c r="L328" s="40"/>
      <c r="M328" s="181" t="s">
        <v>19</v>
      </c>
      <c r="N328" s="182" t="s">
        <v>43</v>
      </c>
      <c r="O328" s="65"/>
      <c r="P328" s="183">
        <f>O328*H328</f>
        <v>0</v>
      </c>
      <c r="Q328" s="183">
        <v>0</v>
      </c>
      <c r="R328" s="183">
        <f>Q328*H328</f>
        <v>0</v>
      </c>
      <c r="S328" s="183">
        <v>4.4499999999999998E-2</v>
      </c>
      <c r="T328" s="184">
        <f>S328*H328</f>
        <v>35.155000000000001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5" t="s">
        <v>230</v>
      </c>
      <c r="AT328" s="185" t="s">
        <v>130</v>
      </c>
      <c r="AU328" s="185" t="s">
        <v>82</v>
      </c>
      <c r="AY328" s="18" t="s">
        <v>128</v>
      </c>
      <c r="BE328" s="186">
        <f>IF(N328="základní",J328,0)</f>
        <v>0</v>
      </c>
      <c r="BF328" s="186">
        <f>IF(N328="snížená",J328,0)</f>
        <v>0</v>
      </c>
      <c r="BG328" s="186">
        <f>IF(N328="zákl. přenesená",J328,0)</f>
        <v>0</v>
      </c>
      <c r="BH328" s="186">
        <f>IF(N328="sníž. přenesená",J328,0)</f>
        <v>0</v>
      </c>
      <c r="BI328" s="186">
        <f>IF(N328="nulová",J328,0)</f>
        <v>0</v>
      </c>
      <c r="BJ328" s="18" t="s">
        <v>80</v>
      </c>
      <c r="BK328" s="186">
        <f>ROUND(I328*H328,2)</f>
        <v>0</v>
      </c>
      <c r="BL328" s="18" t="s">
        <v>230</v>
      </c>
      <c r="BM328" s="185" t="s">
        <v>568</v>
      </c>
    </row>
    <row r="329" spans="1:65" s="2" customFormat="1" ht="10">
      <c r="A329" s="35"/>
      <c r="B329" s="36"/>
      <c r="C329" s="37"/>
      <c r="D329" s="187" t="s">
        <v>137</v>
      </c>
      <c r="E329" s="37"/>
      <c r="F329" s="188" t="s">
        <v>569</v>
      </c>
      <c r="G329" s="37"/>
      <c r="H329" s="37"/>
      <c r="I329" s="189"/>
      <c r="J329" s="37"/>
      <c r="K329" s="37"/>
      <c r="L329" s="40"/>
      <c r="M329" s="190"/>
      <c r="N329" s="191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137</v>
      </c>
      <c r="AU329" s="18" t="s">
        <v>82</v>
      </c>
    </row>
    <row r="330" spans="1:65" s="13" customFormat="1" ht="10">
      <c r="B330" s="192"/>
      <c r="C330" s="193"/>
      <c r="D330" s="194" t="s">
        <v>139</v>
      </c>
      <c r="E330" s="195" t="s">
        <v>19</v>
      </c>
      <c r="F330" s="196" t="s">
        <v>482</v>
      </c>
      <c r="G330" s="193"/>
      <c r="H330" s="197">
        <v>790</v>
      </c>
      <c r="I330" s="198"/>
      <c r="J330" s="193"/>
      <c r="K330" s="193"/>
      <c r="L330" s="199"/>
      <c r="M330" s="200"/>
      <c r="N330" s="201"/>
      <c r="O330" s="201"/>
      <c r="P330" s="201"/>
      <c r="Q330" s="201"/>
      <c r="R330" s="201"/>
      <c r="S330" s="201"/>
      <c r="T330" s="202"/>
      <c r="AT330" s="203" t="s">
        <v>139</v>
      </c>
      <c r="AU330" s="203" t="s">
        <v>82</v>
      </c>
      <c r="AV330" s="13" t="s">
        <v>82</v>
      </c>
      <c r="AW330" s="13" t="s">
        <v>34</v>
      </c>
      <c r="AX330" s="13" t="s">
        <v>80</v>
      </c>
      <c r="AY330" s="203" t="s">
        <v>128</v>
      </c>
    </row>
    <row r="331" spans="1:65" s="2" customFormat="1" ht="16.5" customHeight="1">
      <c r="A331" s="35"/>
      <c r="B331" s="36"/>
      <c r="C331" s="174" t="s">
        <v>570</v>
      </c>
      <c r="D331" s="174" t="s">
        <v>130</v>
      </c>
      <c r="E331" s="175" t="s">
        <v>571</v>
      </c>
      <c r="F331" s="176" t="s">
        <v>572</v>
      </c>
      <c r="G331" s="177" t="s">
        <v>133</v>
      </c>
      <c r="H331" s="178">
        <v>790</v>
      </c>
      <c r="I331" s="179"/>
      <c r="J331" s="180">
        <f>ROUND(I331*H331,2)</f>
        <v>0</v>
      </c>
      <c r="K331" s="176" t="s">
        <v>134</v>
      </c>
      <c r="L331" s="40"/>
      <c r="M331" s="181" t="s">
        <v>19</v>
      </c>
      <c r="N331" s="182" t="s">
        <v>43</v>
      </c>
      <c r="O331" s="65"/>
      <c r="P331" s="183">
        <f>O331*H331</f>
        <v>0</v>
      </c>
      <c r="Q331" s="183">
        <v>0</v>
      </c>
      <c r="R331" s="183">
        <f>Q331*H331</f>
        <v>0</v>
      </c>
      <c r="S331" s="183">
        <v>0</v>
      </c>
      <c r="T331" s="184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5" t="s">
        <v>230</v>
      </c>
      <c r="AT331" s="185" t="s">
        <v>130</v>
      </c>
      <c r="AU331" s="185" t="s">
        <v>82</v>
      </c>
      <c r="AY331" s="18" t="s">
        <v>128</v>
      </c>
      <c r="BE331" s="186">
        <f>IF(N331="základní",J331,0)</f>
        <v>0</v>
      </c>
      <c r="BF331" s="186">
        <f>IF(N331="snížená",J331,0)</f>
        <v>0</v>
      </c>
      <c r="BG331" s="186">
        <f>IF(N331="zákl. přenesená",J331,0)</f>
        <v>0</v>
      </c>
      <c r="BH331" s="186">
        <f>IF(N331="sníž. přenesená",J331,0)</f>
        <v>0</v>
      </c>
      <c r="BI331" s="186">
        <f>IF(N331="nulová",J331,0)</f>
        <v>0</v>
      </c>
      <c r="BJ331" s="18" t="s">
        <v>80</v>
      </c>
      <c r="BK331" s="186">
        <f>ROUND(I331*H331,2)</f>
        <v>0</v>
      </c>
      <c r="BL331" s="18" t="s">
        <v>230</v>
      </c>
      <c r="BM331" s="185" t="s">
        <v>573</v>
      </c>
    </row>
    <row r="332" spans="1:65" s="2" customFormat="1" ht="10">
      <c r="A332" s="35"/>
      <c r="B332" s="36"/>
      <c r="C332" s="37"/>
      <c r="D332" s="187" t="s">
        <v>137</v>
      </c>
      <c r="E332" s="37"/>
      <c r="F332" s="188" t="s">
        <v>574</v>
      </c>
      <c r="G332" s="37"/>
      <c r="H332" s="37"/>
      <c r="I332" s="189"/>
      <c r="J332" s="37"/>
      <c r="K332" s="37"/>
      <c r="L332" s="40"/>
      <c r="M332" s="190"/>
      <c r="N332" s="191"/>
      <c r="O332" s="65"/>
      <c r="P332" s="65"/>
      <c r="Q332" s="65"/>
      <c r="R332" s="65"/>
      <c r="S332" s="65"/>
      <c r="T332" s="66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137</v>
      </c>
      <c r="AU332" s="18" t="s">
        <v>82</v>
      </c>
    </row>
    <row r="333" spans="1:65" s="2" customFormat="1" ht="16.5" customHeight="1">
      <c r="A333" s="35"/>
      <c r="B333" s="36"/>
      <c r="C333" s="174" t="s">
        <v>575</v>
      </c>
      <c r="D333" s="174" t="s">
        <v>130</v>
      </c>
      <c r="E333" s="175" t="s">
        <v>576</v>
      </c>
      <c r="F333" s="176" t="s">
        <v>577</v>
      </c>
      <c r="G333" s="177" t="s">
        <v>258</v>
      </c>
      <c r="H333" s="178">
        <v>129.72</v>
      </c>
      <c r="I333" s="179"/>
      <c r="J333" s="180">
        <f>ROUND(I333*H333,2)</f>
        <v>0</v>
      </c>
      <c r="K333" s="176" t="s">
        <v>134</v>
      </c>
      <c r="L333" s="40"/>
      <c r="M333" s="181" t="s">
        <v>19</v>
      </c>
      <c r="N333" s="182" t="s">
        <v>43</v>
      </c>
      <c r="O333" s="65"/>
      <c r="P333" s="183">
        <f>O333*H333</f>
        <v>0</v>
      </c>
      <c r="Q333" s="183">
        <v>0</v>
      </c>
      <c r="R333" s="183">
        <f>Q333*H333</f>
        <v>0</v>
      </c>
      <c r="S333" s="183">
        <v>1.1469999999999999E-2</v>
      </c>
      <c r="T333" s="184">
        <f>S333*H333</f>
        <v>1.4878883999999999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5" t="s">
        <v>230</v>
      </c>
      <c r="AT333" s="185" t="s">
        <v>130</v>
      </c>
      <c r="AU333" s="185" t="s">
        <v>82</v>
      </c>
      <c r="AY333" s="18" t="s">
        <v>128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18" t="s">
        <v>80</v>
      </c>
      <c r="BK333" s="186">
        <f>ROUND(I333*H333,2)</f>
        <v>0</v>
      </c>
      <c r="BL333" s="18" t="s">
        <v>230</v>
      </c>
      <c r="BM333" s="185" t="s">
        <v>578</v>
      </c>
    </row>
    <row r="334" spans="1:65" s="2" customFormat="1" ht="10">
      <c r="A334" s="35"/>
      <c r="B334" s="36"/>
      <c r="C334" s="37"/>
      <c r="D334" s="187" t="s">
        <v>137</v>
      </c>
      <c r="E334" s="37"/>
      <c r="F334" s="188" t="s">
        <v>579</v>
      </c>
      <c r="G334" s="37"/>
      <c r="H334" s="37"/>
      <c r="I334" s="189"/>
      <c r="J334" s="37"/>
      <c r="K334" s="37"/>
      <c r="L334" s="40"/>
      <c r="M334" s="190"/>
      <c r="N334" s="191"/>
      <c r="O334" s="65"/>
      <c r="P334" s="65"/>
      <c r="Q334" s="65"/>
      <c r="R334" s="65"/>
      <c r="S334" s="65"/>
      <c r="T334" s="66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137</v>
      </c>
      <c r="AU334" s="18" t="s">
        <v>82</v>
      </c>
    </row>
    <row r="335" spans="1:65" s="13" customFormat="1" ht="10">
      <c r="B335" s="192"/>
      <c r="C335" s="193"/>
      <c r="D335" s="194" t="s">
        <v>139</v>
      </c>
      <c r="E335" s="195" t="s">
        <v>19</v>
      </c>
      <c r="F335" s="196" t="s">
        <v>580</v>
      </c>
      <c r="G335" s="193"/>
      <c r="H335" s="197">
        <v>129.72</v>
      </c>
      <c r="I335" s="198"/>
      <c r="J335" s="193"/>
      <c r="K335" s="193"/>
      <c r="L335" s="199"/>
      <c r="M335" s="200"/>
      <c r="N335" s="201"/>
      <c r="O335" s="201"/>
      <c r="P335" s="201"/>
      <c r="Q335" s="201"/>
      <c r="R335" s="201"/>
      <c r="S335" s="201"/>
      <c r="T335" s="202"/>
      <c r="AT335" s="203" t="s">
        <v>139</v>
      </c>
      <c r="AU335" s="203" t="s">
        <v>82</v>
      </c>
      <c r="AV335" s="13" t="s">
        <v>82</v>
      </c>
      <c r="AW335" s="13" t="s">
        <v>34</v>
      </c>
      <c r="AX335" s="13" t="s">
        <v>80</v>
      </c>
      <c r="AY335" s="203" t="s">
        <v>128</v>
      </c>
    </row>
    <row r="336" spans="1:65" s="2" customFormat="1" ht="16.5" customHeight="1">
      <c r="A336" s="35"/>
      <c r="B336" s="36"/>
      <c r="C336" s="174" t="s">
        <v>581</v>
      </c>
      <c r="D336" s="174" t="s">
        <v>130</v>
      </c>
      <c r="E336" s="175" t="s">
        <v>582</v>
      </c>
      <c r="F336" s="176" t="s">
        <v>572</v>
      </c>
      <c r="G336" s="177" t="s">
        <v>258</v>
      </c>
      <c r="H336" s="178">
        <v>129.72</v>
      </c>
      <c r="I336" s="179"/>
      <c r="J336" s="180">
        <f>ROUND(I336*H336,2)</f>
        <v>0</v>
      </c>
      <c r="K336" s="176" t="s">
        <v>134</v>
      </c>
      <c r="L336" s="40"/>
      <c r="M336" s="181" t="s">
        <v>19</v>
      </c>
      <c r="N336" s="182" t="s">
        <v>43</v>
      </c>
      <c r="O336" s="65"/>
      <c r="P336" s="183">
        <f>O336*H336</f>
        <v>0</v>
      </c>
      <c r="Q336" s="183">
        <v>0</v>
      </c>
      <c r="R336" s="183">
        <f>Q336*H336</f>
        <v>0</v>
      </c>
      <c r="S336" s="183">
        <v>0</v>
      </c>
      <c r="T336" s="18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5" t="s">
        <v>230</v>
      </c>
      <c r="AT336" s="185" t="s">
        <v>130</v>
      </c>
      <c r="AU336" s="185" t="s">
        <v>82</v>
      </c>
      <c r="AY336" s="18" t="s">
        <v>128</v>
      </c>
      <c r="BE336" s="186">
        <f>IF(N336="základní",J336,0)</f>
        <v>0</v>
      </c>
      <c r="BF336" s="186">
        <f>IF(N336="snížená",J336,0)</f>
        <v>0</v>
      </c>
      <c r="BG336" s="186">
        <f>IF(N336="zákl. přenesená",J336,0)</f>
        <v>0</v>
      </c>
      <c r="BH336" s="186">
        <f>IF(N336="sníž. přenesená",J336,0)</f>
        <v>0</v>
      </c>
      <c r="BI336" s="186">
        <f>IF(N336="nulová",J336,0)</f>
        <v>0</v>
      </c>
      <c r="BJ336" s="18" t="s">
        <v>80</v>
      </c>
      <c r="BK336" s="186">
        <f>ROUND(I336*H336,2)</f>
        <v>0</v>
      </c>
      <c r="BL336" s="18" t="s">
        <v>230</v>
      </c>
      <c r="BM336" s="185" t="s">
        <v>583</v>
      </c>
    </row>
    <row r="337" spans="1:65" s="2" customFormat="1" ht="10">
      <c r="A337" s="35"/>
      <c r="B337" s="36"/>
      <c r="C337" s="37"/>
      <c r="D337" s="187" t="s">
        <v>137</v>
      </c>
      <c r="E337" s="37"/>
      <c r="F337" s="188" t="s">
        <v>584</v>
      </c>
      <c r="G337" s="37"/>
      <c r="H337" s="37"/>
      <c r="I337" s="189"/>
      <c r="J337" s="37"/>
      <c r="K337" s="37"/>
      <c r="L337" s="40"/>
      <c r="M337" s="190"/>
      <c r="N337" s="191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137</v>
      </c>
      <c r="AU337" s="18" t="s">
        <v>82</v>
      </c>
    </row>
    <row r="338" spans="1:65" s="2" customFormat="1" ht="16.5" customHeight="1">
      <c r="A338" s="35"/>
      <c r="B338" s="36"/>
      <c r="C338" s="174" t="s">
        <v>585</v>
      </c>
      <c r="D338" s="174" t="s">
        <v>130</v>
      </c>
      <c r="E338" s="175" t="s">
        <v>586</v>
      </c>
      <c r="F338" s="176" t="s">
        <v>587</v>
      </c>
      <c r="G338" s="177" t="s">
        <v>133</v>
      </c>
      <c r="H338" s="178">
        <v>819</v>
      </c>
      <c r="I338" s="179"/>
      <c r="J338" s="180">
        <f>ROUND(I338*H338,2)</f>
        <v>0</v>
      </c>
      <c r="K338" s="176" t="s">
        <v>134</v>
      </c>
      <c r="L338" s="40"/>
      <c r="M338" s="181" t="s">
        <v>19</v>
      </c>
      <c r="N338" s="182" t="s">
        <v>43</v>
      </c>
      <c r="O338" s="65"/>
      <c r="P338" s="183">
        <f>O338*H338</f>
        <v>0</v>
      </c>
      <c r="Q338" s="183">
        <v>1.3999999999999999E-4</v>
      </c>
      <c r="R338" s="183">
        <f>Q338*H338</f>
        <v>0.11465999999999998</v>
      </c>
      <c r="S338" s="183">
        <v>0</v>
      </c>
      <c r="T338" s="18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230</v>
      </c>
      <c r="AT338" s="185" t="s">
        <v>130</v>
      </c>
      <c r="AU338" s="185" t="s">
        <v>82</v>
      </c>
      <c r="AY338" s="18" t="s">
        <v>128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18" t="s">
        <v>80</v>
      </c>
      <c r="BK338" s="186">
        <f>ROUND(I338*H338,2)</f>
        <v>0</v>
      </c>
      <c r="BL338" s="18" t="s">
        <v>230</v>
      </c>
      <c r="BM338" s="185" t="s">
        <v>588</v>
      </c>
    </row>
    <row r="339" spans="1:65" s="2" customFormat="1" ht="10">
      <c r="A339" s="35"/>
      <c r="B339" s="36"/>
      <c r="C339" s="37"/>
      <c r="D339" s="187" t="s">
        <v>137</v>
      </c>
      <c r="E339" s="37"/>
      <c r="F339" s="188" t="s">
        <v>589</v>
      </c>
      <c r="G339" s="37"/>
      <c r="H339" s="37"/>
      <c r="I339" s="189"/>
      <c r="J339" s="37"/>
      <c r="K339" s="37"/>
      <c r="L339" s="40"/>
      <c r="M339" s="190"/>
      <c r="N339" s="191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137</v>
      </c>
      <c r="AU339" s="18" t="s">
        <v>82</v>
      </c>
    </row>
    <row r="340" spans="1:65" s="13" customFormat="1" ht="10">
      <c r="B340" s="192"/>
      <c r="C340" s="193"/>
      <c r="D340" s="194" t="s">
        <v>139</v>
      </c>
      <c r="E340" s="195" t="s">
        <v>19</v>
      </c>
      <c r="F340" s="196" t="s">
        <v>482</v>
      </c>
      <c r="G340" s="193"/>
      <c r="H340" s="197">
        <v>790</v>
      </c>
      <c r="I340" s="198"/>
      <c r="J340" s="193"/>
      <c r="K340" s="193"/>
      <c r="L340" s="199"/>
      <c r="M340" s="200"/>
      <c r="N340" s="201"/>
      <c r="O340" s="201"/>
      <c r="P340" s="201"/>
      <c r="Q340" s="201"/>
      <c r="R340" s="201"/>
      <c r="S340" s="201"/>
      <c r="T340" s="202"/>
      <c r="AT340" s="203" t="s">
        <v>139</v>
      </c>
      <c r="AU340" s="203" t="s">
        <v>82</v>
      </c>
      <c r="AV340" s="13" t="s">
        <v>82</v>
      </c>
      <c r="AW340" s="13" t="s">
        <v>34</v>
      </c>
      <c r="AX340" s="13" t="s">
        <v>72</v>
      </c>
      <c r="AY340" s="203" t="s">
        <v>128</v>
      </c>
    </row>
    <row r="341" spans="1:65" s="13" customFormat="1" ht="10">
      <c r="B341" s="192"/>
      <c r="C341" s="193"/>
      <c r="D341" s="194" t="s">
        <v>139</v>
      </c>
      <c r="E341" s="195" t="s">
        <v>19</v>
      </c>
      <c r="F341" s="196" t="s">
        <v>406</v>
      </c>
      <c r="G341" s="193"/>
      <c r="H341" s="197">
        <v>29</v>
      </c>
      <c r="I341" s="198"/>
      <c r="J341" s="193"/>
      <c r="K341" s="193"/>
      <c r="L341" s="199"/>
      <c r="M341" s="200"/>
      <c r="N341" s="201"/>
      <c r="O341" s="201"/>
      <c r="P341" s="201"/>
      <c r="Q341" s="201"/>
      <c r="R341" s="201"/>
      <c r="S341" s="201"/>
      <c r="T341" s="202"/>
      <c r="AT341" s="203" t="s">
        <v>139</v>
      </c>
      <c r="AU341" s="203" t="s">
        <v>82</v>
      </c>
      <c r="AV341" s="13" t="s">
        <v>82</v>
      </c>
      <c r="AW341" s="13" t="s">
        <v>34</v>
      </c>
      <c r="AX341" s="13" t="s">
        <v>72</v>
      </c>
      <c r="AY341" s="203" t="s">
        <v>128</v>
      </c>
    </row>
    <row r="342" spans="1:65" s="14" customFormat="1" ht="10">
      <c r="B342" s="204"/>
      <c r="C342" s="205"/>
      <c r="D342" s="194" t="s">
        <v>139</v>
      </c>
      <c r="E342" s="206" t="s">
        <v>19</v>
      </c>
      <c r="F342" s="207" t="s">
        <v>153</v>
      </c>
      <c r="G342" s="205"/>
      <c r="H342" s="208">
        <v>819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139</v>
      </c>
      <c r="AU342" s="214" t="s">
        <v>82</v>
      </c>
      <c r="AV342" s="14" t="s">
        <v>135</v>
      </c>
      <c r="AW342" s="14" t="s">
        <v>34</v>
      </c>
      <c r="AX342" s="14" t="s">
        <v>80</v>
      </c>
      <c r="AY342" s="214" t="s">
        <v>128</v>
      </c>
    </row>
    <row r="343" spans="1:65" s="12" customFormat="1" ht="22.75" customHeight="1">
      <c r="B343" s="158"/>
      <c r="C343" s="159"/>
      <c r="D343" s="160" t="s">
        <v>71</v>
      </c>
      <c r="E343" s="172" t="s">
        <v>590</v>
      </c>
      <c r="F343" s="172" t="s">
        <v>591</v>
      </c>
      <c r="G343" s="159"/>
      <c r="H343" s="159"/>
      <c r="I343" s="162"/>
      <c r="J343" s="173">
        <f>BK343</f>
        <v>0</v>
      </c>
      <c r="K343" s="159"/>
      <c r="L343" s="164"/>
      <c r="M343" s="165"/>
      <c r="N343" s="166"/>
      <c r="O343" s="166"/>
      <c r="P343" s="167">
        <f>SUM(P344:P354)</f>
        <v>0</v>
      </c>
      <c r="Q343" s="166"/>
      <c r="R343" s="167">
        <f>SUM(R344:R354)</f>
        <v>0</v>
      </c>
      <c r="S343" s="166"/>
      <c r="T343" s="168">
        <f>SUM(T344:T354)</f>
        <v>0.68120000000000003</v>
      </c>
      <c r="AR343" s="169" t="s">
        <v>82</v>
      </c>
      <c r="AT343" s="170" t="s">
        <v>71</v>
      </c>
      <c r="AU343" s="170" t="s">
        <v>80</v>
      </c>
      <c r="AY343" s="169" t="s">
        <v>128</v>
      </c>
      <c r="BK343" s="171">
        <f>SUM(BK344:BK354)</f>
        <v>0</v>
      </c>
    </row>
    <row r="344" spans="1:65" s="2" customFormat="1" ht="16.5" customHeight="1">
      <c r="A344" s="35"/>
      <c r="B344" s="36"/>
      <c r="C344" s="174" t="s">
        <v>592</v>
      </c>
      <c r="D344" s="174" t="s">
        <v>130</v>
      </c>
      <c r="E344" s="175" t="s">
        <v>593</v>
      </c>
      <c r="F344" s="176" t="s">
        <v>594</v>
      </c>
      <c r="G344" s="177" t="s">
        <v>305</v>
      </c>
      <c r="H344" s="178">
        <v>2</v>
      </c>
      <c r="I344" s="179"/>
      <c r="J344" s="180">
        <f>ROUND(I344*H344,2)</f>
        <v>0</v>
      </c>
      <c r="K344" s="176" t="s">
        <v>134</v>
      </c>
      <c r="L344" s="40"/>
      <c r="M344" s="181" t="s">
        <v>19</v>
      </c>
      <c r="N344" s="182" t="s">
        <v>43</v>
      </c>
      <c r="O344" s="65"/>
      <c r="P344" s="183">
        <f>O344*H344</f>
        <v>0</v>
      </c>
      <c r="Q344" s="183">
        <v>0</v>
      </c>
      <c r="R344" s="183">
        <f>Q344*H344</f>
        <v>0</v>
      </c>
      <c r="S344" s="183">
        <v>4.0000000000000001E-3</v>
      </c>
      <c r="T344" s="184">
        <f>S344*H344</f>
        <v>8.0000000000000002E-3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5" t="s">
        <v>230</v>
      </c>
      <c r="AT344" s="185" t="s">
        <v>130</v>
      </c>
      <c r="AU344" s="185" t="s">
        <v>82</v>
      </c>
      <c r="AY344" s="18" t="s">
        <v>128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18" t="s">
        <v>80</v>
      </c>
      <c r="BK344" s="186">
        <f>ROUND(I344*H344,2)</f>
        <v>0</v>
      </c>
      <c r="BL344" s="18" t="s">
        <v>230</v>
      </c>
      <c r="BM344" s="185" t="s">
        <v>595</v>
      </c>
    </row>
    <row r="345" spans="1:65" s="2" customFormat="1" ht="10">
      <c r="A345" s="35"/>
      <c r="B345" s="36"/>
      <c r="C345" s="37"/>
      <c r="D345" s="187" t="s">
        <v>137</v>
      </c>
      <c r="E345" s="37"/>
      <c r="F345" s="188" t="s">
        <v>596</v>
      </c>
      <c r="G345" s="37"/>
      <c r="H345" s="37"/>
      <c r="I345" s="189"/>
      <c r="J345" s="37"/>
      <c r="K345" s="37"/>
      <c r="L345" s="40"/>
      <c r="M345" s="190"/>
      <c r="N345" s="191"/>
      <c r="O345" s="65"/>
      <c r="P345" s="65"/>
      <c r="Q345" s="65"/>
      <c r="R345" s="65"/>
      <c r="S345" s="65"/>
      <c r="T345" s="66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137</v>
      </c>
      <c r="AU345" s="18" t="s">
        <v>82</v>
      </c>
    </row>
    <row r="346" spans="1:65" s="13" customFormat="1" ht="10">
      <c r="B346" s="192"/>
      <c r="C346" s="193"/>
      <c r="D346" s="194" t="s">
        <v>139</v>
      </c>
      <c r="E346" s="195" t="s">
        <v>19</v>
      </c>
      <c r="F346" s="196" t="s">
        <v>597</v>
      </c>
      <c r="G346" s="193"/>
      <c r="H346" s="197">
        <v>1</v>
      </c>
      <c r="I346" s="198"/>
      <c r="J346" s="193"/>
      <c r="K346" s="193"/>
      <c r="L346" s="199"/>
      <c r="M346" s="200"/>
      <c r="N346" s="201"/>
      <c r="O346" s="201"/>
      <c r="P346" s="201"/>
      <c r="Q346" s="201"/>
      <c r="R346" s="201"/>
      <c r="S346" s="201"/>
      <c r="T346" s="202"/>
      <c r="AT346" s="203" t="s">
        <v>139</v>
      </c>
      <c r="AU346" s="203" t="s">
        <v>82</v>
      </c>
      <c r="AV346" s="13" t="s">
        <v>82</v>
      </c>
      <c r="AW346" s="13" t="s">
        <v>34</v>
      </c>
      <c r="AX346" s="13" t="s">
        <v>72</v>
      </c>
      <c r="AY346" s="203" t="s">
        <v>128</v>
      </c>
    </row>
    <row r="347" spans="1:65" s="13" customFormat="1" ht="10">
      <c r="B347" s="192"/>
      <c r="C347" s="193"/>
      <c r="D347" s="194" t="s">
        <v>139</v>
      </c>
      <c r="E347" s="195" t="s">
        <v>19</v>
      </c>
      <c r="F347" s="196" t="s">
        <v>598</v>
      </c>
      <c r="G347" s="193"/>
      <c r="H347" s="197">
        <v>1</v>
      </c>
      <c r="I347" s="198"/>
      <c r="J347" s="193"/>
      <c r="K347" s="193"/>
      <c r="L347" s="199"/>
      <c r="M347" s="200"/>
      <c r="N347" s="201"/>
      <c r="O347" s="201"/>
      <c r="P347" s="201"/>
      <c r="Q347" s="201"/>
      <c r="R347" s="201"/>
      <c r="S347" s="201"/>
      <c r="T347" s="202"/>
      <c r="AT347" s="203" t="s">
        <v>139</v>
      </c>
      <c r="AU347" s="203" t="s">
        <v>82</v>
      </c>
      <c r="AV347" s="13" t="s">
        <v>82</v>
      </c>
      <c r="AW347" s="13" t="s">
        <v>34</v>
      </c>
      <c r="AX347" s="13" t="s">
        <v>72</v>
      </c>
      <c r="AY347" s="203" t="s">
        <v>128</v>
      </c>
    </row>
    <row r="348" spans="1:65" s="14" customFormat="1" ht="10">
      <c r="B348" s="204"/>
      <c r="C348" s="205"/>
      <c r="D348" s="194" t="s">
        <v>139</v>
      </c>
      <c r="E348" s="206" t="s">
        <v>19</v>
      </c>
      <c r="F348" s="207" t="s">
        <v>153</v>
      </c>
      <c r="G348" s="205"/>
      <c r="H348" s="208">
        <v>2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139</v>
      </c>
      <c r="AU348" s="214" t="s">
        <v>82</v>
      </c>
      <c r="AV348" s="14" t="s">
        <v>135</v>
      </c>
      <c r="AW348" s="14" t="s">
        <v>34</v>
      </c>
      <c r="AX348" s="14" t="s">
        <v>80</v>
      </c>
      <c r="AY348" s="214" t="s">
        <v>128</v>
      </c>
    </row>
    <row r="349" spans="1:65" s="2" customFormat="1" ht="21.75" customHeight="1">
      <c r="A349" s="35"/>
      <c r="B349" s="36"/>
      <c r="C349" s="174" t="s">
        <v>599</v>
      </c>
      <c r="D349" s="174" t="s">
        <v>130</v>
      </c>
      <c r="E349" s="175" t="s">
        <v>600</v>
      </c>
      <c r="F349" s="176" t="s">
        <v>601</v>
      </c>
      <c r="G349" s="177" t="s">
        <v>305</v>
      </c>
      <c r="H349" s="178">
        <v>1</v>
      </c>
      <c r="I349" s="179"/>
      <c r="J349" s="180">
        <f>ROUND(I349*H349,2)</f>
        <v>0</v>
      </c>
      <c r="K349" s="176" t="s">
        <v>134</v>
      </c>
      <c r="L349" s="40"/>
      <c r="M349" s="181" t="s">
        <v>19</v>
      </c>
      <c r="N349" s="182" t="s">
        <v>43</v>
      </c>
      <c r="O349" s="65"/>
      <c r="P349" s="183">
        <f>O349*H349</f>
        <v>0</v>
      </c>
      <c r="Q349" s="183">
        <v>0</v>
      </c>
      <c r="R349" s="183">
        <f>Q349*H349</f>
        <v>0</v>
      </c>
      <c r="S349" s="183">
        <v>6.0000000000000001E-3</v>
      </c>
      <c r="T349" s="184">
        <f>S349*H349</f>
        <v>6.0000000000000001E-3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5" t="s">
        <v>230</v>
      </c>
      <c r="AT349" s="185" t="s">
        <v>130</v>
      </c>
      <c r="AU349" s="185" t="s">
        <v>82</v>
      </c>
      <c r="AY349" s="18" t="s">
        <v>128</v>
      </c>
      <c r="BE349" s="186">
        <f>IF(N349="základní",J349,0)</f>
        <v>0</v>
      </c>
      <c r="BF349" s="186">
        <f>IF(N349="snížená",J349,0)</f>
        <v>0</v>
      </c>
      <c r="BG349" s="186">
        <f>IF(N349="zákl. přenesená",J349,0)</f>
        <v>0</v>
      </c>
      <c r="BH349" s="186">
        <f>IF(N349="sníž. přenesená",J349,0)</f>
        <v>0</v>
      </c>
      <c r="BI349" s="186">
        <f>IF(N349="nulová",J349,0)</f>
        <v>0</v>
      </c>
      <c r="BJ349" s="18" t="s">
        <v>80</v>
      </c>
      <c r="BK349" s="186">
        <f>ROUND(I349*H349,2)</f>
        <v>0</v>
      </c>
      <c r="BL349" s="18" t="s">
        <v>230</v>
      </c>
      <c r="BM349" s="185" t="s">
        <v>602</v>
      </c>
    </row>
    <row r="350" spans="1:65" s="2" customFormat="1" ht="10">
      <c r="A350" s="35"/>
      <c r="B350" s="36"/>
      <c r="C350" s="37"/>
      <c r="D350" s="187" t="s">
        <v>137</v>
      </c>
      <c r="E350" s="37"/>
      <c r="F350" s="188" t="s">
        <v>603</v>
      </c>
      <c r="G350" s="37"/>
      <c r="H350" s="37"/>
      <c r="I350" s="189"/>
      <c r="J350" s="37"/>
      <c r="K350" s="37"/>
      <c r="L350" s="40"/>
      <c r="M350" s="190"/>
      <c r="N350" s="191"/>
      <c r="O350" s="65"/>
      <c r="P350" s="65"/>
      <c r="Q350" s="65"/>
      <c r="R350" s="65"/>
      <c r="S350" s="65"/>
      <c r="T350" s="66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137</v>
      </c>
      <c r="AU350" s="18" t="s">
        <v>82</v>
      </c>
    </row>
    <row r="351" spans="1:65" s="13" customFormat="1" ht="10">
      <c r="B351" s="192"/>
      <c r="C351" s="193"/>
      <c r="D351" s="194" t="s">
        <v>139</v>
      </c>
      <c r="E351" s="195" t="s">
        <v>19</v>
      </c>
      <c r="F351" s="196" t="s">
        <v>604</v>
      </c>
      <c r="G351" s="193"/>
      <c r="H351" s="197">
        <v>1</v>
      </c>
      <c r="I351" s="198"/>
      <c r="J351" s="193"/>
      <c r="K351" s="193"/>
      <c r="L351" s="199"/>
      <c r="M351" s="200"/>
      <c r="N351" s="201"/>
      <c r="O351" s="201"/>
      <c r="P351" s="201"/>
      <c r="Q351" s="201"/>
      <c r="R351" s="201"/>
      <c r="S351" s="201"/>
      <c r="T351" s="202"/>
      <c r="AT351" s="203" t="s">
        <v>139</v>
      </c>
      <c r="AU351" s="203" t="s">
        <v>82</v>
      </c>
      <c r="AV351" s="13" t="s">
        <v>82</v>
      </c>
      <c r="AW351" s="13" t="s">
        <v>34</v>
      </c>
      <c r="AX351" s="13" t="s">
        <v>80</v>
      </c>
      <c r="AY351" s="203" t="s">
        <v>128</v>
      </c>
    </row>
    <row r="352" spans="1:65" s="2" customFormat="1" ht="16.5" customHeight="1">
      <c r="A352" s="35"/>
      <c r="B352" s="36"/>
      <c r="C352" s="174" t="s">
        <v>605</v>
      </c>
      <c r="D352" s="174" t="s">
        <v>130</v>
      </c>
      <c r="E352" s="175" t="s">
        <v>606</v>
      </c>
      <c r="F352" s="176" t="s">
        <v>607</v>
      </c>
      <c r="G352" s="177" t="s">
        <v>305</v>
      </c>
      <c r="H352" s="178">
        <v>16</v>
      </c>
      <c r="I352" s="179"/>
      <c r="J352" s="180">
        <f>ROUND(I352*H352,2)</f>
        <v>0</v>
      </c>
      <c r="K352" s="176" t="s">
        <v>134</v>
      </c>
      <c r="L352" s="40"/>
      <c r="M352" s="181" t="s">
        <v>19</v>
      </c>
      <c r="N352" s="182" t="s">
        <v>43</v>
      </c>
      <c r="O352" s="65"/>
      <c r="P352" s="183">
        <f>O352*H352</f>
        <v>0</v>
      </c>
      <c r="Q352" s="183">
        <v>0</v>
      </c>
      <c r="R352" s="183">
        <f>Q352*H352</f>
        <v>0</v>
      </c>
      <c r="S352" s="183">
        <v>4.1700000000000001E-2</v>
      </c>
      <c r="T352" s="184">
        <f>S352*H352</f>
        <v>0.66720000000000002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5" t="s">
        <v>230</v>
      </c>
      <c r="AT352" s="185" t="s">
        <v>130</v>
      </c>
      <c r="AU352" s="185" t="s">
        <v>82</v>
      </c>
      <c r="AY352" s="18" t="s">
        <v>128</v>
      </c>
      <c r="BE352" s="186">
        <f>IF(N352="základní",J352,0)</f>
        <v>0</v>
      </c>
      <c r="BF352" s="186">
        <f>IF(N352="snížená",J352,0)</f>
        <v>0</v>
      </c>
      <c r="BG352" s="186">
        <f>IF(N352="zákl. přenesená",J352,0)</f>
        <v>0</v>
      </c>
      <c r="BH352" s="186">
        <f>IF(N352="sníž. přenesená",J352,0)</f>
        <v>0</v>
      </c>
      <c r="BI352" s="186">
        <f>IF(N352="nulová",J352,0)</f>
        <v>0</v>
      </c>
      <c r="BJ352" s="18" t="s">
        <v>80</v>
      </c>
      <c r="BK352" s="186">
        <f>ROUND(I352*H352,2)</f>
        <v>0</v>
      </c>
      <c r="BL352" s="18" t="s">
        <v>230</v>
      </c>
      <c r="BM352" s="185" t="s">
        <v>608</v>
      </c>
    </row>
    <row r="353" spans="1:65" s="2" customFormat="1" ht="10">
      <c r="A353" s="35"/>
      <c r="B353" s="36"/>
      <c r="C353" s="37"/>
      <c r="D353" s="187" t="s">
        <v>137</v>
      </c>
      <c r="E353" s="37"/>
      <c r="F353" s="188" t="s">
        <v>609</v>
      </c>
      <c r="G353" s="37"/>
      <c r="H353" s="37"/>
      <c r="I353" s="189"/>
      <c r="J353" s="37"/>
      <c r="K353" s="37"/>
      <c r="L353" s="40"/>
      <c r="M353" s="190"/>
      <c r="N353" s="191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137</v>
      </c>
      <c r="AU353" s="18" t="s">
        <v>82</v>
      </c>
    </row>
    <row r="354" spans="1:65" s="13" customFormat="1" ht="10">
      <c r="B354" s="192"/>
      <c r="C354" s="193"/>
      <c r="D354" s="194" t="s">
        <v>139</v>
      </c>
      <c r="E354" s="195" t="s">
        <v>19</v>
      </c>
      <c r="F354" s="196" t="s">
        <v>610</v>
      </c>
      <c r="G354" s="193"/>
      <c r="H354" s="197">
        <v>16</v>
      </c>
      <c r="I354" s="198"/>
      <c r="J354" s="193"/>
      <c r="K354" s="193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139</v>
      </c>
      <c r="AU354" s="203" t="s">
        <v>82</v>
      </c>
      <c r="AV354" s="13" t="s">
        <v>82</v>
      </c>
      <c r="AW354" s="13" t="s">
        <v>34</v>
      </c>
      <c r="AX354" s="13" t="s">
        <v>80</v>
      </c>
      <c r="AY354" s="203" t="s">
        <v>128</v>
      </c>
    </row>
    <row r="355" spans="1:65" s="12" customFormat="1" ht="22.75" customHeight="1">
      <c r="B355" s="158"/>
      <c r="C355" s="159"/>
      <c r="D355" s="160" t="s">
        <v>71</v>
      </c>
      <c r="E355" s="172" t="s">
        <v>611</v>
      </c>
      <c r="F355" s="172" t="s">
        <v>612</v>
      </c>
      <c r="G355" s="159"/>
      <c r="H355" s="159"/>
      <c r="I355" s="162"/>
      <c r="J355" s="173">
        <f>BK355</f>
        <v>0</v>
      </c>
      <c r="K355" s="159"/>
      <c r="L355" s="164"/>
      <c r="M355" s="165"/>
      <c r="N355" s="166"/>
      <c r="O355" s="166"/>
      <c r="P355" s="167">
        <f>SUM(P356:P358)</f>
        <v>0</v>
      </c>
      <c r="Q355" s="166"/>
      <c r="R355" s="167">
        <f>SUM(R356:R358)</f>
        <v>0</v>
      </c>
      <c r="S355" s="166"/>
      <c r="T355" s="168">
        <f>SUM(T356:T358)</f>
        <v>0.97075</v>
      </c>
      <c r="AR355" s="169" t="s">
        <v>82</v>
      </c>
      <c r="AT355" s="170" t="s">
        <v>71</v>
      </c>
      <c r="AU355" s="170" t="s">
        <v>80</v>
      </c>
      <c r="AY355" s="169" t="s">
        <v>128</v>
      </c>
      <c r="BK355" s="171">
        <f>SUM(BK356:BK358)</f>
        <v>0</v>
      </c>
    </row>
    <row r="356" spans="1:65" s="2" customFormat="1" ht="16.5" customHeight="1">
      <c r="A356" s="35"/>
      <c r="B356" s="36"/>
      <c r="C356" s="174" t="s">
        <v>613</v>
      </c>
      <c r="D356" s="174" t="s">
        <v>130</v>
      </c>
      <c r="E356" s="175" t="s">
        <v>614</v>
      </c>
      <c r="F356" s="176" t="s">
        <v>615</v>
      </c>
      <c r="G356" s="177" t="s">
        <v>133</v>
      </c>
      <c r="H356" s="178">
        <v>27.5</v>
      </c>
      <c r="I356" s="179"/>
      <c r="J356" s="180">
        <f>ROUND(I356*H356,2)</f>
        <v>0</v>
      </c>
      <c r="K356" s="176" t="s">
        <v>134</v>
      </c>
      <c r="L356" s="40"/>
      <c r="M356" s="181" t="s">
        <v>19</v>
      </c>
      <c r="N356" s="182" t="s">
        <v>43</v>
      </c>
      <c r="O356" s="65"/>
      <c r="P356" s="183">
        <f>O356*H356</f>
        <v>0</v>
      </c>
      <c r="Q356" s="183">
        <v>0</v>
      </c>
      <c r="R356" s="183">
        <f>Q356*H356</f>
        <v>0</v>
      </c>
      <c r="S356" s="183">
        <v>3.5299999999999998E-2</v>
      </c>
      <c r="T356" s="184">
        <f>S356*H356</f>
        <v>0.97075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5" t="s">
        <v>230</v>
      </c>
      <c r="AT356" s="185" t="s">
        <v>130</v>
      </c>
      <c r="AU356" s="185" t="s">
        <v>82</v>
      </c>
      <c r="AY356" s="18" t="s">
        <v>128</v>
      </c>
      <c r="BE356" s="186">
        <f>IF(N356="základní",J356,0)</f>
        <v>0</v>
      </c>
      <c r="BF356" s="186">
        <f>IF(N356="snížená",J356,0)</f>
        <v>0</v>
      </c>
      <c r="BG356" s="186">
        <f>IF(N356="zákl. přenesená",J356,0)</f>
        <v>0</v>
      </c>
      <c r="BH356" s="186">
        <f>IF(N356="sníž. přenesená",J356,0)</f>
        <v>0</v>
      </c>
      <c r="BI356" s="186">
        <f>IF(N356="nulová",J356,0)</f>
        <v>0</v>
      </c>
      <c r="BJ356" s="18" t="s">
        <v>80</v>
      </c>
      <c r="BK356" s="186">
        <f>ROUND(I356*H356,2)</f>
        <v>0</v>
      </c>
      <c r="BL356" s="18" t="s">
        <v>230</v>
      </c>
      <c r="BM356" s="185" t="s">
        <v>616</v>
      </c>
    </row>
    <row r="357" spans="1:65" s="2" customFormat="1" ht="10">
      <c r="A357" s="35"/>
      <c r="B357" s="36"/>
      <c r="C357" s="37"/>
      <c r="D357" s="187" t="s">
        <v>137</v>
      </c>
      <c r="E357" s="37"/>
      <c r="F357" s="188" t="s">
        <v>617</v>
      </c>
      <c r="G357" s="37"/>
      <c r="H357" s="37"/>
      <c r="I357" s="189"/>
      <c r="J357" s="37"/>
      <c r="K357" s="37"/>
      <c r="L357" s="40"/>
      <c r="M357" s="190"/>
      <c r="N357" s="191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137</v>
      </c>
      <c r="AU357" s="18" t="s">
        <v>82</v>
      </c>
    </row>
    <row r="358" spans="1:65" s="13" customFormat="1" ht="10">
      <c r="B358" s="192"/>
      <c r="C358" s="193"/>
      <c r="D358" s="194" t="s">
        <v>139</v>
      </c>
      <c r="E358" s="195" t="s">
        <v>19</v>
      </c>
      <c r="F358" s="196" t="s">
        <v>618</v>
      </c>
      <c r="G358" s="193"/>
      <c r="H358" s="197">
        <v>27.5</v>
      </c>
      <c r="I358" s="198"/>
      <c r="J358" s="193"/>
      <c r="K358" s="193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139</v>
      </c>
      <c r="AU358" s="203" t="s">
        <v>82</v>
      </c>
      <c r="AV358" s="13" t="s">
        <v>82</v>
      </c>
      <c r="AW358" s="13" t="s">
        <v>34</v>
      </c>
      <c r="AX358" s="13" t="s">
        <v>80</v>
      </c>
      <c r="AY358" s="203" t="s">
        <v>128</v>
      </c>
    </row>
    <row r="359" spans="1:65" s="12" customFormat="1" ht="25.9" customHeight="1">
      <c r="B359" s="158"/>
      <c r="C359" s="159"/>
      <c r="D359" s="160" t="s">
        <v>71</v>
      </c>
      <c r="E359" s="161" t="s">
        <v>619</v>
      </c>
      <c r="F359" s="161" t="s">
        <v>87</v>
      </c>
      <c r="G359" s="159"/>
      <c r="H359" s="159"/>
      <c r="I359" s="162"/>
      <c r="J359" s="163">
        <f>BK359</f>
        <v>0</v>
      </c>
      <c r="K359" s="159"/>
      <c r="L359" s="164"/>
      <c r="M359" s="165"/>
      <c r="N359" s="166"/>
      <c r="O359" s="166"/>
      <c r="P359" s="167">
        <f>P360</f>
        <v>0</v>
      </c>
      <c r="Q359" s="166"/>
      <c r="R359" s="167">
        <f>R360</f>
        <v>0</v>
      </c>
      <c r="S359" s="166"/>
      <c r="T359" s="168">
        <f>T360</f>
        <v>0</v>
      </c>
      <c r="AR359" s="169" t="s">
        <v>160</v>
      </c>
      <c r="AT359" s="170" t="s">
        <v>71</v>
      </c>
      <c r="AU359" s="170" t="s">
        <v>72</v>
      </c>
      <c r="AY359" s="169" t="s">
        <v>128</v>
      </c>
      <c r="BK359" s="171">
        <f>BK360</f>
        <v>0</v>
      </c>
    </row>
    <row r="360" spans="1:65" s="12" customFormat="1" ht="22.75" customHeight="1">
      <c r="B360" s="158"/>
      <c r="C360" s="159"/>
      <c r="D360" s="160" t="s">
        <v>71</v>
      </c>
      <c r="E360" s="172" t="s">
        <v>620</v>
      </c>
      <c r="F360" s="172" t="s">
        <v>621</v>
      </c>
      <c r="G360" s="159"/>
      <c r="H360" s="159"/>
      <c r="I360" s="162"/>
      <c r="J360" s="173">
        <f>BK360</f>
        <v>0</v>
      </c>
      <c r="K360" s="159"/>
      <c r="L360" s="164"/>
      <c r="M360" s="165"/>
      <c r="N360" s="166"/>
      <c r="O360" s="166"/>
      <c r="P360" s="167">
        <f>SUM(P361:P362)</f>
        <v>0</v>
      </c>
      <c r="Q360" s="166"/>
      <c r="R360" s="167">
        <f>SUM(R361:R362)</f>
        <v>0</v>
      </c>
      <c r="S360" s="166"/>
      <c r="T360" s="168">
        <f>SUM(T361:T362)</f>
        <v>0</v>
      </c>
      <c r="AR360" s="169" t="s">
        <v>160</v>
      </c>
      <c r="AT360" s="170" t="s">
        <v>71</v>
      </c>
      <c r="AU360" s="170" t="s">
        <v>80</v>
      </c>
      <c r="AY360" s="169" t="s">
        <v>128</v>
      </c>
      <c r="BK360" s="171">
        <f>SUM(BK361:BK362)</f>
        <v>0</v>
      </c>
    </row>
    <row r="361" spans="1:65" s="2" customFormat="1" ht="16.5" customHeight="1">
      <c r="A361" s="35"/>
      <c r="B361" s="36"/>
      <c r="C361" s="174" t="s">
        <v>622</v>
      </c>
      <c r="D361" s="174" t="s">
        <v>130</v>
      </c>
      <c r="E361" s="175" t="s">
        <v>623</v>
      </c>
      <c r="F361" s="176" t="s">
        <v>624</v>
      </c>
      <c r="G361" s="177" t="s">
        <v>192</v>
      </c>
      <c r="H361" s="178">
        <v>1</v>
      </c>
      <c r="I361" s="179"/>
      <c r="J361" s="180">
        <f>ROUND(I361*H361,2)</f>
        <v>0</v>
      </c>
      <c r="K361" s="176" t="s">
        <v>134</v>
      </c>
      <c r="L361" s="40"/>
      <c r="M361" s="181" t="s">
        <v>19</v>
      </c>
      <c r="N361" s="182" t="s">
        <v>43</v>
      </c>
      <c r="O361" s="65"/>
      <c r="P361" s="183">
        <f>O361*H361</f>
        <v>0</v>
      </c>
      <c r="Q361" s="183">
        <v>0</v>
      </c>
      <c r="R361" s="183">
        <f>Q361*H361</f>
        <v>0</v>
      </c>
      <c r="S361" s="183">
        <v>0</v>
      </c>
      <c r="T361" s="184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5" t="s">
        <v>625</v>
      </c>
      <c r="AT361" s="185" t="s">
        <v>130</v>
      </c>
      <c r="AU361" s="185" t="s">
        <v>82</v>
      </c>
      <c r="AY361" s="18" t="s">
        <v>128</v>
      </c>
      <c r="BE361" s="186">
        <f>IF(N361="základní",J361,0)</f>
        <v>0</v>
      </c>
      <c r="BF361" s="186">
        <f>IF(N361="snížená",J361,0)</f>
        <v>0</v>
      </c>
      <c r="BG361" s="186">
        <f>IF(N361="zákl. přenesená",J361,0)</f>
        <v>0</v>
      </c>
      <c r="BH361" s="186">
        <f>IF(N361="sníž. přenesená",J361,0)</f>
        <v>0</v>
      </c>
      <c r="BI361" s="186">
        <f>IF(N361="nulová",J361,0)</f>
        <v>0</v>
      </c>
      <c r="BJ361" s="18" t="s">
        <v>80</v>
      </c>
      <c r="BK361" s="186">
        <f>ROUND(I361*H361,2)</f>
        <v>0</v>
      </c>
      <c r="BL361" s="18" t="s">
        <v>625</v>
      </c>
      <c r="BM361" s="185" t="s">
        <v>626</v>
      </c>
    </row>
    <row r="362" spans="1:65" s="2" customFormat="1" ht="10">
      <c r="A362" s="35"/>
      <c r="B362" s="36"/>
      <c r="C362" s="37"/>
      <c r="D362" s="187" t="s">
        <v>137</v>
      </c>
      <c r="E362" s="37"/>
      <c r="F362" s="188" t="s">
        <v>627</v>
      </c>
      <c r="G362" s="37"/>
      <c r="H362" s="37"/>
      <c r="I362" s="189"/>
      <c r="J362" s="37"/>
      <c r="K362" s="37"/>
      <c r="L362" s="40"/>
      <c r="M362" s="226"/>
      <c r="N362" s="227"/>
      <c r="O362" s="228"/>
      <c r="P362" s="228"/>
      <c r="Q362" s="228"/>
      <c r="R362" s="228"/>
      <c r="S362" s="228"/>
      <c r="T362" s="229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137</v>
      </c>
      <c r="AU362" s="18" t="s">
        <v>82</v>
      </c>
    </row>
    <row r="363" spans="1:65" s="2" customFormat="1" ht="7" customHeight="1">
      <c r="A363" s="35"/>
      <c r="B363" s="48"/>
      <c r="C363" s="49"/>
      <c r="D363" s="49"/>
      <c r="E363" s="49"/>
      <c r="F363" s="49"/>
      <c r="G363" s="49"/>
      <c r="H363" s="49"/>
      <c r="I363" s="49"/>
      <c r="J363" s="49"/>
      <c r="K363" s="49"/>
      <c r="L363" s="40"/>
      <c r="M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</row>
  </sheetData>
  <sheetProtection algorithmName="SHA-512" hashValue="2A79/KtMK3xKcXL1ilvH8Xv9y3EIktvxmzeFRrZBVZz4UzI7wPMocl9DiGZxYRRGkoW0oh0xF2QILDg/ol8GFA==" saltValue="WuY6BBDq3KdxEF7Rl1wySS/60dC2gV9CfhN37coP+H1XIGNAIAn+ot/zvX4/Tfv0itIkPAvrK0etZvAdhwdgig==" spinCount="100000" sheet="1" objects="1" scenarios="1" formatColumns="0" formatRows="0" autoFilter="0"/>
  <autoFilter ref="C95:K362" xr:uid="{00000000-0009-0000-0000-000001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100-000000000000}"/>
    <hyperlink ref="F103" r:id="rId2" xr:uid="{00000000-0004-0000-0100-000001000000}"/>
    <hyperlink ref="F106" r:id="rId3" xr:uid="{00000000-0004-0000-0100-000002000000}"/>
    <hyperlink ref="F111" r:id="rId4" xr:uid="{00000000-0004-0000-0100-000003000000}"/>
    <hyperlink ref="F117" r:id="rId5" xr:uid="{00000000-0004-0000-0100-000004000000}"/>
    <hyperlink ref="F120" r:id="rId6" xr:uid="{00000000-0004-0000-0100-000005000000}"/>
    <hyperlink ref="F126" r:id="rId7" xr:uid="{00000000-0004-0000-0100-000006000000}"/>
    <hyperlink ref="F129" r:id="rId8" xr:uid="{00000000-0004-0000-0100-000007000000}"/>
    <hyperlink ref="F131" r:id="rId9" xr:uid="{00000000-0004-0000-0100-000008000000}"/>
    <hyperlink ref="F136" r:id="rId10" xr:uid="{00000000-0004-0000-0100-000009000000}"/>
    <hyperlink ref="F139" r:id="rId11" xr:uid="{00000000-0004-0000-0100-00000A000000}"/>
    <hyperlink ref="F142" r:id="rId12" xr:uid="{00000000-0004-0000-0100-00000B000000}"/>
    <hyperlink ref="F144" r:id="rId13" xr:uid="{00000000-0004-0000-0100-00000C000000}"/>
    <hyperlink ref="F147" r:id="rId14" xr:uid="{00000000-0004-0000-0100-00000D000000}"/>
    <hyperlink ref="F152" r:id="rId15" xr:uid="{00000000-0004-0000-0100-00000E000000}"/>
    <hyperlink ref="F155" r:id="rId16" xr:uid="{00000000-0004-0000-0100-00000F000000}"/>
    <hyperlink ref="F158" r:id="rId17" xr:uid="{00000000-0004-0000-0100-000010000000}"/>
    <hyperlink ref="F161" r:id="rId18" xr:uid="{00000000-0004-0000-0100-000011000000}"/>
    <hyperlink ref="F166" r:id="rId19" xr:uid="{00000000-0004-0000-0100-000012000000}"/>
    <hyperlink ref="F169" r:id="rId20" xr:uid="{00000000-0004-0000-0100-000013000000}"/>
    <hyperlink ref="F172" r:id="rId21" xr:uid="{00000000-0004-0000-0100-000014000000}"/>
    <hyperlink ref="F177" r:id="rId22" xr:uid="{00000000-0004-0000-0100-000015000000}"/>
    <hyperlink ref="F180" r:id="rId23" xr:uid="{00000000-0004-0000-0100-000016000000}"/>
    <hyperlink ref="F186" r:id="rId24" xr:uid="{00000000-0004-0000-0100-000017000000}"/>
    <hyperlink ref="F189" r:id="rId25" xr:uid="{00000000-0004-0000-0100-000018000000}"/>
    <hyperlink ref="F192" r:id="rId26" xr:uid="{00000000-0004-0000-0100-000019000000}"/>
    <hyperlink ref="F198" r:id="rId27" xr:uid="{00000000-0004-0000-0100-00001A000000}"/>
    <hyperlink ref="F204" r:id="rId28" xr:uid="{00000000-0004-0000-0100-00001B000000}"/>
    <hyperlink ref="F207" r:id="rId29" xr:uid="{00000000-0004-0000-0100-00001C000000}"/>
    <hyperlink ref="F210" r:id="rId30" xr:uid="{00000000-0004-0000-0100-00001D000000}"/>
    <hyperlink ref="F212" r:id="rId31" xr:uid="{00000000-0004-0000-0100-00001E000000}"/>
    <hyperlink ref="F215" r:id="rId32" xr:uid="{00000000-0004-0000-0100-00001F000000}"/>
    <hyperlink ref="F218" r:id="rId33" xr:uid="{00000000-0004-0000-0100-000020000000}"/>
    <hyperlink ref="F220" r:id="rId34" xr:uid="{00000000-0004-0000-0100-000021000000}"/>
    <hyperlink ref="F223" r:id="rId35" xr:uid="{00000000-0004-0000-0100-000022000000}"/>
    <hyperlink ref="F226" r:id="rId36" xr:uid="{00000000-0004-0000-0100-000023000000}"/>
    <hyperlink ref="F230" r:id="rId37" xr:uid="{00000000-0004-0000-0100-000024000000}"/>
    <hyperlink ref="F232" r:id="rId38" xr:uid="{00000000-0004-0000-0100-000025000000}"/>
    <hyperlink ref="F234" r:id="rId39" xr:uid="{00000000-0004-0000-0100-000026000000}"/>
    <hyperlink ref="F237" r:id="rId40" xr:uid="{00000000-0004-0000-0100-000027000000}"/>
    <hyperlink ref="F239" r:id="rId41" xr:uid="{00000000-0004-0000-0100-000028000000}"/>
    <hyperlink ref="F242" r:id="rId42" xr:uid="{00000000-0004-0000-0100-000029000000}"/>
    <hyperlink ref="F246" r:id="rId43" xr:uid="{00000000-0004-0000-0100-00002A000000}"/>
    <hyperlink ref="F249" r:id="rId44" xr:uid="{00000000-0004-0000-0100-00002B000000}"/>
    <hyperlink ref="F255" r:id="rId45" xr:uid="{00000000-0004-0000-0100-00002C000000}"/>
    <hyperlink ref="F267" r:id="rId46" xr:uid="{00000000-0004-0000-0100-00002D000000}"/>
    <hyperlink ref="F272" r:id="rId47" xr:uid="{00000000-0004-0000-0100-00002E000000}"/>
    <hyperlink ref="F275" r:id="rId48" xr:uid="{00000000-0004-0000-0100-00002F000000}"/>
    <hyperlink ref="F278" r:id="rId49" xr:uid="{00000000-0004-0000-0100-000030000000}"/>
    <hyperlink ref="F283" r:id="rId50" xr:uid="{00000000-0004-0000-0100-000031000000}"/>
    <hyperlink ref="F286" r:id="rId51" xr:uid="{00000000-0004-0000-0100-000032000000}"/>
    <hyperlink ref="F289" r:id="rId52" xr:uid="{00000000-0004-0000-0100-000033000000}"/>
    <hyperlink ref="F293" r:id="rId53" xr:uid="{00000000-0004-0000-0100-000034000000}"/>
    <hyperlink ref="F296" r:id="rId54" xr:uid="{00000000-0004-0000-0100-000035000000}"/>
    <hyperlink ref="F299" r:id="rId55" xr:uid="{00000000-0004-0000-0100-000036000000}"/>
    <hyperlink ref="F305" r:id="rId56" xr:uid="{00000000-0004-0000-0100-000037000000}"/>
    <hyperlink ref="F311" r:id="rId57" xr:uid="{00000000-0004-0000-0100-000038000000}"/>
    <hyperlink ref="F314" r:id="rId58" xr:uid="{00000000-0004-0000-0100-000039000000}"/>
    <hyperlink ref="F317" r:id="rId59" xr:uid="{00000000-0004-0000-0100-00003A000000}"/>
    <hyperlink ref="F320" r:id="rId60" xr:uid="{00000000-0004-0000-0100-00003B000000}"/>
    <hyperlink ref="F323" r:id="rId61" xr:uid="{00000000-0004-0000-0100-00003C000000}"/>
    <hyperlink ref="F329" r:id="rId62" xr:uid="{00000000-0004-0000-0100-00003D000000}"/>
    <hyperlink ref="F332" r:id="rId63" xr:uid="{00000000-0004-0000-0100-00003E000000}"/>
    <hyperlink ref="F334" r:id="rId64" xr:uid="{00000000-0004-0000-0100-00003F000000}"/>
    <hyperlink ref="F337" r:id="rId65" xr:uid="{00000000-0004-0000-0100-000040000000}"/>
    <hyperlink ref="F339" r:id="rId66" xr:uid="{00000000-0004-0000-0100-000041000000}"/>
    <hyperlink ref="F345" r:id="rId67" xr:uid="{00000000-0004-0000-0100-000042000000}"/>
    <hyperlink ref="F350" r:id="rId68" xr:uid="{00000000-0004-0000-0100-000043000000}"/>
    <hyperlink ref="F353" r:id="rId69" xr:uid="{00000000-0004-0000-0100-000044000000}"/>
    <hyperlink ref="F357" r:id="rId70" xr:uid="{00000000-0004-0000-0100-000045000000}"/>
    <hyperlink ref="F362" r:id="rId71" xr:uid="{00000000-0004-0000-0100-00004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01"/>
  <sheetViews>
    <sheetView showGridLines="0" tabSelected="1" workbookViewId="0">
      <selection activeCell="I877" sqref="I877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85</v>
      </c>
    </row>
    <row r="3" spans="1:4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5" customHeight="1">
      <c r="B4" s="21"/>
      <c r="D4" s="104" t="s">
        <v>89</v>
      </c>
      <c r="L4" s="21"/>
      <c r="M4" s="105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gymnáziu Hostivice - rekonstrukce gymnázia II.etapa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90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628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9. 12. 2022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32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33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33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ROUND(J111,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17" t="s">
        <v>42</v>
      </c>
      <c r="E33" s="106" t="s">
        <v>43</v>
      </c>
      <c r="F33" s="118">
        <f>ROUND((SUM(BE111:BE1300)),  2)</f>
        <v>0</v>
      </c>
      <c r="G33" s="35"/>
      <c r="H33" s="35"/>
      <c r="I33" s="119">
        <v>0.21</v>
      </c>
      <c r="J33" s="118">
        <f>ROUND(((SUM(BE111:BE1300))*I33),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06" t="s">
        <v>44</v>
      </c>
      <c r="F34" s="118">
        <f>ROUND((SUM(BF111:BF1300)),  2)</f>
        <v>0</v>
      </c>
      <c r="G34" s="35"/>
      <c r="H34" s="35"/>
      <c r="I34" s="119">
        <v>0.15</v>
      </c>
      <c r="J34" s="118">
        <f>ROUND(((SUM(BF111:BF1300))*I34),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45</v>
      </c>
      <c r="F35" s="118">
        <f>ROUND((SUM(BG111:BG1300)),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46</v>
      </c>
      <c r="F36" s="118">
        <f>ROUND((SUM(BH111:BH1300)),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47</v>
      </c>
      <c r="F37" s="118">
        <f>ROUND((SUM(BI111:BI1300)),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gymnáziu Hostivice - rekonstrukce gymnázia II.etapa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5" t="str">
        <f>E9</f>
        <v>02 - Nové konstrukce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Gymnázium Hostivice, Komenského 141</v>
      </c>
      <c r="G52" s="37"/>
      <c r="H52" s="37"/>
      <c r="I52" s="30" t="s">
        <v>23</v>
      </c>
      <c r="J52" s="60" t="str">
        <f>IF(J12="","",J12)</f>
        <v>9. 12. 2022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15" customHeight="1">
      <c r="A54" s="35"/>
      <c r="B54" s="36"/>
      <c r="C54" s="30" t="s">
        <v>25</v>
      </c>
      <c r="D54" s="37"/>
      <c r="E54" s="37"/>
      <c r="F54" s="28" t="str">
        <f>E15</f>
        <v>Středočeský kraj, Zborovská 81/11, Praha 5</v>
      </c>
      <c r="G54" s="37"/>
      <c r="H54" s="37"/>
      <c r="I54" s="30" t="s">
        <v>31</v>
      </c>
      <c r="J54" s="33" t="str">
        <f>E21</f>
        <v>Ing. Petr Petele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Petr Petele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2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93</v>
      </c>
      <c r="D57" s="132"/>
      <c r="E57" s="132"/>
      <c r="F57" s="132"/>
      <c r="G57" s="132"/>
      <c r="H57" s="132"/>
      <c r="I57" s="132"/>
      <c r="J57" s="133" t="s">
        <v>94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2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75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J111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5" customHeight="1">
      <c r="B60" s="135"/>
      <c r="C60" s="136"/>
      <c r="D60" s="137" t="s">
        <v>96</v>
      </c>
      <c r="E60" s="138"/>
      <c r="F60" s="138"/>
      <c r="G60" s="138"/>
      <c r="H60" s="138"/>
      <c r="I60" s="138"/>
      <c r="J60" s="139">
        <f>J112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629</v>
      </c>
      <c r="E61" s="144"/>
      <c r="F61" s="144"/>
      <c r="G61" s="144"/>
      <c r="H61" s="144"/>
      <c r="I61" s="144"/>
      <c r="J61" s="145">
        <f>J113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630</v>
      </c>
      <c r="E62" s="144"/>
      <c r="F62" s="144"/>
      <c r="G62" s="144"/>
      <c r="H62" s="144"/>
      <c r="I62" s="144"/>
      <c r="J62" s="145">
        <f>J145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631</v>
      </c>
      <c r="E63" s="144"/>
      <c r="F63" s="144"/>
      <c r="G63" s="144"/>
      <c r="H63" s="144"/>
      <c r="I63" s="144"/>
      <c r="J63" s="145">
        <f>J183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632</v>
      </c>
      <c r="E64" s="144"/>
      <c r="F64" s="144"/>
      <c r="G64" s="144"/>
      <c r="H64" s="144"/>
      <c r="I64" s="144"/>
      <c r="J64" s="145">
        <f>J232</f>
        <v>0</v>
      </c>
      <c r="K64" s="142"/>
      <c r="L64" s="146"/>
    </row>
    <row r="65" spans="2:12" s="10" customFormat="1" ht="19.899999999999999" customHeight="1">
      <c r="B65" s="141"/>
      <c r="C65" s="142"/>
      <c r="D65" s="143" t="s">
        <v>633</v>
      </c>
      <c r="E65" s="144"/>
      <c r="F65" s="144"/>
      <c r="G65" s="144"/>
      <c r="H65" s="144"/>
      <c r="I65" s="144"/>
      <c r="J65" s="145">
        <f>J241</f>
        <v>0</v>
      </c>
      <c r="K65" s="142"/>
      <c r="L65" s="146"/>
    </row>
    <row r="66" spans="2:12" s="10" customFormat="1" ht="19.899999999999999" customHeight="1">
      <c r="B66" s="141"/>
      <c r="C66" s="142"/>
      <c r="D66" s="143" t="s">
        <v>98</v>
      </c>
      <c r="E66" s="144"/>
      <c r="F66" s="144"/>
      <c r="G66" s="144"/>
      <c r="H66" s="144"/>
      <c r="I66" s="144"/>
      <c r="J66" s="145">
        <f>J359</f>
        <v>0</v>
      </c>
      <c r="K66" s="142"/>
      <c r="L66" s="146"/>
    </row>
    <row r="67" spans="2:12" s="10" customFormat="1" ht="19.899999999999999" customHeight="1">
      <c r="B67" s="141"/>
      <c r="C67" s="142"/>
      <c r="D67" s="143" t="s">
        <v>99</v>
      </c>
      <c r="E67" s="144"/>
      <c r="F67" s="144"/>
      <c r="G67" s="144"/>
      <c r="H67" s="144"/>
      <c r="I67" s="144"/>
      <c r="J67" s="145">
        <f>J405</f>
        <v>0</v>
      </c>
      <c r="K67" s="142"/>
      <c r="L67" s="146"/>
    </row>
    <row r="68" spans="2:12" s="10" customFormat="1" ht="19.899999999999999" customHeight="1">
      <c r="B68" s="141"/>
      <c r="C68" s="142"/>
      <c r="D68" s="143" t="s">
        <v>634</v>
      </c>
      <c r="E68" s="144"/>
      <c r="F68" s="144"/>
      <c r="G68" s="144"/>
      <c r="H68" s="144"/>
      <c r="I68" s="144"/>
      <c r="J68" s="145">
        <f>J415</f>
        <v>0</v>
      </c>
      <c r="K68" s="142"/>
      <c r="L68" s="146"/>
    </row>
    <row r="69" spans="2:12" s="9" customFormat="1" ht="25" customHeight="1">
      <c r="B69" s="135"/>
      <c r="C69" s="136"/>
      <c r="D69" s="137" t="s">
        <v>100</v>
      </c>
      <c r="E69" s="138"/>
      <c r="F69" s="138"/>
      <c r="G69" s="138"/>
      <c r="H69" s="138"/>
      <c r="I69" s="138"/>
      <c r="J69" s="139">
        <f>J418</f>
        <v>0</v>
      </c>
      <c r="K69" s="136"/>
      <c r="L69" s="140"/>
    </row>
    <row r="70" spans="2:12" s="10" customFormat="1" ht="19.899999999999999" customHeight="1">
      <c r="B70" s="141"/>
      <c r="C70" s="142"/>
      <c r="D70" s="143" t="s">
        <v>635</v>
      </c>
      <c r="E70" s="144"/>
      <c r="F70" s="144"/>
      <c r="G70" s="144"/>
      <c r="H70" s="144"/>
      <c r="I70" s="144"/>
      <c r="J70" s="145">
        <f>J419</f>
        <v>0</v>
      </c>
      <c r="K70" s="142"/>
      <c r="L70" s="146"/>
    </row>
    <row r="71" spans="2:12" s="10" customFormat="1" ht="19.899999999999999" customHeight="1">
      <c r="B71" s="141"/>
      <c r="C71" s="142"/>
      <c r="D71" s="143" t="s">
        <v>636</v>
      </c>
      <c r="E71" s="144"/>
      <c r="F71" s="144"/>
      <c r="G71" s="144"/>
      <c r="H71" s="144"/>
      <c r="I71" s="144"/>
      <c r="J71" s="145">
        <f>J432</f>
        <v>0</v>
      </c>
      <c r="K71" s="142"/>
      <c r="L71" s="146"/>
    </row>
    <row r="72" spans="2:12" s="10" customFormat="1" ht="19.899999999999999" customHeight="1">
      <c r="B72" s="141"/>
      <c r="C72" s="142"/>
      <c r="D72" s="143" t="s">
        <v>102</v>
      </c>
      <c r="E72" s="144"/>
      <c r="F72" s="144"/>
      <c r="G72" s="144"/>
      <c r="H72" s="144"/>
      <c r="I72" s="144"/>
      <c r="J72" s="145">
        <f>J487</f>
        <v>0</v>
      </c>
      <c r="K72" s="142"/>
      <c r="L72" s="146"/>
    </row>
    <row r="73" spans="2:12" s="10" customFormat="1" ht="19.899999999999999" customHeight="1">
      <c r="B73" s="141"/>
      <c r="C73" s="142"/>
      <c r="D73" s="143" t="s">
        <v>103</v>
      </c>
      <c r="E73" s="144"/>
      <c r="F73" s="144"/>
      <c r="G73" s="144"/>
      <c r="H73" s="144"/>
      <c r="I73" s="144"/>
      <c r="J73" s="145">
        <f>J491</f>
        <v>0</v>
      </c>
      <c r="K73" s="142"/>
      <c r="L73" s="146"/>
    </row>
    <row r="74" spans="2:12" s="10" customFormat="1" ht="19.899999999999999" customHeight="1">
      <c r="B74" s="141"/>
      <c r="C74" s="142"/>
      <c r="D74" s="143" t="s">
        <v>637</v>
      </c>
      <c r="E74" s="144"/>
      <c r="F74" s="144"/>
      <c r="G74" s="144"/>
      <c r="H74" s="144"/>
      <c r="I74" s="144"/>
      <c r="J74" s="145">
        <f>J494</f>
        <v>0</v>
      </c>
      <c r="K74" s="142"/>
      <c r="L74" s="146"/>
    </row>
    <row r="75" spans="2:12" s="10" customFormat="1" ht="19.899999999999999" customHeight="1">
      <c r="B75" s="141"/>
      <c r="C75" s="142"/>
      <c r="D75" s="143" t="s">
        <v>105</v>
      </c>
      <c r="E75" s="144"/>
      <c r="F75" s="144"/>
      <c r="G75" s="144"/>
      <c r="H75" s="144"/>
      <c r="I75" s="144"/>
      <c r="J75" s="145">
        <f>J499</f>
        <v>0</v>
      </c>
      <c r="K75" s="142"/>
      <c r="L75" s="146"/>
    </row>
    <row r="76" spans="2:12" s="10" customFormat="1" ht="19.899999999999999" customHeight="1">
      <c r="B76" s="141"/>
      <c r="C76" s="142"/>
      <c r="D76" s="143" t="s">
        <v>106</v>
      </c>
      <c r="E76" s="144"/>
      <c r="F76" s="144"/>
      <c r="G76" s="144"/>
      <c r="H76" s="144"/>
      <c r="I76" s="144"/>
      <c r="J76" s="145">
        <f>J503</f>
        <v>0</v>
      </c>
      <c r="K76" s="142"/>
      <c r="L76" s="146"/>
    </row>
    <row r="77" spans="2:12" s="10" customFormat="1" ht="19.899999999999999" customHeight="1">
      <c r="B77" s="141"/>
      <c r="C77" s="142"/>
      <c r="D77" s="143" t="s">
        <v>638</v>
      </c>
      <c r="E77" s="144"/>
      <c r="F77" s="144"/>
      <c r="G77" s="144"/>
      <c r="H77" s="144"/>
      <c r="I77" s="144"/>
      <c r="J77" s="145">
        <f>J615</f>
        <v>0</v>
      </c>
      <c r="K77" s="142"/>
      <c r="L77" s="146"/>
    </row>
    <row r="78" spans="2:12" s="10" customFormat="1" ht="19.899999999999999" customHeight="1">
      <c r="B78" s="141"/>
      <c r="C78" s="142"/>
      <c r="D78" s="143" t="s">
        <v>107</v>
      </c>
      <c r="E78" s="144"/>
      <c r="F78" s="144"/>
      <c r="G78" s="144"/>
      <c r="H78" s="144"/>
      <c r="I78" s="144"/>
      <c r="J78" s="145">
        <f>J687</f>
        <v>0</v>
      </c>
      <c r="K78" s="142"/>
      <c r="L78" s="146"/>
    </row>
    <row r="79" spans="2:12" s="10" customFormat="1" ht="19.899999999999999" customHeight="1">
      <c r="B79" s="141"/>
      <c r="C79" s="142"/>
      <c r="D79" s="143" t="s">
        <v>108</v>
      </c>
      <c r="E79" s="144"/>
      <c r="F79" s="144"/>
      <c r="G79" s="144"/>
      <c r="H79" s="144"/>
      <c r="I79" s="144"/>
      <c r="J79" s="145">
        <f>J750</f>
        <v>0</v>
      </c>
      <c r="K79" s="142"/>
      <c r="L79" s="146"/>
    </row>
    <row r="80" spans="2:12" s="10" customFormat="1" ht="19.899999999999999" customHeight="1">
      <c r="B80" s="141"/>
      <c r="C80" s="142"/>
      <c r="D80" s="143" t="s">
        <v>109</v>
      </c>
      <c r="E80" s="144"/>
      <c r="F80" s="144"/>
      <c r="G80" s="144"/>
      <c r="H80" s="144"/>
      <c r="I80" s="144"/>
      <c r="J80" s="145">
        <f>J833</f>
        <v>0</v>
      </c>
      <c r="K80" s="142"/>
      <c r="L80" s="146"/>
    </row>
    <row r="81" spans="1:31" s="10" customFormat="1" ht="19.899999999999999" customHeight="1">
      <c r="B81" s="141"/>
      <c r="C81" s="142"/>
      <c r="D81" s="143" t="s">
        <v>639</v>
      </c>
      <c r="E81" s="144"/>
      <c r="F81" s="144"/>
      <c r="G81" s="144"/>
      <c r="H81" s="144"/>
      <c r="I81" s="144"/>
      <c r="J81" s="145">
        <f>J895</f>
        <v>0</v>
      </c>
      <c r="K81" s="142"/>
      <c r="L81" s="146"/>
    </row>
    <row r="82" spans="1:31" s="10" customFormat="1" ht="19.899999999999999" customHeight="1">
      <c r="B82" s="141"/>
      <c r="C82" s="142"/>
      <c r="D82" s="143" t="s">
        <v>110</v>
      </c>
      <c r="E82" s="144"/>
      <c r="F82" s="144"/>
      <c r="G82" s="144"/>
      <c r="H82" s="144"/>
      <c r="I82" s="144"/>
      <c r="J82" s="145">
        <f>J1003</f>
        <v>0</v>
      </c>
      <c r="K82" s="142"/>
      <c r="L82" s="146"/>
    </row>
    <row r="83" spans="1:31" s="10" customFormat="1" ht="19.899999999999999" customHeight="1">
      <c r="B83" s="141"/>
      <c r="C83" s="142"/>
      <c r="D83" s="143" t="s">
        <v>640</v>
      </c>
      <c r="E83" s="144"/>
      <c r="F83" s="144"/>
      <c r="G83" s="144"/>
      <c r="H83" s="144"/>
      <c r="I83" s="144"/>
      <c r="J83" s="145">
        <f>J1100</f>
        <v>0</v>
      </c>
      <c r="K83" s="142"/>
      <c r="L83" s="146"/>
    </row>
    <row r="84" spans="1:31" s="10" customFormat="1" ht="19.899999999999999" customHeight="1">
      <c r="B84" s="141"/>
      <c r="C84" s="142"/>
      <c r="D84" s="143" t="s">
        <v>641</v>
      </c>
      <c r="E84" s="144"/>
      <c r="F84" s="144"/>
      <c r="G84" s="144"/>
      <c r="H84" s="144"/>
      <c r="I84" s="144"/>
      <c r="J84" s="145">
        <f>J1125</f>
        <v>0</v>
      </c>
      <c r="K84" s="142"/>
      <c r="L84" s="146"/>
    </row>
    <row r="85" spans="1:31" s="10" customFormat="1" ht="19.899999999999999" customHeight="1">
      <c r="B85" s="141"/>
      <c r="C85" s="142"/>
      <c r="D85" s="143" t="s">
        <v>642</v>
      </c>
      <c r="E85" s="144"/>
      <c r="F85" s="144"/>
      <c r="G85" s="144"/>
      <c r="H85" s="144"/>
      <c r="I85" s="144"/>
      <c r="J85" s="145">
        <f>J1143</f>
        <v>0</v>
      </c>
      <c r="K85" s="142"/>
      <c r="L85" s="146"/>
    </row>
    <row r="86" spans="1:31" s="10" customFormat="1" ht="19.899999999999999" customHeight="1">
      <c r="B86" s="141"/>
      <c r="C86" s="142"/>
      <c r="D86" s="143" t="s">
        <v>643</v>
      </c>
      <c r="E86" s="144"/>
      <c r="F86" s="144"/>
      <c r="G86" s="144"/>
      <c r="H86" s="144"/>
      <c r="I86" s="144"/>
      <c r="J86" s="145">
        <f>J1181</f>
        <v>0</v>
      </c>
      <c r="K86" s="142"/>
      <c r="L86" s="146"/>
    </row>
    <row r="87" spans="1:31" s="10" customFormat="1" ht="19.899999999999999" customHeight="1">
      <c r="B87" s="141"/>
      <c r="C87" s="142"/>
      <c r="D87" s="143" t="s">
        <v>644</v>
      </c>
      <c r="E87" s="144"/>
      <c r="F87" s="144"/>
      <c r="G87" s="144"/>
      <c r="H87" s="144"/>
      <c r="I87" s="144"/>
      <c r="J87" s="145">
        <f>J1189</f>
        <v>0</v>
      </c>
      <c r="K87" s="142"/>
      <c r="L87" s="146"/>
    </row>
    <row r="88" spans="1:31" s="10" customFormat="1" ht="19.899999999999999" customHeight="1">
      <c r="B88" s="141"/>
      <c r="C88" s="142"/>
      <c r="D88" s="143" t="s">
        <v>645</v>
      </c>
      <c r="E88" s="144"/>
      <c r="F88" s="144"/>
      <c r="G88" s="144"/>
      <c r="H88" s="144"/>
      <c r="I88" s="144"/>
      <c r="J88" s="145">
        <f>J1229</f>
        <v>0</v>
      </c>
      <c r="K88" s="142"/>
      <c r="L88" s="146"/>
    </row>
    <row r="89" spans="1:31" s="10" customFormat="1" ht="19.899999999999999" customHeight="1">
      <c r="B89" s="141"/>
      <c r="C89" s="142"/>
      <c r="D89" s="143" t="s">
        <v>646</v>
      </c>
      <c r="E89" s="144"/>
      <c r="F89" s="144"/>
      <c r="G89" s="144"/>
      <c r="H89" s="144"/>
      <c r="I89" s="144"/>
      <c r="J89" s="145">
        <f>J1281</f>
        <v>0</v>
      </c>
      <c r="K89" s="142"/>
      <c r="L89" s="146"/>
    </row>
    <row r="90" spans="1:31" s="9" customFormat="1" ht="25" customHeight="1">
      <c r="B90" s="135"/>
      <c r="C90" s="136"/>
      <c r="D90" s="137" t="s">
        <v>647</v>
      </c>
      <c r="E90" s="138"/>
      <c r="F90" s="138"/>
      <c r="G90" s="138"/>
      <c r="H90" s="138"/>
      <c r="I90" s="138"/>
      <c r="J90" s="139">
        <f>J1292</f>
        <v>0</v>
      </c>
      <c r="K90" s="136"/>
      <c r="L90" s="140"/>
    </row>
    <row r="91" spans="1:31" s="9" customFormat="1" ht="25" customHeight="1">
      <c r="B91" s="135"/>
      <c r="C91" s="136"/>
      <c r="D91" s="137" t="s">
        <v>648</v>
      </c>
      <c r="E91" s="138"/>
      <c r="F91" s="138"/>
      <c r="G91" s="138"/>
      <c r="H91" s="138"/>
      <c r="I91" s="138"/>
      <c r="J91" s="139">
        <f>J1296</f>
        <v>0</v>
      </c>
      <c r="K91" s="136"/>
      <c r="L91" s="140"/>
    </row>
    <row r="92" spans="1:31" s="2" customFormat="1" ht="21.7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7" customHeight="1">
      <c r="A93" s="35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7" spans="1:63" s="2" customFormat="1" ht="7" customHeight="1">
      <c r="A97" s="35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3" s="2" customFormat="1" ht="25" customHeight="1">
      <c r="A98" s="35"/>
      <c r="B98" s="36"/>
      <c r="C98" s="24" t="s">
        <v>113</v>
      </c>
      <c r="D98" s="37"/>
      <c r="E98" s="37"/>
      <c r="F98" s="37"/>
      <c r="G98" s="37"/>
      <c r="H98" s="37"/>
      <c r="I98" s="37"/>
      <c r="J98" s="37"/>
      <c r="K98" s="37"/>
      <c r="L98" s="10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3" s="2" customFormat="1" ht="7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107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3" s="2" customFormat="1" ht="12" customHeight="1">
      <c r="A100" s="35"/>
      <c r="B100" s="36"/>
      <c r="C100" s="30" t="s">
        <v>16</v>
      </c>
      <c r="D100" s="37"/>
      <c r="E100" s="37"/>
      <c r="F100" s="37"/>
      <c r="G100" s="37"/>
      <c r="H100" s="37"/>
      <c r="I100" s="37"/>
      <c r="J100" s="37"/>
      <c r="K100" s="37"/>
      <c r="L100" s="107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3" s="2" customFormat="1" ht="16.5" customHeight="1">
      <c r="A101" s="35"/>
      <c r="B101" s="36"/>
      <c r="C101" s="37"/>
      <c r="D101" s="37"/>
      <c r="E101" s="373" t="str">
        <f>E7</f>
        <v>gymnáziu Hostivice - rekonstrukce gymnázia II.etapa</v>
      </c>
      <c r="F101" s="374"/>
      <c r="G101" s="374"/>
      <c r="H101" s="374"/>
      <c r="I101" s="37"/>
      <c r="J101" s="37"/>
      <c r="K101" s="37"/>
      <c r="L101" s="107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3" s="2" customFormat="1" ht="12" customHeight="1">
      <c r="A102" s="35"/>
      <c r="B102" s="36"/>
      <c r="C102" s="30" t="s">
        <v>90</v>
      </c>
      <c r="D102" s="37"/>
      <c r="E102" s="37"/>
      <c r="F102" s="37"/>
      <c r="G102" s="37"/>
      <c r="H102" s="37"/>
      <c r="I102" s="37"/>
      <c r="J102" s="37"/>
      <c r="K102" s="37"/>
      <c r="L102" s="107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3" s="2" customFormat="1" ht="16.5" customHeight="1">
      <c r="A103" s="35"/>
      <c r="B103" s="36"/>
      <c r="C103" s="37"/>
      <c r="D103" s="37"/>
      <c r="E103" s="345" t="str">
        <f>E9</f>
        <v>02 - Nové konstrukce</v>
      </c>
      <c r="F103" s="375"/>
      <c r="G103" s="375"/>
      <c r="H103" s="375"/>
      <c r="I103" s="37"/>
      <c r="J103" s="37"/>
      <c r="K103" s="37"/>
      <c r="L103" s="107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3" s="2" customFormat="1" ht="7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107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3" s="2" customFormat="1" ht="12" customHeight="1">
      <c r="A105" s="35"/>
      <c r="B105" s="36"/>
      <c r="C105" s="30" t="s">
        <v>21</v>
      </c>
      <c r="D105" s="37"/>
      <c r="E105" s="37"/>
      <c r="F105" s="28" t="str">
        <f>F12</f>
        <v>Gymnázium Hostivice, Komenského 141</v>
      </c>
      <c r="G105" s="37"/>
      <c r="H105" s="37"/>
      <c r="I105" s="30" t="s">
        <v>23</v>
      </c>
      <c r="J105" s="60" t="str">
        <f>IF(J12="","",J12)</f>
        <v>9. 12. 2022</v>
      </c>
      <c r="K105" s="37"/>
      <c r="L105" s="107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3" s="2" customFormat="1" ht="7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107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3" s="2" customFormat="1" ht="15.15" customHeight="1">
      <c r="A107" s="35"/>
      <c r="B107" s="36"/>
      <c r="C107" s="30" t="s">
        <v>25</v>
      </c>
      <c r="D107" s="37"/>
      <c r="E107" s="37"/>
      <c r="F107" s="28" t="str">
        <f>E15</f>
        <v>Středočeský kraj, Zborovská 81/11, Praha 5</v>
      </c>
      <c r="G107" s="37"/>
      <c r="H107" s="37"/>
      <c r="I107" s="30" t="s">
        <v>31</v>
      </c>
      <c r="J107" s="33" t="str">
        <f>E21</f>
        <v>Ing. Petr Petele</v>
      </c>
      <c r="K107" s="37"/>
      <c r="L107" s="107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3" s="2" customFormat="1" ht="15.15" customHeight="1">
      <c r="A108" s="35"/>
      <c r="B108" s="36"/>
      <c r="C108" s="30" t="s">
        <v>29</v>
      </c>
      <c r="D108" s="37"/>
      <c r="E108" s="37"/>
      <c r="F108" s="28" t="str">
        <f>IF(E18="","",E18)</f>
        <v>Vyplň údaj</v>
      </c>
      <c r="G108" s="37"/>
      <c r="H108" s="37"/>
      <c r="I108" s="30" t="s">
        <v>35</v>
      </c>
      <c r="J108" s="33" t="str">
        <f>E24</f>
        <v>Ing. Petr Petele</v>
      </c>
      <c r="K108" s="37"/>
      <c r="L108" s="107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3" s="2" customFormat="1" ht="10.2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107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3" s="11" customFormat="1" ht="29.25" customHeight="1">
      <c r="A110" s="147"/>
      <c r="B110" s="148"/>
      <c r="C110" s="149" t="s">
        <v>114</v>
      </c>
      <c r="D110" s="150" t="s">
        <v>57</v>
      </c>
      <c r="E110" s="150" t="s">
        <v>53</v>
      </c>
      <c r="F110" s="150" t="s">
        <v>54</v>
      </c>
      <c r="G110" s="150" t="s">
        <v>115</v>
      </c>
      <c r="H110" s="150" t="s">
        <v>116</v>
      </c>
      <c r="I110" s="150" t="s">
        <v>117</v>
      </c>
      <c r="J110" s="150" t="s">
        <v>94</v>
      </c>
      <c r="K110" s="151" t="s">
        <v>118</v>
      </c>
      <c r="L110" s="152"/>
      <c r="M110" s="69" t="s">
        <v>19</v>
      </c>
      <c r="N110" s="70" t="s">
        <v>42</v>
      </c>
      <c r="O110" s="70" t="s">
        <v>119</v>
      </c>
      <c r="P110" s="70" t="s">
        <v>120</v>
      </c>
      <c r="Q110" s="70" t="s">
        <v>121</v>
      </c>
      <c r="R110" s="70" t="s">
        <v>122</v>
      </c>
      <c r="S110" s="70" t="s">
        <v>123</v>
      </c>
      <c r="T110" s="71" t="s">
        <v>124</v>
      </c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</row>
    <row r="111" spans="1:63" s="2" customFormat="1" ht="22.75" customHeight="1">
      <c r="A111" s="35"/>
      <c r="B111" s="36"/>
      <c r="C111" s="76" t="s">
        <v>125</v>
      </c>
      <c r="D111" s="37"/>
      <c r="E111" s="37"/>
      <c r="F111" s="37"/>
      <c r="G111" s="37"/>
      <c r="H111" s="37"/>
      <c r="I111" s="37"/>
      <c r="J111" s="153">
        <f>BK111</f>
        <v>0</v>
      </c>
      <c r="K111" s="37"/>
      <c r="L111" s="40"/>
      <c r="M111" s="72"/>
      <c r="N111" s="154"/>
      <c r="O111" s="73"/>
      <c r="P111" s="155">
        <f>P112+P418+P1292+P1296</f>
        <v>0</v>
      </c>
      <c r="Q111" s="73"/>
      <c r="R111" s="155">
        <f>R112+R418+R1292+R1296</f>
        <v>443.68116226000001</v>
      </c>
      <c r="S111" s="73"/>
      <c r="T111" s="156">
        <f>T112+T418+T1292+T1296</f>
        <v>24.698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71</v>
      </c>
      <c r="AU111" s="18" t="s">
        <v>95</v>
      </c>
      <c r="BK111" s="157">
        <f>BK112+BK418+BK1292+BK1296</f>
        <v>0</v>
      </c>
    </row>
    <row r="112" spans="1:63" s="12" customFormat="1" ht="25.9" customHeight="1">
      <c r="B112" s="158"/>
      <c r="C112" s="159"/>
      <c r="D112" s="160" t="s">
        <v>71</v>
      </c>
      <c r="E112" s="161" t="s">
        <v>126</v>
      </c>
      <c r="F112" s="161" t="s">
        <v>127</v>
      </c>
      <c r="G112" s="159"/>
      <c r="H112" s="159"/>
      <c r="I112" s="162"/>
      <c r="J112" s="163">
        <f>BK112</f>
        <v>0</v>
      </c>
      <c r="K112" s="159"/>
      <c r="L112" s="164"/>
      <c r="M112" s="165"/>
      <c r="N112" s="166"/>
      <c r="O112" s="166"/>
      <c r="P112" s="167">
        <f>P113+P145+P183+P232+P241+P359+P405+P415</f>
        <v>0</v>
      </c>
      <c r="Q112" s="166"/>
      <c r="R112" s="167">
        <f>R113+R145+R183+R232+R241+R359+R405+R415</f>
        <v>179.60506105000002</v>
      </c>
      <c r="S112" s="166"/>
      <c r="T112" s="168">
        <f>T113+T145+T183+T232+T241+T359+T405+T415</f>
        <v>24.698</v>
      </c>
      <c r="AR112" s="169" t="s">
        <v>80</v>
      </c>
      <c r="AT112" s="170" t="s">
        <v>71</v>
      </c>
      <c r="AU112" s="170" t="s">
        <v>72</v>
      </c>
      <c r="AY112" s="169" t="s">
        <v>128</v>
      </c>
      <c r="BK112" s="171">
        <f>BK113+BK145+BK183+BK232+BK241+BK359+BK405+BK415</f>
        <v>0</v>
      </c>
    </row>
    <row r="113" spans="1:65" s="12" customFormat="1" ht="22.75" customHeight="1">
      <c r="B113" s="158"/>
      <c r="C113" s="159"/>
      <c r="D113" s="160" t="s">
        <v>71</v>
      </c>
      <c r="E113" s="172" t="s">
        <v>82</v>
      </c>
      <c r="F113" s="172" t="s">
        <v>649</v>
      </c>
      <c r="G113" s="159"/>
      <c r="H113" s="159"/>
      <c r="I113" s="162"/>
      <c r="J113" s="173">
        <f>BK113</f>
        <v>0</v>
      </c>
      <c r="K113" s="159"/>
      <c r="L113" s="164"/>
      <c r="M113" s="165"/>
      <c r="N113" s="166"/>
      <c r="O113" s="166"/>
      <c r="P113" s="167">
        <f>SUM(P114:P144)</f>
        <v>0</v>
      </c>
      <c r="Q113" s="166"/>
      <c r="R113" s="167">
        <f>SUM(R114:R144)</f>
        <v>12.930091559999999</v>
      </c>
      <c r="S113" s="166"/>
      <c r="T113" s="168">
        <f>SUM(T114:T144)</f>
        <v>0</v>
      </c>
      <c r="AR113" s="169" t="s">
        <v>80</v>
      </c>
      <c r="AT113" s="170" t="s">
        <v>71</v>
      </c>
      <c r="AU113" s="170" t="s">
        <v>80</v>
      </c>
      <c r="AY113" s="169" t="s">
        <v>128</v>
      </c>
      <c r="BK113" s="171">
        <f>SUM(BK114:BK144)</f>
        <v>0</v>
      </c>
    </row>
    <row r="114" spans="1:65" s="2" customFormat="1" ht="21.75" customHeight="1">
      <c r="A114" s="35"/>
      <c r="B114" s="36"/>
      <c r="C114" s="174" t="s">
        <v>80</v>
      </c>
      <c r="D114" s="174" t="s">
        <v>130</v>
      </c>
      <c r="E114" s="175" t="s">
        <v>650</v>
      </c>
      <c r="F114" s="176" t="s">
        <v>651</v>
      </c>
      <c r="G114" s="177" t="s">
        <v>133</v>
      </c>
      <c r="H114" s="178">
        <v>15.648</v>
      </c>
      <c r="I114" s="179"/>
      <c r="J114" s="180">
        <f>ROUND(I114*H114,2)</f>
        <v>0</v>
      </c>
      <c r="K114" s="176" t="s">
        <v>134</v>
      </c>
      <c r="L114" s="40"/>
      <c r="M114" s="181" t="s">
        <v>19</v>
      </c>
      <c r="N114" s="182" t="s">
        <v>43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135</v>
      </c>
      <c r="AT114" s="185" t="s">
        <v>130</v>
      </c>
      <c r="AU114" s="185" t="s">
        <v>82</v>
      </c>
      <c r="AY114" s="18" t="s">
        <v>128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80</v>
      </c>
      <c r="BK114" s="186">
        <f>ROUND(I114*H114,2)</f>
        <v>0</v>
      </c>
      <c r="BL114" s="18" t="s">
        <v>135</v>
      </c>
      <c r="BM114" s="185" t="s">
        <v>652</v>
      </c>
    </row>
    <row r="115" spans="1:65" s="2" customFormat="1" ht="10">
      <c r="A115" s="35"/>
      <c r="B115" s="36"/>
      <c r="C115" s="37"/>
      <c r="D115" s="187" t="s">
        <v>137</v>
      </c>
      <c r="E115" s="37"/>
      <c r="F115" s="188" t="s">
        <v>653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137</v>
      </c>
      <c r="AU115" s="18" t="s">
        <v>82</v>
      </c>
    </row>
    <row r="116" spans="1:65" s="13" customFormat="1" ht="10">
      <c r="B116" s="192"/>
      <c r="C116" s="193"/>
      <c r="D116" s="194" t="s">
        <v>139</v>
      </c>
      <c r="E116" s="195" t="s">
        <v>19</v>
      </c>
      <c r="F116" s="196" t="s">
        <v>654</v>
      </c>
      <c r="G116" s="193"/>
      <c r="H116" s="197">
        <v>15.648</v>
      </c>
      <c r="I116" s="198"/>
      <c r="J116" s="193"/>
      <c r="K116" s="193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139</v>
      </c>
      <c r="AU116" s="203" t="s">
        <v>82</v>
      </c>
      <c r="AV116" s="13" t="s">
        <v>82</v>
      </c>
      <c r="AW116" s="13" t="s">
        <v>34</v>
      </c>
      <c r="AX116" s="13" t="s">
        <v>80</v>
      </c>
      <c r="AY116" s="203" t="s">
        <v>128</v>
      </c>
    </row>
    <row r="117" spans="1:65" s="2" customFormat="1" ht="21.75" customHeight="1">
      <c r="A117" s="35"/>
      <c r="B117" s="36"/>
      <c r="C117" s="174" t="s">
        <v>82</v>
      </c>
      <c r="D117" s="174" t="s">
        <v>130</v>
      </c>
      <c r="E117" s="175" t="s">
        <v>655</v>
      </c>
      <c r="F117" s="176" t="s">
        <v>656</v>
      </c>
      <c r="G117" s="177" t="s">
        <v>148</v>
      </c>
      <c r="H117" s="178">
        <v>2.347</v>
      </c>
      <c r="I117" s="179"/>
      <c r="J117" s="180">
        <f>ROUND(I117*H117,2)</f>
        <v>0</v>
      </c>
      <c r="K117" s="176" t="s">
        <v>134</v>
      </c>
      <c r="L117" s="40"/>
      <c r="M117" s="181" t="s">
        <v>19</v>
      </c>
      <c r="N117" s="182" t="s">
        <v>43</v>
      </c>
      <c r="O117" s="65"/>
      <c r="P117" s="183">
        <f>O117*H117</f>
        <v>0</v>
      </c>
      <c r="Q117" s="183">
        <v>2.5018699999999998</v>
      </c>
      <c r="R117" s="183">
        <f>Q117*H117</f>
        <v>5.8718888899999993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135</v>
      </c>
      <c r="AT117" s="185" t="s">
        <v>130</v>
      </c>
      <c r="AU117" s="185" t="s">
        <v>82</v>
      </c>
      <c r="AY117" s="18" t="s">
        <v>128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80</v>
      </c>
      <c r="BK117" s="186">
        <f>ROUND(I117*H117,2)</f>
        <v>0</v>
      </c>
      <c r="BL117" s="18" t="s">
        <v>135</v>
      </c>
      <c r="BM117" s="185" t="s">
        <v>657</v>
      </c>
    </row>
    <row r="118" spans="1:65" s="2" customFormat="1" ht="10">
      <c r="A118" s="35"/>
      <c r="B118" s="36"/>
      <c r="C118" s="37"/>
      <c r="D118" s="187" t="s">
        <v>137</v>
      </c>
      <c r="E118" s="37"/>
      <c r="F118" s="188" t="s">
        <v>658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137</v>
      </c>
      <c r="AU118" s="18" t="s">
        <v>82</v>
      </c>
    </row>
    <row r="119" spans="1:65" s="13" customFormat="1" ht="10">
      <c r="B119" s="192"/>
      <c r="C119" s="193"/>
      <c r="D119" s="194" t="s">
        <v>139</v>
      </c>
      <c r="E119" s="195" t="s">
        <v>19</v>
      </c>
      <c r="F119" s="196" t="s">
        <v>659</v>
      </c>
      <c r="G119" s="193"/>
      <c r="H119" s="197">
        <v>2.347</v>
      </c>
      <c r="I119" s="198"/>
      <c r="J119" s="193"/>
      <c r="K119" s="193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139</v>
      </c>
      <c r="AU119" s="203" t="s">
        <v>82</v>
      </c>
      <c r="AV119" s="13" t="s">
        <v>82</v>
      </c>
      <c r="AW119" s="13" t="s">
        <v>34</v>
      </c>
      <c r="AX119" s="13" t="s">
        <v>80</v>
      </c>
      <c r="AY119" s="203" t="s">
        <v>128</v>
      </c>
    </row>
    <row r="120" spans="1:65" s="2" customFormat="1" ht="16.5" customHeight="1">
      <c r="A120" s="35"/>
      <c r="B120" s="36"/>
      <c r="C120" s="174" t="s">
        <v>145</v>
      </c>
      <c r="D120" s="174" t="s">
        <v>130</v>
      </c>
      <c r="E120" s="175" t="s">
        <v>660</v>
      </c>
      <c r="F120" s="176" t="s">
        <v>661</v>
      </c>
      <c r="G120" s="177" t="s">
        <v>133</v>
      </c>
      <c r="H120" s="178">
        <v>0.78200000000000003</v>
      </c>
      <c r="I120" s="179"/>
      <c r="J120" s="180">
        <f>ROUND(I120*H120,2)</f>
        <v>0</v>
      </c>
      <c r="K120" s="176" t="s">
        <v>134</v>
      </c>
      <c r="L120" s="40"/>
      <c r="M120" s="181" t="s">
        <v>19</v>
      </c>
      <c r="N120" s="182" t="s">
        <v>43</v>
      </c>
      <c r="O120" s="65"/>
      <c r="P120" s="183">
        <f>O120*H120</f>
        <v>0</v>
      </c>
      <c r="Q120" s="183">
        <v>2.47E-3</v>
      </c>
      <c r="R120" s="183">
        <f>Q120*H120</f>
        <v>1.93154E-3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135</v>
      </c>
      <c r="AT120" s="185" t="s">
        <v>130</v>
      </c>
      <c r="AU120" s="185" t="s">
        <v>82</v>
      </c>
      <c r="AY120" s="18" t="s">
        <v>128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80</v>
      </c>
      <c r="BK120" s="186">
        <f>ROUND(I120*H120,2)</f>
        <v>0</v>
      </c>
      <c r="BL120" s="18" t="s">
        <v>135</v>
      </c>
      <c r="BM120" s="185" t="s">
        <v>662</v>
      </c>
    </row>
    <row r="121" spans="1:65" s="2" customFormat="1" ht="10">
      <c r="A121" s="35"/>
      <c r="B121" s="36"/>
      <c r="C121" s="37"/>
      <c r="D121" s="187" t="s">
        <v>137</v>
      </c>
      <c r="E121" s="37"/>
      <c r="F121" s="188" t="s">
        <v>663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137</v>
      </c>
      <c r="AU121" s="18" t="s">
        <v>82</v>
      </c>
    </row>
    <row r="122" spans="1:65" s="13" customFormat="1" ht="10">
      <c r="B122" s="192"/>
      <c r="C122" s="193"/>
      <c r="D122" s="194" t="s">
        <v>139</v>
      </c>
      <c r="E122" s="195" t="s">
        <v>19</v>
      </c>
      <c r="F122" s="196" t="s">
        <v>664</v>
      </c>
      <c r="G122" s="193"/>
      <c r="H122" s="197">
        <v>0.78200000000000003</v>
      </c>
      <c r="I122" s="198"/>
      <c r="J122" s="193"/>
      <c r="K122" s="193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139</v>
      </c>
      <c r="AU122" s="203" t="s">
        <v>82</v>
      </c>
      <c r="AV122" s="13" t="s">
        <v>82</v>
      </c>
      <c r="AW122" s="13" t="s">
        <v>34</v>
      </c>
      <c r="AX122" s="13" t="s">
        <v>80</v>
      </c>
      <c r="AY122" s="203" t="s">
        <v>128</v>
      </c>
    </row>
    <row r="123" spans="1:65" s="2" customFormat="1" ht="16.5" customHeight="1">
      <c r="A123" s="35"/>
      <c r="B123" s="36"/>
      <c r="C123" s="174" t="s">
        <v>135</v>
      </c>
      <c r="D123" s="174" t="s">
        <v>130</v>
      </c>
      <c r="E123" s="175" t="s">
        <v>665</v>
      </c>
      <c r="F123" s="176" t="s">
        <v>666</v>
      </c>
      <c r="G123" s="177" t="s">
        <v>133</v>
      </c>
      <c r="H123" s="178">
        <v>0.78200000000000003</v>
      </c>
      <c r="I123" s="179"/>
      <c r="J123" s="180">
        <f>ROUND(I123*H123,2)</f>
        <v>0</v>
      </c>
      <c r="K123" s="176" t="s">
        <v>134</v>
      </c>
      <c r="L123" s="40"/>
      <c r="M123" s="181" t="s">
        <v>19</v>
      </c>
      <c r="N123" s="182" t="s">
        <v>43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135</v>
      </c>
      <c r="AT123" s="185" t="s">
        <v>130</v>
      </c>
      <c r="AU123" s="185" t="s">
        <v>82</v>
      </c>
      <c r="AY123" s="18" t="s">
        <v>128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135</v>
      </c>
      <c r="BM123" s="185" t="s">
        <v>667</v>
      </c>
    </row>
    <row r="124" spans="1:65" s="2" customFormat="1" ht="10">
      <c r="A124" s="35"/>
      <c r="B124" s="36"/>
      <c r="C124" s="37"/>
      <c r="D124" s="187" t="s">
        <v>137</v>
      </c>
      <c r="E124" s="37"/>
      <c r="F124" s="188" t="s">
        <v>668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137</v>
      </c>
      <c r="AU124" s="18" t="s">
        <v>82</v>
      </c>
    </row>
    <row r="125" spans="1:65" s="2" customFormat="1" ht="16.5" customHeight="1">
      <c r="A125" s="35"/>
      <c r="B125" s="36"/>
      <c r="C125" s="174" t="s">
        <v>160</v>
      </c>
      <c r="D125" s="174" t="s">
        <v>130</v>
      </c>
      <c r="E125" s="175" t="s">
        <v>669</v>
      </c>
      <c r="F125" s="176" t="s">
        <v>670</v>
      </c>
      <c r="G125" s="177" t="s">
        <v>174</v>
      </c>
      <c r="H125" s="178">
        <v>0.21099999999999999</v>
      </c>
      <c r="I125" s="179"/>
      <c r="J125" s="180">
        <f>ROUND(I125*H125,2)</f>
        <v>0</v>
      </c>
      <c r="K125" s="176" t="s">
        <v>134</v>
      </c>
      <c r="L125" s="40"/>
      <c r="M125" s="181" t="s">
        <v>19</v>
      </c>
      <c r="N125" s="182" t="s">
        <v>43</v>
      </c>
      <c r="O125" s="65"/>
      <c r="P125" s="183">
        <f>O125*H125</f>
        <v>0</v>
      </c>
      <c r="Q125" s="183">
        <v>1.06277</v>
      </c>
      <c r="R125" s="183">
        <f>Q125*H125</f>
        <v>0.22424447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135</v>
      </c>
      <c r="AT125" s="185" t="s">
        <v>130</v>
      </c>
      <c r="AU125" s="185" t="s">
        <v>82</v>
      </c>
      <c r="AY125" s="18" t="s">
        <v>128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80</v>
      </c>
      <c r="BK125" s="186">
        <f>ROUND(I125*H125,2)</f>
        <v>0</v>
      </c>
      <c r="BL125" s="18" t="s">
        <v>135</v>
      </c>
      <c r="BM125" s="185" t="s">
        <v>671</v>
      </c>
    </row>
    <row r="126" spans="1:65" s="2" customFormat="1" ht="10">
      <c r="A126" s="35"/>
      <c r="B126" s="36"/>
      <c r="C126" s="37"/>
      <c r="D126" s="187" t="s">
        <v>137</v>
      </c>
      <c r="E126" s="37"/>
      <c r="F126" s="188" t="s">
        <v>672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137</v>
      </c>
      <c r="AU126" s="18" t="s">
        <v>82</v>
      </c>
    </row>
    <row r="127" spans="1:65" s="15" customFormat="1" ht="10">
      <c r="B127" s="230"/>
      <c r="C127" s="231"/>
      <c r="D127" s="194" t="s">
        <v>139</v>
      </c>
      <c r="E127" s="232" t="s">
        <v>19</v>
      </c>
      <c r="F127" s="233" t="s">
        <v>673</v>
      </c>
      <c r="G127" s="231"/>
      <c r="H127" s="232" t="s">
        <v>19</v>
      </c>
      <c r="I127" s="234"/>
      <c r="J127" s="231"/>
      <c r="K127" s="231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139</v>
      </c>
      <c r="AU127" s="239" t="s">
        <v>82</v>
      </c>
      <c r="AV127" s="15" t="s">
        <v>80</v>
      </c>
      <c r="AW127" s="15" t="s">
        <v>34</v>
      </c>
      <c r="AX127" s="15" t="s">
        <v>72</v>
      </c>
      <c r="AY127" s="239" t="s">
        <v>128</v>
      </c>
    </row>
    <row r="128" spans="1:65" s="13" customFormat="1" ht="10">
      <c r="B128" s="192"/>
      <c r="C128" s="193"/>
      <c r="D128" s="194" t="s">
        <v>139</v>
      </c>
      <c r="E128" s="195" t="s">
        <v>19</v>
      </c>
      <c r="F128" s="196" t="s">
        <v>674</v>
      </c>
      <c r="G128" s="193"/>
      <c r="H128" s="197">
        <v>0.21099999999999999</v>
      </c>
      <c r="I128" s="198"/>
      <c r="J128" s="193"/>
      <c r="K128" s="193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139</v>
      </c>
      <c r="AU128" s="203" t="s">
        <v>82</v>
      </c>
      <c r="AV128" s="13" t="s">
        <v>82</v>
      </c>
      <c r="AW128" s="13" t="s">
        <v>34</v>
      </c>
      <c r="AX128" s="13" t="s">
        <v>80</v>
      </c>
      <c r="AY128" s="203" t="s">
        <v>128</v>
      </c>
    </row>
    <row r="129" spans="1:65" s="2" customFormat="1" ht="21.75" customHeight="1">
      <c r="A129" s="35"/>
      <c r="B129" s="36"/>
      <c r="C129" s="174" t="s">
        <v>166</v>
      </c>
      <c r="D129" s="174" t="s">
        <v>130</v>
      </c>
      <c r="E129" s="175" t="s">
        <v>675</v>
      </c>
      <c r="F129" s="176" t="s">
        <v>676</v>
      </c>
      <c r="G129" s="177" t="s">
        <v>148</v>
      </c>
      <c r="H129" s="178">
        <v>2.5950000000000002</v>
      </c>
      <c r="I129" s="179"/>
      <c r="J129" s="180">
        <f>ROUND(I129*H129,2)</f>
        <v>0</v>
      </c>
      <c r="K129" s="176" t="s">
        <v>134</v>
      </c>
      <c r="L129" s="40"/>
      <c r="M129" s="181" t="s">
        <v>19</v>
      </c>
      <c r="N129" s="182" t="s">
        <v>43</v>
      </c>
      <c r="O129" s="65"/>
      <c r="P129" s="183">
        <f>O129*H129</f>
        <v>0</v>
      </c>
      <c r="Q129" s="183">
        <v>2.5018699999999998</v>
      </c>
      <c r="R129" s="183">
        <f>Q129*H129</f>
        <v>6.4923526499999999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135</v>
      </c>
      <c r="AT129" s="185" t="s">
        <v>130</v>
      </c>
      <c r="AU129" s="185" t="s">
        <v>82</v>
      </c>
      <c r="AY129" s="18" t="s">
        <v>128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80</v>
      </c>
      <c r="BK129" s="186">
        <f>ROUND(I129*H129,2)</f>
        <v>0</v>
      </c>
      <c r="BL129" s="18" t="s">
        <v>135</v>
      </c>
      <c r="BM129" s="185" t="s">
        <v>677</v>
      </c>
    </row>
    <row r="130" spans="1:65" s="2" customFormat="1" ht="10">
      <c r="A130" s="35"/>
      <c r="B130" s="36"/>
      <c r="C130" s="37"/>
      <c r="D130" s="187" t="s">
        <v>137</v>
      </c>
      <c r="E130" s="37"/>
      <c r="F130" s="188" t="s">
        <v>678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137</v>
      </c>
      <c r="AU130" s="18" t="s">
        <v>82</v>
      </c>
    </row>
    <row r="131" spans="1:65" s="13" customFormat="1" ht="10">
      <c r="B131" s="192"/>
      <c r="C131" s="193"/>
      <c r="D131" s="194" t="s">
        <v>139</v>
      </c>
      <c r="E131" s="195" t="s">
        <v>19</v>
      </c>
      <c r="F131" s="196" t="s">
        <v>679</v>
      </c>
      <c r="G131" s="193"/>
      <c r="H131" s="197">
        <v>1.8779999999999999</v>
      </c>
      <c r="I131" s="198"/>
      <c r="J131" s="193"/>
      <c r="K131" s="193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139</v>
      </c>
      <c r="AU131" s="203" t="s">
        <v>82</v>
      </c>
      <c r="AV131" s="13" t="s">
        <v>82</v>
      </c>
      <c r="AW131" s="13" t="s">
        <v>34</v>
      </c>
      <c r="AX131" s="13" t="s">
        <v>72</v>
      </c>
      <c r="AY131" s="203" t="s">
        <v>128</v>
      </c>
    </row>
    <row r="132" spans="1:65" s="13" customFormat="1" ht="10">
      <c r="B132" s="192"/>
      <c r="C132" s="193"/>
      <c r="D132" s="194" t="s">
        <v>139</v>
      </c>
      <c r="E132" s="195" t="s">
        <v>19</v>
      </c>
      <c r="F132" s="196" t="s">
        <v>680</v>
      </c>
      <c r="G132" s="193"/>
      <c r="H132" s="197">
        <v>0.71699999999999997</v>
      </c>
      <c r="I132" s="198"/>
      <c r="J132" s="193"/>
      <c r="K132" s="193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139</v>
      </c>
      <c r="AU132" s="203" t="s">
        <v>82</v>
      </c>
      <c r="AV132" s="13" t="s">
        <v>82</v>
      </c>
      <c r="AW132" s="13" t="s">
        <v>34</v>
      </c>
      <c r="AX132" s="13" t="s">
        <v>72</v>
      </c>
      <c r="AY132" s="203" t="s">
        <v>128</v>
      </c>
    </row>
    <row r="133" spans="1:65" s="14" customFormat="1" ht="10">
      <c r="B133" s="204"/>
      <c r="C133" s="205"/>
      <c r="D133" s="194" t="s">
        <v>139</v>
      </c>
      <c r="E133" s="206" t="s">
        <v>19</v>
      </c>
      <c r="F133" s="207" t="s">
        <v>153</v>
      </c>
      <c r="G133" s="205"/>
      <c r="H133" s="208">
        <v>2.5949999999999998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139</v>
      </c>
      <c r="AU133" s="214" t="s">
        <v>82</v>
      </c>
      <c r="AV133" s="14" t="s">
        <v>135</v>
      </c>
      <c r="AW133" s="14" t="s">
        <v>34</v>
      </c>
      <c r="AX133" s="14" t="s">
        <v>80</v>
      </c>
      <c r="AY133" s="214" t="s">
        <v>128</v>
      </c>
    </row>
    <row r="134" spans="1:65" s="2" customFormat="1" ht="16.5" customHeight="1">
      <c r="A134" s="35"/>
      <c r="B134" s="36"/>
      <c r="C134" s="174" t="s">
        <v>171</v>
      </c>
      <c r="D134" s="174" t="s">
        <v>130</v>
      </c>
      <c r="E134" s="175" t="s">
        <v>681</v>
      </c>
      <c r="F134" s="176" t="s">
        <v>682</v>
      </c>
      <c r="G134" s="177" t="s">
        <v>133</v>
      </c>
      <c r="H134" s="178">
        <v>3.6509999999999998</v>
      </c>
      <c r="I134" s="179"/>
      <c r="J134" s="180">
        <f>ROUND(I134*H134,2)</f>
        <v>0</v>
      </c>
      <c r="K134" s="176" t="s">
        <v>134</v>
      </c>
      <c r="L134" s="40"/>
      <c r="M134" s="181" t="s">
        <v>19</v>
      </c>
      <c r="N134" s="182" t="s">
        <v>43</v>
      </c>
      <c r="O134" s="65"/>
      <c r="P134" s="183">
        <f>O134*H134</f>
        <v>0</v>
      </c>
      <c r="Q134" s="183">
        <v>2.6900000000000001E-3</v>
      </c>
      <c r="R134" s="183">
        <f>Q134*H134</f>
        <v>9.8211900000000005E-3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135</v>
      </c>
      <c r="AT134" s="185" t="s">
        <v>130</v>
      </c>
      <c r="AU134" s="185" t="s">
        <v>82</v>
      </c>
      <c r="AY134" s="18" t="s">
        <v>128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80</v>
      </c>
      <c r="BK134" s="186">
        <f>ROUND(I134*H134,2)</f>
        <v>0</v>
      </c>
      <c r="BL134" s="18" t="s">
        <v>135</v>
      </c>
      <c r="BM134" s="185" t="s">
        <v>683</v>
      </c>
    </row>
    <row r="135" spans="1:65" s="2" customFormat="1" ht="10">
      <c r="A135" s="35"/>
      <c r="B135" s="36"/>
      <c r="C135" s="37"/>
      <c r="D135" s="187" t="s">
        <v>137</v>
      </c>
      <c r="E135" s="37"/>
      <c r="F135" s="188" t="s">
        <v>684</v>
      </c>
      <c r="G135" s="37"/>
      <c r="H135" s="37"/>
      <c r="I135" s="189"/>
      <c r="J135" s="37"/>
      <c r="K135" s="37"/>
      <c r="L135" s="40"/>
      <c r="M135" s="190"/>
      <c r="N135" s="191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137</v>
      </c>
      <c r="AU135" s="18" t="s">
        <v>82</v>
      </c>
    </row>
    <row r="136" spans="1:65" s="13" customFormat="1" ht="10">
      <c r="B136" s="192"/>
      <c r="C136" s="193"/>
      <c r="D136" s="194" t="s">
        <v>139</v>
      </c>
      <c r="E136" s="195" t="s">
        <v>19</v>
      </c>
      <c r="F136" s="196" t="s">
        <v>685</v>
      </c>
      <c r="G136" s="193"/>
      <c r="H136" s="197">
        <v>3.6509999999999998</v>
      </c>
      <c r="I136" s="198"/>
      <c r="J136" s="193"/>
      <c r="K136" s="193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139</v>
      </c>
      <c r="AU136" s="203" t="s">
        <v>82</v>
      </c>
      <c r="AV136" s="13" t="s">
        <v>82</v>
      </c>
      <c r="AW136" s="13" t="s">
        <v>34</v>
      </c>
      <c r="AX136" s="13" t="s">
        <v>80</v>
      </c>
      <c r="AY136" s="203" t="s">
        <v>128</v>
      </c>
    </row>
    <row r="137" spans="1:65" s="2" customFormat="1" ht="16.5" customHeight="1">
      <c r="A137" s="35"/>
      <c r="B137" s="36"/>
      <c r="C137" s="174" t="s">
        <v>178</v>
      </c>
      <c r="D137" s="174" t="s">
        <v>130</v>
      </c>
      <c r="E137" s="175" t="s">
        <v>686</v>
      </c>
      <c r="F137" s="176" t="s">
        <v>687</v>
      </c>
      <c r="G137" s="177" t="s">
        <v>133</v>
      </c>
      <c r="H137" s="178">
        <v>3.6509999999999998</v>
      </c>
      <c r="I137" s="179"/>
      <c r="J137" s="180">
        <f>ROUND(I137*H137,2)</f>
        <v>0</v>
      </c>
      <c r="K137" s="176" t="s">
        <v>134</v>
      </c>
      <c r="L137" s="40"/>
      <c r="M137" s="181" t="s">
        <v>19</v>
      </c>
      <c r="N137" s="182" t="s">
        <v>43</v>
      </c>
      <c r="O137" s="65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135</v>
      </c>
      <c r="AT137" s="185" t="s">
        <v>130</v>
      </c>
      <c r="AU137" s="185" t="s">
        <v>82</v>
      </c>
      <c r="AY137" s="18" t="s">
        <v>128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80</v>
      </c>
      <c r="BK137" s="186">
        <f>ROUND(I137*H137,2)</f>
        <v>0</v>
      </c>
      <c r="BL137" s="18" t="s">
        <v>135</v>
      </c>
      <c r="BM137" s="185" t="s">
        <v>688</v>
      </c>
    </row>
    <row r="138" spans="1:65" s="2" customFormat="1" ht="10">
      <c r="A138" s="35"/>
      <c r="B138" s="36"/>
      <c r="C138" s="37"/>
      <c r="D138" s="187" t="s">
        <v>137</v>
      </c>
      <c r="E138" s="37"/>
      <c r="F138" s="188" t="s">
        <v>689</v>
      </c>
      <c r="G138" s="37"/>
      <c r="H138" s="37"/>
      <c r="I138" s="189"/>
      <c r="J138" s="37"/>
      <c r="K138" s="37"/>
      <c r="L138" s="40"/>
      <c r="M138" s="190"/>
      <c r="N138" s="19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137</v>
      </c>
      <c r="AU138" s="18" t="s">
        <v>82</v>
      </c>
    </row>
    <row r="139" spans="1:65" s="2" customFormat="1" ht="16.5" customHeight="1">
      <c r="A139" s="35"/>
      <c r="B139" s="36"/>
      <c r="C139" s="174" t="s">
        <v>189</v>
      </c>
      <c r="D139" s="174" t="s">
        <v>130</v>
      </c>
      <c r="E139" s="175" t="s">
        <v>690</v>
      </c>
      <c r="F139" s="176" t="s">
        <v>691</v>
      </c>
      <c r="G139" s="177" t="s">
        <v>174</v>
      </c>
      <c r="H139" s="178">
        <v>0.311</v>
      </c>
      <c r="I139" s="179"/>
      <c r="J139" s="180">
        <f>ROUND(I139*H139,2)</f>
        <v>0</v>
      </c>
      <c r="K139" s="176" t="s">
        <v>134</v>
      </c>
      <c r="L139" s="40"/>
      <c r="M139" s="181" t="s">
        <v>19</v>
      </c>
      <c r="N139" s="182" t="s">
        <v>43</v>
      </c>
      <c r="O139" s="65"/>
      <c r="P139" s="183">
        <f>O139*H139</f>
        <v>0</v>
      </c>
      <c r="Q139" s="183">
        <v>1.0606199999999999</v>
      </c>
      <c r="R139" s="183">
        <f>Q139*H139</f>
        <v>0.32985281999999999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135</v>
      </c>
      <c r="AT139" s="185" t="s">
        <v>130</v>
      </c>
      <c r="AU139" s="185" t="s">
        <v>82</v>
      </c>
      <c r="AY139" s="18" t="s">
        <v>128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80</v>
      </c>
      <c r="BK139" s="186">
        <f>ROUND(I139*H139,2)</f>
        <v>0</v>
      </c>
      <c r="BL139" s="18" t="s">
        <v>135</v>
      </c>
      <c r="BM139" s="185" t="s">
        <v>692</v>
      </c>
    </row>
    <row r="140" spans="1:65" s="2" customFormat="1" ht="10">
      <c r="A140" s="35"/>
      <c r="B140" s="36"/>
      <c r="C140" s="37"/>
      <c r="D140" s="187" t="s">
        <v>137</v>
      </c>
      <c r="E140" s="37"/>
      <c r="F140" s="188" t="s">
        <v>693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137</v>
      </c>
      <c r="AU140" s="18" t="s">
        <v>82</v>
      </c>
    </row>
    <row r="141" spans="1:65" s="15" customFormat="1" ht="10">
      <c r="B141" s="230"/>
      <c r="C141" s="231"/>
      <c r="D141" s="194" t="s">
        <v>139</v>
      </c>
      <c r="E141" s="232" t="s">
        <v>19</v>
      </c>
      <c r="F141" s="233" t="s">
        <v>694</v>
      </c>
      <c r="G141" s="231"/>
      <c r="H141" s="232" t="s">
        <v>19</v>
      </c>
      <c r="I141" s="234"/>
      <c r="J141" s="231"/>
      <c r="K141" s="231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139</v>
      </c>
      <c r="AU141" s="239" t="s">
        <v>82</v>
      </c>
      <c r="AV141" s="15" t="s">
        <v>80</v>
      </c>
      <c r="AW141" s="15" t="s">
        <v>34</v>
      </c>
      <c r="AX141" s="15" t="s">
        <v>72</v>
      </c>
      <c r="AY141" s="239" t="s">
        <v>128</v>
      </c>
    </row>
    <row r="142" spans="1:65" s="13" customFormat="1" ht="10">
      <c r="B142" s="192"/>
      <c r="C142" s="193"/>
      <c r="D142" s="194" t="s">
        <v>139</v>
      </c>
      <c r="E142" s="195" t="s">
        <v>19</v>
      </c>
      <c r="F142" s="196" t="s">
        <v>695</v>
      </c>
      <c r="G142" s="193"/>
      <c r="H142" s="197">
        <v>0.22500000000000001</v>
      </c>
      <c r="I142" s="198"/>
      <c r="J142" s="193"/>
      <c r="K142" s="193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139</v>
      </c>
      <c r="AU142" s="203" t="s">
        <v>82</v>
      </c>
      <c r="AV142" s="13" t="s">
        <v>82</v>
      </c>
      <c r="AW142" s="13" t="s">
        <v>34</v>
      </c>
      <c r="AX142" s="13" t="s">
        <v>72</v>
      </c>
      <c r="AY142" s="203" t="s">
        <v>128</v>
      </c>
    </row>
    <row r="143" spans="1:65" s="13" customFormat="1" ht="10">
      <c r="B143" s="192"/>
      <c r="C143" s="193"/>
      <c r="D143" s="194" t="s">
        <v>139</v>
      </c>
      <c r="E143" s="195" t="s">
        <v>19</v>
      </c>
      <c r="F143" s="196" t="s">
        <v>696</v>
      </c>
      <c r="G143" s="193"/>
      <c r="H143" s="197">
        <v>8.5999999999999993E-2</v>
      </c>
      <c r="I143" s="198"/>
      <c r="J143" s="193"/>
      <c r="K143" s="193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139</v>
      </c>
      <c r="AU143" s="203" t="s">
        <v>82</v>
      </c>
      <c r="AV143" s="13" t="s">
        <v>82</v>
      </c>
      <c r="AW143" s="13" t="s">
        <v>34</v>
      </c>
      <c r="AX143" s="13" t="s">
        <v>72</v>
      </c>
      <c r="AY143" s="203" t="s">
        <v>128</v>
      </c>
    </row>
    <row r="144" spans="1:65" s="14" customFormat="1" ht="10">
      <c r="B144" s="204"/>
      <c r="C144" s="205"/>
      <c r="D144" s="194" t="s">
        <v>139</v>
      </c>
      <c r="E144" s="206" t="s">
        <v>19</v>
      </c>
      <c r="F144" s="207" t="s">
        <v>153</v>
      </c>
      <c r="G144" s="205"/>
      <c r="H144" s="208">
        <v>0.311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139</v>
      </c>
      <c r="AU144" s="214" t="s">
        <v>82</v>
      </c>
      <c r="AV144" s="14" t="s">
        <v>135</v>
      </c>
      <c r="AW144" s="14" t="s">
        <v>34</v>
      </c>
      <c r="AX144" s="14" t="s">
        <v>80</v>
      </c>
      <c r="AY144" s="214" t="s">
        <v>128</v>
      </c>
    </row>
    <row r="145" spans="1:65" s="12" customFormat="1" ht="22.75" customHeight="1">
      <c r="B145" s="158"/>
      <c r="C145" s="159"/>
      <c r="D145" s="160" t="s">
        <v>71</v>
      </c>
      <c r="E145" s="172" t="s">
        <v>145</v>
      </c>
      <c r="F145" s="172" t="s">
        <v>697</v>
      </c>
      <c r="G145" s="159"/>
      <c r="H145" s="159"/>
      <c r="I145" s="162"/>
      <c r="J145" s="173">
        <f>BK145</f>
        <v>0</v>
      </c>
      <c r="K145" s="159"/>
      <c r="L145" s="164"/>
      <c r="M145" s="165"/>
      <c r="N145" s="166"/>
      <c r="O145" s="166"/>
      <c r="P145" s="167">
        <f>SUM(P146:P182)</f>
        <v>0</v>
      </c>
      <c r="Q145" s="166"/>
      <c r="R145" s="167">
        <f>SUM(R146:R182)</f>
        <v>92.343806119999996</v>
      </c>
      <c r="S145" s="166"/>
      <c r="T145" s="168">
        <f>SUM(T146:T182)</f>
        <v>0</v>
      </c>
      <c r="AR145" s="169" t="s">
        <v>80</v>
      </c>
      <c r="AT145" s="170" t="s">
        <v>71</v>
      </c>
      <c r="AU145" s="170" t="s">
        <v>80</v>
      </c>
      <c r="AY145" s="169" t="s">
        <v>128</v>
      </c>
      <c r="BK145" s="171">
        <f>SUM(BK146:BK182)</f>
        <v>0</v>
      </c>
    </row>
    <row r="146" spans="1:65" s="2" customFormat="1" ht="24.15" customHeight="1">
      <c r="A146" s="35"/>
      <c r="B146" s="36"/>
      <c r="C146" s="174" t="s">
        <v>195</v>
      </c>
      <c r="D146" s="174" t="s">
        <v>130</v>
      </c>
      <c r="E146" s="175" t="s">
        <v>698</v>
      </c>
      <c r="F146" s="176" t="s">
        <v>699</v>
      </c>
      <c r="G146" s="177" t="s">
        <v>133</v>
      </c>
      <c r="H146" s="178">
        <v>20.393999999999998</v>
      </c>
      <c r="I146" s="179"/>
      <c r="J146" s="180">
        <f>ROUND(I146*H146,2)</f>
        <v>0</v>
      </c>
      <c r="K146" s="176" t="s">
        <v>134</v>
      </c>
      <c r="L146" s="40"/>
      <c r="M146" s="181" t="s">
        <v>19</v>
      </c>
      <c r="N146" s="182" t="s">
        <v>43</v>
      </c>
      <c r="O146" s="65"/>
      <c r="P146" s="183">
        <f>O146*H146</f>
        <v>0</v>
      </c>
      <c r="Q146" s="183">
        <v>0.28867999999999999</v>
      </c>
      <c r="R146" s="183">
        <f>Q146*H146</f>
        <v>5.8873399199999996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135</v>
      </c>
      <c r="AT146" s="185" t="s">
        <v>130</v>
      </c>
      <c r="AU146" s="185" t="s">
        <v>82</v>
      </c>
      <c r="AY146" s="18" t="s">
        <v>128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80</v>
      </c>
      <c r="BK146" s="186">
        <f>ROUND(I146*H146,2)</f>
        <v>0</v>
      </c>
      <c r="BL146" s="18" t="s">
        <v>135</v>
      </c>
      <c r="BM146" s="185" t="s">
        <v>700</v>
      </c>
    </row>
    <row r="147" spans="1:65" s="2" customFormat="1" ht="10">
      <c r="A147" s="35"/>
      <c r="B147" s="36"/>
      <c r="C147" s="37"/>
      <c r="D147" s="187" t="s">
        <v>137</v>
      </c>
      <c r="E147" s="37"/>
      <c r="F147" s="188" t="s">
        <v>701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137</v>
      </c>
      <c r="AU147" s="18" t="s">
        <v>82</v>
      </c>
    </row>
    <row r="148" spans="1:65" s="13" customFormat="1" ht="10">
      <c r="B148" s="192"/>
      <c r="C148" s="193"/>
      <c r="D148" s="194" t="s">
        <v>139</v>
      </c>
      <c r="E148" s="195" t="s">
        <v>19</v>
      </c>
      <c r="F148" s="196" t="s">
        <v>702</v>
      </c>
      <c r="G148" s="193"/>
      <c r="H148" s="197">
        <v>20.393999999999998</v>
      </c>
      <c r="I148" s="198"/>
      <c r="J148" s="193"/>
      <c r="K148" s="193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139</v>
      </c>
      <c r="AU148" s="203" t="s">
        <v>82</v>
      </c>
      <c r="AV148" s="13" t="s">
        <v>82</v>
      </c>
      <c r="AW148" s="13" t="s">
        <v>34</v>
      </c>
      <c r="AX148" s="13" t="s">
        <v>80</v>
      </c>
      <c r="AY148" s="203" t="s">
        <v>128</v>
      </c>
    </row>
    <row r="149" spans="1:65" s="2" customFormat="1" ht="24.15" customHeight="1">
      <c r="A149" s="35"/>
      <c r="B149" s="36"/>
      <c r="C149" s="174" t="s">
        <v>201</v>
      </c>
      <c r="D149" s="174" t="s">
        <v>130</v>
      </c>
      <c r="E149" s="175" t="s">
        <v>703</v>
      </c>
      <c r="F149" s="176" t="s">
        <v>704</v>
      </c>
      <c r="G149" s="177" t="s">
        <v>133</v>
      </c>
      <c r="H149" s="178">
        <v>4.87</v>
      </c>
      <c r="I149" s="179"/>
      <c r="J149" s="180">
        <f>ROUND(I149*H149,2)</f>
        <v>0</v>
      </c>
      <c r="K149" s="176" t="s">
        <v>134</v>
      </c>
      <c r="L149" s="40"/>
      <c r="M149" s="181" t="s">
        <v>19</v>
      </c>
      <c r="N149" s="182" t="s">
        <v>43</v>
      </c>
      <c r="O149" s="65"/>
      <c r="P149" s="183">
        <f>O149*H149</f>
        <v>0</v>
      </c>
      <c r="Q149" s="183">
        <v>0.35648000000000002</v>
      </c>
      <c r="R149" s="183">
        <f>Q149*H149</f>
        <v>1.7360576000000001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135</v>
      </c>
      <c r="AT149" s="185" t="s">
        <v>130</v>
      </c>
      <c r="AU149" s="185" t="s">
        <v>82</v>
      </c>
      <c r="AY149" s="18" t="s">
        <v>128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80</v>
      </c>
      <c r="BK149" s="186">
        <f>ROUND(I149*H149,2)</f>
        <v>0</v>
      </c>
      <c r="BL149" s="18" t="s">
        <v>135</v>
      </c>
      <c r="BM149" s="185" t="s">
        <v>705</v>
      </c>
    </row>
    <row r="150" spans="1:65" s="2" customFormat="1" ht="10">
      <c r="A150" s="35"/>
      <c r="B150" s="36"/>
      <c r="C150" s="37"/>
      <c r="D150" s="187" t="s">
        <v>137</v>
      </c>
      <c r="E150" s="37"/>
      <c r="F150" s="188" t="s">
        <v>706</v>
      </c>
      <c r="G150" s="37"/>
      <c r="H150" s="37"/>
      <c r="I150" s="189"/>
      <c r="J150" s="37"/>
      <c r="K150" s="37"/>
      <c r="L150" s="40"/>
      <c r="M150" s="190"/>
      <c r="N150" s="191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137</v>
      </c>
      <c r="AU150" s="18" t="s">
        <v>82</v>
      </c>
    </row>
    <row r="151" spans="1:65" s="13" customFormat="1" ht="10">
      <c r="B151" s="192"/>
      <c r="C151" s="193"/>
      <c r="D151" s="194" t="s">
        <v>139</v>
      </c>
      <c r="E151" s="195" t="s">
        <v>19</v>
      </c>
      <c r="F151" s="196" t="s">
        <v>707</v>
      </c>
      <c r="G151" s="193"/>
      <c r="H151" s="197">
        <v>4.87</v>
      </c>
      <c r="I151" s="198"/>
      <c r="J151" s="193"/>
      <c r="K151" s="193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139</v>
      </c>
      <c r="AU151" s="203" t="s">
        <v>82</v>
      </c>
      <c r="AV151" s="13" t="s">
        <v>82</v>
      </c>
      <c r="AW151" s="13" t="s">
        <v>34</v>
      </c>
      <c r="AX151" s="13" t="s">
        <v>80</v>
      </c>
      <c r="AY151" s="203" t="s">
        <v>128</v>
      </c>
    </row>
    <row r="152" spans="1:65" s="2" customFormat="1" ht="24.15" customHeight="1">
      <c r="A152" s="35"/>
      <c r="B152" s="36"/>
      <c r="C152" s="174" t="s">
        <v>207</v>
      </c>
      <c r="D152" s="174" t="s">
        <v>130</v>
      </c>
      <c r="E152" s="175" t="s">
        <v>708</v>
      </c>
      <c r="F152" s="176" t="s">
        <v>709</v>
      </c>
      <c r="G152" s="177" t="s">
        <v>133</v>
      </c>
      <c r="H152" s="178">
        <v>149.27799999999999</v>
      </c>
      <c r="I152" s="179"/>
      <c r="J152" s="180">
        <f>ROUND(I152*H152,2)</f>
        <v>0</v>
      </c>
      <c r="K152" s="176" t="s">
        <v>134</v>
      </c>
      <c r="L152" s="40"/>
      <c r="M152" s="181" t="s">
        <v>19</v>
      </c>
      <c r="N152" s="182" t="s">
        <v>43</v>
      </c>
      <c r="O152" s="65"/>
      <c r="P152" s="183">
        <f>O152*H152</f>
        <v>0</v>
      </c>
      <c r="Q152" s="183">
        <v>0.21490999999999999</v>
      </c>
      <c r="R152" s="183">
        <f>Q152*H152</f>
        <v>32.081334979999994</v>
      </c>
      <c r="S152" s="183">
        <v>0</v>
      </c>
      <c r="T152" s="18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135</v>
      </c>
      <c r="AT152" s="185" t="s">
        <v>130</v>
      </c>
      <c r="AU152" s="185" t="s">
        <v>82</v>
      </c>
      <c r="AY152" s="18" t="s">
        <v>128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8" t="s">
        <v>80</v>
      </c>
      <c r="BK152" s="186">
        <f>ROUND(I152*H152,2)</f>
        <v>0</v>
      </c>
      <c r="BL152" s="18" t="s">
        <v>135</v>
      </c>
      <c r="BM152" s="185" t="s">
        <v>710</v>
      </c>
    </row>
    <row r="153" spans="1:65" s="2" customFormat="1" ht="10">
      <c r="A153" s="35"/>
      <c r="B153" s="36"/>
      <c r="C153" s="37"/>
      <c r="D153" s="187" t="s">
        <v>137</v>
      </c>
      <c r="E153" s="37"/>
      <c r="F153" s="188" t="s">
        <v>711</v>
      </c>
      <c r="G153" s="37"/>
      <c r="H153" s="37"/>
      <c r="I153" s="189"/>
      <c r="J153" s="37"/>
      <c r="K153" s="37"/>
      <c r="L153" s="40"/>
      <c r="M153" s="190"/>
      <c r="N153" s="191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137</v>
      </c>
      <c r="AU153" s="18" t="s">
        <v>82</v>
      </c>
    </row>
    <row r="154" spans="1:65" s="13" customFormat="1" ht="10">
      <c r="B154" s="192"/>
      <c r="C154" s="193"/>
      <c r="D154" s="194" t="s">
        <v>139</v>
      </c>
      <c r="E154" s="195" t="s">
        <v>19</v>
      </c>
      <c r="F154" s="196" t="s">
        <v>712</v>
      </c>
      <c r="G154" s="193"/>
      <c r="H154" s="197">
        <v>149.27799999999999</v>
      </c>
      <c r="I154" s="198"/>
      <c r="J154" s="193"/>
      <c r="K154" s="193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139</v>
      </c>
      <c r="AU154" s="203" t="s">
        <v>82</v>
      </c>
      <c r="AV154" s="13" t="s">
        <v>82</v>
      </c>
      <c r="AW154" s="13" t="s">
        <v>34</v>
      </c>
      <c r="AX154" s="13" t="s">
        <v>80</v>
      </c>
      <c r="AY154" s="203" t="s">
        <v>128</v>
      </c>
    </row>
    <row r="155" spans="1:65" s="2" customFormat="1" ht="37.75" customHeight="1">
      <c r="A155" s="35"/>
      <c r="B155" s="36"/>
      <c r="C155" s="174" t="s">
        <v>212</v>
      </c>
      <c r="D155" s="174" t="s">
        <v>130</v>
      </c>
      <c r="E155" s="175" t="s">
        <v>713</v>
      </c>
      <c r="F155" s="176" t="s">
        <v>714</v>
      </c>
      <c r="G155" s="177" t="s">
        <v>133</v>
      </c>
      <c r="H155" s="178">
        <v>85.38</v>
      </c>
      <c r="I155" s="179"/>
      <c r="J155" s="180">
        <f>ROUND(I155*H155,2)</f>
        <v>0</v>
      </c>
      <c r="K155" s="176" t="s">
        <v>134</v>
      </c>
      <c r="L155" s="40"/>
      <c r="M155" s="181" t="s">
        <v>19</v>
      </c>
      <c r="N155" s="182" t="s">
        <v>43</v>
      </c>
      <c r="O155" s="65"/>
      <c r="P155" s="183">
        <f>O155*H155</f>
        <v>0</v>
      </c>
      <c r="Q155" s="183">
        <v>0.30797000000000002</v>
      </c>
      <c r="R155" s="183">
        <f>Q155*H155</f>
        <v>26.294478600000001</v>
      </c>
      <c r="S155" s="183">
        <v>0</v>
      </c>
      <c r="T155" s="18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135</v>
      </c>
      <c r="AT155" s="185" t="s">
        <v>130</v>
      </c>
      <c r="AU155" s="185" t="s">
        <v>82</v>
      </c>
      <c r="AY155" s="18" t="s">
        <v>128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80</v>
      </c>
      <c r="BK155" s="186">
        <f>ROUND(I155*H155,2)</f>
        <v>0</v>
      </c>
      <c r="BL155" s="18" t="s">
        <v>135</v>
      </c>
      <c r="BM155" s="185" t="s">
        <v>715</v>
      </c>
    </row>
    <row r="156" spans="1:65" s="2" customFormat="1" ht="10">
      <c r="A156" s="35"/>
      <c r="B156" s="36"/>
      <c r="C156" s="37"/>
      <c r="D156" s="187" t="s">
        <v>137</v>
      </c>
      <c r="E156" s="37"/>
      <c r="F156" s="188" t="s">
        <v>716</v>
      </c>
      <c r="G156" s="37"/>
      <c r="H156" s="37"/>
      <c r="I156" s="189"/>
      <c r="J156" s="37"/>
      <c r="K156" s="37"/>
      <c r="L156" s="40"/>
      <c r="M156" s="190"/>
      <c r="N156" s="191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137</v>
      </c>
      <c r="AU156" s="18" t="s">
        <v>82</v>
      </c>
    </row>
    <row r="157" spans="1:65" s="13" customFormat="1" ht="10">
      <c r="B157" s="192"/>
      <c r="C157" s="193"/>
      <c r="D157" s="194" t="s">
        <v>139</v>
      </c>
      <c r="E157" s="195" t="s">
        <v>19</v>
      </c>
      <c r="F157" s="196" t="s">
        <v>717</v>
      </c>
      <c r="G157" s="193"/>
      <c r="H157" s="197">
        <v>85.38</v>
      </c>
      <c r="I157" s="198"/>
      <c r="J157" s="193"/>
      <c r="K157" s="193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139</v>
      </c>
      <c r="AU157" s="203" t="s">
        <v>82</v>
      </c>
      <c r="AV157" s="13" t="s">
        <v>82</v>
      </c>
      <c r="AW157" s="13" t="s">
        <v>34</v>
      </c>
      <c r="AX157" s="13" t="s">
        <v>80</v>
      </c>
      <c r="AY157" s="203" t="s">
        <v>128</v>
      </c>
    </row>
    <row r="158" spans="1:65" s="2" customFormat="1" ht="21.75" customHeight="1">
      <c r="A158" s="35"/>
      <c r="B158" s="36"/>
      <c r="C158" s="174" t="s">
        <v>218</v>
      </c>
      <c r="D158" s="174" t="s">
        <v>130</v>
      </c>
      <c r="E158" s="175" t="s">
        <v>718</v>
      </c>
      <c r="F158" s="176" t="s">
        <v>719</v>
      </c>
      <c r="G158" s="177" t="s">
        <v>305</v>
      </c>
      <c r="H158" s="178">
        <v>15</v>
      </c>
      <c r="I158" s="179"/>
      <c r="J158" s="180">
        <f>ROUND(I158*H158,2)</f>
        <v>0</v>
      </c>
      <c r="K158" s="176" t="s">
        <v>134</v>
      </c>
      <c r="L158" s="40"/>
      <c r="M158" s="181" t="s">
        <v>19</v>
      </c>
      <c r="N158" s="182" t="s">
        <v>43</v>
      </c>
      <c r="O158" s="65"/>
      <c r="P158" s="183">
        <f>O158*H158</f>
        <v>0</v>
      </c>
      <c r="Q158" s="183">
        <v>4.555E-2</v>
      </c>
      <c r="R158" s="183">
        <f>Q158*H158</f>
        <v>0.68325000000000002</v>
      </c>
      <c r="S158" s="183">
        <v>0</v>
      </c>
      <c r="T158" s="18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135</v>
      </c>
      <c r="AT158" s="185" t="s">
        <v>130</v>
      </c>
      <c r="AU158" s="185" t="s">
        <v>82</v>
      </c>
      <c r="AY158" s="18" t="s">
        <v>128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8" t="s">
        <v>80</v>
      </c>
      <c r="BK158" s="186">
        <f>ROUND(I158*H158,2)</f>
        <v>0</v>
      </c>
      <c r="BL158" s="18" t="s">
        <v>135</v>
      </c>
      <c r="BM158" s="185" t="s">
        <v>720</v>
      </c>
    </row>
    <row r="159" spans="1:65" s="2" customFormat="1" ht="10">
      <c r="A159" s="35"/>
      <c r="B159" s="36"/>
      <c r="C159" s="37"/>
      <c r="D159" s="187" t="s">
        <v>137</v>
      </c>
      <c r="E159" s="37"/>
      <c r="F159" s="188" t="s">
        <v>721</v>
      </c>
      <c r="G159" s="37"/>
      <c r="H159" s="37"/>
      <c r="I159" s="189"/>
      <c r="J159" s="37"/>
      <c r="K159" s="37"/>
      <c r="L159" s="40"/>
      <c r="M159" s="190"/>
      <c r="N159" s="191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137</v>
      </c>
      <c r="AU159" s="18" t="s">
        <v>82</v>
      </c>
    </row>
    <row r="160" spans="1:65" s="13" customFormat="1" ht="10">
      <c r="B160" s="192"/>
      <c r="C160" s="193"/>
      <c r="D160" s="194" t="s">
        <v>139</v>
      </c>
      <c r="E160" s="195" t="s">
        <v>19</v>
      </c>
      <c r="F160" s="196" t="s">
        <v>722</v>
      </c>
      <c r="G160" s="193"/>
      <c r="H160" s="197">
        <v>4</v>
      </c>
      <c r="I160" s="198"/>
      <c r="J160" s="193"/>
      <c r="K160" s="193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139</v>
      </c>
      <c r="AU160" s="203" t="s">
        <v>82</v>
      </c>
      <c r="AV160" s="13" t="s">
        <v>82</v>
      </c>
      <c r="AW160" s="13" t="s">
        <v>34</v>
      </c>
      <c r="AX160" s="13" t="s">
        <v>72</v>
      </c>
      <c r="AY160" s="203" t="s">
        <v>128</v>
      </c>
    </row>
    <row r="161" spans="1:65" s="13" customFormat="1" ht="10">
      <c r="B161" s="192"/>
      <c r="C161" s="193"/>
      <c r="D161" s="194" t="s">
        <v>139</v>
      </c>
      <c r="E161" s="195" t="s">
        <v>19</v>
      </c>
      <c r="F161" s="196" t="s">
        <v>723</v>
      </c>
      <c r="G161" s="193"/>
      <c r="H161" s="197">
        <v>3</v>
      </c>
      <c r="I161" s="198"/>
      <c r="J161" s="193"/>
      <c r="K161" s="193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139</v>
      </c>
      <c r="AU161" s="203" t="s">
        <v>82</v>
      </c>
      <c r="AV161" s="13" t="s">
        <v>82</v>
      </c>
      <c r="AW161" s="13" t="s">
        <v>34</v>
      </c>
      <c r="AX161" s="13" t="s">
        <v>72</v>
      </c>
      <c r="AY161" s="203" t="s">
        <v>128</v>
      </c>
    </row>
    <row r="162" spans="1:65" s="13" customFormat="1" ht="10">
      <c r="B162" s="192"/>
      <c r="C162" s="193"/>
      <c r="D162" s="194" t="s">
        <v>139</v>
      </c>
      <c r="E162" s="195" t="s">
        <v>19</v>
      </c>
      <c r="F162" s="196" t="s">
        <v>724</v>
      </c>
      <c r="G162" s="193"/>
      <c r="H162" s="197">
        <v>8</v>
      </c>
      <c r="I162" s="198"/>
      <c r="J162" s="193"/>
      <c r="K162" s="193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139</v>
      </c>
      <c r="AU162" s="203" t="s">
        <v>82</v>
      </c>
      <c r="AV162" s="13" t="s">
        <v>82</v>
      </c>
      <c r="AW162" s="13" t="s">
        <v>34</v>
      </c>
      <c r="AX162" s="13" t="s">
        <v>72</v>
      </c>
      <c r="AY162" s="203" t="s">
        <v>128</v>
      </c>
    </row>
    <row r="163" spans="1:65" s="14" customFormat="1" ht="10">
      <c r="B163" s="204"/>
      <c r="C163" s="205"/>
      <c r="D163" s="194" t="s">
        <v>139</v>
      </c>
      <c r="E163" s="206" t="s">
        <v>19</v>
      </c>
      <c r="F163" s="207" t="s">
        <v>153</v>
      </c>
      <c r="G163" s="205"/>
      <c r="H163" s="208">
        <v>15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139</v>
      </c>
      <c r="AU163" s="214" t="s">
        <v>82</v>
      </c>
      <c r="AV163" s="14" t="s">
        <v>135</v>
      </c>
      <c r="AW163" s="14" t="s">
        <v>34</v>
      </c>
      <c r="AX163" s="14" t="s">
        <v>80</v>
      </c>
      <c r="AY163" s="214" t="s">
        <v>128</v>
      </c>
    </row>
    <row r="164" spans="1:65" s="2" customFormat="1" ht="21.75" customHeight="1">
      <c r="A164" s="35"/>
      <c r="B164" s="36"/>
      <c r="C164" s="174" t="s">
        <v>8</v>
      </c>
      <c r="D164" s="174" t="s">
        <v>130</v>
      </c>
      <c r="E164" s="175" t="s">
        <v>725</v>
      </c>
      <c r="F164" s="176" t="s">
        <v>726</v>
      </c>
      <c r="G164" s="177" t="s">
        <v>305</v>
      </c>
      <c r="H164" s="178">
        <v>26</v>
      </c>
      <c r="I164" s="179"/>
      <c r="J164" s="180">
        <f>ROUND(I164*H164,2)</f>
        <v>0</v>
      </c>
      <c r="K164" s="176" t="s">
        <v>134</v>
      </c>
      <c r="L164" s="40"/>
      <c r="M164" s="181" t="s">
        <v>19</v>
      </c>
      <c r="N164" s="182" t="s">
        <v>43</v>
      </c>
      <c r="O164" s="65"/>
      <c r="P164" s="183">
        <f>O164*H164</f>
        <v>0</v>
      </c>
      <c r="Q164" s="183">
        <v>5.4550000000000001E-2</v>
      </c>
      <c r="R164" s="183">
        <f>Q164*H164</f>
        <v>1.4183000000000001</v>
      </c>
      <c r="S164" s="183">
        <v>0</v>
      </c>
      <c r="T164" s="18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135</v>
      </c>
      <c r="AT164" s="185" t="s">
        <v>130</v>
      </c>
      <c r="AU164" s="185" t="s">
        <v>82</v>
      </c>
      <c r="AY164" s="18" t="s">
        <v>128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8" t="s">
        <v>80</v>
      </c>
      <c r="BK164" s="186">
        <f>ROUND(I164*H164,2)</f>
        <v>0</v>
      </c>
      <c r="BL164" s="18" t="s">
        <v>135</v>
      </c>
      <c r="BM164" s="185" t="s">
        <v>727</v>
      </c>
    </row>
    <row r="165" spans="1:65" s="2" customFormat="1" ht="10">
      <c r="A165" s="35"/>
      <c r="B165" s="36"/>
      <c r="C165" s="37"/>
      <c r="D165" s="187" t="s">
        <v>137</v>
      </c>
      <c r="E165" s="37"/>
      <c r="F165" s="188" t="s">
        <v>728</v>
      </c>
      <c r="G165" s="37"/>
      <c r="H165" s="37"/>
      <c r="I165" s="189"/>
      <c r="J165" s="37"/>
      <c r="K165" s="37"/>
      <c r="L165" s="40"/>
      <c r="M165" s="190"/>
      <c r="N165" s="191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137</v>
      </c>
      <c r="AU165" s="18" t="s">
        <v>82</v>
      </c>
    </row>
    <row r="166" spans="1:65" s="13" customFormat="1" ht="10">
      <c r="B166" s="192"/>
      <c r="C166" s="193"/>
      <c r="D166" s="194" t="s">
        <v>139</v>
      </c>
      <c r="E166" s="195" t="s">
        <v>19</v>
      </c>
      <c r="F166" s="196" t="s">
        <v>729</v>
      </c>
      <c r="G166" s="193"/>
      <c r="H166" s="197">
        <v>20</v>
      </c>
      <c r="I166" s="198"/>
      <c r="J166" s="193"/>
      <c r="K166" s="193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139</v>
      </c>
      <c r="AU166" s="203" t="s">
        <v>82</v>
      </c>
      <c r="AV166" s="13" t="s">
        <v>82</v>
      </c>
      <c r="AW166" s="13" t="s">
        <v>34</v>
      </c>
      <c r="AX166" s="13" t="s">
        <v>72</v>
      </c>
      <c r="AY166" s="203" t="s">
        <v>128</v>
      </c>
    </row>
    <row r="167" spans="1:65" s="13" customFormat="1" ht="10">
      <c r="B167" s="192"/>
      <c r="C167" s="193"/>
      <c r="D167" s="194" t="s">
        <v>139</v>
      </c>
      <c r="E167" s="195" t="s">
        <v>19</v>
      </c>
      <c r="F167" s="196" t="s">
        <v>730</v>
      </c>
      <c r="G167" s="193"/>
      <c r="H167" s="197">
        <v>6</v>
      </c>
      <c r="I167" s="198"/>
      <c r="J167" s="193"/>
      <c r="K167" s="193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139</v>
      </c>
      <c r="AU167" s="203" t="s">
        <v>82</v>
      </c>
      <c r="AV167" s="13" t="s">
        <v>82</v>
      </c>
      <c r="AW167" s="13" t="s">
        <v>34</v>
      </c>
      <c r="AX167" s="13" t="s">
        <v>72</v>
      </c>
      <c r="AY167" s="203" t="s">
        <v>128</v>
      </c>
    </row>
    <row r="168" spans="1:65" s="14" customFormat="1" ht="10">
      <c r="B168" s="204"/>
      <c r="C168" s="205"/>
      <c r="D168" s="194" t="s">
        <v>139</v>
      </c>
      <c r="E168" s="206" t="s">
        <v>19</v>
      </c>
      <c r="F168" s="207" t="s">
        <v>153</v>
      </c>
      <c r="G168" s="205"/>
      <c r="H168" s="208">
        <v>26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139</v>
      </c>
      <c r="AU168" s="214" t="s">
        <v>82</v>
      </c>
      <c r="AV168" s="14" t="s">
        <v>135</v>
      </c>
      <c r="AW168" s="14" t="s">
        <v>34</v>
      </c>
      <c r="AX168" s="14" t="s">
        <v>80</v>
      </c>
      <c r="AY168" s="214" t="s">
        <v>128</v>
      </c>
    </row>
    <row r="169" spans="1:65" s="2" customFormat="1" ht="21.75" customHeight="1">
      <c r="A169" s="35"/>
      <c r="B169" s="36"/>
      <c r="C169" s="174" t="s">
        <v>230</v>
      </c>
      <c r="D169" s="174" t="s">
        <v>130</v>
      </c>
      <c r="E169" s="175" t="s">
        <v>731</v>
      </c>
      <c r="F169" s="176" t="s">
        <v>732</v>
      </c>
      <c r="G169" s="177" t="s">
        <v>305</v>
      </c>
      <c r="H169" s="178">
        <v>5</v>
      </c>
      <c r="I169" s="179"/>
      <c r="J169" s="180">
        <f>ROUND(I169*H169,2)</f>
        <v>0</v>
      </c>
      <c r="K169" s="176" t="s">
        <v>134</v>
      </c>
      <c r="L169" s="40"/>
      <c r="M169" s="181" t="s">
        <v>19</v>
      </c>
      <c r="N169" s="182" t="s">
        <v>43</v>
      </c>
      <c r="O169" s="65"/>
      <c r="P169" s="183">
        <f>O169*H169</f>
        <v>0</v>
      </c>
      <c r="Q169" s="183">
        <v>8.1850000000000006E-2</v>
      </c>
      <c r="R169" s="183">
        <f>Q169*H169</f>
        <v>0.40925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135</v>
      </c>
      <c r="AT169" s="185" t="s">
        <v>130</v>
      </c>
      <c r="AU169" s="185" t="s">
        <v>82</v>
      </c>
      <c r="AY169" s="18" t="s">
        <v>128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80</v>
      </c>
      <c r="BK169" s="186">
        <f>ROUND(I169*H169,2)</f>
        <v>0</v>
      </c>
      <c r="BL169" s="18" t="s">
        <v>135</v>
      </c>
      <c r="BM169" s="185" t="s">
        <v>733</v>
      </c>
    </row>
    <row r="170" spans="1:65" s="2" customFormat="1" ht="10">
      <c r="A170" s="35"/>
      <c r="B170" s="36"/>
      <c r="C170" s="37"/>
      <c r="D170" s="187" t="s">
        <v>137</v>
      </c>
      <c r="E170" s="37"/>
      <c r="F170" s="188" t="s">
        <v>734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137</v>
      </c>
      <c r="AU170" s="18" t="s">
        <v>82</v>
      </c>
    </row>
    <row r="171" spans="1:65" s="13" customFormat="1" ht="10">
      <c r="B171" s="192"/>
      <c r="C171" s="193"/>
      <c r="D171" s="194" t="s">
        <v>139</v>
      </c>
      <c r="E171" s="195" t="s">
        <v>19</v>
      </c>
      <c r="F171" s="196" t="s">
        <v>735</v>
      </c>
      <c r="G171" s="193"/>
      <c r="H171" s="197">
        <v>5</v>
      </c>
      <c r="I171" s="198"/>
      <c r="J171" s="193"/>
      <c r="K171" s="193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139</v>
      </c>
      <c r="AU171" s="203" t="s">
        <v>82</v>
      </c>
      <c r="AV171" s="13" t="s">
        <v>82</v>
      </c>
      <c r="AW171" s="13" t="s">
        <v>34</v>
      </c>
      <c r="AX171" s="13" t="s">
        <v>80</v>
      </c>
      <c r="AY171" s="203" t="s">
        <v>128</v>
      </c>
    </row>
    <row r="172" spans="1:65" s="2" customFormat="1" ht="16.5" customHeight="1">
      <c r="A172" s="35"/>
      <c r="B172" s="36"/>
      <c r="C172" s="174" t="s">
        <v>236</v>
      </c>
      <c r="D172" s="174" t="s">
        <v>130</v>
      </c>
      <c r="E172" s="175" t="s">
        <v>736</v>
      </c>
      <c r="F172" s="176" t="s">
        <v>737</v>
      </c>
      <c r="G172" s="177" t="s">
        <v>148</v>
      </c>
      <c r="H172" s="178">
        <v>12.201000000000001</v>
      </c>
      <c r="I172" s="179"/>
      <c r="J172" s="180">
        <f>ROUND(I172*H172,2)</f>
        <v>0</v>
      </c>
      <c r="K172" s="176" t="s">
        <v>134</v>
      </c>
      <c r="L172" s="40"/>
      <c r="M172" s="181" t="s">
        <v>19</v>
      </c>
      <c r="N172" s="182" t="s">
        <v>43</v>
      </c>
      <c r="O172" s="65"/>
      <c r="P172" s="183">
        <f>O172*H172</f>
        <v>0</v>
      </c>
      <c r="Q172" s="183">
        <v>1.94302</v>
      </c>
      <c r="R172" s="183">
        <f>Q172*H172</f>
        <v>23.70678702</v>
      </c>
      <c r="S172" s="183">
        <v>0</v>
      </c>
      <c r="T172" s="18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135</v>
      </c>
      <c r="AT172" s="185" t="s">
        <v>130</v>
      </c>
      <c r="AU172" s="185" t="s">
        <v>82</v>
      </c>
      <c r="AY172" s="18" t="s">
        <v>128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8" t="s">
        <v>80</v>
      </c>
      <c r="BK172" s="186">
        <f>ROUND(I172*H172,2)</f>
        <v>0</v>
      </c>
      <c r="BL172" s="18" t="s">
        <v>135</v>
      </c>
      <c r="BM172" s="185" t="s">
        <v>738</v>
      </c>
    </row>
    <row r="173" spans="1:65" s="2" customFormat="1" ht="10">
      <c r="A173" s="35"/>
      <c r="B173" s="36"/>
      <c r="C173" s="37"/>
      <c r="D173" s="187" t="s">
        <v>137</v>
      </c>
      <c r="E173" s="37"/>
      <c r="F173" s="188" t="s">
        <v>739</v>
      </c>
      <c r="G173" s="37"/>
      <c r="H173" s="37"/>
      <c r="I173" s="189"/>
      <c r="J173" s="37"/>
      <c r="K173" s="37"/>
      <c r="L173" s="40"/>
      <c r="M173" s="190"/>
      <c r="N173" s="191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137</v>
      </c>
      <c r="AU173" s="18" t="s">
        <v>82</v>
      </c>
    </row>
    <row r="174" spans="1:65" s="13" customFormat="1" ht="10">
      <c r="B174" s="192"/>
      <c r="C174" s="193"/>
      <c r="D174" s="194" t="s">
        <v>139</v>
      </c>
      <c r="E174" s="195" t="s">
        <v>19</v>
      </c>
      <c r="F174" s="196" t="s">
        <v>740</v>
      </c>
      <c r="G174" s="193"/>
      <c r="H174" s="197">
        <v>7.35</v>
      </c>
      <c r="I174" s="198"/>
      <c r="J174" s="193"/>
      <c r="K174" s="193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139</v>
      </c>
      <c r="AU174" s="203" t="s">
        <v>82</v>
      </c>
      <c r="AV174" s="13" t="s">
        <v>82</v>
      </c>
      <c r="AW174" s="13" t="s">
        <v>34</v>
      </c>
      <c r="AX174" s="13" t="s">
        <v>72</v>
      </c>
      <c r="AY174" s="203" t="s">
        <v>128</v>
      </c>
    </row>
    <row r="175" spans="1:65" s="13" customFormat="1" ht="10">
      <c r="B175" s="192"/>
      <c r="C175" s="193"/>
      <c r="D175" s="194" t="s">
        <v>139</v>
      </c>
      <c r="E175" s="195" t="s">
        <v>19</v>
      </c>
      <c r="F175" s="196" t="s">
        <v>741</v>
      </c>
      <c r="G175" s="193"/>
      <c r="H175" s="197">
        <v>0.315</v>
      </c>
      <c r="I175" s="198"/>
      <c r="J175" s="193"/>
      <c r="K175" s="193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139</v>
      </c>
      <c r="AU175" s="203" t="s">
        <v>82</v>
      </c>
      <c r="AV175" s="13" t="s">
        <v>82</v>
      </c>
      <c r="AW175" s="13" t="s">
        <v>34</v>
      </c>
      <c r="AX175" s="13" t="s">
        <v>72</v>
      </c>
      <c r="AY175" s="203" t="s">
        <v>128</v>
      </c>
    </row>
    <row r="176" spans="1:65" s="13" customFormat="1" ht="10">
      <c r="B176" s="192"/>
      <c r="C176" s="193"/>
      <c r="D176" s="194" t="s">
        <v>139</v>
      </c>
      <c r="E176" s="195" t="s">
        <v>19</v>
      </c>
      <c r="F176" s="196" t="s">
        <v>742</v>
      </c>
      <c r="G176" s="193"/>
      <c r="H176" s="197">
        <v>4.5359999999999996</v>
      </c>
      <c r="I176" s="198"/>
      <c r="J176" s="193"/>
      <c r="K176" s="193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139</v>
      </c>
      <c r="AU176" s="203" t="s">
        <v>82</v>
      </c>
      <c r="AV176" s="13" t="s">
        <v>82</v>
      </c>
      <c r="AW176" s="13" t="s">
        <v>34</v>
      </c>
      <c r="AX176" s="13" t="s">
        <v>72</v>
      </c>
      <c r="AY176" s="203" t="s">
        <v>128</v>
      </c>
    </row>
    <row r="177" spans="1:65" s="14" customFormat="1" ht="10">
      <c r="B177" s="204"/>
      <c r="C177" s="205"/>
      <c r="D177" s="194" t="s">
        <v>139</v>
      </c>
      <c r="E177" s="206" t="s">
        <v>19</v>
      </c>
      <c r="F177" s="207" t="s">
        <v>153</v>
      </c>
      <c r="G177" s="205"/>
      <c r="H177" s="208">
        <v>12.201000000000001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139</v>
      </c>
      <c r="AU177" s="214" t="s">
        <v>82</v>
      </c>
      <c r="AV177" s="14" t="s">
        <v>135</v>
      </c>
      <c r="AW177" s="14" t="s">
        <v>34</v>
      </c>
      <c r="AX177" s="14" t="s">
        <v>80</v>
      </c>
      <c r="AY177" s="214" t="s">
        <v>128</v>
      </c>
    </row>
    <row r="178" spans="1:65" s="2" customFormat="1" ht="16.5" customHeight="1">
      <c r="A178" s="35"/>
      <c r="B178" s="36"/>
      <c r="C178" s="174" t="s">
        <v>242</v>
      </c>
      <c r="D178" s="174" t="s">
        <v>130</v>
      </c>
      <c r="E178" s="175" t="s">
        <v>743</v>
      </c>
      <c r="F178" s="176" t="s">
        <v>744</v>
      </c>
      <c r="G178" s="177" t="s">
        <v>133</v>
      </c>
      <c r="H178" s="178">
        <v>50.4</v>
      </c>
      <c r="I178" s="179"/>
      <c r="J178" s="180">
        <f>ROUND(I178*H178,2)</f>
        <v>0</v>
      </c>
      <c r="K178" s="176" t="s">
        <v>134</v>
      </c>
      <c r="L178" s="40"/>
      <c r="M178" s="181" t="s">
        <v>19</v>
      </c>
      <c r="N178" s="182" t="s">
        <v>43</v>
      </c>
      <c r="O178" s="65"/>
      <c r="P178" s="183">
        <f>O178*H178</f>
        <v>0</v>
      </c>
      <c r="Q178" s="183">
        <v>2.5200000000000001E-3</v>
      </c>
      <c r="R178" s="183">
        <f>Q178*H178</f>
        <v>0.12700800000000001</v>
      </c>
      <c r="S178" s="183">
        <v>0</v>
      </c>
      <c r="T178" s="18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135</v>
      </c>
      <c r="AT178" s="185" t="s">
        <v>130</v>
      </c>
      <c r="AU178" s="185" t="s">
        <v>82</v>
      </c>
      <c r="AY178" s="18" t="s">
        <v>128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80</v>
      </c>
      <c r="BK178" s="186">
        <f>ROUND(I178*H178,2)</f>
        <v>0</v>
      </c>
      <c r="BL178" s="18" t="s">
        <v>135</v>
      </c>
      <c r="BM178" s="185" t="s">
        <v>745</v>
      </c>
    </row>
    <row r="179" spans="1:65" s="2" customFormat="1" ht="10">
      <c r="A179" s="35"/>
      <c r="B179" s="36"/>
      <c r="C179" s="37"/>
      <c r="D179" s="187" t="s">
        <v>137</v>
      </c>
      <c r="E179" s="37"/>
      <c r="F179" s="188" t="s">
        <v>746</v>
      </c>
      <c r="G179" s="37"/>
      <c r="H179" s="37"/>
      <c r="I179" s="189"/>
      <c r="J179" s="37"/>
      <c r="K179" s="37"/>
      <c r="L179" s="40"/>
      <c r="M179" s="190"/>
      <c r="N179" s="191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137</v>
      </c>
      <c r="AU179" s="18" t="s">
        <v>82</v>
      </c>
    </row>
    <row r="180" spans="1:65" s="13" customFormat="1" ht="10">
      <c r="B180" s="192"/>
      <c r="C180" s="193"/>
      <c r="D180" s="194" t="s">
        <v>139</v>
      </c>
      <c r="E180" s="195" t="s">
        <v>19</v>
      </c>
      <c r="F180" s="196" t="s">
        <v>729</v>
      </c>
      <c r="G180" s="193"/>
      <c r="H180" s="197">
        <v>20</v>
      </c>
      <c r="I180" s="198"/>
      <c r="J180" s="193"/>
      <c r="K180" s="193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139</v>
      </c>
      <c r="AU180" s="203" t="s">
        <v>82</v>
      </c>
      <c r="AV180" s="13" t="s">
        <v>82</v>
      </c>
      <c r="AW180" s="13" t="s">
        <v>34</v>
      </c>
      <c r="AX180" s="13" t="s">
        <v>72</v>
      </c>
      <c r="AY180" s="203" t="s">
        <v>128</v>
      </c>
    </row>
    <row r="181" spans="1:65" s="13" customFormat="1" ht="10">
      <c r="B181" s="192"/>
      <c r="C181" s="193"/>
      <c r="D181" s="194" t="s">
        <v>139</v>
      </c>
      <c r="E181" s="195" t="s">
        <v>19</v>
      </c>
      <c r="F181" s="196" t="s">
        <v>747</v>
      </c>
      <c r="G181" s="193"/>
      <c r="H181" s="197">
        <v>30.4</v>
      </c>
      <c r="I181" s="198"/>
      <c r="J181" s="193"/>
      <c r="K181" s="193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139</v>
      </c>
      <c r="AU181" s="203" t="s">
        <v>82</v>
      </c>
      <c r="AV181" s="13" t="s">
        <v>82</v>
      </c>
      <c r="AW181" s="13" t="s">
        <v>34</v>
      </c>
      <c r="AX181" s="13" t="s">
        <v>72</v>
      </c>
      <c r="AY181" s="203" t="s">
        <v>128</v>
      </c>
    </row>
    <row r="182" spans="1:65" s="14" customFormat="1" ht="10">
      <c r="B182" s="204"/>
      <c r="C182" s="205"/>
      <c r="D182" s="194" t="s">
        <v>139</v>
      </c>
      <c r="E182" s="206" t="s">
        <v>19</v>
      </c>
      <c r="F182" s="207" t="s">
        <v>153</v>
      </c>
      <c r="G182" s="205"/>
      <c r="H182" s="208">
        <v>50.4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139</v>
      </c>
      <c r="AU182" s="214" t="s">
        <v>82</v>
      </c>
      <c r="AV182" s="14" t="s">
        <v>135</v>
      </c>
      <c r="AW182" s="14" t="s">
        <v>34</v>
      </c>
      <c r="AX182" s="14" t="s">
        <v>80</v>
      </c>
      <c r="AY182" s="214" t="s">
        <v>128</v>
      </c>
    </row>
    <row r="183" spans="1:65" s="12" customFormat="1" ht="22.75" customHeight="1">
      <c r="B183" s="158"/>
      <c r="C183" s="159"/>
      <c r="D183" s="160" t="s">
        <v>71</v>
      </c>
      <c r="E183" s="172" t="s">
        <v>135</v>
      </c>
      <c r="F183" s="172" t="s">
        <v>748</v>
      </c>
      <c r="G183" s="159"/>
      <c r="H183" s="159"/>
      <c r="I183" s="162"/>
      <c r="J183" s="173">
        <f>BK183</f>
        <v>0</v>
      </c>
      <c r="K183" s="159"/>
      <c r="L183" s="164"/>
      <c r="M183" s="165"/>
      <c r="N183" s="166"/>
      <c r="O183" s="166"/>
      <c r="P183" s="167">
        <f>SUM(P184:P231)</f>
        <v>0</v>
      </c>
      <c r="Q183" s="166"/>
      <c r="R183" s="167">
        <f>SUM(R184:R231)</f>
        <v>36.677740880000002</v>
      </c>
      <c r="S183" s="166"/>
      <c r="T183" s="168">
        <f>SUM(T184:T231)</f>
        <v>0</v>
      </c>
      <c r="AR183" s="169" t="s">
        <v>80</v>
      </c>
      <c r="AT183" s="170" t="s">
        <v>71</v>
      </c>
      <c r="AU183" s="170" t="s">
        <v>80</v>
      </c>
      <c r="AY183" s="169" t="s">
        <v>128</v>
      </c>
      <c r="BK183" s="171">
        <f>SUM(BK184:BK231)</f>
        <v>0</v>
      </c>
    </row>
    <row r="184" spans="1:65" s="2" customFormat="1" ht="24.15" customHeight="1">
      <c r="A184" s="35"/>
      <c r="B184" s="36"/>
      <c r="C184" s="174" t="s">
        <v>249</v>
      </c>
      <c r="D184" s="174" t="s">
        <v>130</v>
      </c>
      <c r="E184" s="175" t="s">
        <v>749</v>
      </c>
      <c r="F184" s="176" t="s">
        <v>750</v>
      </c>
      <c r="G184" s="177" t="s">
        <v>305</v>
      </c>
      <c r="H184" s="178">
        <v>141</v>
      </c>
      <c r="I184" s="179"/>
      <c r="J184" s="180">
        <f>ROUND(I184*H184,2)</f>
        <v>0</v>
      </c>
      <c r="K184" s="176" t="s">
        <v>134</v>
      </c>
      <c r="L184" s="40"/>
      <c r="M184" s="181" t="s">
        <v>19</v>
      </c>
      <c r="N184" s="182" t="s">
        <v>43</v>
      </c>
      <c r="O184" s="65"/>
      <c r="P184" s="183">
        <f>O184*H184</f>
        <v>0</v>
      </c>
      <c r="Q184" s="183">
        <v>4.5900000000000003E-3</v>
      </c>
      <c r="R184" s="183">
        <f>Q184*H184</f>
        <v>0.64719000000000004</v>
      </c>
      <c r="S184" s="183">
        <v>0</v>
      </c>
      <c r="T184" s="18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135</v>
      </c>
      <c r="AT184" s="185" t="s">
        <v>130</v>
      </c>
      <c r="AU184" s="185" t="s">
        <v>82</v>
      </c>
      <c r="AY184" s="18" t="s">
        <v>128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8" t="s">
        <v>80</v>
      </c>
      <c r="BK184" s="186">
        <f>ROUND(I184*H184,2)</f>
        <v>0</v>
      </c>
      <c r="BL184" s="18" t="s">
        <v>135</v>
      </c>
      <c r="BM184" s="185" t="s">
        <v>751</v>
      </c>
    </row>
    <row r="185" spans="1:65" s="2" customFormat="1" ht="10">
      <c r="A185" s="35"/>
      <c r="B185" s="36"/>
      <c r="C185" s="37"/>
      <c r="D185" s="187" t="s">
        <v>137</v>
      </c>
      <c r="E185" s="37"/>
      <c r="F185" s="188" t="s">
        <v>752</v>
      </c>
      <c r="G185" s="37"/>
      <c r="H185" s="37"/>
      <c r="I185" s="189"/>
      <c r="J185" s="37"/>
      <c r="K185" s="37"/>
      <c r="L185" s="40"/>
      <c r="M185" s="190"/>
      <c r="N185" s="191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137</v>
      </c>
      <c r="AU185" s="18" t="s">
        <v>82</v>
      </c>
    </row>
    <row r="186" spans="1:65" s="13" customFormat="1" ht="10">
      <c r="B186" s="192"/>
      <c r="C186" s="193"/>
      <c r="D186" s="194" t="s">
        <v>139</v>
      </c>
      <c r="E186" s="195" t="s">
        <v>19</v>
      </c>
      <c r="F186" s="196" t="s">
        <v>753</v>
      </c>
      <c r="G186" s="193"/>
      <c r="H186" s="197">
        <v>27</v>
      </c>
      <c r="I186" s="198"/>
      <c r="J186" s="193"/>
      <c r="K186" s="193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139</v>
      </c>
      <c r="AU186" s="203" t="s">
        <v>82</v>
      </c>
      <c r="AV186" s="13" t="s">
        <v>82</v>
      </c>
      <c r="AW186" s="13" t="s">
        <v>34</v>
      </c>
      <c r="AX186" s="13" t="s">
        <v>72</v>
      </c>
      <c r="AY186" s="203" t="s">
        <v>128</v>
      </c>
    </row>
    <row r="187" spans="1:65" s="13" customFormat="1" ht="10">
      <c r="B187" s="192"/>
      <c r="C187" s="193"/>
      <c r="D187" s="194" t="s">
        <v>139</v>
      </c>
      <c r="E187" s="195" t="s">
        <v>19</v>
      </c>
      <c r="F187" s="196" t="s">
        <v>754</v>
      </c>
      <c r="G187" s="193"/>
      <c r="H187" s="197">
        <v>28</v>
      </c>
      <c r="I187" s="198"/>
      <c r="J187" s="193"/>
      <c r="K187" s="193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139</v>
      </c>
      <c r="AU187" s="203" t="s">
        <v>82</v>
      </c>
      <c r="AV187" s="13" t="s">
        <v>82</v>
      </c>
      <c r="AW187" s="13" t="s">
        <v>34</v>
      </c>
      <c r="AX187" s="13" t="s">
        <v>72</v>
      </c>
      <c r="AY187" s="203" t="s">
        <v>128</v>
      </c>
    </row>
    <row r="188" spans="1:65" s="13" customFormat="1" ht="10">
      <c r="B188" s="192"/>
      <c r="C188" s="193"/>
      <c r="D188" s="194" t="s">
        <v>139</v>
      </c>
      <c r="E188" s="195" t="s">
        <v>19</v>
      </c>
      <c r="F188" s="196" t="s">
        <v>755</v>
      </c>
      <c r="G188" s="193"/>
      <c r="H188" s="197">
        <v>77</v>
      </c>
      <c r="I188" s="198"/>
      <c r="J188" s="193"/>
      <c r="K188" s="193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139</v>
      </c>
      <c r="AU188" s="203" t="s">
        <v>82</v>
      </c>
      <c r="AV188" s="13" t="s">
        <v>82</v>
      </c>
      <c r="AW188" s="13" t="s">
        <v>34</v>
      </c>
      <c r="AX188" s="13" t="s">
        <v>72</v>
      </c>
      <c r="AY188" s="203" t="s">
        <v>128</v>
      </c>
    </row>
    <row r="189" spans="1:65" s="13" customFormat="1" ht="10">
      <c r="B189" s="192"/>
      <c r="C189" s="193"/>
      <c r="D189" s="194" t="s">
        <v>139</v>
      </c>
      <c r="E189" s="195" t="s">
        <v>19</v>
      </c>
      <c r="F189" s="196" t="s">
        <v>756</v>
      </c>
      <c r="G189" s="193"/>
      <c r="H189" s="197">
        <v>9</v>
      </c>
      <c r="I189" s="198"/>
      <c r="J189" s="193"/>
      <c r="K189" s="193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139</v>
      </c>
      <c r="AU189" s="203" t="s">
        <v>82</v>
      </c>
      <c r="AV189" s="13" t="s">
        <v>82</v>
      </c>
      <c r="AW189" s="13" t="s">
        <v>34</v>
      </c>
      <c r="AX189" s="13" t="s">
        <v>72</v>
      </c>
      <c r="AY189" s="203" t="s">
        <v>128</v>
      </c>
    </row>
    <row r="190" spans="1:65" s="14" customFormat="1" ht="10">
      <c r="B190" s="204"/>
      <c r="C190" s="205"/>
      <c r="D190" s="194" t="s">
        <v>139</v>
      </c>
      <c r="E190" s="206" t="s">
        <v>19</v>
      </c>
      <c r="F190" s="207" t="s">
        <v>153</v>
      </c>
      <c r="G190" s="205"/>
      <c r="H190" s="208">
        <v>141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139</v>
      </c>
      <c r="AU190" s="214" t="s">
        <v>82</v>
      </c>
      <c r="AV190" s="14" t="s">
        <v>135</v>
      </c>
      <c r="AW190" s="14" t="s">
        <v>34</v>
      </c>
      <c r="AX190" s="14" t="s">
        <v>80</v>
      </c>
      <c r="AY190" s="214" t="s">
        <v>128</v>
      </c>
    </row>
    <row r="191" spans="1:65" s="2" customFormat="1" ht="16.5" customHeight="1">
      <c r="A191" s="35"/>
      <c r="B191" s="36"/>
      <c r="C191" s="215" t="s">
        <v>255</v>
      </c>
      <c r="D191" s="215" t="s">
        <v>414</v>
      </c>
      <c r="E191" s="216" t="s">
        <v>757</v>
      </c>
      <c r="F191" s="217" t="s">
        <v>758</v>
      </c>
      <c r="G191" s="218" t="s">
        <v>305</v>
      </c>
      <c r="H191" s="219">
        <v>77</v>
      </c>
      <c r="I191" s="220"/>
      <c r="J191" s="221">
        <f>ROUND(I191*H191,2)</f>
        <v>0</v>
      </c>
      <c r="K191" s="217" t="s">
        <v>134</v>
      </c>
      <c r="L191" s="222"/>
      <c r="M191" s="223" t="s">
        <v>19</v>
      </c>
      <c r="N191" s="224" t="s">
        <v>43</v>
      </c>
      <c r="O191" s="65"/>
      <c r="P191" s="183">
        <f>O191*H191</f>
        <v>0</v>
      </c>
      <c r="Q191" s="183">
        <v>7.8E-2</v>
      </c>
      <c r="R191" s="183">
        <f>Q191*H191</f>
        <v>6.0060000000000002</v>
      </c>
      <c r="S191" s="183">
        <v>0</v>
      </c>
      <c r="T191" s="18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178</v>
      </c>
      <c r="AT191" s="185" t="s">
        <v>414</v>
      </c>
      <c r="AU191" s="185" t="s">
        <v>82</v>
      </c>
      <c r="AY191" s="18" t="s">
        <v>128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80</v>
      </c>
      <c r="BK191" s="186">
        <f>ROUND(I191*H191,2)</f>
        <v>0</v>
      </c>
      <c r="BL191" s="18" t="s">
        <v>135</v>
      </c>
      <c r="BM191" s="185" t="s">
        <v>759</v>
      </c>
    </row>
    <row r="192" spans="1:65" s="13" customFormat="1" ht="10">
      <c r="B192" s="192"/>
      <c r="C192" s="193"/>
      <c r="D192" s="194" t="s">
        <v>139</v>
      </c>
      <c r="E192" s="195" t="s">
        <v>19</v>
      </c>
      <c r="F192" s="196" t="s">
        <v>755</v>
      </c>
      <c r="G192" s="193"/>
      <c r="H192" s="197">
        <v>77</v>
      </c>
      <c r="I192" s="198"/>
      <c r="J192" s="193"/>
      <c r="K192" s="193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139</v>
      </c>
      <c r="AU192" s="203" t="s">
        <v>82</v>
      </c>
      <c r="AV192" s="13" t="s">
        <v>82</v>
      </c>
      <c r="AW192" s="13" t="s">
        <v>34</v>
      </c>
      <c r="AX192" s="13" t="s">
        <v>80</v>
      </c>
      <c r="AY192" s="203" t="s">
        <v>128</v>
      </c>
    </row>
    <row r="193" spans="1:65" s="2" customFormat="1" ht="16.5" customHeight="1">
      <c r="A193" s="35"/>
      <c r="B193" s="36"/>
      <c r="C193" s="215" t="s">
        <v>7</v>
      </c>
      <c r="D193" s="215" t="s">
        <v>414</v>
      </c>
      <c r="E193" s="216" t="s">
        <v>760</v>
      </c>
      <c r="F193" s="217" t="s">
        <v>761</v>
      </c>
      <c r="G193" s="218" t="s">
        <v>305</v>
      </c>
      <c r="H193" s="219">
        <v>28</v>
      </c>
      <c r="I193" s="220"/>
      <c r="J193" s="221">
        <f>ROUND(I193*H193,2)</f>
        <v>0</v>
      </c>
      <c r="K193" s="217" t="s">
        <v>19</v>
      </c>
      <c r="L193" s="222"/>
      <c r="M193" s="223" t="s">
        <v>19</v>
      </c>
      <c r="N193" s="224" t="s">
        <v>43</v>
      </c>
      <c r="O193" s="65"/>
      <c r="P193" s="183">
        <f>O193*H193</f>
        <v>0</v>
      </c>
      <c r="Q193" s="183">
        <v>9.7000000000000003E-2</v>
      </c>
      <c r="R193" s="183">
        <f>Q193*H193</f>
        <v>2.7160000000000002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178</v>
      </c>
      <c r="AT193" s="185" t="s">
        <v>414</v>
      </c>
      <c r="AU193" s="185" t="s">
        <v>82</v>
      </c>
      <c r="AY193" s="18" t="s">
        <v>128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80</v>
      </c>
      <c r="BK193" s="186">
        <f>ROUND(I193*H193,2)</f>
        <v>0</v>
      </c>
      <c r="BL193" s="18" t="s">
        <v>135</v>
      </c>
      <c r="BM193" s="185" t="s">
        <v>762</v>
      </c>
    </row>
    <row r="194" spans="1:65" s="13" customFormat="1" ht="10">
      <c r="B194" s="192"/>
      <c r="C194" s="193"/>
      <c r="D194" s="194" t="s">
        <v>139</v>
      </c>
      <c r="E194" s="195" t="s">
        <v>19</v>
      </c>
      <c r="F194" s="196" t="s">
        <v>754</v>
      </c>
      <c r="G194" s="193"/>
      <c r="H194" s="197">
        <v>28</v>
      </c>
      <c r="I194" s="198"/>
      <c r="J194" s="193"/>
      <c r="K194" s="193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139</v>
      </c>
      <c r="AU194" s="203" t="s">
        <v>82</v>
      </c>
      <c r="AV194" s="13" t="s">
        <v>82</v>
      </c>
      <c r="AW194" s="13" t="s">
        <v>34</v>
      </c>
      <c r="AX194" s="13" t="s">
        <v>80</v>
      </c>
      <c r="AY194" s="203" t="s">
        <v>128</v>
      </c>
    </row>
    <row r="195" spans="1:65" s="2" customFormat="1" ht="16.5" customHeight="1">
      <c r="A195" s="35"/>
      <c r="B195" s="36"/>
      <c r="C195" s="215" t="s">
        <v>268</v>
      </c>
      <c r="D195" s="215" t="s">
        <v>414</v>
      </c>
      <c r="E195" s="216" t="s">
        <v>763</v>
      </c>
      <c r="F195" s="217" t="s">
        <v>764</v>
      </c>
      <c r="G195" s="218" t="s">
        <v>305</v>
      </c>
      <c r="H195" s="219">
        <v>27</v>
      </c>
      <c r="I195" s="220"/>
      <c r="J195" s="221">
        <f>ROUND(I195*H195,2)</f>
        <v>0</v>
      </c>
      <c r="K195" s="217" t="s">
        <v>19</v>
      </c>
      <c r="L195" s="222"/>
      <c r="M195" s="223" t="s">
        <v>19</v>
      </c>
      <c r="N195" s="224" t="s">
        <v>43</v>
      </c>
      <c r="O195" s="65"/>
      <c r="P195" s="183">
        <f>O195*H195</f>
        <v>0</v>
      </c>
      <c r="Q195" s="183">
        <v>9.7000000000000003E-2</v>
      </c>
      <c r="R195" s="183">
        <f>Q195*H195</f>
        <v>2.6190000000000002</v>
      </c>
      <c r="S195" s="183">
        <v>0</v>
      </c>
      <c r="T195" s="18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5" t="s">
        <v>178</v>
      </c>
      <c r="AT195" s="185" t="s">
        <v>414</v>
      </c>
      <c r="AU195" s="185" t="s">
        <v>82</v>
      </c>
      <c r="AY195" s="18" t="s">
        <v>128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8" t="s">
        <v>80</v>
      </c>
      <c r="BK195" s="186">
        <f>ROUND(I195*H195,2)</f>
        <v>0</v>
      </c>
      <c r="BL195" s="18" t="s">
        <v>135</v>
      </c>
      <c r="BM195" s="185" t="s">
        <v>765</v>
      </c>
    </row>
    <row r="196" spans="1:65" s="13" customFormat="1" ht="10">
      <c r="B196" s="192"/>
      <c r="C196" s="193"/>
      <c r="D196" s="194" t="s">
        <v>139</v>
      </c>
      <c r="E196" s="195" t="s">
        <v>19</v>
      </c>
      <c r="F196" s="196" t="s">
        <v>753</v>
      </c>
      <c r="G196" s="193"/>
      <c r="H196" s="197">
        <v>27</v>
      </c>
      <c r="I196" s="198"/>
      <c r="J196" s="193"/>
      <c r="K196" s="193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139</v>
      </c>
      <c r="AU196" s="203" t="s">
        <v>82</v>
      </c>
      <c r="AV196" s="13" t="s">
        <v>82</v>
      </c>
      <c r="AW196" s="13" t="s">
        <v>34</v>
      </c>
      <c r="AX196" s="13" t="s">
        <v>80</v>
      </c>
      <c r="AY196" s="203" t="s">
        <v>128</v>
      </c>
    </row>
    <row r="197" spans="1:65" s="2" customFormat="1" ht="16.5" customHeight="1">
      <c r="A197" s="35"/>
      <c r="B197" s="36"/>
      <c r="C197" s="215" t="s">
        <v>274</v>
      </c>
      <c r="D197" s="215" t="s">
        <v>414</v>
      </c>
      <c r="E197" s="216" t="s">
        <v>766</v>
      </c>
      <c r="F197" s="217" t="s">
        <v>767</v>
      </c>
      <c r="G197" s="218" t="s">
        <v>305</v>
      </c>
      <c r="H197" s="219">
        <v>9</v>
      </c>
      <c r="I197" s="220"/>
      <c r="J197" s="221">
        <f>ROUND(I197*H197,2)</f>
        <v>0</v>
      </c>
      <c r="K197" s="217" t="s">
        <v>19</v>
      </c>
      <c r="L197" s="222"/>
      <c r="M197" s="223" t="s">
        <v>19</v>
      </c>
      <c r="N197" s="224" t="s">
        <v>43</v>
      </c>
      <c r="O197" s="65"/>
      <c r="P197" s="183">
        <f>O197*H197</f>
        <v>0</v>
      </c>
      <c r="Q197" s="183">
        <v>0.11700000000000001</v>
      </c>
      <c r="R197" s="183">
        <f>Q197*H197</f>
        <v>1.0530000000000002</v>
      </c>
      <c r="S197" s="183">
        <v>0</v>
      </c>
      <c r="T197" s="18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178</v>
      </c>
      <c r="AT197" s="185" t="s">
        <v>414</v>
      </c>
      <c r="AU197" s="185" t="s">
        <v>82</v>
      </c>
      <c r="AY197" s="18" t="s">
        <v>128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8" t="s">
        <v>80</v>
      </c>
      <c r="BK197" s="186">
        <f>ROUND(I197*H197,2)</f>
        <v>0</v>
      </c>
      <c r="BL197" s="18" t="s">
        <v>135</v>
      </c>
      <c r="BM197" s="185" t="s">
        <v>768</v>
      </c>
    </row>
    <row r="198" spans="1:65" s="13" customFormat="1" ht="10">
      <c r="B198" s="192"/>
      <c r="C198" s="193"/>
      <c r="D198" s="194" t="s">
        <v>139</v>
      </c>
      <c r="E198" s="195" t="s">
        <v>19</v>
      </c>
      <c r="F198" s="196" t="s">
        <v>756</v>
      </c>
      <c r="G198" s="193"/>
      <c r="H198" s="197">
        <v>9</v>
      </c>
      <c r="I198" s="198"/>
      <c r="J198" s="193"/>
      <c r="K198" s="193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139</v>
      </c>
      <c r="AU198" s="203" t="s">
        <v>82</v>
      </c>
      <c r="AV198" s="13" t="s">
        <v>82</v>
      </c>
      <c r="AW198" s="13" t="s">
        <v>34</v>
      </c>
      <c r="AX198" s="13" t="s">
        <v>80</v>
      </c>
      <c r="AY198" s="203" t="s">
        <v>128</v>
      </c>
    </row>
    <row r="199" spans="1:65" s="2" customFormat="1" ht="16.5" customHeight="1">
      <c r="A199" s="35"/>
      <c r="B199" s="36"/>
      <c r="C199" s="174" t="s">
        <v>282</v>
      </c>
      <c r="D199" s="174" t="s">
        <v>130</v>
      </c>
      <c r="E199" s="175" t="s">
        <v>769</v>
      </c>
      <c r="F199" s="176" t="s">
        <v>770</v>
      </c>
      <c r="G199" s="177" t="s">
        <v>148</v>
      </c>
      <c r="H199" s="178">
        <v>4.8179999999999996</v>
      </c>
      <c r="I199" s="179"/>
      <c r="J199" s="180">
        <f>ROUND(I199*H199,2)</f>
        <v>0</v>
      </c>
      <c r="K199" s="176" t="s">
        <v>134</v>
      </c>
      <c r="L199" s="40"/>
      <c r="M199" s="181" t="s">
        <v>19</v>
      </c>
      <c r="N199" s="182" t="s">
        <v>43</v>
      </c>
      <c r="O199" s="65"/>
      <c r="P199" s="183">
        <f>O199*H199</f>
        <v>0</v>
      </c>
      <c r="Q199" s="183">
        <v>2.5019800000000001</v>
      </c>
      <c r="R199" s="183">
        <f>Q199*H199</f>
        <v>12.05453964</v>
      </c>
      <c r="S199" s="183">
        <v>0</v>
      </c>
      <c r="T199" s="18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5" t="s">
        <v>135</v>
      </c>
      <c r="AT199" s="185" t="s">
        <v>130</v>
      </c>
      <c r="AU199" s="185" t="s">
        <v>82</v>
      </c>
      <c r="AY199" s="18" t="s">
        <v>128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8" t="s">
        <v>80</v>
      </c>
      <c r="BK199" s="186">
        <f>ROUND(I199*H199,2)</f>
        <v>0</v>
      </c>
      <c r="BL199" s="18" t="s">
        <v>135</v>
      </c>
      <c r="BM199" s="185" t="s">
        <v>771</v>
      </c>
    </row>
    <row r="200" spans="1:65" s="2" customFormat="1" ht="10">
      <c r="A200" s="35"/>
      <c r="B200" s="36"/>
      <c r="C200" s="37"/>
      <c r="D200" s="187" t="s">
        <v>137</v>
      </c>
      <c r="E200" s="37"/>
      <c r="F200" s="188" t="s">
        <v>772</v>
      </c>
      <c r="G200" s="37"/>
      <c r="H200" s="37"/>
      <c r="I200" s="189"/>
      <c r="J200" s="37"/>
      <c r="K200" s="37"/>
      <c r="L200" s="40"/>
      <c r="M200" s="190"/>
      <c r="N200" s="191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137</v>
      </c>
      <c r="AU200" s="18" t="s">
        <v>82</v>
      </c>
    </row>
    <row r="201" spans="1:65" s="13" customFormat="1" ht="10">
      <c r="B201" s="192"/>
      <c r="C201" s="193"/>
      <c r="D201" s="194" t="s">
        <v>139</v>
      </c>
      <c r="E201" s="195" t="s">
        <v>19</v>
      </c>
      <c r="F201" s="196" t="s">
        <v>773</v>
      </c>
      <c r="G201" s="193"/>
      <c r="H201" s="197">
        <v>2.2799999999999998</v>
      </c>
      <c r="I201" s="198"/>
      <c r="J201" s="193"/>
      <c r="K201" s="193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139</v>
      </c>
      <c r="AU201" s="203" t="s">
        <v>82</v>
      </c>
      <c r="AV201" s="13" t="s">
        <v>82</v>
      </c>
      <c r="AW201" s="13" t="s">
        <v>34</v>
      </c>
      <c r="AX201" s="13" t="s">
        <v>72</v>
      </c>
      <c r="AY201" s="203" t="s">
        <v>128</v>
      </c>
    </row>
    <row r="202" spans="1:65" s="13" customFormat="1" ht="10">
      <c r="B202" s="192"/>
      <c r="C202" s="193"/>
      <c r="D202" s="194" t="s">
        <v>139</v>
      </c>
      <c r="E202" s="195" t="s">
        <v>19</v>
      </c>
      <c r="F202" s="196" t="s">
        <v>774</v>
      </c>
      <c r="G202" s="193"/>
      <c r="H202" s="197">
        <v>1.75</v>
      </c>
      <c r="I202" s="198"/>
      <c r="J202" s="193"/>
      <c r="K202" s="193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139</v>
      </c>
      <c r="AU202" s="203" t="s">
        <v>82</v>
      </c>
      <c r="AV202" s="13" t="s">
        <v>82</v>
      </c>
      <c r="AW202" s="13" t="s">
        <v>34</v>
      </c>
      <c r="AX202" s="13" t="s">
        <v>72</v>
      </c>
      <c r="AY202" s="203" t="s">
        <v>128</v>
      </c>
    </row>
    <row r="203" spans="1:65" s="13" customFormat="1" ht="10">
      <c r="B203" s="192"/>
      <c r="C203" s="193"/>
      <c r="D203" s="194" t="s">
        <v>139</v>
      </c>
      <c r="E203" s="195" t="s">
        <v>19</v>
      </c>
      <c r="F203" s="196" t="s">
        <v>775</v>
      </c>
      <c r="G203" s="193"/>
      <c r="H203" s="197">
        <v>0.78800000000000003</v>
      </c>
      <c r="I203" s="198"/>
      <c r="J203" s="193"/>
      <c r="K203" s="193"/>
      <c r="L203" s="199"/>
      <c r="M203" s="200"/>
      <c r="N203" s="201"/>
      <c r="O203" s="201"/>
      <c r="P203" s="201"/>
      <c r="Q203" s="201"/>
      <c r="R203" s="201"/>
      <c r="S203" s="201"/>
      <c r="T203" s="202"/>
      <c r="AT203" s="203" t="s">
        <v>139</v>
      </c>
      <c r="AU203" s="203" t="s">
        <v>82</v>
      </c>
      <c r="AV203" s="13" t="s">
        <v>82</v>
      </c>
      <c r="AW203" s="13" t="s">
        <v>34</v>
      </c>
      <c r="AX203" s="13" t="s">
        <v>72</v>
      </c>
      <c r="AY203" s="203" t="s">
        <v>128</v>
      </c>
    </row>
    <row r="204" spans="1:65" s="14" customFormat="1" ht="10">
      <c r="B204" s="204"/>
      <c r="C204" s="205"/>
      <c r="D204" s="194" t="s">
        <v>139</v>
      </c>
      <c r="E204" s="206" t="s">
        <v>19</v>
      </c>
      <c r="F204" s="207" t="s">
        <v>153</v>
      </c>
      <c r="G204" s="205"/>
      <c r="H204" s="208">
        <v>4.8179999999999996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139</v>
      </c>
      <c r="AU204" s="214" t="s">
        <v>82</v>
      </c>
      <c r="AV204" s="14" t="s">
        <v>135</v>
      </c>
      <c r="AW204" s="14" t="s">
        <v>34</v>
      </c>
      <c r="AX204" s="14" t="s">
        <v>80</v>
      </c>
      <c r="AY204" s="214" t="s">
        <v>128</v>
      </c>
    </row>
    <row r="205" spans="1:65" s="2" customFormat="1" ht="16.5" customHeight="1">
      <c r="A205" s="35"/>
      <c r="B205" s="36"/>
      <c r="C205" s="174" t="s">
        <v>288</v>
      </c>
      <c r="D205" s="174" t="s">
        <v>130</v>
      </c>
      <c r="E205" s="175" t="s">
        <v>776</v>
      </c>
      <c r="F205" s="176" t="s">
        <v>777</v>
      </c>
      <c r="G205" s="177" t="s">
        <v>133</v>
      </c>
      <c r="H205" s="178">
        <v>33.67</v>
      </c>
      <c r="I205" s="179"/>
      <c r="J205" s="180">
        <f>ROUND(I205*H205,2)</f>
        <v>0</v>
      </c>
      <c r="K205" s="176" t="s">
        <v>134</v>
      </c>
      <c r="L205" s="40"/>
      <c r="M205" s="181" t="s">
        <v>19</v>
      </c>
      <c r="N205" s="182" t="s">
        <v>43</v>
      </c>
      <c r="O205" s="65"/>
      <c r="P205" s="183">
        <f>O205*H205</f>
        <v>0</v>
      </c>
      <c r="Q205" s="183">
        <v>5.7600000000000004E-3</v>
      </c>
      <c r="R205" s="183">
        <f>Q205*H205</f>
        <v>0.19393920000000003</v>
      </c>
      <c r="S205" s="183">
        <v>0</v>
      </c>
      <c r="T205" s="18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135</v>
      </c>
      <c r="AT205" s="185" t="s">
        <v>130</v>
      </c>
      <c r="AU205" s="185" t="s">
        <v>82</v>
      </c>
      <c r="AY205" s="18" t="s">
        <v>128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8" t="s">
        <v>80</v>
      </c>
      <c r="BK205" s="186">
        <f>ROUND(I205*H205,2)</f>
        <v>0</v>
      </c>
      <c r="BL205" s="18" t="s">
        <v>135</v>
      </c>
      <c r="BM205" s="185" t="s">
        <v>778</v>
      </c>
    </row>
    <row r="206" spans="1:65" s="2" customFormat="1" ht="10">
      <c r="A206" s="35"/>
      <c r="B206" s="36"/>
      <c r="C206" s="37"/>
      <c r="D206" s="187" t="s">
        <v>137</v>
      </c>
      <c r="E206" s="37"/>
      <c r="F206" s="188" t="s">
        <v>779</v>
      </c>
      <c r="G206" s="37"/>
      <c r="H206" s="37"/>
      <c r="I206" s="189"/>
      <c r="J206" s="37"/>
      <c r="K206" s="37"/>
      <c r="L206" s="40"/>
      <c r="M206" s="190"/>
      <c r="N206" s="191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137</v>
      </c>
      <c r="AU206" s="18" t="s">
        <v>82</v>
      </c>
    </row>
    <row r="207" spans="1:65" s="13" customFormat="1" ht="10">
      <c r="B207" s="192"/>
      <c r="C207" s="193"/>
      <c r="D207" s="194" t="s">
        <v>139</v>
      </c>
      <c r="E207" s="195" t="s">
        <v>19</v>
      </c>
      <c r="F207" s="196" t="s">
        <v>780</v>
      </c>
      <c r="G207" s="193"/>
      <c r="H207" s="197">
        <v>24.32</v>
      </c>
      <c r="I207" s="198"/>
      <c r="J207" s="193"/>
      <c r="K207" s="193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139</v>
      </c>
      <c r="AU207" s="203" t="s">
        <v>82</v>
      </c>
      <c r="AV207" s="13" t="s">
        <v>82</v>
      </c>
      <c r="AW207" s="13" t="s">
        <v>34</v>
      </c>
      <c r="AX207" s="13" t="s">
        <v>72</v>
      </c>
      <c r="AY207" s="203" t="s">
        <v>128</v>
      </c>
    </row>
    <row r="208" spans="1:65" s="13" customFormat="1" ht="10">
      <c r="B208" s="192"/>
      <c r="C208" s="193"/>
      <c r="D208" s="194" t="s">
        <v>139</v>
      </c>
      <c r="E208" s="195" t="s">
        <v>19</v>
      </c>
      <c r="F208" s="196" t="s">
        <v>781</v>
      </c>
      <c r="G208" s="193"/>
      <c r="H208" s="197">
        <v>3.75</v>
      </c>
      <c r="I208" s="198"/>
      <c r="J208" s="193"/>
      <c r="K208" s="193"/>
      <c r="L208" s="199"/>
      <c r="M208" s="200"/>
      <c r="N208" s="201"/>
      <c r="O208" s="201"/>
      <c r="P208" s="201"/>
      <c r="Q208" s="201"/>
      <c r="R208" s="201"/>
      <c r="S208" s="201"/>
      <c r="T208" s="202"/>
      <c r="AT208" s="203" t="s">
        <v>139</v>
      </c>
      <c r="AU208" s="203" t="s">
        <v>82</v>
      </c>
      <c r="AV208" s="13" t="s">
        <v>82</v>
      </c>
      <c r="AW208" s="13" t="s">
        <v>34</v>
      </c>
      <c r="AX208" s="13" t="s">
        <v>72</v>
      </c>
      <c r="AY208" s="203" t="s">
        <v>128</v>
      </c>
    </row>
    <row r="209" spans="1:65" s="13" customFormat="1" ht="10">
      <c r="B209" s="192"/>
      <c r="C209" s="193"/>
      <c r="D209" s="194" t="s">
        <v>139</v>
      </c>
      <c r="E209" s="195" t="s">
        <v>19</v>
      </c>
      <c r="F209" s="196" t="s">
        <v>782</v>
      </c>
      <c r="G209" s="193"/>
      <c r="H209" s="197">
        <v>5.6</v>
      </c>
      <c r="I209" s="198"/>
      <c r="J209" s="193"/>
      <c r="K209" s="193"/>
      <c r="L209" s="199"/>
      <c r="M209" s="200"/>
      <c r="N209" s="201"/>
      <c r="O209" s="201"/>
      <c r="P209" s="201"/>
      <c r="Q209" s="201"/>
      <c r="R209" s="201"/>
      <c r="S209" s="201"/>
      <c r="T209" s="202"/>
      <c r="AT209" s="203" t="s">
        <v>139</v>
      </c>
      <c r="AU209" s="203" t="s">
        <v>82</v>
      </c>
      <c r="AV209" s="13" t="s">
        <v>82</v>
      </c>
      <c r="AW209" s="13" t="s">
        <v>34</v>
      </c>
      <c r="AX209" s="13" t="s">
        <v>72</v>
      </c>
      <c r="AY209" s="203" t="s">
        <v>128</v>
      </c>
    </row>
    <row r="210" spans="1:65" s="14" customFormat="1" ht="10">
      <c r="B210" s="204"/>
      <c r="C210" s="205"/>
      <c r="D210" s="194" t="s">
        <v>139</v>
      </c>
      <c r="E210" s="206" t="s">
        <v>19</v>
      </c>
      <c r="F210" s="207" t="s">
        <v>153</v>
      </c>
      <c r="G210" s="205"/>
      <c r="H210" s="208">
        <v>33.67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139</v>
      </c>
      <c r="AU210" s="214" t="s">
        <v>82</v>
      </c>
      <c r="AV210" s="14" t="s">
        <v>135</v>
      </c>
      <c r="AW210" s="14" t="s">
        <v>34</v>
      </c>
      <c r="AX210" s="14" t="s">
        <v>80</v>
      </c>
      <c r="AY210" s="214" t="s">
        <v>128</v>
      </c>
    </row>
    <row r="211" spans="1:65" s="2" customFormat="1" ht="16.5" customHeight="1">
      <c r="A211" s="35"/>
      <c r="B211" s="36"/>
      <c r="C211" s="174" t="s">
        <v>294</v>
      </c>
      <c r="D211" s="174" t="s">
        <v>130</v>
      </c>
      <c r="E211" s="175" t="s">
        <v>783</v>
      </c>
      <c r="F211" s="176" t="s">
        <v>784</v>
      </c>
      <c r="G211" s="177" t="s">
        <v>133</v>
      </c>
      <c r="H211" s="178">
        <v>33.67</v>
      </c>
      <c r="I211" s="179"/>
      <c r="J211" s="180">
        <f>ROUND(I211*H211,2)</f>
        <v>0</v>
      </c>
      <c r="K211" s="176" t="s">
        <v>134</v>
      </c>
      <c r="L211" s="40"/>
      <c r="M211" s="181" t="s">
        <v>19</v>
      </c>
      <c r="N211" s="182" t="s">
        <v>43</v>
      </c>
      <c r="O211" s="65"/>
      <c r="P211" s="183">
        <f>O211*H211</f>
        <v>0</v>
      </c>
      <c r="Q211" s="183">
        <v>0</v>
      </c>
      <c r="R211" s="183">
        <f>Q211*H211</f>
        <v>0</v>
      </c>
      <c r="S211" s="183">
        <v>0</v>
      </c>
      <c r="T211" s="18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5" t="s">
        <v>135</v>
      </c>
      <c r="AT211" s="185" t="s">
        <v>130</v>
      </c>
      <c r="AU211" s="185" t="s">
        <v>82</v>
      </c>
      <c r="AY211" s="18" t="s">
        <v>128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8" t="s">
        <v>80</v>
      </c>
      <c r="BK211" s="186">
        <f>ROUND(I211*H211,2)</f>
        <v>0</v>
      </c>
      <c r="BL211" s="18" t="s">
        <v>135</v>
      </c>
      <c r="BM211" s="185" t="s">
        <v>785</v>
      </c>
    </row>
    <row r="212" spans="1:65" s="2" customFormat="1" ht="10">
      <c r="A212" s="35"/>
      <c r="B212" s="36"/>
      <c r="C212" s="37"/>
      <c r="D212" s="187" t="s">
        <v>137</v>
      </c>
      <c r="E212" s="37"/>
      <c r="F212" s="188" t="s">
        <v>786</v>
      </c>
      <c r="G212" s="37"/>
      <c r="H212" s="37"/>
      <c r="I212" s="189"/>
      <c r="J212" s="37"/>
      <c r="K212" s="37"/>
      <c r="L212" s="40"/>
      <c r="M212" s="190"/>
      <c r="N212" s="191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137</v>
      </c>
      <c r="AU212" s="18" t="s">
        <v>82</v>
      </c>
    </row>
    <row r="213" spans="1:65" s="2" customFormat="1" ht="16.5" customHeight="1">
      <c r="A213" s="35"/>
      <c r="B213" s="36"/>
      <c r="C213" s="174" t="s">
        <v>302</v>
      </c>
      <c r="D213" s="174" t="s">
        <v>130</v>
      </c>
      <c r="E213" s="175" t="s">
        <v>787</v>
      </c>
      <c r="F213" s="176" t="s">
        <v>788</v>
      </c>
      <c r="G213" s="177" t="s">
        <v>174</v>
      </c>
      <c r="H213" s="178">
        <v>0.53100000000000003</v>
      </c>
      <c r="I213" s="179"/>
      <c r="J213" s="180">
        <f>ROUND(I213*H213,2)</f>
        <v>0</v>
      </c>
      <c r="K213" s="176" t="s">
        <v>134</v>
      </c>
      <c r="L213" s="40"/>
      <c r="M213" s="181" t="s">
        <v>19</v>
      </c>
      <c r="N213" s="182" t="s">
        <v>43</v>
      </c>
      <c r="O213" s="65"/>
      <c r="P213" s="183">
        <f>O213*H213</f>
        <v>0</v>
      </c>
      <c r="Q213" s="183">
        <v>1.05291</v>
      </c>
      <c r="R213" s="183">
        <f>Q213*H213</f>
        <v>0.55909521000000006</v>
      </c>
      <c r="S213" s="183">
        <v>0</v>
      </c>
      <c r="T213" s="18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135</v>
      </c>
      <c r="AT213" s="185" t="s">
        <v>130</v>
      </c>
      <c r="AU213" s="185" t="s">
        <v>82</v>
      </c>
      <c r="AY213" s="18" t="s">
        <v>128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8" t="s">
        <v>80</v>
      </c>
      <c r="BK213" s="186">
        <f>ROUND(I213*H213,2)</f>
        <v>0</v>
      </c>
      <c r="BL213" s="18" t="s">
        <v>135</v>
      </c>
      <c r="BM213" s="185" t="s">
        <v>789</v>
      </c>
    </row>
    <row r="214" spans="1:65" s="2" customFormat="1" ht="10">
      <c r="A214" s="35"/>
      <c r="B214" s="36"/>
      <c r="C214" s="37"/>
      <c r="D214" s="187" t="s">
        <v>137</v>
      </c>
      <c r="E214" s="37"/>
      <c r="F214" s="188" t="s">
        <v>790</v>
      </c>
      <c r="G214" s="37"/>
      <c r="H214" s="37"/>
      <c r="I214" s="189"/>
      <c r="J214" s="37"/>
      <c r="K214" s="37"/>
      <c r="L214" s="40"/>
      <c r="M214" s="190"/>
      <c r="N214" s="191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137</v>
      </c>
      <c r="AU214" s="18" t="s">
        <v>82</v>
      </c>
    </row>
    <row r="215" spans="1:65" s="15" customFormat="1" ht="10">
      <c r="B215" s="230"/>
      <c r="C215" s="231"/>
      <c r="D215" s="194" t="s">
        <v>139</v>
      </c>
      <c r="E215" s="232" t="s">
        <v>19</v>
      </c>
      <c r="F215" s="233" t="s">
        <v>791</v>
      </c>
      <c r="G215" s="231"/>
      <c r="H215" s="232" t="s">
        <v>19</v>
      </c>
      <c r="I215" s="234"/>
      <c r="J215" s="231"/>
      <c r="K215" s="231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139</v>
      </c>
      <c r="AU215" s="239" t="s">
        <v>82</v>
      </c>
      <c r="AV215" s="15" t="s">
        <v>80</v>
      </c>
      <c r="AW215" s="15" t="s">
        <v>34</v>
      </c>
      <c r="AX215" s="15" t="s">
        <v>72</v>
      </c>
      <c r="AY215" s="239" t="s">
        <v>128</v>
      </c>
    </row>
    <row r="216" spans="1:65" s="13" customFormat="1" ht="10">
      <c r="B216" s="192"/>
      <c r="C216" s="193"/>
      <c r="D216" s="194" t="s">
        <v>139</v>
      </c>
      <c r="E216" s="195" t="s">
        <v>19</v>
      </c>
      <c r="F216" s="196" t="s">
        <v>792</v>
      </c>
      <c r="G216" s="193"/>
      <c r="H216" s="197">
        <v>0.251</v>
      </c>
      <c r="I216" s="198"/>
      <c r="J216" s="193"/>
      <c r="K216" s="193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139</v>
      </c>
      <c r="AU216" s="203" t="s">
        <v>82</v>
      </c>
      <c r="AV216" s="13" t="s">
        <v>82</v>
      </c>
      <c r="AW216" s="13" t="s">
        <v>34</v>
      </c>
      <c r="AX216" s="13" t="s">
        <v>72</v>
      </c>
      <c r="AY216" s="203" t="s">
        <v>128</v>
      </c>
    </row>
    <row r="217" spans="1:65" s="13" customFormat="1" ht="10">
      <c r="B217" s="192"/>
      <c r="C217" s="193"/>
      <c r="D217" s="194" t="s">
        <v>139</v>
      </c>
      <c r="E217" s="195" t="s">
        <v>19</v>
      </c>
      <c r="F217" s="196" t="s">
        <v>793</v>
      </c>
      <c r="G217" s="193"/>
      <c r="H217" s="197">
        <v>0.193</v>
      </c>
      <c r="I217" s="198"/>
      <c r="J217" s="193"/>
      <c r="K217" s="193"/>
      <c r="L217" s="199"/>
      <c r="M217" s="200"/>
      <c r="N217" s="201"/>
      <c r="O217" s="201"/>
      <c r="P217" s="201"/>
      <c r="Q217" s="201"/>
      <c r="R217" s="201"/>
      <c r="S217" s="201"/>
      <c r="T217" s="202"/>
      <c r="AT217" s="203" t="s">
        <v>139</v>
      </c>
      <c r="AU217" s="203" t="s">
        <v>82</v>
      </c>
      <c r="AV217" s="13" t="s">
        <v>82</v>
      </c>
      <c r="AW217" s="13" t="s">
        <v>34</v>
      </c>
      <c r="AX217" s="13" t="s">
        <v>72</v>
      </c>
      <c r="AY217" s="203" t="s">
        <v>128</v>
      </c>
    </row>
    <row r="218" spans="1:65" s="13" customFormat="1" ht="10">
      <c r="B218" s="192"/>
      <c r="C218" s="193"/>
      <c r="D218" s="194" t="s">
        <v>139</v>
      </c>
      <c r="E218" s="195" t="s">
        <v>19</v>
      </c>
      <c r="F218" s="196" t="s">
        <v>794</v>
      </c>
      <c r="G218" s="193"/>
      <c r="H218" s="197">
        <v>8.6999999999999994E-2</v>
      </c>
      <c r="I218" s="198"/>
      <c r="J218" s="193"/>
      <c r="K218" s="193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139</v>
      </c>
      <c r="AU218" s="203" t="s">
        <v>82</v>
      </c>
      <c r="AV218" s="13" t="s">
        <v>82</v>
      </c>
      <c r="AW218" s="13" t="s">
        <v>34</v>
      </c>
      <c r="AX218" s="13" t="s">
        <v>72</v>
      </c>
      <c r="AY218" s="203" t="s">
        <v>128</v>
      </c>
    </row>
    <row r="219" spans="1:65" s="14" customFormat="1" ht="10">
      <c r="B219" s="204"/>
      <c r="C219" s="205"/>
      <c r="D219" s="194" t="s">
        <v>139</v>
      </c>
      <c r="E219" s="206" t="s">
        <v>19</v>
      </c>
      <c r="F219" s="207" t="s">
        <v>153</v>
      </c>
      <c r="G219" s="205"/>
      <c r="H219" s="208">
        <v>0.53100000000000003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139</v>
      </c>
      <c r="AU219" s="214" t="s">
        <v>82</v>
      </c>
      <c r="AV219" s="14" t="s">
        <v>135</v>
      </c>
      <c r="AW219" s="14" t="s">
        <v>34</v>
      </c>
      <c r="AX219" s="14" t="s">
        <v>80</v>
      </c>
      <c r="AY219" s="214" t="s">
        <v>128</v>
      </c>
    </row>
    <row r="220" spans="1:65" s="2" customFormat="1" ht="24.15" customHeight="1">
      <c r="A220" s="35"/>
      <c r="B220" s="36"/>
      <c r="C220" s="174" t="s">
        <v>311</v>
      </c>
      <c r="D220" s="174" t="s">
        <v>130</v>
      </c>
      <c r="E220" s="175" t="s">
        <v>795</v>
      </c>
      <c r="F220" s="176" t="s">
        <v>796</v>
      </c>
      <c r="G220" s="177" t="s">
        <v>148</v>
      </c>
      <c r="H220" s="178">
        <v>4.3550000000000004</v>
      </c>
      <c r="I220" s="179"/>
      <c r="J220" s="180">
        <f>ROUND(I220*H220,2)</f>
        <v>0</v>
      </c>
      <c r="K220" s="176" t="s">
        <v>134</v>
      </c>
      <c r="L220" s="40"/>
      <c r="M220" s="181" t="s">
        <v>19</v>
      </c>
      <c r="N220" s="182" t="s">
        <v>43</v>
      </c>
      <c r="O220" s="65"/>
      <c r="P220" s="183">
        <f>O220*H220</f>
        <v>0</v>
      </c>
      <c r="Q220" s="183">
        <v>2.3010999999999999</v>
      </c>
      <c r="R220" s="183">
        <f>Q220*H220</f>
        <v>10.021290500000001</v>
      </c>
      <c r="S220" s="183">
        <v>0</v>
      </c>
      <c r="T220" s="18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5" t="s">
        <v>135</v>
      </c>
      <c r="AT220" s="185" t="s">
        <v>130</v>
      </c>
      <c r="AU220" s="185" t="s">
        <v>82</v>
      </c>
      <c r="AY220" s="18" t="s">
        <v>128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8" t="s">
        <v>80</v>
      </c>
      <c r="BK220" s="186">
        <f>ROUND(I220*H220,2)</f>
        <v>0</v>
      </c>
      <c r="BL220" s="18" t="s">
        <v>135</v>
      </c>
      <c r="BM220" s="185" t="s">
        <v>797</v>
      </c>
    </row>
    <row r="221" spans="1:65" s="2" customFormat="1" ht="10">
      <c r="A221" s="35"/>
      <c r="B221" s="36"/>
      <c r="C221" s="37"/>
      <c r="D221" s="187" t="s">
        <v>137</v>
      </c>
      <c r="E221" s="37"/>
      <c r="F221" s="188" t="s">
        <v>798</v>
      </c>
      <c r="G221" s="37"/>
      <c r="H221" s="37"/>
      <c r="I221" s="189"/>
      <c r="J221" s="37"/>
      <c r="K221" s="37"/>
      <c r="L221" s="40"/>
      <c r="M221" s="190"/>
      <c r="N221" s="191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137</v>
      </c>
      <c r="AU221" s="18" t="s">
        <v>82</v>
      </c>
    </row>
    <row r="222" spans="1:65" s="13" customFormat="1" ht="10">
      <c r="B222" s="192"/>
      <c r="C222" s="193"/>
      <c r="D222" s="194" t="s">
        <v>139</v>
      </c>
      <c r="E222" s="195" t="s">
        <v>19</v>
      </c>
      <c r="F222" s="196" t="s">
        <v>799</v>
      </c>
      <c r="G222" s="193"/>
      <c r="H222" s="197">
        <v>4.3550000000000004</v>
      </c>
      <c r="I222" s="198"/>
      <c r="J222" s="193"/>
      <c r="K222" s="193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139</v>
      </c>
      <c r="AU222" s="203" t="s">
        <v>82</v>
      </c>
      <c r="AV222" s="13" t="s">
        <v>82</v>
      </c>
      <c r="AW222" s="13" t="s">
        <v>34</v>
      </c>
      <c r="AX222" s="13" t="s">
        <v>80</v>
      </c>
      <c r="AY222" s="203" t="s">
        <v>128</v>
      </c>
    </row>
    <row r="223" spans="1:65" s="2" customFormat="1" ht="24.15" customHeight="1">
      <c r="A223" s="35"/>
      <c r="B223" s="36"/>
      <c r="C223" s="174" t="s">
        <v>317</v>
      </c>
      <c r="D223" s="174" t="s">
        <v>130</v>
      </c>
      <c r="E223" s="175" t="s">
        <v>800</v>
      </c>
      <c r="F223" s="176" t="s">
        <v>801</v>
      </c>
      <c r="G223" s="177" t="s">
        <v>174</v>
      </c>
      <c r="H223" s="178">
        <v>0.65300000000000002</v>
      </c>
      <c r="I223" s="179"/>
      <c r="J223" s="180">
        <f>ROUND(I223*H223,2)</f>
        <v>0</v>
      </c>
      <c r="K223" s="176" t="s">
        <v>134</v>
      </c>
      <c r="L223" s="40"/>
      <c r="M223" s="181" t="s">
        <v>19</v>
      </c>
      <c r="N223" s="182" t="s">
        <v>43</v>
      </c>
      <c r="O223" s="65"/>
      <c r="P223" s="183">
        <f>O223*H223</f>
        <v>0</v>
      </c>
      <c r="Q223" s="183">
        <v>1.0492699999999999</v>
      </c>
      <c r="R223" s="183">
        <f>Q223*H223</f>
        <v>0.68517330999999992</v>
      </c>
      <c r="S223" s="183">
        <v>0</v>
      </c>
      <c r="T223" s="18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135</v>
      </c>
      <c r="AT223" s="185" t="s">
        <v>130</v>
      </c>
      <c r="AU223" s="185" t="s">
        <v>82</v>
      </c>
      <c r="AY223" s="18" t="s">
        <v>128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8" t="s">
        <v>80</v>
      </c>
      <c r="BK223" s="186">
        <f>ROUND(I223*H223,2)</f>
        <v>0</v>
      </c>
      <c r="BL223" s="18" t="s">
        <v>135</v>
      </c>
      <c r="BM223" s="185" t="s">
        <v>802</v>
      </c>
    </row>
    <row r="224" spans="1:65" s="2" customFormat="1" ht="10">
      <c r="A224" s="35"/>
      <c r="B224" s="36"/>
      <c r="C224" s="37"/>
      <c r="D224" s="187" t="s">
        <v>137</v>
      </c>
      <c r="E224" s="37"/>
      <c r="F224" s="188" t="s">
        <v>803</v>
      </c>
      <c r="G224" s="37"/>
      <c r="H224" s="37"/>
      <c r="I224" s="189"/>
      <c r="J224" s="37"/>
      <c r="K224" s="37"/>
      <c r="L224" s="40"/>
      <c r="M224" s="190"/>
      <c r="N224" s="191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137</v>
      </c>
      <c r="AU224" s="18" t="s">
        <v>82</v>
      </c>
    </row>
    <row r="225" spans="1:65" s="15" customFormat="1" ht="10">
      <c r="B225" s="230"/>
      <c r="C225" s="231"/>
      <c r="D225" s="194" t="s">
        <v>139</v>
      </c>
      <c r="E225" s="232" t="s">
        <v>19</v>
      </c>
      <c r="F225" s="233" t="s">
        <v>804</v>
      </c>
      <c r="G225" s="231"/>
      <c r="H225" s="232" t="s">
        <v>19</v>
      </c>
      <c r="I225" s="234"/>
      <c r="J225" s="231"/>
      <c r="K225" s="231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139</v>
      </c>
      <c r="AU225" s="239" t="s">
        <v>82</v>
      </c>
      <c r="AV225" s="15" t="s">
        <v>80</v>
      </c>
      <c r="AW225" s="15" t="s">
        <v>34</v>
      </c>
      <c r="AX225" s="15" t="s">
        <v>72</v>
      </c>
      <c r="AY225" s="239" t="s">
        <v>128</v>
      </c>
    </row>
    <row r="226" spans="1:65" s="13" customFormat="1" ht="10">
      <c r="B226" s="192"/>
      <c r="C226" s="193"/>
      <c r="D226" s="194" t="s">
        <v>139</v>
      </c>
      <c r="E226" s="195" t="s">
        <v>19</v>
      </c>
      <c r="F226" s="196" t="s">
        <v>805</v>
      </c>
      <c r="G226" s="193"/>
      <c r="H226" s="197">
        <v>0.65300000000000002</v>
      </c>
      <c r="I226" s="198"/>
      <c r="J226" s="193"/>
      <c r="K226" s="193"/>
      <c r="L226" s="199"/>
      <c r="M226" s="200"/>
      <c r="N226" s="201"/>
      <c r="O226" s="201"/>
      <c r="P226" s="201"/>
      <c r="Q226" s="201"/>
      <c r="R226" s="201"/>
      <c r="S226" s="201"/>
      <c r="T226" s="202"/>
      <c r="AT226" s="203" t="s">
        <v>139</v>
      </c>
      <c r="AU226" s="203" t="s">
        <v>82</v>
      </c>
      <c r="AV226" s="13" t="s">
        <v>82</v>
      </c>
      <c r="AW226" s="13" t="s">
        <v>34</v>
      </c>
      <c r="AX226" s="13" t="s">
        <v>80</v>
      </c>
      <c r="AY226" s="203" t="s">
        <v>128</v>
      </c>
    </row>
    <row r="227" spans="1:65" s="2" customFormat="1" ht="21.75" customHeight="1">
      <c r="A227" s="35"/>
      <c r="B227" s="36"/>
      <c r="C227" s="174" t="s">
        <v>323</v>
      </c>
      <c r="D227" s="174" t="s">
        <v>130</v>
      </c>
      <c r="E227" s="175" t="s">
        <v>806</v>
      </c>
      <c r="F227" s="176" t="s">
        <v>807</v>
      </c>
      <c r="G227" s="177" t="s">
        <v>133</v>
      </c>
      <c r="H227" s="178">
        <v>18.619</v>
      </c>
      <c r="I227" s="179"/>
      <c r="J227" s="180">
        <f>ROUND(I227*H227,2)</f>
        <v>0</v>
      </c>
      <c r="K227" s="176" t="s">
        <v>134</v>
      </c>
      <c r="L227" s="40"/>
      <c r="M227" s="181" t="s">
        <v>19</v>
      </c>
      <c r="N227" s="182" t="s">
        <v>43</v>
      </c>
      <c r="O227" s="65"/>
      <c r="P227" s="183">
        <f>O227*H227</f>
        <v>0</v>
      </c>
      <c r="Q227" s="183">
        <v>6.5799999999999999E-3</v>
      </c>
      <c r="R227" s="183">
        <f>Q227*H227</f>
        <v>0.12251302</v>
      </c>
      <c r="S227" s="183">
        <v>0</v>
      </c>
      <c r="T227" s="18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5" t="s">
        <v>135</v>
      </c>
      <c r="AT227" s="185" t="s">
        <v>130</v>
      </c>
      <c r="AU227" s="185" t="s">
        <v>82</v>
      </c>
      <c r="AY227" s="18" t="s">
        <v>128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8" t="s">
        <v>80</v>
      </c>
      <c r="BK227" s="186">
        <f>ROUND(I227*H227,2)</f>
        <v>0</v>
      </c>
      <c r="BL227" s="18" t="s">
        <v>135</v>
      </c>
      <c r="BM227" s="185" t="s">
        <v>808</v>
      </c>
    </row>
    <row r="228" spans="1:65" s="2" customFormat="1" ht="10">
      <c r="A228" s="35"/>
      <c r="B228" s="36"/>
      <c r="C228" s="37"/>
      <c r="D228" s="187" t="s">
        <v>137</v>
      </c>
      <c r="E228" s="37"/>
      <c r="F228" s="188" t="s">
        <v>809</v>
      </c>
      <c r="G228" s="37"/>
      <c r="H228" s="37"/>
      <c r="I228" s="189"/>
      <c r="J228" s="37"/>
      <c r="K228" s="37"/>
      <c r="L228" s="40"/>
      <c r="M228" s="190"/>
      <c r="N228" s="191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137</v>
      </c>
      <c r="AU228" s="18" t="s">
        <v>82</v>
      </c>
    </row>
    <row r="229" spans="1:65" s="13" customFormat="1" ht="10">
      <c r="B229" s="192"/>
      <c r="C229" s="193"/>
      <c r="D229" s="194" t="s">
        <v>139</v>
      </c>
      <c r="E229" s="195" t="s">
        <v>19</v>
      </c>
      <c r="F229" s="196" t="s">
        <v>810</v>
      </c>
      <c r="G229" s="193"/>
      <c r="H229" s="197">
        <v>18.619</v>
      </c>
      <c r="I229" s="198"/>
      <c r="J229" s="193"/>
      <c r="K229" s="193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139</v>
      </c>
      <c r="AU229" s="203" t="s">
        <v>82</v>
      </c>
      <c r="AV229" s="13" t="s">
        <v>82</v>
      </c>
      <c r="AW229" s="13" t="s">
        <v>34</v>
      </c>
      <c r="AX229" s="13" t="s">
        <v>80</v>
      </c>
      <c r="AY229" s="203" t="s">
        <v>128</v>
      </c>
    </row>
    <row r="230" spans="1:65" s="2" customFormat="1" ht="21.75" customHeight="1">
      <c r="A230" s="35"/>
      <c r="B230" s="36"/>
      <c r="C230" s="174" t="s">
        <v>328</v>
      </c>
      <c r="D230" s="174" t="s">
        <v>130</v>
      </c>
      <c r="E230" s="175" t="s">
        <v>811</v>
      </c>
      <c r="F230" s="176" t="s">
        <v>812</v>
      </c>
      <c r="G230" s="177" t="s">
        <v>133</v>
      </c>
      <c r="H230" s="178">
        <v>18.619</v>
      </c>
      <c r="I230" s="179"/>
      <c r="J230" s="180">
        <f>ROUND(I230*H230,2)</f>
        <v>0</v>
      </c>
      <c r="K230" s="176" t="s">
        <v>134</v>
      </c>
      <c r="L230" s="40"/>
      <c r="M230" s="181" t="s">
        <v>19</v>
      </c>
      <c r="N230" s="182" t="s">
        <v>43</v>
      </c>
      <c r="O230" s="65"/>
      <c r="P230" s="183">
        <f>O230*H230</f>
        <v>0</v>
      </c>
      <c r="Q230" s="183">
        <v>0</v>
      </c>
      <c r="R230" s="183">
        <f>Q230*H230</f>
        <v>0</v>
      </c>
      <c r="S230" s="183">
        <v>0</v>
      </c>
      <c r="T230" s="18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135</v>
      </c>
      <c r="AT230" s="185" t="s">
        <v>130</v>
      </c>
      <c r="AU230" s="185" t="s">
        <v>82</v>
      </c>
      <c r="AY230" s="18" t="s">
        <v>128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8" t="s">
        <v>80</v>
      </c>
      <c r="BK230" s="186">
        <f>ROUND(I230*H230,2)</f>
        <v>0</v>
      </c>
      <c r="BL230" s="18" t="s">
        <v>135</v>
      </c>
      <c r="BM230" s="185" t="s">
        <v>813</v>
      </c>
    </row>
    <row r="231" spans="1:65" s="2" customFormat="1" ht="10">
      <c r="A231" s="35"/>
      <c r="B231" s="36"/>
      <c r="C231" s="37"/>
      <c r="D231" s="187" t="s">
        <v>137</v>
      </c>
      <c r="E231" s="37"/>
      <c r="F231" s="188" t="s">
        <v>814</v>
      </c>
      <c r="G231" s="37"/>
      <c r="H231" s="37"/>
      <c r="I231" s="189"/>
      <c r="J231" s="37"/>
      <c r="K231" s="37"/>
      <c r="L231" s="40"/>
      <c r="M231" s="190"/>
      <c r="N231" s="191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137</v>
      </c>
      <c r="AU231" s="18" t="s">
        <v>82</v>
      </c>
    </row>
    <row r="232" spans="1:65" s="12" customFormat="1" ht="22.75" customHeight="1">
      <c r="B232" s="158"/>
      <c r="C232" s="159"/>
      <c r="D232" s="160" t="s">
        <v>71</v>
      </c>
      <c r="E232" s="172" t="s">
        <v>160</v>
      </c>
      <c r="F232" s="172" t="s">
        <v>815</v>
      </c>
      <c r="G232" s="159"/>
      <c r="H232" s="159"/>
      <c r="I232" s="162"/>
      <c r="J232" s="173">
        <f>BK232</f>
        <v>0</v>
      </c>
      <c r="K232" s="159"/>
      <c r="L232" s="164"/>
      <c r="M232" s="165"/>
      <c r="N232" s="166"/>
      <c r="O232" s="166"/>
      <c r="P232" s="167">
        <f>SUM(P233:P240)</f>
        <v>0</v>
      </c>
      <c r="Q232" s="166"/>
      <c r="R232" s="167">
        <f>SUM(R233:R240)</f>
        <v>0.61151999999999995</v>
      </c>
      <c r="S232" s="166"/>
      <c r="T232" s="168">
        <f>SUM(T233:T240)</f>
        <v>0</v>
      </c>
      <c r="AR232" s="169" t="s">
        <v>80</v>
      </c>
      <c r="AT232" s="170" t="s">
        <v>71</v>
      </c>
      <c r="AU232" s="170" t="s">
        <v>80</v>
      </c>
      <c r="AY232" s="169" t="s">
        <v>128</v>
      </c>
      <c r="BK232" s="171">
        <f>SUM(BK233:BK240)</f>
        <v>0</v>
      </c>
    </row>
    <row r="233" spans="1:65" s="2" customFormat="1" ht="24.15" customHeight="1">
      <c r="A233" s="35"/>
      <c r="B233" s="36"/>
      <c r="C233" s="174" t="s">
        <v>334</v>
      </c>
      <c r="D233" s="174" t="s">
        <v>130</v>
      </c>
      <c r="E233" s="175" t="s">
        <v>816</v>
      </c>
      <c r="F233" s="176" t="s">
        <v>817</v>
      </c>
      <c r="G233" s="177" t="s">
        <v>133</v>
      </c>
      <c r="H233" s="178">
        <v>1</v>
      </c>
      <c r="I233" s="179"/>
      <c r="J233" s="180">
        <f>ROUND(I233*H233,2)</f>
        <v>0</v>
      </c>
      <c r="K233" s="176" t="s">
        <v>134</v>
      </c>
      <c r="L233" s="40"/>
      <c r="M233" s="181" t="s">
        <v>19</v>
      </c>
      <c r="N233" s="182" t="s">
        <v>43</v>
      </c>
      <c r="O233" s="65"/>
      <c r="P233" s="183">
        <f>O233*H233</f>
        <v>0</v>
      </c>
      <c r="Q233" s="183">
        <v>0.39800000000000002</v>
      </c>
      <c r="R233" s="183">
        <f>Q233*H233</f>
        <v>0.39800000000000002</v>
      </c>
      <c r="S233" s="183">
        <v>0</v>
      </c>
      <c r="T233" s="18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135</v>
      </c>
      <c r="AT233" s="185" t="s">
        <v>130</v>
      </c>
      <c r="AU233" s="185" t="s">
        <v>82</v>
      </c>
      <c r="AY233" s="18" t="s">
        <v>128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8" t="s">
        <v>80</v>
      </c>
      <c r="BK233" s="186">
        <f>ROUND(I233*H233,2)</f>
        <v>0</v>
      </c>
      <c r="BL233" s="18" t="s">
        <v>135</v>
      </c>
      <c r="BM233" s="185" t="s">
        <v>818</v>
      </c>
    </row>
    <row r="234" spans="1:65" s="2" customFormat="1" ht="10">
      <c r="A234" s="35"/>
      <c r="B234" s="36"/>
      <c r="C234" s="37"/>
      <c r="D234" s="187" t="s">
        <v>137</v>
      </c>
      <c r="E234" s="37"/>
      <c r="F234" s="188" t="s">
        <v>819</v>
      </c>
      <c r="G234" s="37"/>
      <c r="H234" s="37"/>
      <c r="I234" s="189"/>
      <c r="J234" s="37"/>
      <c r="K234" s="37"/>
      <c r="L234" s="40"/>
      <c r="M234" s="190"/>
      <c r="N234" s="191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137</v>
      </c>
      <c r="AU234" s="18" t="s">
        <v>82</v>
      </c>
    </row>
    <row r="235" spans="1:65" s="13" customFormat="1" ht="10">
      <c r="B235" s="192"/>
      <c r="C235" s="193"/>
      <c r="D235" s="194" t="s">
        <v>139</v>
      </c>
      <c r="E235" s="195" t="s">
        <v>19</v>
      </c>
      <c r="F235" s="196" t="s">
        <v>820</v>
      </c>
      <c r="G235" s="193"/>
      <c r="H235" s="197">
        <v>1</v>
      </c>
      <c r="I235" s="198"/>
      <c r="J235" s="193"/>
      <c r="K235" s="193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139</v>
      </c>
      <c r="AU235" s="203" t="s">
        <v>82</v>
      </c>
      <c r="AV235" s="13" t="s">
        <v>82</v>
      </c>
      <c r="AW235" s="13" t="s">
        <v>34</v>
      </c>
      <c r="AX235" s="13" t="s">
        <v>80</v>
      </c>
      <c r="AY235" s="203" t="s">
        <v>128</v>
      </c>
    </row>
    <row r="236" spans="1:65" s="2" customFormat="1" ht="37.75" customHeight="1">
      <c r="A236" s="35"/>
      <c r="B236" s="36"/>
      <c r="C236" s="174" t="s">
        <v>340</v>
      </c>
      <c r="D236" s="174" t="s">
        <v>130</v>
      </c>
      <c r="E236" s="175" t="s">
        <v>821</v>
      </c>
      <c r="F236" s="176" t="s">
        <v>822</v>
      </c>
      <c r="G236" s="177" t="s">
        <v>133</v>
      </c>
      <c r="H236" s="178">
        <v>1</v>
      </c>
      <c r="I236" s="179"/>
      <c r="J236" s="180">
        <f>ROUND(I236*H236,2)</f>
        <v>0</v>
      </c>
      <c r="K236" s="176" t="s">
        <v>134</v>
      </c>
      <c r="L236" s="40"/>
      <c r="M236" s="181" t="s">
        <v>19</v>
      </c>
      <c r="N236" s="182" t="s">
        <v>43</v>
      </c>
      <c r="O236" s="65"/>
      <c r="P236" s="183">
        <f>O236*H236</f>
        <v>0</v>
      </c>
      <c r="Q236" s="183">
        <v>8.9219999999999994E-2</v>
      </c>
      <c r="R236" s="183">
        <f>Q236*H236</f>
        <v>8.9219999999999994E-2</v>
      </c>
      <c r="S236" s="183">
        <v>0</v>
      </c>
      <c r="T236" s="18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135</v>
      </c>
      <c r="AT236" s="185" t="s">
        <v>130</v>
      </c>
      <c r="AU236" s="185" t="s">
        <v>82</v>
      </c>
      <c r="AY236" s="18" t="s">
        <v>128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8" t="s">
        <v>80</v>
      </c>
      <c r="BK236" s="186">
        <f>ROUND(I236*H236,2)</f>
        <v>0</v>
      </c>
      <c r="BL236" s="18" t="s">
        <v>135</v>
      </c>
      <c r="BM236" s="185" t="s">
        <v>823</v>
      </c>
    </row>
    <row r="237" spans="1:65" s="2" customFormat="1" ht="10">
      <c r="A237" s="35"/>
      <c r="B237" s="36"/>
      <c r="C237" s="37"/>
      <c r="D237" s="187" t="s">
        <v>137</v>
      </c>
      <c r="E237" s="37"/>
      <c r="F237" s="188" t="s">
        <v>824</v>
      </c>
      <c r="G237" s="37"/>
      <c r="H237" s="37"/>
      <c r="I237" s="189"/>
      <c r="J237" s="37"/>
      <c r="K237" s="37"/>
      <c r="L237" s="40"/>
      <c r="M237" s="190"/>
      <c r="N237" s="191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137</v>
      </c>
      <c r="AU237" s="18" t="s">
        <v>82</v>
      </c>
    </row>
    <row r="238" spans="1:65" s="13" customFormat="1" ht="10">
      <c r="B238" s="192"/>
      <c r="C238" s="193"/>
      <c r="D238" s="194" t="s">
        <v>139</v>
      </c>
      <c r="E238" s="195" t="s">
        <v>19</v>
      </c>
      <c r="F238" s="196" t="s">
        <v>825</v>
      </c>
      <c r="G238" s="193"/>
      <c r="H238" s="197">
        <v>1</v>
      </c>
      <c r="I238" s="198"/>
      <c r="J238" s="193"/>
      <c r="K238" s="193"/>
      <c r="L238" s="199"/>
      <c r="M238" s="200"/>
      <c r="N238" s="201"/>
      <c r="O238" s="201"/>
      <c r="P238" s="201"/>
      <c r="Q238" s="201"/>
      <c r="R238" s="201"/>
      <c r="S238" s="201"/>
      <c r="T238" s="202"/>
      <c r="AT238" s="203" t="s">
        <v>139</v>
      </c>
      <c r="AU238" s="203" t="s">
        <v>82</v>
      </c>
      <c r="AV238" s="13" t="s">
        <v>82</v>
      </c>
      <c r="AW238" s="13" t="s">
        <v>34</v>
      </c>
      <c r="AX238" s="13" t="s">
        <v>80</v>
      </c>
      <c r="AY238" s="203" t="s">
        <v>128</v>
      </c>
    </row>
    <row r="239" spans="1:65" s="2" customFormat="1" ht="16.5" customHeight="1">
      <c r="A239" s="35"/>
      <c r="B239" s="36"/>
      <c r="C239" s="215" t="s">
        <v>345</v>
      </c>
      <c r="D239" s="215" t="s">
        <v>414</v>
      </c>
      <c r="E239" s="216" t="s">
        <v>826</v>
      </c>
      <c r="F239" s="217" t="s">
        <v>827</v>
      </c>
      <c r="G239" s="218" t="s">
        <v>133</v>
      </c>
      <c r="H239" s="219">
        <v>1.1000000000000001</v>
      </c>
      <c r="I239" s="220"/>
      <c r="J239" s="221">
        <f>ROUND(I239*H239,2)</f>
        <v>0</v>
      </c>
      <c r="K239" s="217" t="s">
        <v>134</v>
      </c>
      <c r="L239" s="222"/>
      <c r="M239" s="223" t="s">
        <v>19</v>
      </c>
      <c r="N239" s="224" t="s">
        <v>43</v>
      </c>
      <c r="O239" s="65"/>
      <c r="P239" s="183">
        <f>O239*H239</f>
        <v>0</v>
      </c>
      <c r="Q239" s="183">
        <v>0.113</v>
      </c>
      <c r="R239" s="183">
        <f>Q239*H239</f>
        <v>0.12430000000000001</v>
      </c>
      <c r="S239" s="183">
        <v>0</v>
      </c>
      <c r="T239" s="18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5" t="s">
        <v>178</v>
      </c>
      <c r="AT239" s="185" t="s">
        <v>414</v>
      </c>
      <c r="AU239" s="185" t="s">
        <v>82</v>
      </c>
      <c r="AY239" s="18" t="s">
        <v>128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18" t="s">
        <v>80</v>
      </c>
      <c r="BK239" s="186">
        <f>ROUND(I239*H239,2)</f>
        <v>0</v>
      </c>
      <c r="BL239" s="18" t="s">
        <v>135</v>
      </c>
      <c r="BM239" s="185" t="s">
        <v>828</v>
      </c>
    </row>
    <row r="240" spans="1:65" s="13" customFormat="1" ht="10">
      <c r="B240" s="192"/>
      <c r="C240" s="193"/>
      <c r="D240" s="194" t="s">
        <v>139</v>
      </c>
      <c r="E240" s="193"/>
      <c r="F240" s="196" t="s">
        <v>829</v>
      </c>
      <c r="G240" s="193"/>
      <c r="H240" s="197">
        <v>1.1000000000000001</v>
      </c>
      <c r="I240" s="198"/>
      <c r="J240" s="193"/>
      <c r="K240" s="193"/>
      <c r="L240" s="199"/>
      <c r="M240" s="200"/>
      <c r="N240" s="201"/>
      <c r="O240" s="201"/>
      <c r="P240" s="201"/>
      <c r="Q240" s="201"/>
      <c r="R240" s="201"/>
      <c r="S240" s="201"/>
      <c r="T240" s="202"/>
      <c r="AT240" s="203" t="s">
        <v>139</v>
      </c>
      <c r="AU240" s="203" t="s">
        <v>82</v>
      </c>
      <c r="AV240" s="13" t="s">
        <v>82</v>
      </c>
      <c r="AW240" s="13" t="s">
        <v>4</v>
      </c>
      <c r="AX240" s="13" t="s">
        <v>80</v>
      </c>
      <c r="AY240" s="203" t="s">
        <v>128</v>
      </c>
    </row>
    <row r="241" spans="1:65" s="12" customFormat="1" ht="22.75" customHeight="1">
      <c r="B241" s="158"/>
      <c r="C241" s="159"/>
      <c r="D241" s="160" t="s">
        <v>71</v>
      </c>
      <c r="E241" s="172" t="s">
        <v>166</v>
      </c>
      <c r="F241" s="172" t="s">
        <v>830</v>
      </c>
      <c r="G241" s="159"/>
      <c r="H241" s="159"/>
      <c r="I241" s="162"/>
      <c r="J241" s="173">
        <f>BK241</f>
        <v>0</v>
      </c>
      <c r="K241" s="159"/>
      <c r="L241" s="164"/>
      <c r="M241" s="165"/>
      <c r="N241" s="166"/>
      <c r="O241" s="166"/>
      <c r="P241" s="167">
        <f>SUM(P242:P358)</f>
        <v>0</v>
      </c>
      <c r="Q241" s="166"/>
      <c r="R241" s="167">
        <f>SUM(R242:R358)</f>
        <v>36.85086999</v>
      </c>
      <c r="S241" s="166"/>
      <c r="T241" s="168">
        <f>SUM(T242:T358)</f>
        <v>12.98</v>
      </c>
      <c r="AR241" s="169" t="s">
        <v>80</v>
      </c>
      <c r="AT241" s="170" t="s">
        <v>71</v>
      </c>
      <c r="AU241" s="170" t="s">
        <v>80</v>
      </c>
      <c r="AY241" s="169" t="s">
        <v>128</v>
      </c>
      <c r="BK241" s="171">
        <f>SUM(BK242:BK358)</f>
        <v>0</v>
      </c>
    </row>
    <row r="242" spans="1:65" s="2" customFormat="1" ht="16.5" customHeight="1">
      <c r="A242" s="35"/>
      <c r="B242" s="36"/>
      <c r="C242" s="174" t="s">
        <v>351</v>
      </c>
      <c r="D242" s="174" t="s">
        <v>130</v>
      </c>
      <c r="E242" s="175" t="s">
        <v>831</v>
      </c>
      <c r="F242" s="176" t="s">
        <v>832</v>
      </c>
      <c r="G242" s="177" t="s">
        <v>133</v>
      </c>
      <c r="H242" s="178">
        <v>667.51099999999997</v>
      </c>
      <c r="I242" s="179"/>
      <c r="J242" s="180">
        <f>ROUND(I242*H242,2)</f>
        <v>0</v>
      </c>
      <c r="K242" s="176" t="s">
        <v>134</v>
      </c>
      <c r="L242" s="40"/>
      <c r="M242" s="181" t="s">
        <v>19</v>
      </c>
      <c r="N242" s="182" t="s">
        <v>43</v>
      </c>
      <c r="O242" s="65"/>
      <c r="P242" s="183">
        <f>O242*H242</f>
        <v>0</v>
      </c>
      <c r="Q242" s="183">
        <v>2.5999999999999998E-4</v>
      </c>
      <c r="R242" s="183">
        <f>Q242*H242</f>
        <v>0.17355285999999998</v>
      </c>
      <c r="S242" s="183">
        <v>0</v>
      </c>
      <c r="T242" s="18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135</v>
      </c>
      <c r="AT242" s="185" t="s">
        <v>130</v>
      </c>
      <c r="AU242" s="185" t="s">
        <v>82</v>
      </c>
      <c r="AY242" s="18" t="s">
        <v>128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8" t="s">
        <v>80</v>
      </c>
      <c r="BK242" s="186">
        <f>ROUND(I242*H242,2)</f>
        <v>0</v>
      </c>
      <c r="BL242" s="18" t="s">
        <v>135</v>
      </c>
      <c r="BM242" s="185" t="s">
        <v>833</v>
      </c>
    </row>
    <row r="243" spans="1:65" s="2" customFormat="1" ht="10">
      <c r="A243" s="35"/>
      <c r="B243" s="36"/>
      <c r="C243" s="37"/>
      <c r="D243" s="187" t="s">
        <v>137</v>
      </c>
      <c r="E243" s="37"/>
      <c r="F243" s="188" t="s">
        <v>834</v>
      </c>
      <c r="G243" s="37"/>
      <c r="H243" s="37"/>
      <c r="I243" s="189"/>
      <c r="J243" s="37"/>
      <c r="K243" s="37"/>
      <c r="L243" s="40"/>
      <c r="M243" s="190"/>
      <c r="N243" s="191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137</v>
      </c>
      <c r="AU243" s="18" t="s">
        <v>82</v>
      </c>
    </row>
    <row r="244" spans="1:65" s="13" customFormat="1" ht="10">
      <c r="B244" s="192"/>
      <c r="C244" s="193"/>
      <c r="D244" s="194" t="s">
        <v>139</v>
      </c>
      <c r="E244" s="195" t="s">
        <v>19</v>
      </c>
      <c r="F244" s="196" t="s">
        <v>835</v>
      </c>
      <c r="G244" s="193"/>
      <c r="H244" s="197">
        <v>312.74</v>
      </c>
      <c r="I244" s="198"/>
      <c r="J244" s="193"/>
      <c r="K244" s="193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139</v>
      </c>
      <c r="AU244" s="203" t="s">
        <v>82</v>
      </c>
      <c r="AV244" s="13" t="s">
        <v>82</v>
      </c>
      <c r="AW244" s="13" t="s">
        <v>34</v>
      </c>
      <c r="AX244" s="13" t="s">
        <v>72</v>
      </c>
      <c r="AY244" s="203" t="s">
        <v>128</v>
      </c>
    </row>
    <row r="245" spans="1:65" s="13" customFormat="1" ht="10">
      <c r="B245" s="192"/>
      <c r="C245" s="193"/>
      <c r="D245" s="194" t="s">
        <v>139</v>
      </c>
      <c r="E245" s="195" t="s">
        <v>19</v>
      </c>
      <c r="F245" s="196" t="s">
        <v>836</v>
      </c>
      <c r="G245" s="193"/>
      <c r="H245" s="197">
        <v>23.94</v>
      </c>
      <c r="I245" s="198"/>
      <c r="J245" s="193"/>
      <c r="K245" s="193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139</v>
      </c>
      <c r="AU245" s="203" t="s">
        <v>82</v>
      </c>
      <c r="AV245" s="13" t="s">
        <v>82</v>
      </c>
      <c r="AW245" s="13" t="s">
        <v>34</v>
      </c>
      <c r="AX245" s="13" t="s">
        <v>72</v>
      </c>
      <c r="AY245" s="203" t="s">
        <v>128</v>
      </c>
    </row>
    <row r="246" spans="1:65" s="13" customFormat="1" ht="10">
      <c r="B246" s="192"/>
      <c r="C246" s="193"/>
      <c r="D246" s="194" t="s">
        <v>139</v>
      </c>
      <c r="E246" s="195" t="s">
        <v>19</v>
      </c>
      <c r="F246" s="196" t="s">
        <v>837</v>
      </c>
      <c r="G246" s="193"/>
      <c r="H246" s="197">
        <v>96.54</v>
      </c>
      <c r="I246" s="198"/>
      <c r="J246" s="193"/>
      <c r="K246" s="193"/>
      <c r="L246" s="199"/>
      <c r="M246" s="200"/>
      <c r="N246" s="201"/>
      <c r="O246" s="201"/>
      <c r="P246" s="201"/>
      <c r="Q246" s="201"/>
      <c r="R246" s="201"/>
      <c r="S246" s="201"/>
      <c r="T246" s="202"/>
      <c r="AT246" s="203" t="s">
        <v>139</v>
      </c>
      <c r="AU246" s="203" t="s">
        <v>82</v>
      </c>
      <c r="AV246" s="13" t="s">
        <v>82</v>
      </c>
      <c r="AW246" s="13" t="s">
        <v>34</v>
      </c>
      <c r="AX246" s="13" t="s">
        <v>72</v>
      </c>
      <c r="AY246" s="203" t="s">
        <v>128</v>
      </c>
    </row>
    <row r="247" spans="1:65" s="13" customFormat="1" ht="10">
      <c r="B247" s="192"/>
      <c r="C247" s="193"/>
      <c r="D247" s="194" t="s">
        <v>139</v>
      </c>
      <c r="E247" s="195" t="s">
        <v>19</v>
      </c>
      <c r="F247" s="196" t="s">
        <v>838</v>
      </c>
      <c r="G247" s="193"/>
      <c r="H247" s="197">
        <v>13.68</v>
      </c>
      <c r="I247" s="198"/>
      <c r="J247" s="193"/>
      <c r="K247" s="193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139</v>
      </c>
      <c r="AU247" s="203" t="s">
        <v>82</v>
      </c>
      <c r="AV247" s="13" t="s">
        <v>82</v>
      </c>
      <c r="AW247" s="13" t="s">
        <v>34</v>
      </c>
      <c r="AX247" s="13" t="s">
        <v>72</v>
      </c>
      <c r="AY247" s="203" t="s">
        <v>128</v>
      </c>
    </row>
    <row r="248" spans="1:65" s="13" customFormat="1" ht="10">
      <c r="B248" s="192"/>
      <c r="C248" s="193"/>
      <c r="D248" s="194" t="s">
        <v>139</v>
      </c>
      <c r="E248" s="195" t="s">
        <v>19</v>
      </c>
      <c r="F248" s="196" t="s">
        <v>839</v>
      </c>
      <c r="G248" s="193"/>
      <c r="H248" s="197">
        <v>220.61099999999999</v>
      </c>
      <c r="I248" s="198"/>
      <c r="J248" s="193"/>
      <c r="K248" s="193"/>
      <c r="L248" s="199"/>
      <c r="M248" s="200"/>
      <c r="N248" s="201"/>
      <c r="O248" s="201"/>
      <c r="P248" s="201"/>
      <c r="Q248" s="201"/>
      <c r="R248" s="201"/>
      <c r="S248" s="201"/>
      <c r="T248" s="202"/>
      <c r="AT248" s="203" t="s">
        <v>139</v>
      </c>
      <c r="AU248" s="203" t="s">
        <v>82</v>
      </c>
      <c r="AV248" s="13" t="s">
        <v>82</v>
      </c>
      <c r="AW248" s="13" t="s">
        <v>34</v>
      </c>
      <c r="AX248" s="13" t="s">
        <v>72</v>
      </c>
      <c r="AY248" s="203" t="s">
        <v>128</v>
      </c>
    </row>
    <row r="249" spans="1:65" s="14" customFormat="1" ht="10">
      <c r="B249" s="204"/>
      <c r="C249" s="205"/>
      <c r="D249" s="194" t="s">
        <v>139</v>
      </c>
      <c r="E249" s="206" t="s">
        <v>19</v>
      </c>
      <c r="F249" s="207" t="s">
        <v>153</v>
      </c>
      <c r="G249" s="205"/>
      <c r="H249" s="208">
        <v>667.51099999999997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139</v>
      </c>
      <c r="AU249" s="214" t="s">
        <v>82</v>
      </c>
      <c r="AV249" s="14" t="s">
        <v>135</v>
      </c>
      <c r="AW249" s="14" t="s">
        <v>34</v>
      </c>
      <c r="AX249" s="14" t="s">
        <v>80</v>
      </c>
      <c r="AY249" s="214" t="s">
        <v>128</v>
      </c>
    </row>
    <row r="250" spans="1:65" s="2" customFormat="1" ht="24.15" customHeight="1">
      <c r="A250" s="35"/>
      <c r="B250" s="36"/>
      <c r="C250" s="174" t="s">
        <v>357</v>
      </c>
      <c r="D250" s="174" t="s">
        <v>130</v>
      </c>
      <c r="E250" s="175" t="s">
        <v>840</v>
      </c>
      <c r="F250" s="176" t="s">
        <v>841</v>
      </c>
      <c r="G250" s="177" t="s">
        <v>133</v>
      </c>
      <c r="H250" s="178">
        <v>667.51099999999997</v>
      </c>
      <c r="I250" s="179"/>
      <c r="J250" s="180">
        <f>ROUND(I250*H250,2)</f>
        <v>0</v>
      </c>
      <c r="K250" s="176" t="s">
        <v>134</v>
      </c>
      <c r="L250" s="40"/>
      <c r="M250" s="181" t="s">
        <v>19</v>
      </c>
      <c r="N250" s="182" t="s">
        <v>43</v>
      </c>
      <c r="O250" s="65"/>
      <c r="P250" s="183">
        <f>O250*H250</f>
        <v>0</v>
      </c>
      <c r="Q250" s="183">
        <v>1.8380000000000001E-2</v>
      </c>
      <c r="R250" s="183">
        <f>Q250*H250</f>
        <v>12.26885218</v>
      </c>
      <c r="S250" s="183">
        <v>0</v>
      </c>
      <c r="T250" s="18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135</v>
      </c>
      <c r="AT250" s="185" t="s">
        <v>130</v>
      </c>
      <c r="AU250" s="185" t="s">
        <v>82</v>
      </c>
      <c r="AY250" s="18" t="s">
        <v>128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8" t="s">
        <v>80</v>
      </c>
      <c r="BK250" s="186">
        <f>ROUND(I250*H250,2)</f>
        <v>0</v>
      </c>
      <c r="BL250" s="18" t="s">
        <v>135</v>
      </c>
      <c r="BM250" s="185" t="s">
        <v>842</v>
      </c>
    </row>
    <row r="251" spans="1:65" s="2" customFormat="1" ht="10">
      <c r="A251" s="35"/>
      <c r="B251" s="36"/>
      <c r="C251" s="37"/>
      <c r="D251" s="187" t="s">
        <v>137</v>
      </c>
      <c r="E251" s="37"/>
      <c r="F251" s="188" t="s">
        <v>843</v>
      </c>
      <c r="G251" s="37"/>
      <c r="H251" s="37"/>
      <c r="I251" s="189"/>
      <c r="J251" s="37"/>
      <c r="K251" s="37"/>
      <c r="L251" s="40"/>
      <c r="M251" s="190"/>
      <c r="N251" s="191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137</v>
      </c>
      <c r="AU251" s="18" t="s">
        <v>82</v>
      </c>
    </row>
    <row r="252" spans="1:65" s="13" customFormat="1" ht="10">
      <c r="B252" s="192"/>
      <c r="C252" s="193"/>
      <c r="D252" s="194" t="s">
        <v>139</v>
      </c>
      <c r="E252" s="195" t="s">
        <v>19</v>
      </c>
      <c r="F252" s="196" t="s">
        <v>835</v>
      </c>
      <c r="G252" s="193"/>
      <c r="H252" s="197">
        <v>312.74</v>
      </c>
      <c r="I252" s="198"/>
      <c r="J252" s="193"/>
      <c r="K252" s="193"/>
      <c r="L252" s="199"/>
      <c r="M252" s="200"/>
      <c r="N252" s="201"/>
      <c r="O252" s="201"/>
      <c r="P252" s="201"/>
      <c r="Q252" s="201"/>
      <c r="R252" s="201"/>
      <c r="S252" s="201"/>
      <c r="T252" s="202"/>
      <c r="AT252" s="203" t="s">
        <v>139</v>
      </c>
      <c r="AU252" s="203" t="s">
        <v>82</v>
      </c>
      <c r="AV252" s="13" t="s">
        <v>82</v>
      </c>
      <c r="AW252" s="13" t="s">
        <v>34</v>
      </c>
      <c r="AX252" s="13" t="s">
        <v>72</v>
      </c>
      <c r="AY252" s="203" t="s">
        <v>128</v>
      </c>
    </row>
    <row r="253" spans="1:65" s="13" customFormat="1" ht="10">
      <c r="B253" s="192"/>
      <c r="C253" s="193"/>
      <c r="D253" s="194" t="s">
        <v>139</v>
      </c>
      <c r="E253" s="195" t="s">
        <v>19</v>
      </c>
      <c r="F253" s="196" t="s">
        <v>836</v>
      </c>
      <c r="G253" s="193"/>
      <c r="H253" s="197">
        <v>23.94</v>
      </c>
      <c r="I253" s="198"/>
      <c r="J253" s="193"/>
      <c r="K253" s="193"/>
      <c r="L253" s="199"/>
      <c r="M253" s="200"/>
      <c r="N253" s="201"/>
      <c r="O253" s="201"/>
      <c r="P253" s="201"/>
      <c r="Q253" s="201"/>
      <c r="R253" s="201"/>
      <c r="S253" s="201"/>
      <c r="T253" s="202"/>
      <c r="AT253" s="203" t="s">
        <v>139</v>
      </c>
      <c r="AU253" s="203" t="s">
        <v>82</v>
      </c>
      <c r="AV253" s="13" t="s">
        <v>82</v>
      </c>
      <c r="AW253" s="13" t="s">
        <v>34</v>
      </c>
      <c r="AX253" s="13" t="s">
        <v>72</v>
      </c>
      <c r="AY253" s="203" t="s">
        <v>128</v>
      </c>
    </row>
    <row r="254" spans="1:65" s="13" customFormat="1" ht="10">
      <c r="B254" s="192"/>
      <c r="C254" s="193"/>
      <c r="D254" s="194" t="s">
        <v>139</v>
      </c>
      <c r="E254" s="195" t="s">
        <v>19</v>
      </c>
      <c r="F254" s="196" t="s">
        <v>837</v>
      </c>
      <c r="G254" s="193"/>
      <c r="H254" s="197">
        <v>96.54</v>
      </c>
      <c r="I254" s="198"/>
      <c r="J254" s="193"/>
      <c r="K254" s="193"/>
      <c r="L254" s="199"/>
      <c r="M254" s="200"/>
      <c r="N254" s="201"/>
      <c r="O254" s="201"/>
      <c r="P254" s="201"/>
      <c r="Q254" s="201"/>
      <c r="R254" s="201"/>
      <c r="S254" s="201"/>
      <c r="T254" s="202"/>
      <c r="AT254" s="203" t="s">
        <v>139</v>
      </c>
      <c r="AU254" s="203" t="s">
        <v>82</v>
      </c>
      <c r="AV254" s="13" t="s">
        <v>82</v>
      </c>
      <c r="AW254" s="13" t="s">
        <v>34</v>
      </c>
      <c r="AX254" s="13" t="s">
        <v>72</v>
      </c>
      <c r="AY254" s="203" t="s">
        <v>128</v>
      </c>
    </row>
    <row r="255" spans="1:65" s="13" customFormat="1" ht="10">
      <c r="B255" s="192"/>
      <c r="C255" s="193"/>
      <c r="D255" s="194" t="s">
        <v>139</v>
      </c>
      <c r="E255" s="195" t="s">
        <v>19</v>
      </c>
      <c r="F255" s="196" t="s">
        <v>838</v>
      </c>
      <c r="G255" s="193"/>
      <c r="H255" s="197">
        <v>13.68</v>
      </c>
      <c r="I255" s="198"/>
      <c r="J255" s="193"/>
      <c r="K255" s="193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139</v>
      </c>
      <c r="AU255" s="203" t="s">
        <v>82</v>
      </c>
      <c r="AV255" s="13" t="s">
        <v>82</v>
      </c>
      <c r="AW255" s="13" t="s">
        <v>34</v>
      </c>
      <c r="AX255" s="13" t="s">
        <v>72</v>
      </c>
      <c r="AY255" s="203" t="s">
        <v>128</v>
      </c>
    </row>
    <row r="256" spans="1:65" s="13" customFormat="1" ht="10">
      <c r="B256" s="192"/>
      <c r="C256" s="193"/>
      <c r="D256" s="194" t="s">
        <v>139</v>
      </c>
      <c r="E256" s="195" t="s">
        <v>19</v>
      </c>
      <c r="F256" s="196" t="s">
        <v>839</v>
      </c>
      <c r="G256" s="193"/>
      <c r="H256" s="197">
        <v>220.61099999999999</v>
      </c>
      <c r="I256" s="198"/>
      <c r="J256" s="193"/>
      <c r="K256" s="193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139</v>
      </c>
      <c r="AU256" s="203" t="s">
        <v>82</v>
      </c>
      <c r="AV256" s="13" t="s">
        <v>82</v>
      </c>
      <c r="AW256" s="13" t="s">
        <v>34</v>
      </c>
      <c r="AX256" s="13" t="s">
        <v>72</v>
      </c>
      <c r="AY256" s="203" t="s">
        <v>128</v>
      </c>
    </row>
    <row r="257" spans="1:65" s="14" customFormat="1" ht="10">
      <c r="B257" s="204"/>
      <c r="C257" s="205"/>
      <c r="D257" s="194" t="s">
        <v>139</v>
      </c>
      <c r="E257" s="206" t="s">
        <v>19</v>
      </c>
      <c r="F257" s="207" t="s">
        <v>153</v>
      </c>
      <c r="G257" s="205"/>
      <c r="H257" s="208">
        <v>667.51099999999997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139</v>
      </c>
      <c r="AU257" s="214" t="s">
        <v>82</v>
      </c>
      <c r="AV257" s="14" t="s">
        <v>135</v>
      </c>
      <c r="AW257" s="14" t="s">
        <v>34</v>
      </c>
      <c r="AX257" s="14" t="s">
        <v>80</v>
      </c>
      <c r="AY257" s="214" t="s">
        <v>128</v>
      </c>
    </row>
    <row r="258" spans="1:65" s="2" customFormat="1" ht="16.5" customHeight="1">
      <c r="A258" s="35"/>
      <c r="B258" s="36"/>
      <c r="C258" s="174" t="s">
        <v>365</v>
      </c>
      <c r="D258" s="174" t="s">
        <v>130</v>
      </c>
      <c r="E258" s="175" t="s">
        <v>844</v>
      </c>
      <c r="F258" s="176" t="s">
        <v>845</v>
      </c>
      <c r="G258" s="177" t="s">
        <v>133</v>
      </c>
      <c r="H258" s="178">
        <v>2.73</v>
      </c>
      <c r="I258" s="179"/>
      <c r="J258" s="180">
        <f>ROUND(I258*H258,2)</f>
        <v>0</v>
      </c>
      <c r="K258" s="176" t="s">
        <v>134</v>
      </c>
      <c r="L258" s="40"/>
      <c r="M258" s="181" t="s">
        <v>19</v>
      </c>
      <c r="N258" s="182" t="s">
        <v>43</v>
      </c>
      <c r="O258" s="65"/>
      <c r="P258" s="183">
        <f>O258*H258</f>
        <v>0</v>
      </c>
      <c r="Q258" s="183">
        <v>3.3579999999999999E-2</v>
      </c>
      <c r="R258" s="183">
        <f>Q258*H258</f>
        <v>9.1673400000000002E-2</v>
      </c>
      <c r="S258" s="183">
        <v>0</v>
      </c>
      <c r="T258" s="18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5" t="s">
        <v>135</v>
      </c>
      <c r="AT258" s="185" t="s">
        <v>130</v>
      </c>
      <c r="AU258" s="185" t="s">
        <v>82</v>
      </c>
      <c r="AY258" s="18" t="s">
        <v>128</v>
      </c>
      <c r="BE258" s="186">
        <f>IF(N258="základní",J258,0)</f>
        <v>0</v>
      </c>
      <c r="BF258" s="186">
        <f>IF(N258="snížená",J258,0)</f>
        <v>0</v>
      </c>
      <c r="BG258" s="186">
        <f>IF(N258="zákl. přenesená",J258,0)</f>
        <v>0</v>
      </c>
      <c r="BH258" s="186">
        <f>IF(N258="sníž. přenesená",J258,0)</f>
        <v>0</v>
      </c>
      <c r="BI258" s="186">
        <f>IF(N258="nulová",J258,0)</f>
        <v>0</v>
      </c>
      <c r="BJ258" s="18" t="s">
        <v>80</v>
      </c>
      <c r="BK258" s="186">
        <f>ROUND(I258*H258,2)</f>
        <v>0</v>
      </c>
      <c r="BL258" s="18" t="s">
        <v>135</v>
      </c>
      <c r="BM258" s="185" t="s">
        <v>846</v>
      </c>
    </row>
    <row r="259" spans="1:65" s="2" customFormat="1" ht="10">
      <c r="A259" s="35"/>
      <c r="B259" s="36"/>
      <c r="C259" s="37"/>
      <c r="D259" s="187" t="s">
        <v>137</v>
      </c>
      <c r="E259" s="37"/>
      <c r="F259" s="188" t="s">
        <v>847</v>
      </c>
      <c r="G259" s="37"/>
      <c r="H259" s="37"/>
      <c r="I259" s="189"/>
      <c r="J259" s="37"/>
      <c r="K259" s="37"/>
      <c r="L259" s="40"/>
      <c r="M259" s="190"/>
      <c r="N259" s="191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137</v>
      </c>
      <c r="AU259" s="18" t="s">
        <v>82</v>
      </c>
    </row>
    <row r="260" spans="1:65" s="13" customFormat="1" ht="10">
      <c r="B260" s="192"/>
      <c r="C260" s="193"/>
      <c r="D260" s="194" t="s">
        <v>139</v>
      </c>
      <c r="E260" s="195" t="s">
        <v>19</v>
      </c>
      <c r="F260" s="196" t="s">
        <v>848</v>
      </c>
      <c r="G260" s="193"/>
      <c r="H260" s="197">
        <v>2.73</v>
      </c>
      <c r="I260" s="198"/>
      <c r="J260" s="193"/>
      <c r="K260" s="193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139</v>
      </c>
      <c r="AU260" s="203" t="s">
        <v>82</v>
      </c>
      <c r="AV260" s="13" t="s">
        <v>82</v>
      </c>
      <c r="AW260" s="13" t="s">
        <v>34</v>
      </c>
      <c r="AX260" s="13" t="s">
        <v>80</v>
      </c>
      <c r="AY260" s="203" t="s">
        <v>128</v>
      </c>
    </row>
    <row r="261" spans="1:65" s="2" customFormat="1" ht="24.15" customHeight="1">
      <c r="A261" s="35"/>
      <c r="B261" s="36"/>
      <c r="C261" s="174" t="s">
        <v>370</v>
      </c>
      <c r="D261" s="174" t="s">
        <v>130</v>
      </c>
      <c r="E261" s="175" t="s">
        <v>849</v>
      </c>
      <c r="F261" s="176" t="s">
        <v>850</v>
      </c>
      <c r="G261" s="177" t="s">
        <v>133</v>
      </c>
      <c r="H261" s="178">
        <v>133.30500000000001</v>
      </c>
      <c r="I261" s="179"/>
      <c r="J261" s="180">
        <f>ROUND(I261*H261,2)</f>
        <v>0</v>
      </c>
      <c r="K261" s="176" t="s">
        <v>134</v>
      </c>
      <c r="L261" s="40"/>
      <c r="M261" s="181" t="s">
        <v>19</v>
      </c>
      <c r="N261" s="182" t="s">
        <v>43</v>
      </c>
      <c r="O261" s="65"/>
      <c r="P261" s="183">
        <f>O261*H261</f>
        <v>0</v>
      </c>
      <c r="Q261" s="183">
        <v>3.0300000000000001E-2</v>
      </c>
      <c r="R261" s="183">
        <f>Q261*H261</f>
        <v>4.0391415000000004</v>
      </c>
      <c r="S261" s="183">
        <v>0</v>
      </c>
      <c r="T261" s="18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135</v>
      </c>
      <c r="AT261" s="185" t="s">
        <v>130</v>
      </c>
      <c r="AU261" s="185" t="s">
        <v>82</v>
      </c>
      <c r="AY261" s="18" t="s">
        <v>128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80</v>
      </c>
      <c r="BK261" s="186">
        <f>ROUND(I261*H261,2)</f>
        <v>0</v>
      </c>
      <c r="BL261" s="18" t="s">
        <v>135</v>
      </c>
      <c r="BM261" s="185" t="s">
        <v>851</v>
      </c>
    </row>
    <row r="262" spans="1:65" s="2" customFormat="1" ht="10">
      <c r="A262" s="35"/>
      <c r="B262" s="36"/>
      <c r="C262" s="37"/>
      <c r="D262" s="187" t="s">
        <v>137</v>
      </c>
      <c r="E262" s="37"/>
      <c r="F262" s="188" t="s">
        <v>852</v>
      </c>
      <c r="G262" s="37"/>
      <c r="H262" s="37"/>
      <c r="I262" s="189"/>
      <c r="J262" s="37"/>
      <c r="K262" s="37"/>
      <c r="L262" s="40"/>
      <c r="M262" s="190"/>
      <c r="N262" s="191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137</v>
      </c>
      <c r="AU262" s="18" t="s">
        <v>82</v>
      </c>
    </row>
    <row r="263" spans="1:65" s="13" customFormat="1" ht="10">
      <c r="B263" s="192"/>
      <c r="C263" s="193"/>
      <c r="D263" s="194" t="s">
        <v>139</v>
      </c>
      <c r="E263" s="195" t="s">
        <v>19</v>
      </c>
      <c r="F263" s="196" t="s">
        <v>853</v>
      </c>
      <c r="G263" s="193"/>
      <c r="H263" s="197">
        <v>133.30500000000001</v>
      </c>
      <c r="I263" s="198"/>
      <c r="J263" s="193"/>
      <c r="K263" s="193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139</v>
      </c>
      <c r="AU263" s="203" t="s">
        <v>82</v>
      </c>
      <c r="AV263" s="13" t="s">
        <v>82</v>
      </c>
      <c r="AW263" s="13" t="s">
        <v>34</v>
      </c>
      <c r="AX263" s="13" t="s">
        <v>80</v>
      </c>
      <c r="AY263" s="203" t="s">
        <v>128</v>
      </c>
    </row>
    <row r="264" spans="1:65" s="2" customFormat="1" ht="24.15" customHeight="1">
      <c r="A264" s="35"/>
      <c r="B264" s="36"/>
      <c r="C264" s="174" t="s">
        <v>375</v>
      </c>
      <c r="D264" s="174" t="s">
        <v>130</v>
      </c>
      <c r="E264" s="175" t="s">
        <v>854</v>
      </c>
      <c r="F264" s="176" t="s">
        <v>855</v>
      </c>
      <c r="G264" s="177" t="s">
        <v>133</v>
      </c>
      <c r="H264" s="178">
        <v>590</v>
      </c>
      <c r="I264" s="179"/>
      <c r="J264" s="180">
        <f>ROUND(I264*H264,2)</f>
        <v>0</v>
      </c>
      <c r="K264" s="176" t="s">
        <v>134</v>
      </c>
      <c r="L264" s="40"/>
      <c r="M264" s="181" t="s">
        <v>19</v>
      </c>
      <c r="N264" s="182" t="s">
        <v>43</v>
      </c>
      <c r="O264" s="65"/>
      <c r="P264" s="183">
        <f>O264*H264</f>
        <v>0</v>
      </c>
      <c r="Q264" s="183">
        <v>1.7639999999999999E-2</v>
      </c>
      <c r="R264" s="183">
        <f>Q264*H264</f>
        <v>10.4076</v>
      </c>
      <c r="S264" s="183">
        <v>0.02</v>
      </c>
      <c r="T264" s="184">
        <f>S264*H264</f>
        <v>11.8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135</v>
      </c>
      <c r="AT264" s="185" t="s">
        <v>130</v>
      </c>
      <c r="AU264" s="185" t="s">
        <v>82</v>
      </c>
      <c r="AY264" s="18" t="s">
        <v>128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8" t="s">
        <v>80</v>
      </c>
      <c r="BK264" s="186">
        <f>ROUND(I264*H264,2)</f>
        <v>0</v>
      </c>
      <c r="BL264" s="18" t="s">
        <v>135</v>
      </c>
      <c r="BM264" s="185" t="s">
        <v>856</v>
      </c>
    </row>
    <row r="265" spans="1:65" s="2" customFormat="1" ht="10">
      <c r="A265" s="35"/>
      <c r="B265" s="36"/>
      <c r="C265" s="37"/>
      <c r="D265" s="187" t="s">
        <v>137</v>
      </c>
      <c r="E265" s="37"/>
      <c r="F265" s="188" t="s">
        <v>857</v>
      </c>
      <c r="G265" s="37"/>
      <c r="H265" s="37"/>
      <c r="I265" s="189"/>
      <c r="J265" s="37"/>
      <c r="K265" s="37"/>
      <c r="L265" s="40"/>
      <c r="M265" s="190"/>
      <c r="N265" s="191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137</v>
      </c>
      <c r="AU265" s="18" t="s">
        <v>82</v>
      </c>
    </row>
    <row r="266" spans="1:65" s="13" customFormat="1" ht="10">
      <c r="B266" s="192"/>
      <c r="C266" s="193"/>
      <c r="D266" s="194" t="s">
        <v>139</v>
      </c>
      <c r="E266" s="195" t="s">
        <v>19</v>
      </c>
      <c r="F266" s="196" t="s">
        <v>858</v>
      </c>
      <c r="G266" s="193"/>
      <c r="H266" s="197">
        <v>590</v>
      </c>
      <c r="I266" s="198"/>
      <c r="J266" s="193"/>
      <c r="K266" s="193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139</v>
      </c>
      <c r="AU266" s="203" t="s">
        <v>82</v>
      </c>
      <c r="AV266" s="13" t="s">
        <v>82</v>
      </c>
      <c r="AW266" s="13" t="s">
        <v>34</v>
      </c>
      <c r="AX266" s="13" t="s">
        <v>80</v>
      </c>
      <c r="AY266" s="203" t="s">
        <v>128</v>
      </c>
    </row>
    <row r="267" spans="1:65" s="2" customFormat="1" ht="24.15" customHeight="1">
      <c r="A267" s="35"/>
      <c r="B267" s="36"/>
      <c r="C267" s="174" t="s">
        <v>381</v>
      </c>
      <c r="D267" s="174" t="s">
        <v>130</v>
      </c>
      <c r="E267" s="175" t="s">
        <v>859</v>
      </c>
      <c r="F267" s="176" t="s">
        <v>860</v>
      </c>
      <c r="G267" s="177" t="s">
        <v>133</v>
      </c>
      <c r="H267" s="178">
        <v>590</v>
      </c>
      <c r="I267" s="179"/>
      <c r="J267" s="180">
        <f>ROUND(I267*H267,2)</f>
        <v>0</v>
      </c>
      <c r="K267" s="176" t="s">
        <v>134</v>
      </c>
      <c r="L267" s="40"/>
      <c r="M267" s="181" t="s">
        <v>19</v>
      </c>
      <c r="N267" s="182" t="s">
        <v>43</v>
      </c>
      <c r="O267" s="65"/>
      <c r="P267" s="183">
        <f>O267*H267</f>
        <v>0</v>
      </c>
      <c r="Q267" s="183">
        <v>2.2000000000000001E-4</v>
      </c>
      <c r="R267" s="183">
        <f>Q267*H267</f>
        <v>0.1298</v>
      </c>
      <c r="S267" s="183">
        <v>2E-3</v>
      </c>
      <c r="T267" s="184">
        <f>S267*H267</f>
        <v>1.18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135</v>
      </c>
      <c r="AT267" s="185" t="s">
        <v>130</v>
      </c>
      <c r="AU267" s="185" t="s">
        <v>82</v>
      </c>
      <c r="AY267" s="18" t="s">
        <v>128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8" t="s">
        <v>80</v>
      </c>
      <c r="BK267" s="186">
        <f>ROUND(I267*H267,2)</f>
        <v>0</v>
      </c>
      <c r="BL267" s="18" t="s">
        <v>135</v>
      </c>
      <c r="BM267" s="185" t="s">
        <v>861</v>
      </c>
    </row>
    <row r="268" spans="1:65" s="2" customFormat="1" ht="10">
      <c r="A268" s="35"/>
      <c r="B268" s="36"/>
      <c r="C268" s="37"/>
      <c r="D268" s="187" t="s">
        <v>137</v>
      </c>
      <c r="E268" s="37"/>
      <c r="F268" s="188" t="s">
        <v>862</v>
      </c>
      <c r="G268" s="37"/>
      <c r="H268" s="37"/>
      <c r="I268" s="189"/>
      <c r="J268" s="37"/>
      <c r="K268" s="37"/>
      <c r="L268" s="40"/>
      <c r="M268" s="190"/>
      <c r="N268" s="191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137</v>
      </c>
      <c r="AU268" s="18" t="s">
        <v>82</v>
      </c>
    </row>
    <row r="269" spans="1:65" s="13" customFormat="1" ht="10">
      <c r="B269" s="192"/>
      <c r="C269" s="193"/>
      <c r="D269" s="194" t="s">
        <v>139</v>
      </c>
      <c r="E269" s="195" t="s">
        <v>19</v>
      </c>
      <c r="F269" s="196" t="s">
        <v>858</v>
      </c>
      <c r="G269" s="193"/>
      <c r="H269" s="197">
        <v>590</v>
      </c>
      <c r="I269" s="198"/>
      <c r="J269" s="193"/>
      <c r="K269" s="193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139</v>
      </c>
      <c r="AU269" s="203" t="s">
        <v>82</v>
      </c>
      <c r="AV269" s="13" t="s">
        <v>82</v>
      </c>
      <c r="AW269" s="13" t="s">
        <v>34</v>
      </c>
      <c r="AX269" s="13" t="s">
        <v>80</v>
      </c>
      <c r="AY269" s="203" t="s">
        <v>128</v>
      </c>
    </row>
    <row r="270" spans="1:65" s="2" customFormat="1" ht="24.15" customHeight="1">
      <c r="A270" s="35"/>
      <c r="B270" s="36"/>
      <c r="C270" s="174" t="s">
        <v>386</v>
      </c>
      <c r="D270" s="174" t="s">
        <v>130</v>
      </c>
      <c r="E270" s="175" t="s">
        <v>863</v>
      </c>
      <c r="F270" s="176" t="s">
        <v>864</v>
      </c>
      <c r="G270" s="177" t="s">
        <v>133</v>
      </c>
      <c r="H270" s="178">
        <v>1.5</v>
      </c>
      <c r="I270" s="179"/>
      <c r="J270" s="180">
        <f>ROUND(I270*H270,2)</f>
        <v>0</v>
      </c>
      <c r="K270" s="176" t="s">
        <v>134</v>
      </c>
      <c r="L270" s="40"/>
      <c r="M270" s="181" t="s">
        <v>19</v>
      </c>
      <c r="N270" s="182" t="s">
        <v>43</v>
      </c>
      <c r="O270" s="65"/>
      <c r="P270" s="183">
        <f>O270*H270</f>
        <v>0</v>
      </c>
      <c r="Q270" s="183">
        <v>8.5900000000000004E-3</v>
      </c>
      <c r="R270" s="183">
        <f>Q270*H270</f>
        <v>1.2885000000000001E-2</v>
      </c>
      <c r="S270" s="183">
        <v>0</v>
      </c>
      <c r="T270" s="18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5" t="s">
        <v>135</v>
      </c>
      <c r="AT270" s="185" t="s">
        <v>130</v>
      </c>
      <c r="AU270" s="185" t="s">
        <v>82</v>
      </c>
      <c r="AY270" s="18" t="s">
        <v>128</v>
      </c>
      <c r="BE270" s="186">
        <f>IF(N270="základní",J270,0)</f>
        <v>0</v>
      </c>
      <c r="BF270" s="186">
        <f>IF(N270="snížená",J270,0)</f>
        <v>0</v>
      </c>
      <c r="BG270" s="186">
        <f>IF(N270="zákl. přenesená",J270,0)</f>
        <v>0</v>
      </c>
      <c r="BH270" s="186">
        <f>IF(N270="sníž. přenesená",J270,0)</f>
        <v>0</v>
      </c>
      <c r="BI270" s="186">
        <f>IF(N270="nulová",J270,0)</f>
        <v>0</v>
      </c>
      <c r="BJ270" s="18" t="s">
        <v>80</v>
      </c>
      <c r="BK270" s="186">
        <f>ROUND(I270*H270,2)</f>
        <v>0</v>
      </c>
      <c r="BL270" s="18" t="s">
        <v>135</v>
      </c>
      <c r="BM270" s="185" t="s">
        <v>865</v>
      </c>
    </row>
    <row r="271" spans="1:65" s="2" customFormat="1" ht="10">
      <c r="A271" s="35"/>
      <c r="B271" s="36"/>
      <c r="C271" s="37"/>
      <c r="D271" s="187" t="s">
        <v>137</v>
      </c>
      <c r="E271" s="37"/>
      <c r="F271" s="188" t="s">
        <v>866</v>
      </c>
      <c r="G271" s="37"/>
      <c r="H271" s="37"/>
      <c r="I271" s="189"/>
      <c r="J271" s="37"/>
      <c r="K271" s="37"/>
      <c r="L271" s="40"/>
      <c r="M271" s="190"/>
      <c r="N271" s="191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137</v>
      </c>
      <c r="AU271" s="18" t="s">
        <v>82</v>
      </c>
    </row>
    <row r="272" spans="1:65" s="13" customFormat="1" ht="10">
      <c r="B272" s="192"/>
      <c r="C272" s="193"/>
      <c r="D272" s="194" t="s">
        <v>139</v>
      </c>
      <c r="E272" s="195" t="s">
        <v>19</v>
      </c>
      <c r="F272" s="196" t="s">
        <v>867</v>
      </c>
      <c r="G272" s="193"/>
      <c r="H272" s="197">
        <v>1.5</v>
      </c>
      <c r="I272" s="198"/>
      <c r="J272" s="193"/>
      <c r="K272" s="193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139</v>
      </c>
      <c r="AU272" s="203" t="s">
        <v>82</v>
      </c>
      <c r="AV272" s="13" t="s">
        <v>82</v>
      </c>
      <c r="AW272" s="13" t="s">
        <v>34</v>
      </c>
      <c r="AX272" s="13" t="s">
        <v>80</v>
      </c>
      <c r="AY272" s="203" t="s">
        <v>128</v>
      </c>
    </row>
    <row r="273" spans="1:65" s="2" customFormat="1" ht="16.5" customHeight="1">
      <c r="A273" s="35"/>
      <c r="B273" s="36"/>
      <c r="C273" s="215" t="s">
        <v>392</v>
      </c>
      <c r="D273" s="215" t="s">
        <v>414</v>
      </c>
      <c r="E273" s="216" t="s">
        <v>868</v>
      </c>
      <c r="F273" s="217" t="s">
        <v>869</v>
      </c>
      <c r="G273" s="218" t="s">
        <v>133</v>
      </c>
      <c r="H273" s="219">
        <v>1.65</v>
      </c>
      <c r="I273" s="220"/>
      <c r="J273" s="221">
        <f>ROUND(I273*H273,2)</f>
        <v>0</v>
      </c>
      <c r="K273" s="217" t="s">
        <v>134</v>
      </c>
      <c r="L273" s="222"/>
      <c r="M273" s="223" t="s">
        <v>19</v>
      </c>
      <c r="N273" s="224" t="s">
        <v>43</v>
      </c>
      <c r="O273" s="65"/>
      <c r="P273" s="183">
        <f>O273*H273</f>
        <v>0</v>
      </c>
      <c r="Q273" s="183">
        <v>2.3999999999999998E-3</v>
      </c>
      <c r="R273" s="183">
        <f>Q273*H273</f>
        <v>3.9599999999999991E-3</v>
      </c>
      <c r="S273" s="183">
        <v>0</v>
      </c>
      <c r="T273" s="18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5" t="s">
        <v>178</v>
      </c>
      <c r="AT273" s="185" t="s">
        <v>414</v>
      </c>
      <c r="AU273" s="185" t="s">
        <v>82</v>
      </c>
      <c r="AY273" s="18" t="s">
        <v>128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18" t="s">
        <v>80</v>
      </c>
      <c r="BK273" s="186">
        <f>ROUND(I273*H273,2)</f>
        <v>0</v>
      </c>
      <c r="BL273" s="18" t="s">
        <v>135</v>
      </c>
      <c r="BM273" s="185" t="s">
        <v>870</v>
      </c>
    </row>
    <row r="274" spans="1:65" s="13" customFormat="1" ht="10">
      <c r="B274" s="192"/>
      <c r="C274" s="193"/>
      <c r="D274" s="194" t="s">
        <v>139</v>
      </c>
      <c r="E274" s="193"/>
      <c r="F274" s="196" t="s">
        <v>871</v>
      </c>
      <c r="G274" s="193"/>
      <c r="H274" s="197">
        <v>1.65</v>
      </c>
      <c r="I274" s="198"/>
      <c r="J274" s="193"/>
      <c r="K274" s="193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139</v>
      </c>
      <c r="AU274" s="203" t="s">
        <v>82</v>
      </c>
      <c r="AV274" s="13" t="s">
        <v>82</v>
      </c>
      <c r="AW274" s="13" t="s">
        <v>4</v>
      </c>
      <c r="AX274" s="13" t="s">
        <v>80</v>
      </c>
      <c r="AY274" s="203" t="s">
        <v>128</v>
      </c>
    </row>
    <row r="275" spans="1:65" s="2" customFormat="1" ht="16.5" customHeight="1">
      <c r="A275" s="35"/>
      <c r="B275" s="36"/>
      <c r="C275" s="174" t="s">
        <v>401</v>
      </c>
      <c r="D275" s="174" t="s">
        <v>130</v>
      </c>
      <c r="E275" s="175" t="s">
        <v>872</v>
      </c>
      <c r="F275" s="176" t="s">
        <v>873</v>
      </c>
      <c r="G275" s="177" t="s">
        <v>133</v>
      </c>
      <c r="H275" s="178">
        <v>85.38</v>
      </c>
      <c r="I275" s="179"/>
      <c r="J275" s="180">
        <f>ROUND(I275*H275,2)</f>
        <v>0</v>
      </c>
      <c r="K275" s="176" t="s">
        <v>134</v>
      </c>
      <c r="L275" s="40"/>
      <c r="M275" s="181" t="s">
        <v>19</v>
      </c>
      <c r="N275" s="182" t="s">
        <v>43</v>
      </c>
      <c r="O275" s="65"/>
      <c r="P275" s="183">
        <f>O275*H275</f>
        <v>0</v>
      </c>
      <c r="Q275" s="183">
        <v>2.5999999999999998E-4</v>
      </c>
      <c r="R275" s="183">
        <f>Q275*H275</f>
        <v>2.2198799999999998E-2</v>
      </c>
      <c r="S275" s="183">
        <v>0</v>
      </c>
      <c r="T275" s="18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135</v>
      </c>
      <c r="AT275" s="185" t="s">
        <v>130</v>
      </c>
      <c r="AU275" s="185" t="s">
        <v>82</v>
      </c>
      <c r="AY275" s="18" t="s">
        <v>128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8" t="s">
        <v>80</v>
      </c>
      <c r="BK275" s="186">
        <f>ROUND(I275*H275,2)</f>
        <v>0</v>
      </c>
      <c r="BL275" s="18" t="s">
        <v>135</v>
      </c>
      <c r="BM275" s="185" t="s">
        <v>874</v>
      </c>
    </row>
    <row r="276" spans="1:65" s="2" customFormat="1" ht="10">
      <c r="A276" s="35"/>
      <c r="B276" s="36"/>
      <c r="C276" s="37"/>
      <c r="D276" s="187" t="s">
        <v>137</v>
      </c>
      <c r="E276" s="37"/>
      <c r="F276" s="188" t="s">
        <v>875</v>
      </c>
      <c r="G276" s="37"/>
      <c r="H276" s="37"/>
      <c r="I276" s="189"/>
      <c r="J276" s="37"/>
      <c r="K276" s="37"/>
      <c r="L276" s="40"/>
      <c r="M276" s="190"/>
      <c r="N276" s="191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137</v>
      </c>
      <c r="AU276" s="18" t="s">
        <v>82</v>
      </c>
    </row>
    <row r="277" spans="1:65" s="13" customFormat="1" ht="10">
      <c r="B277" s="192"/>
      <c r="C277" s="193"/>
      <c r="D277" s="194" t="s">
        <v>139</v>
      </c>
      <c r="E277" s="195" t="s">
        <v>19</v>
      </c>
      <c r="F277" s="196" t="s">
        <v>717</v>
      </c>
      <c r="G277" s="193"/>
      <c r="H277" s="197">
        <v>85.38</v>
      </c>
      <c r="I277" s="198"/>
      <c r="J277" s="193"/>
      <c r="K277" s="193"/>
      <c r="L277" s="199"/>
      <c r="M277" s="200"/>
      <c r="N277" s="201"/>
      <c r="O277" s="201"/>
      <c r="P277" s="201"/>
      <c r="Q277" s="201"/>
      <c r="R277" s="201"/>
      <c r="S277" s="201"/>
      <c r="T277" s="202"/>
      <c r="AT277" s="203" t="s">
        <v>139</v>
      </c>
      <c r="AU277" s="203" t="s">
        <v>82</v>
      </c>
      <c r="AV277" s="13" t="s">
        <v>82</v>
      </c>
      <c r="AW277" s="13" t="s">
        <v>34</v>
      </c>
      <c r="AX277" s="13" t="s">
        <v>80</v>
      </c>
      <c r="AY277" s="203" t="s">
        <v>128</v>
      </c>
    </row>
    <row r="278" spans="1:65" s="2" customFormat="1" ht="24.15" customHeight="1">
      <c r="A278" s="35"/>
      <c r="B278" s="36"/>
      <c r="C278" s="174" t="s">
        <v>407</v>
      </c>
      <c r="D278" s="174" t="s">
        <v>130</v>
      </c>
      <c r="E278" s="175" t="s">
        <v>876</v>
      </c>
      <c r="F278" s="176" t="s">
        <v>877</v>
      </c>
      <c r="G278" s="177" t="s">
        <v>133</v>
      </c>
      <c r="H278" s="178">
        <v>93.48</v>
      </c>
      <c r="I278" s="179"/>
      <c r="J278" s="180">
        <f>ROUND(I278*H278,2)</f>
        <v>0</v>
      </c>
      <c r="K278" s="176" t="s">
        <v>134</v>
      </c>
      <c r="L278" s="40"/>
      <c r="M278" s="181" t="s">
        <v>19</v>
      </c>
      <c r="N278" s="182" t="s">
        <v>43</v>
      </c>
      <c r="O278" s="65"/>
      <c r="P278" s="183">
        <f>O278*H278</f>
        <v>0</v>
      </c>
      <c r="Q278" s="183">
        <v>4.3800000000000002E-3</v>
      </c>
      <c r="R278" s="183">
        <f>Q278*H278</f>
        <v>0.40944240000000004</v>
      </c>
      <c r="S278" s="183">
        <v>0</v>
      </c>
      <c r="T278" s="18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5" t="s">
        <v>135</v>
      </c>
      <c r="AT278" s="185" t="s">
        <v>130</v>
      </c>
      <c r="AU278" s="185" t="s">
        <v>82</v>
      </c>
      <c r="AY278" s="18" t="s">
        <v>128</v>
      </c>
      <c r="BE278" s="186">
        <f>IF(N278="základní",J278,0)</f>
        <v>0</v>
      </c>
      <c r="BF278" s="186">
        <f>IF(N278="snížená",J278,0)</f>
        <v>0</v>
      </c>
      <c r="BG278" s="186">
        <f>IF(N278="zákl. přenesená",J278,0)</f>
        <v>0</v>
      </c>
      <c r="BH278" s="186">
        <f>IF(N278="sníž. přenesená",J278,0)</f>
        <v>0</v>
      </c>
      <c r="BI278" s="186">
        <f>IF(N278="nulová",J278,0)</f>
        <v>0</v>
      </c>
      <c r="BJ278" s="18" t="s">
        <v>80</v>
      </c>
      <c r="BK278" s="186">
        <f>ROUND(I278*H278,2)</f>
        <v>0</v>
      </c>
      <c r="BL278" s="18" t="s">
        <v>135</v>
      </c>
      <c r="BM278" s="185" t="s">
        <v>878</v>
      </c>
    </row>
    <row r="279" spans="1:65" s="2" customFormat="1" ht="10">
      <c r="A279" s="35"/>
      <c r="B279" s="36"/>
      <c r="C279" s="37"/>
      <c r="D279" s="187" t="s">
        <v>137</v>
      </c>
      <c r="E279" s="37"/>
      <c r="F279" s="188" t="s">
        <v>879</v>
      </c>
      <c r="G279" s="37"/>
      <c r="H279" s="37"/>
      <c r="I279" s="189"/>
      <c r="J279" s="37"/>
      <c r="K279" s="37"/>
      <c r="L279" s="40"/>
      <c r="M279" s="190"/>
      <c r="N279" s="191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137</v>
      </c>
      <c r="AU279" s="18" t="s">
        <v>82</v>
      </c>
    </row>
    <row r="280" spans="1:65" s="13" customFormat="1" ht="10">
      <c r="B280" s="192"/>
      <c r="C280" s="193"/>
      <c r="D280" s="194" t="s">
        <v>139</v>
      </c>
      <c r="E280" s="195" t="s">
        <v>19</v>
      </c>
      <c r="F280" s="196" t="s">
        <v>717</v>
      </c>
      <c r="G280" s="193"/>
      <c r="H280" s="197">
        <v>85.38</v>
      </c>
      <c r="I280" s="198"/>
      <c r="J280" s="193"/>
      <c r="K280" s="193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139</v>
      </c>
      <c r="AU280" s="203" t="s">
        <v>82</v>
      </c>
      <c r="AV280" s="13" t="s">
        <v>82</v>
      </c>
      <c r="AW280" s="13" t="s">
        <v>34</v>
      </c>
      <c r="AX280" s="13" t="s">
        <v>72</v>
      </c>
      <c r="AY280" s="203" t="s">
        <v>128</v>
      </c>
    </row>
    <row r="281" spans="1:65" s="13" customFormat="1" ht="10">
      <c r="B281" s="192"/>
      <c r="C281" s="193"/>
      <c r="D281" s="194" t="s">
        <v>139</v>
      </c>
      <c r="E281" s="195" t="s">
        <v>19</v>
      </c>
      <c r="F281" s="196" t="s">
        <v>880</v>
      </c>
      <c r="G281" s="193"/>
      <c r="H281" s="197">
        <v>7.02</v>
      </c>
      <c r="I281" s="198"/>
      <c r="J281" s="193"/>
      <c r="K281" s="193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139</v>
      </c>
      <c r="AU281" s="203" t="s">
        <v>82</v>
      </c>
      <c r="AV281" s="13" t="s">
        <v>82</v>
      </c>
      <c r="AW281" s="13" t="s">
        <v>34</v>
      </c>
      <c r="AX281" s="13" t="s">
        <v>72</v>
      </c>
      <c r="AY281" s="203" t="s">
        <v>128</v>
      </c>
    </row>
    <row r="282" spans="1:65" s="13" customFormat="1" ht="10">
      <c r="B282" s="192"/>
      <c r="C282" s="193"/>
      <c r="D282" s="194" t="s">
        <v>139</v>
      </c>
      <c r="E282" s="195" t="s">
        <v>19</v>
      </c>
      <c r="F282" s="196" t="s">
        <v>881</v>
      </c>
      <c r="G282" s="193"/>
      <c r="H282" s="197">
        <v>1.08</v>
      </c>
      <c r="I282" s="198"/>
      <c r="J282" s="193"/>
      <c r="K282" s="193"/>
      <c r="L282" s="199"/>
      <c r="M282" s="200"/>
      <c r="N282" s="201"/>
      <c r="O282" s="201"/>
      <c r="P282" s="201"/>
      <c r="Q282" s="201"/>
      <c r="R282" s="201"/>
      <c r="S282" s="201"/>
      <c r="T282" s="202"/>
      <c r="AT282" s="203" t="s">
        <v>139</v>
      </c>
      <c r="AU282" s="203" t="s">
        <v>82</v>
      </c>
      <c r="AV282" s="13" t="s">
        <v>82</v>
      </c>
      <c r="AW282" s="13" t="s">
        <v>34</v>
      </c>
      <c r="AX282" s="13" t="s">
        <v>72</v>
      </c>
      <c r="AY282" s="203" t="s">
        <v>128</v>
      </c>
    </row>
    <row r="283" spans="1:65" s="14" customFormat="1" ht="10">
      <c r="B283" s="204"/>
      <c r="C283" s="205"/>
      <c r="D283" s="194" t="s">
        <v>139</v>
      </c>
      <c r="E283" s="206" t="s">
        <v>19</v>
      </c>
      <c r="F283" s="207" t="s">
        <v>153</v>
      </c>
      <c r="G283" s="205"/>
      <c r="H283" s="208">
        <v>93.47999999999999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139</v>
      </c>
      <c r="AU283" s="214" t="s">
        <v>82</v>
      </c>
      <c r="AV283" s="14" t="s">
        <v>135</v>
      </c>
      <c r="AW283" s="14" t="s">
        <v>34</v>
      </c>
      <c r="AX283" s="14" t="s">
        <v>80</v>
      </c>
      <c r="AY283" s="214" t="s">
        <v>128</v>
      </c>
    </row>
    <row r="284" spans="1:65" s="2" customFormat="1" ht="16.5" customHeight="1">
      <c r="A284" s="35"/>
      <c r="B284" s="36"/>
      <c r="C284" s="174" t="s">
        <v>413</v>
      </c>
      <c r="D284" s="174" t="s">
        <v>130</v>
      </c>
      <c r="E284" s="175" t="s">
        <v>882</v>
      </c>
      <c r="F284" s="176" t="s">
        <v>883</v>
      </c>
      <c r="G284" s="177" t="s">
        <v>133</v>
      </c>
      <c r="H284" s="178">
        <v>92.4</v>
      </c>
      <c r="I284" s="179"/>
      <c r="J284" s="180">
        <f>ROUND(I284*H284,2)</f>
        <v>0</v>
      </c>
      <c r="K284" s="176" t="s">
        <v>134</v>
      </c>
      <c r="L284" s="40"/>
      <c r="M284" s="181" t="s">
        <v>19</v>
      </c>
      <c r="N284" s="182" t="s">
        <v>43</v>
      </c>
      <c r="O284" s="65"/>
      <c r="P284" s="183">
        <f>O284*H284</f>
        <v>0</v>
      </c>
      <c r="Q284" s="183">
        <v>2.5000000000000001E-4</v>
      </c>
      <c r="R284" s="183">
        <f>Q284*H284</f>
        <v>2.3100000000000002E-2</v>
      </c>
      <c r="S284" s="183">
        <v>0</v>
      </c>
      <c r="T284" s="18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5" t="s">
        <v>135</v>
      </c>
      <c r="AT284" s="185" t="s">
        <v>130</v>
      </c>
      <c r="AU284" s="185" t="s">
        <v>82</v>
      </c>
      <c r="AY284" s="18" t="s">
        <v>128</v>
      </c>
      <c r="BE284" s="186">
        <f>IF(N284="základní",J284,0)</f>
        <v>0</v>
      </c>
      <c r="BF284" s="186">
        <f>IF(N284="snížená",J284,0)</f>
        <v>0</v>
      </c>
      <c r="BG284" s="186">
        <f>IF(N284="zákl. přenesená",J284,0)</f>
        <v>0</v>
      </c>
      <c r="BH284" s="186">
        <f>IF(N284="sníž. přenesená",J284,0)</f>
        <v>0</v>
      </c>
      <c r="BI284" s="186">
        <f>IF(N284="nulová",J284,0)</f>
        <v>0</v>
      </c>
      <c r="BJ284" s="18" t="s">
        <v>80</v>
      </c>
      <c r="BK284" s="186">
        <f>ROUND(I284*H284,2)</f>
        <v>0</v>
      </c>
      <c r="BL284" s="18" t="s">
        <v>135</v>
      </c>
      <c r="BM284" s="185" t="s">
        <v>884</v>
      </c>
    </row>
    <row r="285" spans="1:65" s="2" customFormat="1" ht="10">
      <c r="A285" s="35"/>
      <c r="B285" s="36"/>
      <c r="C285" s="37"/>
      <c r="D285" s="187" t="s">
        <v>137</v>
      </c>
      <c r="E285" s="37"/>
      <c r="F285" s="188" t="s">
        <v>885</v>
      </c>
      <c r="G285" s="37"/>
      <c r="H285" s="37"/>
      <c r="I285" s="189"/>
      <c r="J285" s="37"/>
      <c r="K285" s="37"/>
      <c r="L285" s="40"/>
      <c r="M285" s="190"/>
      <c r="N285" s="191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137</v>
      </c>
      <c r="AU285" s="18" t="s">
        <v>82</v>
      </c>
    </row>
    <row r="286" spans="1:65" s="13" customFormat="1" ht="10">
      <c r="B286" s="192"/>
      <c r="C286" s="193"/>
      <c r="D286" s="194" t="s">
        <v>139</v>
      </c>
      <c r="E286" s="195" t="s">
        <v>19</v>
      </c>
      <c r="F286" s="196" t="s">
        <v>717</v>
      </c>
      <c r="G286" s="193"/>
      <c r="H286" s="197">
        <v>85.38</v>
      </c>
      <c r="I286" s="198"/>
      <c r="J286" s="193"/>
      <c r="K286" s="193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139</v>
      </c>
      <c r="AU286" s="203" t="s">
        <v>82</v>
      </c>
      <c r="AV286" s="13" t="s">
        <v>82</v>
      </c>
      <c r="AW286" s="13" t="s">
        <v>34</v>
      </c>
      <c r="AX286" s="13" t="s">
        <v>72</v>
      </c>
      <c r="AY286" s="203" t="s">
        <v>128</v>
      </c>
    </row>
    <row r="287" spans="1:65" s="13" customFormat="1" ht="10">
      <c r="B287" s="192"/>
      <c r="C287" s="193"/>
      <c r="D287" s="194" t="s">
        <v>139</v>
      </c>
      <c r="E287" s="195" t="s">
        <v>19</v>
      </c>
      <c r="F287" s="196" t="s">
        <v>880</v>
      </c>
      <c r="G287" s="193"/>
      <c r="H287" s="197">
        <v>7.02</v>
      </c>
      <c r="I287" s="198"/>
      <c r="J287" s="193"/>
      <c r="K287" s="193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139</v>
      </c>
      <c r="AU287" s="203" t="s">
        <v>82</v>
      </c>
      <c r="AV287" s="13" t="s">
        <v>82</v>
      </c>
      <c r="AW287" s="13" t="s">
        <v>34</v>
      </c>
      <c r="AX287" s="13" t="s">
        <v>72</v>
      </c>
      <c r="AY287" s="203" t="s">
        <v>128</v>
      </c>
    </row>
    <row r="288" spans="1:65" s="14" customFormat="1" ht="10">
      <c r="B288" s="204"/>
      <c r="C288" s="205"/>
      <c r="D288" s="194" t="s">
        <v>139</v>
      </c>
      <c r="E288" s="206" t="s">
        <v>19</v>
      </c>
      <c r="F288" s="207" t="s">
        <v>153</v>
      </c>
      <c r="G288" s="205"/>
      <c r="H288" s="208">
        <v>92.399999999999991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139</v>
      </c>
      <c r="AU288" s="214" t="s">
        <v>82</v>
      </c>
      <c r="AV288" s="14" t="s">
        <v>135</v>
      </c>
      <c r="AW288" s="14" t="s">
        <v>34</v>
      </c>
      <c r="AX288" s="14" t="s">
        <v>80</v>
      </c>
      <c r="AY288" s="214" t="s">
        <v>128</v>
      </c>
    </row>
    <row r="289" spans="1:65" s="2" customFormat="1" ht="37.75" customHeight="1">
      <c r="A289" s="35"/>
      <c r="B289" s="36"/>
      <c r="C289" s="174" t="s">
        <v>423</v>
      </c>
      <c r="D289" s="174" t="s">
        <v>130</v>
      </c>
      <c r="E289" s="175" t="s">
        <v>886</v>
      </c>
      <c r="F289" s="176" t="s">
        <v>887</v>
      </c>
      <c r="G289" s="177" t="s">
        <v>133</v>
      </c>
      <c r="H289" s="178">
        <v>85.38</v>
      </c>
      <c r="I289" s="179"/>
      <c r="J289" s="180">
        <f>ROUND(I289*H289,2)</f>
        <v>0</v>
      </c>
      <c r="K289" s="176" t="s">
        <v>134</v>
      </c>
      <c r="L289" s="40"/>
      <c r="M289" s="181" t="s">
        <v>19</v>
      </c>
      <c r="N289" s="182" t="s">
        <v>43</v>
      </c>
      <c r="O289" s="65"/>
      <c r="P289" s="183">
        <f>O289*H289</f>
        <v>0</v>
      </c>
      <c r="Q289" s="183">
        <v>1.1520000000000001E-2</v>
      </c>
      <c r="R289" s="183">
        <f>Q289*H289</f>
        <v>0.98357760000000005</v>
      </c>
      <c r="S289" s="183">
        <v>0</v>
      </c>
      <c r="T289" s="18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5" t="s">
        <v>135</v>
      </c>
      <c r="AT289" s="185" t="s">
        <v>130</v>
      </c>
      <c r="AU289" s="185" t="s">
        <v>82</v>
      </c>
      <c r="AY289" s="18" t="s">
        <v>128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18" t="s">
        <v>80</v>
      </c>
      <c r="BK289" s="186">
        <f>ROUND(I289*H289,2)</f>
        <v>0</v>
      </c>
      <c r="BL289" s="18" t="s">
        <v>135</v>
      </c>
      <c r="BM289" s="185" t="s">
        <v>888</v>
      </c>
    </row>
    <row r="290" spans="1:65" s="2" customFormat="1" ht="10">
      <c r="A290" s="35"/>
      <c r="B290" s="36"/>
      <c r="C290" s="37"/>
      <c r="D290" s="187" t="s">
        <v>137</v>
      </c>
      <c r="E290" s="37"/>
      <c r="F290" s="188" t="s">
        <v>889</v>
      </c>
      <c r="G290" s="37"/>
      <c r="H290" s="37"/>
      <c r="I290" s="189"/>
      <c r="J290" s="37"/>
      <c r="K290" s="37"/>
      <c r="L290" s="40"/>
      <c r="M290" s="190"/>
      <c r="N290" s="191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137</v>
      </c>
      <c r="AU290" s="18" t="s">
        <v>82</v>
      </c>
    </row>
    <row r="291" spans="1:65" s="13" customFormat="1" ht="10">
      <c r="B291" s="192"/>
      <c r="C291" s="193"/>
      <c r="D291" s="194" t="s">
        <v>139</v>
      </c>
      <c r="E291" s="195" t="s">
        <v>19</v>
      </c>
      <c r="F291" s="196" t="s">
        <v>717</v>
      </c>
      <c r="G291" s="193"/>
      <c r="H291" s="197">
        <v>85.38</v>
      </c>
      <c r="I291" s="198"/>
      <c r="J291" s="193"/>
      <c r="K291" s="193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139</v>
      </c>
      <c r="AU291" s="203" t="s">
        <v>82</v>
      </c>
      <c r="AV291" s="13" t="s">
        <v>82</v>
      </c>
      <c r="AW291" s="13" t="s">
        <v>34</v>
      </c>
      <c r="AX291" s="13" t="s">
        <v>80</v>
      </c>
      <c r="AY291" s="203" t="s">
        <v>128</v>
      </c>
    </row>
    <row r="292" spans="1:65" s="2" customFormat="1" ht="16.5" customHeight="1">
      <c r="A292" s="35"/>
      <c r="B292" s="36"/>
      <c r="C292" s="215" t="s">
        <v>431</v>
      </c>
      <c r="D292" s="215" t="s">
        <v>414</v>
      </c>
      <c r="E292" s="216" t="s">
        <v>890</v>
      </c>
      <c r="F292" s="217" t="s">
        <v>891</v>
      </c>
      <c r="G292" s="218" t="s">
        <v>133</v>
      </c>
      <c r="H292" s="219">
        <v>89.649000000000001</v>
      </c>
      <c r="I292" s="220"/>
      <c r="J292" s="221">
        <f>ROUND(I292*H292,2)</f>
        <v>0</v>
      </c>
      <c r="K292" s="217" t="s">
        <v>134</v>
      </c>
      <c r="L292" s="222"/>
      <c r="M292" s="223" t="s">
        <v>19</v>
      </c>
      <c r="N292" s="224" t="s">
        <v>43</v>
      </c>
      <c r="O292" s="65"/>
      <c r="P292" s="183">
        <f>O292*H292</f>
        <v>0</v>
      </c>
      <c r="Q292" s="183">
        <v>1.9E-2</v>
      </c>
      <c r="R292" s="183">
        <f>Q292*H292</f>
        <v>1.7033309999999999</v>
      </c>
      <c r="S292" s="183">
        <v>0</v>
      </c>
      <c r="T292" s="18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5" t="s">
        <v>178</v>
      </c>
      <c r="AT292" s="185" t="s">
        <v>414</v>
      </c>
      <c r="AU292" s="185" t="s">
        <v>82</v>
      </c>
      <c r="AY292" s="18" t="s">
        <v>128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18" t="s">
        <v>80</v>
      </c>
      <c r="BK292" s="186">
        <f>ROUND(I292*H292,2)</f>
        <v>0</v>
      </c>
      <c r="BL292" s="18" t="s">
        <v>135</v>
      </c>
      <c r="BM292" s="185" t="s">
        <v>892</v>
      </c>
    </row>
    <row r="293" spans="1:65" s="13" customFormat="1" ht="10">
      <c r="B293" s="192"/>
      <c r="C293" s="193"/>
      <c r="D293" s="194" t="s">
        <v>139</v>
      </c>
      <c r="E293" s="193"/>
      <c r="F293" s="196" t="s">
        <v>893</v>
      </c>
      <c r="G293" s="193"/>
      <c r="H293" s="197">
        <v>89.649000000000001</v>
      </c>
      <c r="I293" s="198"/>
      <c r="J293" s="193"/>
      <c r="K293" s="193"/>
      <c r="L293" s="199"/>
      <c r="M293" s="200"/>
      <c r="N293" s="201"/>
      <c r="O293" s="201"/>
      <c r="P293" s="201"/>
      <c r="Q293" s="201"/>
      <c r="R293" s="201"/>
      <c r="S293" s="201"/>
      <c r="T293" s="202"/>
      <c r="AT293" s="203" t="s">
        <v>139</v>
      </c>
      <c r="AU293" s="203" t="s">
        <v>82</v>
      </c>
      <c r="AV293" s="13" t="s">
        <v>82</v>
      </c>
      <c r="AW293" s="13" t="s">
        <v>4</v>
      </c>
      <c r="AX293" s="13" t="s">
        <v>80</v>
      </c>
      <c r="AY293" s="203" t="s">
        <v>128</v>
      </c>
    </row>
    <row r="294" spans="1:65" s="2" customFormat="1" ht="24.15" customHeight="1">
      <c r="A294" s="35"/>
      <c r="B294" s="36"/>
      <c r="C294" s="174" t="s">
        <v>437</v>
      </c>
      <c r="D294" s="174" t="s">
        <v>130</v>
      </c>
      <c r="E294" s="175" t="s">
        <v>894</v>
      </c>
      <c r="F294" s="176" t="s">
        <v>895</v>
      </c>
      <c r="G294" s="177" t="s">
        <v>258</v>
      </c>
      <c r="H294" s="178">
        <v>27</v>
      </c>
      <c r="I294" s="179"/>
      <c r="J294" s="180">
        <f>ROUND(I294*H294,2)</f>
        <v>0</v>
      </c>
      <c r="K294" s="176" t="s">
        <v>134</v>
      </c>
      <c r="L294" s="40"/>
      <c r="M294" s="181" t="s">
        <v>19</v>
      </c>
      <c r="N294" s="182" t="s">
        <v>43</v>
      </c>
      <c r="O294" s="65"/>
      <c r="P294" s="183">
        <f>O294*H294</f>
        <v>0</v>
      </c>
      <c r="Q294" s="183">
        <v>3.3899999999999998E-3</v>
      </c>
      <c r="R294" s="183">
        <f>Q294*H294</f>
        <v>9.153E-2</v>
      </c>
      <c r="S294" s="183">
        <v>0</v>
      </c>
      <c r="T294" s="18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5" t="s">
        <v>135</v>
      </c>
      <c r="AT294" s="185" t="s">
        <v>130</v>
      </c>
      <c r="AU294" s="185" t="s">
        <v>82</v>
      </c>
      <c r="AY294" s="18" t="s">
        <v>128</v>
      </c>
      <c r="BE294" s="186">
        <f>IF(N294="základní",J294,0)</f>
        <v>0</v>
      </c>
      <c r="BF294" s="186">
        <f>IF(N294="snížená",J294,0)</f>
        <v>0</v>
      </c>
      <c r="BG294" s="186">
        <f>IF(N294="zákl. přenesená",J294,0)</f>
        <v>0</v>
      </c>
      <c r="BH294" s="186">
        <f>IF(N294="sníž. přenesená",J294,0)</f>
        <v>0</v>
      </c>
      <c r="BI294" s="186">
        <f>IF(N294="nulová",J294,0)</f>
        <v>0</v>
      </c>
      <c r="BJ294" s="18" t="s">
        <v>80</v>
      </c>
      <c r="BK294" s="186">
        <f>ROUND(I294*H294,2)</f>
        <v>0</v>
      </c>
      <c r="BL294" s="18" t="s">
        <v>135</v>
      </c>
      <c r="BM294" s="185" t="s">
        <v>896</v>
      </c>
    </row>
    <row r="295" spans="1:65" s="2" customFormat="1" ht="10">
      <c r="A295" s="35"/>
      <c r="B295" s="36"/>
      <c r="C295" s="37"/>
      <c r="D295" s="187" t="s">
        <v>137</v>
      </c>
      <c r="E295" s="37"/>
      <c r="F295" s="188" t="s">
        <v>897</v>
      </c>
      <c r="G295" s="37"/>
      <c r="H295" s="37"/>
      <c r="I295" s="189"/>
      <c r="J295" s="37"/>
      <c r="K295" s="37"/>
      <c r="L295" s="40"/>
      <c r="M295" s="190"/>
      <c r="N295" s="191"/>
      <c r="O295" s="65"/>
      <c r="P295" s="65"/>
      <c r="Q295" s="65"/>
      <c r="R295" s="65"/>
      <c r="S295" s="65"/>
      <c r="T295" s="66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137</v>
      </c>
      <c r="AU295" s="18" t="s">
        <v>82</v>
      </c>
    </row>
    <row r="296" spans="1:65" s="13" customFormat="1" ht="10">
      <c r="B296" s="192"/>
      <c r="C296" s="193"/>
      <c r="D296" s="194" t="s">
        <v>139</v>
      </c>
      <c r="E296" s="195" t="s">
        <v>19</v>
      </c>
      <c r="F296" s="196" t="s">
        <v>898</v>
      </c>
      <c r="G296" s="193"/>
      <c r="H296" s="197">
        <v>23.4</v>
      </c>
      <c r="I296" s="198"/>
      <c r="J296" s="193"/>
      <c r="K296" s="193"/>
      <c r="L296" s="199"/>
      <c r="M296" s="200"/>
      <c r="N296" s="201"/>
      <c r="O296" s="201"/>
      <c r="P296" s="201"/>
      <c r="Q296" s="201"/>
      <c r="R296" s="201"/>
      <c r="S296" s="201"/>
      <c r="T296" s="202"/>
      <c r="AT296" s="203" t="s">
        <v>139</v>
      </c>
      <c r="AU296" s="203" t="s">
        <v>82</v>
      </c>
      <c r="AV296" s="13" t="s">
        <v>82</v>
      </c>
      <c r="AW296" s="13" t="s">
        <v>34</v>
      </c>
      <c r="AX296" s="13" t="s">
        <v>72</v>
      </c>
      <c r="AY296" s="203" t="s">
        <v>128</v>
      </c>
    </row>
    <row r="297" spans="1:65" s="13" customFormat="1" ht="10">
      <c r="B297" s="192"/>
      <c r="C297" s="193"/>
      <c r="D297" s="194" t="s">
        <v>139</v>
      </c>
      <c r="E297" s="195" t="s">
        <v>19</v>
      </c>
      <c r="F297" s="196" t="s">
        <v>899</v>
      </c>
      <c r="G297" s="193"/>
      <c r="H297" s="197">
        <v>3.6</v>
      </c>
      <c r="I297" s="198"/>
      <c r="J297" s="193"/>
      <c r="K297" s="193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139</v>
      </c>
      <c r="AU297" s="203" t="s">
        <v>82</v>
      </c>
      <c r="AV297" s="13" t="s">
        <v>82</v>
      </c>
      <c r="AW297" s="13" t="s">
        <v>34</v>
      </c>
      <c r="AX297" s="13" t="s">
        <v>72</v>
      </c>
      <c r="AY297" s="203" t="s">
        <v>128</v>
      </c>
    </row>
    <row r="298" spans="1:65" s="14" customFormat="1" ht="10">
      <c r="B298" s="204"/>
      <c r="C298" s="205"/>
      <c r="D298" s="194" t="s">
        <v>139</v>
      </c>
      <c r="E298" s="206" t="s">
        <v>19</v>
      </c>
      <c r="F298" s="207" t="s">
        <v>153</v>
      </c>
      <c r="G298" s="205"/>
      <c r="H298" s="208">
        <v>27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139</v>
      </c>
      <c r="AU298" s="214" t="s">
        <v>82</v>
      </c>
      <c r="AV298" s="14" t="s">
        <v>135</v>
      </c>
      <c r="AW298" s="14" t="s">
        <v>34</v>
      </c>
      <c r="AX298" s="14" t="s">
        <v>80</v>
      </c>
      <c r="AY298" s="214" t="s">
        <v>128</v>
      </c>
    </row>
    <row r="299" spans="1:65" s="2" customFormat="1" ht="16.5" customHeight="1">
      <c r="A299" s="35"/>
      <c r="B299" s="36"/>
      <c r="C299" s="215" t="s">
        <v>443</v>
      </c>
      <c r="D299" s="215" t="s">
        <v>414</v>
      </c>
      <c r="E299" s="216" t="s">
        <v>900</v>
      </c>
      <c r="F299" s="217" t="s">
        <v>901</v>
      </c>
      <c r="G299" s="218" t="s">
        <v>133</v>
      </c>
      <c r="H299" s="219">
        <v>7.7220000000000004</v>
      </c>
      <c r="I299" s="220"/>
      <c r="J299" s="221">
        <f>ROUND(I299*H299,2)</f>
        <v>0</v>
      </c>
      <c r="K299" s="217" t="s">
        <v>134</v>
      </c>
      <c r="L299" s="222"/>
      <c r="M299" s="223" t="s">
        <v>19</v>
      </c>
      <c r="N299" s="224" t="s">
        <v>43</v>
      </c>
      <c r="O299" s="65"/>
      <c r="P299" s="183">
        <f>O299*H299</f>
        <v>0</v>
      </c>
      <c r="Q299" s="183">
        <v>6.8000000000000005E-4</v>
      </c>
      <c r="R299" s="183">
        <f>Q299*H299</f>
        <v>5.2509600000000007E-3</v>
      </c>
      <c r="S299" s="183">
        <v>0</v>
      </c>
      <c r="T299" s="18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5" t="s">
        <v>178</v>
      </c>
      <c r="AT299" s="185" t="s">
        <v>414</v>
      </c>
      <c r="AU299" s="185" t="s">
        <v>82</v>
      </c>
      <c r="AY299" s="18" t="s">
        <v>128</v>
      </c>
      <c r="BE299" s="186">
        <f>IF(N299="základní",J299,0)</f>
        <v>0</v>
      </c>
      <c r="BF299" s="186">
        <f>IF(N299="snížená",J299,0)</f>
        <v>0</v>
      </c>
      <c r="BG299" s="186">
        <f>IF(N299="zákl. přenesená",J299,0)</f>
        <v>0</v>
      </c>
      <c r="BH299" s="186">
        <f>IF(N299="sníž. přenesená",J299,0)</f>
        <v>0</v>
      </c>
      <c r="BI299" s="186">
        <f>IF(N299="nulová",J299,0)</f>
        <v>0</v>
      </c>
      <c r="BJ299" s="18" t="s">
        <v>80</v>
      </c>
      <c r="BK299" s="186">
        <f>ROUND(I299*H299,2)</f>
        <v>0</v>
      </c>
      <c r="BL299" s="18" t="s">
        <v>135</v>
      </c>
      <c r="BM299" s="185" t="s">
        <v>902</v>
      </c>
    </row>
    <row r="300" spans="1:65" s="13" customFormat="1" ht="10">
      <c r="B300" s="192"/>
      <c r="C300" s="193"/>
      <c r="D300" s="194" t="s">
        <v>139</v>
      </c>
      <c r="E300" s="195" t="s">
        <v>19</v>
      </c>
      <c r="F300" s="196" t="s">
        <v>880</v>
      </c>
      <c r="G300" s="193"/>
      <c r="H300" s="197">
        <v>7.02</v>
      </c>
      <c r="I300" s="198"/>
      <c r="J300" s="193"/>
      <c r="K300" s="193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139</v>
      </c>
      <c r="AU300" s="203" t="s">
        <v>82</v>
      </c>
      <c r="AV300" s="13" t="s">
        <v>82</v>
      </c>
      <c r="AW300" s="13" t="s">
        <v>34</v>
      </c>
      <c r="AX300" s="13" t="s">
        <v>80</v>
      </c>
      <c r="AY300" s="203" t="s">
        <v>128</v>
      </c>
    </row>
    <row r="301" spans="1:65" s="13" customFormat="1" ht="10">
      <c r="B301" s="192"/>
      <c r="C301" s="193"/>
      <c r="D301" s="194" t="s">
        <v>139</v>
      </c>
      <c r="E301" s="193"/>
      <c r="F301" s="196" t="s">
        <v>903</v>
      </c>
      <c r="G301" s="193"/>
      <c r="H301" s="197">
        <v>7.7220000000000004</v>
      </c>
      <c r="I301" s="198"/>
      <c r="J301" s="193"/>
      <c r="K301" s="193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139</v>
      </c>
      <c r="AU301" s="203" t="s">
        <v>82</v>
      </c>
      <c r="AV301" s="13" t="s">
        <v>82</v>
      </c>
      <c r="AW301" s="13" t="s">
        <v>4</v>
      </c>
      <c r="AX301" s="13" t="s">
        <v>80</v>
      </c>
      <c r="AY301" s="203" t="s">
        <v>128</v>
      </c>
    </row>
    <row r="302" spans="1:65" s="2" customFormat="1" ht="16.5" customHeight="1">
      <c r="A302" s="35"/>
      <c r="B302" s="36"/>
      <c r="C302" s="215" t="s">
        <v>447</v>
      </c>
      <c r="D302" s="215" t="s">
        <v>414</v>
      </c>
      <c r="E302" s="216" t="s">
        <v>904</v>
      </c>
      <c r="F302" s="217" t="s">
        <v>905</v>
      </c>
      <c r="G302" s="218" t="s">
        <v>133</v>
      </c>
      <c r="H302" s="219">
        <v>1.1879999999999999</v>
      </c>
      <c r="I302" s="220"/>
      <c r="J302" s="221">
        <f>ROUND(I302*H302,2)</f>
        <v>0</v>
      </c>
      <c r="K302" s="217" t="s">
        <v>134</v>
      </c>
      <c r="L302" s="222"/>
      <c r="M302" s="223" t="s">
        <v>19</v>
      </c>
      <c r="N302" s="224" t="s">
        <v>43</v>
      </c>
      <c r="O302" s="65"/>
      <c r="P302" s="183">
        <f>O302*H302</f>
        <v>0</v>
      </c>
      <c r="Q302" s="183">
        <v>1.1999999999999999E-3</v>
      </c>
      <c r="R302" s="183">
        <f>Q302*H302</f>
        <v>1.4255999999999997E-3</v>
      </c>
      <c r="S302" s="183">
        <v>0</v>
      </c>
      <c r="T302" s="18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5" t="s">
        <v>178</v>
      </c>
      <c r="AT302" s="185" t="s">
        <v>414</v>
      </c>
      <c r="AU302" s="185" t="s">
        <v>82</v>
      </c>
      <c r="AY302" s="18" t="s">
        <v>128</v>
      </c>
      <c r="BE302" s="186">
        <f>IF(N302="základní",J302,0)</f>
        <v>0</v>
      </c>
      <c r="BF302" s="186">
        <f>IF(N302="snížená",J302,0)</f>
        <v>0</v>
      </c>
      <c r="BG302" s="186">
        <f>IF(N302="zákl. přenesená",J302,0)</f>
        <v>0</v>
      </c>
      <c r="BH302" s="186">
        <f>IF(N302="sníž. přenesená",J302,0)</f>
        <v>0</v>
      </c>
      <c r="BI302" s="186">
        <f>IF(N302="nulová",J302,0)</f>
        <v>0</v>
      </c>
      <c r="BJ302" s="18" t="s">
        <v>80</v>
      </c>
      <c r="BK302" s="186">
        <f>ROUND(I302*H302,2)</f>
        <v>0</v>
      </c>
      <c r="BL302" s="18" t="s">
        <v>135</v>
      </c>
      <c r="BM302" s="185" t="s">
        <v>906</v>
      </c>
    </row>
    <row r="303" spans="1:65" s="13" customFormat="1" ht="10">
      <c r="B303" s="192"/>
      <c r="C303" s="193"/>
      <c r="D303" s="194" t="s">
        <v>139</v>
      </c>
      <c r="E303" s="195" t="s">
        <v>19</v>
      </c>
      <c r="F303" s="196" t="s">
        <v>881</v>
      </c>
      <c r="G303" s="193"/>
      <c r="H303" s="197">
        <v>1.08</v>
      </c>
      <c r="I303" s="198"/>
      <c r="J303" s="193"/>
      <c r="K303" s="193"/>
      <c r="L303" s="199"/>
      <c r="M303" s="200"/>
      <c r="N303" s="201"/>
      <c r="O303" s="201"/>
      <c r="P303" s="201"/>
      <c r="Q303" s="201"/>
      <c r="R303" s="201"/>
      <c r="S303" s="201"/>
      <c r="T303" s="202"/>
      <c r="AT303" s="203" t="s">
        <v>139</v>
      </c>
      <c r="AU303" s="203" t="s">
        <v>82</v>
      </c>
      <c r="AV303" s="13" t="s">
        <v>82</v>
      </c>
      <c r="AW303" s="13" t="s">
        <v>34</v>
      </c>
      <c r="AX303" s="13" t="s">
        <v>80</v>
      </c>
      <c r="AY303" s="203" t="s">
        <v>128</v>
      </c>
    </row>
    <row r="304" spans="1:65" s="13" customFormat="1" ht="10">
      <c r="B304" s="192"/>
      <c r="C304" s="193"/>
      <c r="D304" s="194" t="s">
        <v>139</v>
      </c>
      <c r="E304" s="193"/>
      <c r="F304" s="196" t="s">
        <v>907</v>
      </c>
      <c r="G304" s="193"/>
      <c r="H304" s="197">
        <v>1.1879999999999999</v>
      </c>
      <c r="I304" s="198"/>
      <c r="J304" s="193"/>
      <c r="K304" s="193"/>
      <c r="L304" s="199"/>
      <c r="M304" s="200"/>
      <c r="N304" s="201"/>
      <c r="O304" s="201"/>
      <c r="P304" s="201"/>
      <c r="Q304" s="201"/>
      <c r="R304" s="201"/>
      <c r="S304" s="201"/>
      <c r="T304" s="202"/>
      <c r="AT304" s="203" t="s">
        <v>139</v>
      </c>
      <c r="AU304" s="203" t="s">
        <v>82</v>
      </c>
      <c r="AV304" s="13" t="s">
        <v>82</v>
      </c>
      <c r="AW304" s="13" t="s">
        <v>4</v>
      </c>
      <c r="AX304" s="13" t="s">
        <v>80</v>
      </c>
      <c r="AY304" s="203" t="s">
        <v>128</v>
      </c>
    </row>
    <row r="305" spans="1:65" s="2" customFormat="1" ht="16.5" customHeight="1">
      <c r="A305" s="35"/>
      <c r="B305" s="36"/>
      <c r="C305" s="174" t="s">
        <v>453</v>
      </c>
      <c r="D305" s="174" t="s">
        <v>130</v>
      </c>
      <c r="E305" s="175" t="s">
        <v>908</v>
      </c>
      <c r="F305" s="176" t="s">
        <v>909</v>
      </c>
      <c r="G305" s="177" t="s">
        <v>258</v>
      </c>
      <c r="H305" s="178">
        <v>21.4</v>
      </c>
      <c r="I305" s="179"/>
      <c r="J305" s="180">
        <f>ROUND(I305*H305,2)</f>
        <v>0</v>
      </c>
      <c r="K305" s="176" t="s">
        <v>134</v>
      </c>
      <c r="L305" s="40"/>
      <c r="M305" s="181" t="s">
        <v>19</v>
      </c>
      <c r="N305" s="182" t="s">
        <v>43</v>
      </c>
      <c r="O305" s="65"/>
      <c r="P305" s="183">
        <f>O305*H305</f>
        <v>0</v>
      </c>
      <c r="Q305" s="183">
        <v>3.0000000000000001E-5</v>
      </c>
      <c r="R305" s="183">
        <f>Q305*H305</f>
        <v>6.4199999999999999E-4</v>
      </c>
      <c r="S305" s="183">
        <v>0</v>
      </c>
      <c r="T305" s="18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5" t="s">
        <v>135</v>
      </c>
      <c r="AT305" s="185" t="s">
        <v>130</v>
      </c>
      <c r="AU305" s="185" t="s">
        <v>82</v>
      </c>
      <c r="AY305" s="18" t="s">
        <v>128</v>
      </c>
      <c r="BE305" s="186">
        <f>IF(N305="základní",J305,0)</f>
        <v>0</v>
      </c>
      <c r="BF305" s="186">
        <f>IF(N305="snížená",J305,0)</f>
        <v>0</v>
      </c>
      <c r="BG305" s="186">
        <f>IF(N305="zákl. přenesená",J305,0)</f>
        <v>0</v>
      </c>
      <c r="BH305" s="186">
        <f>IF(N305="sníž. přenesená",J305,0)</f>
        <v>0</v>
      </c>
      <c r="BI305" s="186">
        <f>IF(N305="nulová",J305,0)</f>
        <v>0</v>
      </c>
      <c r="BJ305" s="18" t="s">
        <v>80</v>
      </c>
      <c r="BK305" s="186">
        <f>ROUND(I305*H305,2)</f>
        <v>0</v>
      </c>
      <c r="BL305" s="18" t="s">
        <v>135</v>
      </c>
      <c r="BM305" s="185" t="s">
        <v>910</v>
      </c>
    </row>
    <row r="306" spans="1:65" s="2" customFormat="1" ht="10">
      <c r="A306" s="35"/>
      <c r="B306" s="36"/>
      <c r="C306" s="37"/>
      <c r="D306" s="187" t="s">
        <v>137</v>
      </c>
      <c r="E306" s="37"/>
      <c r="F306" s="188" t="s">
        <v>911</v>
      </c>
      <c r="G306" s="37"/>
      <c r="H306" s="37"/>
      <c r="I306" s="189"/>
      <c r="J306" s="37"/>
      <c r="K306" s="37"/>
      <c r="L306" s="40"/>
      <c r="M306" s="190"/>
      <c r="N306" s="191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137</v>
      </c>
      <c r="AU306" s="18" t="s">
        <v>82</v>
      </c>
    </row>
    <row r="307" spans="1:65" s="13" customFormat="1" ht="10">
      <c r="B307" s="192"/>
      <c r="C307" s="193"/>
      <c r="D307" s="194" t="s">
        <v>139</v>
      </c>
      <c r="E307" s="195" t="s">
        <v>19</v>
      </c>
      <c r="F307" s="196" t="s">
        <v>912</v>
      </c>
      <c r="G307" s="193"/>
      <c r="H307" s="197">
        <v>21.4</v>
      </c>
      <c r="I307" s="198"/>
      <c r="J307" s="193"/>
      <c r="K307" s="193"/>
      <c r="L307" s="199"/>
      <c r="M307" s="200"/>
      <c r="N307" s="201"/>
      <c r="O307" s="201"/>
      <c r="P307" s="201"/>
      <c r="Q307" s="201"/>
      <c r="R307" s="201"/>
      <c r="S307" s="201"/>
      <c r="T307" s="202"/>
      <c r="AT307" s="203" t="s">
        <v>139</v>
      </c>
      <c r="AU307" s="203" t="s">
        <v>82</v>
      </c>
      <c r="AV307" s="13" t="s">
        <v>82</v>
      </c>
      <c r="AW307" s="13" t="s">
        <v>34</v>
      </c>
      <c r="AX307" s="13" t="s">
        <v>80</v>
      </c>
      <c r="AY307" s="203" t="s">
        <v>128</v>
      </c>
    </row>
    <row r="308" spans="1:65" s="2" customFormat="1" ht="16.5" customHeight="1">
      <c r="A308" s="35"/>
      <c r="B308" s="36"/>
      <c r="C308" s="215" t="s">
        <v>459</v>
      </c>
      <c r="D308" s="215" t="s">
        <v>414</v>
      </c>
      <c r="E308" s="216" t="s">
        <v>913</v>
      </c>
      <c r="F308" s="217" t="s">
        <v>914</v>
      </c>
      <c r="G308" s="218" t="s">
        <v>258</v>
      </c>
      <c r="H308" s="219">
        <v>22.47</v>
      </c>
      <c r="I308" s="220"/>
      <c r="J308" s="221">
        <f>ROUND(I308*H308,2)</f>
        <v>0</v>
      </c>
      <c r="K308" s="217" t="s">
        <v>134</v>
      </c>
      <c r="L308" s="222"/>
      <c r="M308" s="223" t="s">
        <v>19</v>
      </c>
      <c r="N308" s="224" t="s">
        <v>43</v>
      </c>
      <c r="O308" s="65"/>
      <c r="P308" s="183">
        <f>O308*H308</f>
        <v>0</v>
      </c>
      <c r="Q308" s="183">
        <v>4.2000000000000002E-4</v>
      </c>
      <c r="R308" s="183">
        <f>Q308*H308</f>
        <v>9.4374000000000003E-3</v>
      </c>
      <c r="S308" s="183">
        <v>0</v>
      </c>
      <c r="T308" s="18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5" t="s">
        <v>178</v>
      </c>
      <c r="AT308" s="185" t="s">
        <v>414</v>
      </c>
      <c r="AU308" s="185" t="s">
        <v>82</v>
      </c>
      <c r="AY308" s="18" t="s">
        <v>128</v>
      </c>
      <c r="BE308" s="186">
        <f>IF(N308="základní",J308,0)</f>
        <v>0</v>
      </c>
      <c r="BF308" s="186">
        <f>IF(N308="snížená",J308,0)</f>
        <v>0</v>
      </c>
      <c r="BG308" s="186">
        <f>IF(N308="zákl. přenesená",J308,0)</f>
        <v>0</v>
      </c>
      <c r="BH308" s="186">
        <f>IF(N308="sníž. přenesená",J308,0)</f>
        <v>0</v>
      </c>
      <c r="BI308" s="186">
        <f>IF(N308="nulová",J308,0)</f>
        <v>0</v>
      </c>
      <c r="BJ308" s="18" t="s">
        <v>80</v>
      </c>
      <c r="BK308" s="186">
        <f>ROUND(I308*H308,2)</f>
        <v>0</v>
      </c>
      <c r="BL308" s="18" t="s">
        <v>135</v>
      </c>
      <c r="BM308" s="185" t="s">
        <v>915</v>
      </c>
    </row>
    <row r="309" spans="1:65" s="13" customFormat="1" ht="10">
      <c r="B309" s="192"/>
      <c r="C309" s="193"/>
      <c r="D309" s="194" t="s">
        <v>139</v>
      </c>
      <c r="E309" s="193"/>
      <c r="F309" s="196" t="s">
        <v>916</v>
      </c>
      <c r="G309" s="193"/>
      <c r="H309" s="197">
        <v>22.47</v>
      </c>
      <c r="I309" s="198"/>
      <c r="J309" s="193"/>
      <c r="K309" s="193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139</v>
      </c>
      <c r="AU309" s="203" t="s">
        <v>82</v>
      </c>
      <c r="AV309" s="13" t="s">
        <v>82</v>
      </c>
      <c r="AW309" s="13" t="s">
        <v>4</v>
      </c>
      <c r="AX309" s="13" t="s">
        <v>80</v>
      </c>
      <c r="AY309" s="203" t="s">
        <v>128</v>
      </c>
    </row>
    <row r="310" spans="1:65" s="2" customFormat="1" ht="16.5" customHeight="1">
      <c r="A310" s="35"/>
      <c r="B310" s="36"/>
      <c r="C310" s="174" t="s">
        <v>466</v>
      </c>
      <c r="D310" s="174" t="s">
        <v>130</v>
      </c>
      <c r="E310" s="175" t="s">
        <v>917</v>
      </c>
      <c r="F310" s="176" t="s">
        <v>918</v>
      </c>
      <c r="G310" s="177" t="s">
        <v>258</v>
      </c>
      <c r="H310" s="178">
        <v>83.4</v>
      </c>
      <c r="I310" s="179"/>
      <c r="J310" s="180">
        <f>ROUND(I310*H310,2)</f>
        <v>0</v>
      </c>
      <c r="K310" s="176" t="s">
        <v>134</v>
      </c>
      <c r="L310" s="40"/>
      <c r="M310" s="181" t="s">
        <v>19</v>
      </c>
      <c r="N310" s="182" t="s">
        <v>43</v>
      </c>
      <c r="O310" s="65"/>
      <c r="P310" s="183">
        <f>O310*H310</f>
        <v>0</v>
      </c>
      <c r="Q310" s="183">
        <v>0</v>
      </c>
      <c r="R310" s="183">
        <f>Q310*H310</f>
        <v>0</v>
      </c>
      <c r="S310" s="183">
        <v>0</v>
      </c>
      <c r="T310" s="18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135</v>
      </c>
      <c r="AT310" s="185" t="s">
        <v>130</v>
      </c>
      <c r="AU310" s="185" t="s">
        <v>82</v>
      </c>
      <c r="AY310" s="18" t="s">
        <v>128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8" t="s">
        <v>80</v>
      </c>
      <c r="BK310" s="186">
        <f>ROUND(I310*H310,2)</f>
        <v>0</v>
      </c>
      <c r="BL310" s="18" t="s">
        <v>135</v>
      </c>
      <c r="BM310" s="185" t="s">
        <v>919</v>
      </c>
    </row>
    <row r="311" spans="1:65" s="2" customFormat="1" ht="10">
      <c r="A311" s="35"/>
      <c r="B311" s="36"/>
      <c r="C311" s="37"/>
      <c r="D311" s="187" t="s">
        <v>137</v>
      </c>
      <c r="E311" s="37"/>
      <c r="F311" s="188" t="s">
        <v>920</v>
      </c>
      <c r="G311" s="37"/>
      <c r="H311" s="37"/>
      <c r="I311" s="189"/>
      <c r="J311" s="37"/>
      <c r="K311" s="37"/>
      <c r="L311" s="40"/>
      <c r="M311" s="190"/>
      <c r="N311" s="191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137</v>
      </c>
      <c r="AU311" s="18" t="s">
        <v>82</v>
      </c>
    </row>
    <row r="312" spans="1:65" s="13" customFormat="1" ht="10">
      <c r="B312" s="192"/>
      <c r="C312" s="193"/>
      <c r="D312" s="194" t="s">
        <v>139</v>
      </c>
      <c r="E312" s="195" t="s">
        <v>19</v>
      </c>
      <c r="F312" s="196" t="s">
        <v>921</v>
      </c>
      <c r="G312" s="193"/>
      <c r="H312" s="197">
        <v>60</v>
      </c>
      <c r="I312" s="198"/>
      <c r="J312" s="193"/>
      <c r="K312" s="193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139</v>
      </c>
      <c r="AU312" s="203" t="s">
        <v>82</v>
      </c>
      <c r="AV312" s="13" t="s">
        <v>82</v>
      </c>
      <c r="AW312" s="13" t="s">
        <v>34</v>
      </c>
      <c r="AX312" s="13" t="s">
        <v>72</v>
      </c>
      <c r="AY312" s="203" t="s">
        <v>128</v>
      </c>
    </row>
    <row r="313" spans="1:65" s="13" customFormat="1" ht="10">
      <c r="B313" s="192"/>
      <c r="C313" s="193"/>
      <c r="D313" s="194" t="s">
        <v>139</v>
      </c>
      <c r="E313" s="195" t="s">
        <v>19</v>
      </c>
      <c r="F313" s="196" t="s">
        <v>922</v>
      </c>
      <c r="G313" s="193"/>
      <c r="H313" s="197">
        <v>23.4</v>
      </c>
      <c r="I313" s="198"/>
      <c r="J313" s="193"/>
      <c r="K313" s="193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139</v>
      </c>
      <c r="AU313" s="203" t="s">
        <v>82</v>
      </c>
      <c r="AV313" s="13" t="s">
        <v>82</v>
      </c>
      <c r="AW313" s="13" t="s">
        <v>34</v>
      </c>
      <c r="AX313" s="13" t="s">
        <v>72</v>
      </c>
      <c r="AY313" s="203" t="s">
        <v>128</v>
      </c>
    </row>
    <row r="314" spans="1:65" s="14" customFormat="1" ht="10">
      <c r="B314" s="204"/>
      <c r="C314" s="205"/>
      <c r="D314" s="194" t="s">
        <v>139</v>
      </c>
      <c r="E314" s="206" t="s">
        <v>19</v>
      </c>
      <c r="F314" s="207" t="s">
        <v>153</v>
      </c>
      <c r="G314" s="205"/>
      <c r="H314" s="208">
        <v>83.4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139</v>
      </c>
      <c r="AU314" s="214" t="s">
        <v>82</v>
      </c>
      <c r="AV314" s="14" t="s">
        <v>135</v>
      </c>
      <c r="AW314" s="14" t="s">
        <v>34</v>
      </c>
      <c r="AX314" s="14" t="s">
        <v>80</v>
      </c>
      <c r="AY314" s="214" t="s">
        <v>128</v>
      </c>
    </row>
    <row r="315" spans="1:65" s="2" customFormat="1" ht="16.5" customHeight="1">
      <c r="A315" s="35"/>
      <c r="B315" s="36"/>
      <c r="C315" s="215" t="s">
        <v>472</v>
      </c>
      <c r="D315" s="215" t="s">
        <v>414</v>
      </c>
      <c r="E315" s="216" t="s">
        <v>923</v>
      </c>
      <c r="F315" s="217" t="s">
        <v>924</v>
      </c>
      <c r="G315" s="218" t="s">
        <v>258</v>
      </c>
      <c r="H315" s="219">
        <v>63</v>
      </c>
      <c r="I315" s="220"/>
      <c r="J315" s="221">
        <f>ROUND(I315*H315,2)</f>
        <v>0</v>
      </c>
      <c r="K315" s="217" t="s">
        <v>134</v>
      </c>
      <c r="L315" s="222"/>
      <c r="M315" s="223" t="s">
        <v>19</v>
      </c>
      <c r="N315" s="224" t="s">
        <v>43</v>
      </c>
      <c r="O315" s="65"/>
      <c r="P315" s="183">
        <f>O315*H315</f>
        <v>0</v>
      </c>
      <c r="Q315" s="183">
        <v>3.0000000000000001E-5</v>
      </c>
      <c r="R315" s="183">
        <f>Q315*H315</f>
        <v>1.89E-3</v>
      </c>
      <c r="S315" s="183">
        <v>0</v>
      </c>
      <c r="T315" s="18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5" t="s">
        <v>178</v>
      </c>
      <c r="AT315" s="185" t="s">
        <v>414</v>
      </c>
      <c r="AU315" s="185" t="s">
        <v>82</v>
      </c>
      <c r="AY315" s="18" t="s">
        <v>128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18" t="s">
        <v>80</v>
      </c>
      <c r="BK315" s="186">
        <f>ROUND(I315*H315,2)</f>
        <v>0</v>
      </c>
      <c r="BL315" s="18" t="s">
        <v>135</v>
      </c>
      <c r="BM315" s="185" t="s">
        <v>925</v>
      </c>
    </row>
    <row r="316" spans="1:65" s="13" customFormat="1" ht="10">
      <c r="B316" s="192"/>
      <c r="C316" s="193"/>
      <c r="D316" s="194" t="s">
        <v>139</v>
      </c>
      <c r="E316" s="195" t="s">
        <v>19</v>
      </c>
      <c r="F316" s="196" t="s">
        <v>921</v>
      </c>
      <c r="G316" s="193"/>
      <c r="H316" s="197">
        <v>60</v>
      </c>
      <c r="I316" s="198"/>
      <c r="J316" s="193"/>
      <c r="K316" s="193"/>
      <c r="L316" s="199"/>
      <c r="M316" s="200"/>
      <c r="N316" s="201"/>
      <c r="O316" s="201"/>
      <c r="P316" s="201"/>
      <c r="Q316" s="201"/>
      <c r="R316" s="201"/>
      <c r="S316" s="201"/>
      <c r="T316" s="202"/>
      <c r="AT316" s="203" t="s">
        <v>139</v>
      </c>
      <c r="AU316" s="203" t="s">
        <v>82</v>
      </c>
      <c r="AV316" s="13" t="s">
        <v>82</v>
      </c>
      <c r="AW316" s="13" t="s">
        <v>34</v>
      </c>
      <c r="AX316" s="13" t="s">
        <v>80</v>
      </c>
      <c r="AY316" s="203" t="s">
        <v>128</v>
      </c>
    </row>
    <row r="317" spans="1:65" s="13" customFormat="1" ht="10">
      <c r="B317" s="192"/>
      <c r="C317" s="193"/>
      <c r="D317" s="194" t="s">
        <v>139</v>
      </c>
      <c r="E317" s="193"/>
      <c r="F317" s="196" t="s">
        <v>926</v>
      </c>
      <c r="G317" s="193"/>
      <c r="H317" s="197">
        <v>63</v>
      </c>
      <c r="I317" s="198"/>
      <c r="J317" s="193"/>
      <c r="K317" s="193"/>
      <c r="L317" s="199"/>
      <c r="M317" s="200"/>
      <c r="N317" s="201"/>
      <c r="O317" s="201"/>
      <c r="P317" s="201"/>
      <c r="Q317" s="201"/>
      <c r="R317" s="201"/>
      <c r="S317" s="201"/>
      <c r="T317" s="202"/>
      <c r="AT317" s="203" t="s">
        <v>139</v>
      </c>
      <c r="AU317" s="203" t="s">
        <v>82</v>
      </c>
      <c r="AV317" s="13" t="s">
        <v>82</v>
      </c>
      <c r="AW317" s="13" t="s">
        <v>4</v>
      </c>
      <c r="AX317" s="13" t="s">
        <v>80</v>
      </c>
      <c r="AY317" s="203" t="s">
        <v>128</v>
      </c>
    </row>
    <row r="318" spans="1:65" s="2" customFormat="1" ht="16.5" customHeight="1">
      <c r="A318" s="35"/>
      <c r="B318" s="36"/>
      <c r="C318" s="215" t="s">
        <v>477</v>
      </c>
      <c r="D318" s="215" t="s">
        <v>414</v>
      </c>
      <c r="E318" s="216" t="s">
        <v>927</v>
      </c>
      <c r="F318" s="217" t="s">
        <v>928</v>
      </c>
      <c r="G318" s="218" t="s">
        <v>258</v>
      </c>
      <c r="H318" s="219">
        <v>24.57</v>
      </c>
      <c r="I318" s="220"/>
      <c r="J318" s="221">
        <f>ROUND(I318*H318,2)</f>
        <v>0</v>
      </c>
      <c r="K318" s="217" t="s">
        <v>134</v>
      </c>
      <c r="L318" s="222"/>
      <c r="M318" s="223" t="s">
        <v>19</v>
      </c>
      <c r="N318" s="224" t="s">
        <v>43</v>
      </c>
      <c r="O318" s="65"/>
      <c r="P318" s="183">
        <f>O318*H318</f>
        <v>0</v>
      </c>
      <c r="Q318" s="183">
        <v>4.0000000000000003E-5</v>
      </c>
      <c r="R318" s="183">
        <f>Q318*H318</f>
        <v>9.8280000000000004E-4</v>
      </c>
      <c r="S318" s="183">
        <v>0</v>
      </c>
      <c r="T318" s="18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5" t="s">
        <v>178</v>
      </c>
      <c r="AT318" s="185" t="s">
        <v>414</v>
      </c>
      <c r="AU318" s="185" t="s">
        <v>82</v>
      </c>
      <c r="AY318" s="18" t="s">
        <v>128</v>
      </c>
      <c r="BE318" s="186">
        <f>IF(N318="základní",J318,0)</f>
        <v>0</v>
      </c>
      <c r="BF318" s="186">
        <f>IF(N318="snížená",J318,0)</f>
        <v>0</v>
      </c>
      <c r="BG318" s="186">
        <f>IF(N318="zákl. přenesená",J318,0)</f>
        <v>0</v>
      </c>
      <c r="BH318" s="186">
        <f>IF(N318="sníž. přenesená",J318,0)</f>
        <v>0</v>
      </c>
      <c r="BI318" s="186">
        <f>IF(N318="nulová",J318,0)</f>
        <v>0</v>
      </c>
      <c r="BJ318" s="18" t="s">
        <v>80</v>
      </c>
      <c r="BK318" s="186">
        <f>ROUND(I318*H318,2)</f>
        <v>0</v>
      </c>
      <c r="BL318" s="18" t="s">
        <v>135</v>
      </c>
      <c r="BM318" s="185" t="s">
        <v>929</v>
      </c>
    </row>
    <row r="319" spans="1:65" s="13" customFormat="1" ht="10">
      <c r="B319" s="192"/>
      <c r="C319" s="193"/>
      <c r="D319" s="194" t="s">
        <v>139</v>
      </c>
      <c r="E319" s="195" t="s">
        <v>19</v>
      </c>
      <c r="F319" s="196" t="s">
        <v>922</v>
      </c>
      <c r="G319" s="193"/>
      <c r="H319" s="197">
        <v>23.4</v>
      </c>
      <c r="I319" s="198"/>
      <c r="J319" s="193"/>
      <c r="K319" s="193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139</v>
      </c>
      <c r="AU319" s="203" t="s">
        <v>82</v>
      </c>
      <c r="AV319" s="13" t="s">
        <v>82</v>
      </c>
      <c r="AW319" s="13" t="s">
        <v>34</v>
      </c>
      <c r="AX319" s="13" t="s">
        <v>80</v>
      </c>
      <c r="AY319" s="203" t="s">
        <v>128</v>
      </c>
    </row>
    <row r="320" spans="1:65" s="13" customFormat="1" ht="10">
      <c r="B320" s="192"/>
      <c r="C320" s="193"/>
      <c r="D320" s="194" t="s">
        <v>139</v>
      </c>
      <c r="E320" s="193"/>
      <c r="F320" s="196" t="s">
        <v>930</v>
      </c>
      <c r="G320" s="193"/>
      <c r="H320" s="197">
        <v>24.57</v>
      </c>
      <c r="I320" s="198"/>
      <c r="J320" s="193"/>
      <c r="K320" s="193"/>
      <c r="L320" s="199"/>
      <c r="M320" s="200"/>
      <c r="N320" s="201"/>
      <c r="O320" s="201"/>
      <c r="P320" s="201"/>
      <c r="Q320" s="201"/>
      <c r="R320" s="201"/>
      <c r="S320" s="201"/>
      <c r="T320" s="202"/>
      <c r="AT320" s="203" t="s">
        <v>139</v>
      </c>
      <c r="AU320" s="203" t="s">
        <v>82</v>
      </c>
      <c r="AV320" s="13" t="s">
        <v>82</v>
      </c>
      <c r="AW320" s="13" t="s">
        <v>4</v>
      </c>
      <c r="AX320" s="13" t="s">
        <v>80</v>
      </c>
      <c r="AY320" s="203" t="s">
        <v>128</v>
      </c>
    </row>
    <row r="321" spans="1:65" s="2" customFormat="1" ht="24.15" customHeight="1">
      <c r="A321" s="35"/>
      <c r="B321" s="36"/>
      <c r="C321" s="174" t="s">
        <v>483</v>
      </c>
      <c r="D321" s="174" t="s">
        <v>130</v>
      </c>
      <c r="E321" s="175" t="s">
        <v>931</v>
      </c>
      <c r="F321" s="176" t="s">
        <v>932</v>
      </c>
      <c r="G321" s="177" t="s">
        <v>133</v>
      </c>
      <c r="H321" s="178">
        <v>2.73</v>
      </c>
      <c r="I321" s="179"/>
      <c r="J321" s="180">
        <f>ROUND(I321*H321,2)</f>
        <v>0</v>
      </c>
      <c r="K321" s="176" t="s">
        <v>134</v>
      </c>
      <c r="L321" s="40"/>
      <c r="M321" s="181" t="s">
        <v>19</v>
      </c>
      <c r="N321" s="182" t="s">
        <v>43</v>
      </c>
      <c r="O321" s="65"/>
      <c r="P321" s="183">
        <f>O321*H321</f>
        <v>0</v>
      </c>
      <c r="Q321" s="183">
        <v>5.8459999999999998E-2</v>
      </c>
      <c r="R321" s="183">
        <f>Q321*H321</f>
        <v>0.15959579999999998</v>
      </c>
      <c r="S321" s="183">
        <v>0</v>
      </c>
      <c r="T321" s="18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5" t="s">
        <v>135</v>
      </c>
      <c r="AT321" s="185" t="s">
        <v>130</v>
      </c>
      <c r="AU321" s="185" t="s">
        <v>82</v>
      </c>
      <c r="AY321" s="18" t="s">
        <v>128</v>
      </c>
      <c r="BE321" s="186">
        <f>IF(N321="základní",J321,0)</f>
        <v>0</v>
      </c>
      <c r="BF321" s="186">
        <f>IF(N321="snížená",J321,0)</f>
        <v>0</v>
      </c>
      <c r="BG321" s="186">
        <f>IF(N321="zákl. přenesená",J321,0)</f>
        <v>0</v>
      </c>
      <c r="BH321" s="186">
        <f>IF(N321="sníž. přenesená",J321,0)</f>
        <v>0</v>
      </c>
      <c r="BI321" s="186">
        <f>IF(N321="nulová",J321,0)</f>
        <v>0</v>
      </c>
      <c r="BJ321" s="18" t="s">
        <v>80</v>
      </c>
      <c r="BK321" s="186">
        <f>ROUND(I321*H321,2)</f>
        <v>0</v>
      </c>
      <c r="BL321" s="18" t="s">
        <v>135</v>
      </c>
      <c r="BM321" s="185" t="s">
        <v>933</v>
      </c>
    </row>
    <row r="322" spans="1:65" s="2" customFormat="1" ht="10">
      <c r="A322" s="35"/>
      <c r="B322" s="36"/>
      <c r="C322" s="37"/>
      <c r="D322" s="187" t="s">
        <v>137</v>
      </c>
      <c r="E322" s="37"/>
      <c r="F322" s="188" t="s">
        <v>934</v>
      </c>
      <c r="G322" s="37"/>
      <c r="H322" s="37"/>
      <c r="I322" s="189"/>
      <c r="J322" s="37"/>
      <c r="K322" s="37"/>
      <c r="L322" s="40"/>
      <c r="M322" s="190"/>
      <c r="N322" s="191"/>
      <c r="O322" s="65"/>
      <c r="P322" s="65"/>
      <c r="Q322" s="65"/>
      <c r="R322" s="65"/>
      <c r="S322" s="65"/>
      <c r="T322" s="66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137</v>
      </c>
      <c r="AU322" s="18" t="s">
        <v>82</v>
      </c>
    </row>
    <row r="323" spans="1:65" s="13" customFormat="1" ht="10">
      <c r="B323" s="192"/>
      <c r="C323" s="193"/>
      <c r="D323" s="194" t="s">
        <v>139</v>
      </c>
      <c r="E323" s="195" t="s">
        <v>19</v>
      </c>
      <c r="F323" s="196" t="s">
        <v>848</v>
      </c>
      <c r="G323" s="193"/>
      <c r="H323" s="197">
        <v>2.73</v>
      </c>
      <c r="I323" s="198"/>
      <c r="J323" s="193"/>
      <c r="K323" s="193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139</v>
      </c>
      <c r="AU323" s="203" t="s">
        <v>82</v>
      </c>
      <c r="AV323" s="13" t="s">
        <v>82</v>
      </c>
      <c r="AW323" s="13" t="s">
        <v>34</v>
      </c>
      <c r="AX323" s="13" t="s">
        <v>80</v>
      </c>
      <c r="AY323" s="203" t="s">
        <v>128</v>
      </c>
    </row>
    <row r="324" spans="1:65" s="2" customFormat="1" ht="24.15" customHeight="1">
      <c r="A324" s="35"/>
      <c r="B324" s="36"/>
      <c r="C324" s="174" t="s">
        <v>489</v>
      </c>
      <c r="D324" s="174" t="s">
        <v>130</v>
      </c>
      <c r="E324" s="175" t="s">
        <v>935</v>
      </c>
      <c r="F324" s="176" t="s">
        <v>936</v>
      </c>
      <c r="G324" s="177" t="s">
        <v>133</v>
      </c>
      <c r="H324" s="178">
        <v>92.4</v>
      </c>
      <c r="I324" s="179"/>
      <c r="J324" s="180">
        <f>ROUND(I324*H324,2)</f>
        <v>0</v>
      </c>
      <c r="K324" s="176" t="s">
        <v>134</v>
      </c>
      <c r="L324" s="40"/>
      <c r="M324" s="181" t="s">
        <v>19</v>
      </c>
      <c r="N324" s="182" t="s">
        <v>43</v>
      </c>
      <c r="O324" s="65"/>
      <c r="P324" s="183">
        <f>O324*H324</f>
        <v>0</v>
      </c>
      <c r="Q324" s="183">
        <v>2.7000000000000001E-3</v>
      </c>
      <c r="R324" s="183">
        <f>Q324*H324</f>
        <v>0.24948000000000004</v>
      </c>
      <c r="S324" s="183">
        <v>0</v>
      </c>
      <c r="T324" s="18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5" t="s">
        <v>135</v>
      </c>
      <c r="AT324" s="185" t="s">
        <v>130</v>
      </c>
      <c r="AU324" s="185" t="s">
        <v>82</v>
      </c>
      <c r="AY324" s="18" t="s">
        <v>128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8" t="s">
        <v>80</v>
      </c>
      <c r="BK324" s="186">
        <f>ROUND(I324*H324,2)</f>
        <v>0</v>
      </c>
      <c r="BL324" s="18" t="s">
        <v>135</v>
      </c>
      <c r="BM324" s="185" t="s">
        <v>937</v>
      </c>
    </row>
    <row r="325" spans="1:65" s="2" customFormat="1" ht="10">
      <c r="A325" s="35"/>
      <c r="B325" s="36"/>
      <c r="C325" s="37"/>
      <c r="D325" s="187" t="s">
        <v>137</v>
      </c>
      <c r="E325" s="37"/>
      <c r="F325" s="188" t="s">
        <v>938</v>
      </c>
      <c r="G325" s="37"/>
      <c r="H325" s="37"/>
      <c r="I325" s="189"/>
      <c r="J325" s="37"/>
      <c r="K325" s="37"/>
      <c r="L325" s="40"/>
      <c r="M325" s="190"/>
      <c r="N325" s="191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137</v>
      </c>
      <c r="AU325" s="18" t="s">
        <v>82</v>
      </c>
    </row>
    <row r="326" spans="1:65" s="13" customFormat="1" ht="10">
      <c r="B326" s="192"/>
      <c r="C326" s="193"/>
      <c r="D326" s="194" t="s">
        <v>139</v>
      </c>
      <c r="E326" s="195" t="s">
        <v>19</v>
      </c>
      <c r="F326" s="196" t="s">
        <v>717</v>
      </c>
      <c r="G326" s="193"/>
      <c r="H326" s="197">
        <v>85.38</v>
      </c>
      <c r="I326" s="198"/>
      <c r="J326" s="193"/>
      <c r="K326" s="193"/>
      <c r="L326" s="199"/>
      <c r="M326" s="200"/>
      <c r="N326" s="201"/>
      <c r="O326" s="201"/>
      <c r="P326" s="201"/>
      <c r="Q326" s="201"/>
      <c r="R326" s="201"/>
      <c r="S326" s="201"/>
      <c r="T326" s="202"/>
      <c r="AT326" s="203" t="s">
        <v>139</v>
      </c>
      <c r="AU326" s="203" t="s">
        <v>82</v>
      </c>
      <c r="AV326" s="13" t="s">
        <v>82</v>
      </c>
      <c r="AW326" s="13" t="s">
        <v>34</v>
      </c>
      <c r="AX326" s="13" t="s">
        <v>72</v>
      </c>
      <c r="AY326" s="203" t="s">
        <v>128</v>
      </c>
    </row>
    <row r="327" spans="1:65" s="13" customFormat="1" ht="10">
      <c r="B327" s="192"/>
      <c r="C327" s="193"/>
      <c r="D327" s="194" t="s">
        <v>139</v>
      </c>
      <c r="E327" s="195" t="s">
        <v>19</v>
      </c>
      <c r="F327" s="196" t="s">
        <v>880</v>
      </c>
      <c r="G327" s="193"/>
      <c r="H327" s="197">
        <v>7.02</v>
      </c>
      <c r="I327" s="198"/>
      <c r="J327" s="193"/>
      <c r="K327" s="193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139</v>
      </c>
      <c r="AU327" s="203" t="s">
        <v>82</v>
      </c>
      <c r="AV327" s="13" t="s">
        <v>82</v>
      </c>
      <c r="AW327" s="13" t="s">
        <v>34</v>
      </c>
      <c r="AX327" s="13" t="s">
        <v>72</v>
      </c>
      <c r="AY327" s="203" t="s">
        <v>128</v>
      </c>
    </row>
    <row r="328" spans="1:65" s="14" customFormat="1" ht="10">
      <c r="B328" s="204"/>
      <c r="C328" s="205"/>
      <c r="D328" s="194" t="s">
        <v>139</v>
      </c>
      <c r="E328" s="206" t="s">
        <v>19</v>
      </c>
      <c r="F328" s="207" t="s">
        <v>153</v>
      </c>
      <c r="G328" s="205"/>
      <c r="H328" s="208">
        <v>92.399999999999991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139</v>
      </c>
      <c r="AU328" s="214" t="s">
        <v>82</v>
      </c>
      <c r="AV328" s="14" t="s">
        <v>135</v>
      </c>
      <c r="AW328" s="14" t="s">
        <v>34</v>
      </c>
      <c r="AX328" s="14" t="s">
        <v>80</v>
      </c>
      <c r="AY328" s="214" t="s">
        <v>128</v>
      </c>
    </row>
    <row r="329" spans="1:65" s="2" customFormat="1" ht="24.15" customHeight="1">
      <c r="A329" s="35"/>
      <c r="B329" s="36"/>
      <c r="C329" s="174" t="s">
        <v>494</v>
      </c>
      <c r="D329" s="174" t="s">
        <v>130</v>
      </c>
      <c r="E329" s="175" t="s">
        <v>939</v>
      </c>
      <c r="F329" s="176" t="s">
        <v>940</v>
      </c>
      <c r="G329" s="177" t="s">
        <v>133</v>
      </c>
      <c r="H329" s="178">
        <v>11.16</v>
      </c>
      <c r="I329" s="179"/>
      <c r="J329" s="180">
        <f>ROUND(I329*H329,2)</f>
        <v>0</v>
      </c>
      <c r="K329" s="176" t="s">
        <v>134</v>
      </c>
      <c r="L329" s="40"/>
      <c r="M329" s="181" t="s">
        <v>19</v>
      </c>
      <c r="N329" s="182" t="s">
        <v>43</v>
      </c>
      <c r="O329" s="65"/>
      <c r="P329" s="183">
        <f>O329*H329</f>
        <v>0</v>
      </c>
      <c r="Q329" s="183">
        <v>0</v>
      </c>
      <c r="R329" s="183">
        <f>Q329*H329</f>
        <v>0</v>
      </c>
      <c r="S329" s="183">
        <v>0</v>
      </c>
      <c r="T329" s="18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5" t="s">
        <v>135</v>
      </c>
      <c r="AT329" s="185" t="s">
        <v>130</v>
      </c>
      <c r="AU329" s="185" t="s">
        <v>82</v>
      </c>
      <c r="AY329" s="18" t="s">
        <v>128</v>
      </c>
      <c r="BE329" s="186">
        <f>IF(N329="základní",J329,0)</f>
        <v>0</v>
      </c>
      <c r="BF329" s="186">
        <f>IF(N329="snížená",J329,0)</f>
        <v>0</v>
      </c>
      <c r="BG329" s="186">
        <f>IF(N329="zákl. přenesená",J329,0)</f>
        <v>0</v>
      </c>
      <c r="BH329" s="186">
        <f>IF(N329="sníž. přenesená",J329,0)</f>
        <v>0</v>
      </c>
      <c r="BI329" s="186">
        <f>IF(N329="nulová",J329,0)</f>
        <v>0</v>
      </c>
      <c r="BJ329" s="18" t="s">
        <v>80</v>
      </c>
      <c r="BK329" s="186">
        <f>ROUND(I329*H329,2)</f>
        <v>0</v>
      </c>
      <c r="BL329" s="18" t="s">
        <v>135</v>
      </c>
      <c r="BM329" s="185" t="s">
        <v>941</v>
      </c>
    </row>
    <row r="330" spans="1:65" s="2" customFormat="1" ht="10">
      <c r="A330" s="35"/>
      <c r="B330" s="36"/>
      <c r="C330" s="37"/>
      <c r="D330" s="187" t="s">
        <v>137</v>
      </c>
      <c r="E330" s="37"/>
      <c r="F330" s="188" t="s">
        <v>942</v>
      </c>
      <c r="G330" s="37"/>
      <c r="H330" s="37"/>
      <c r="I330" s="189"/>
      <c r="J330" s="37"/>
      <c r="K330" s="37"/>
      <c r="L330" s="40"/>
      <c r="M330" s="190"/>
      <c r="N330" s="191"/>
      <c r="O330" s="65"/>
      <c r="P330" s="65"/>
      <c r="Q330" s="65"/>
      <c r="R330" s="65"/>
      <c r="S330" s="65"/>
      <c r="T330" s="66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137</v>
      </c>
      <c r="AU330" s="18" t="s">
        <v>82</v>
      </c>
    </row>
    <row r="331" spans="1:65" s="13" customFormat="1" ht="10">
      <c r="B331" s="192"/>
      <c r="C331" s="193"/>
      <c r="D331" s="194" t="s">
        <v>139</v>
      </c>
      <c r="E331" s="195" t="s">
        <v>19</v>
      </c>
      <c r="F331" s="196" t="s">
        <v>943</v>
      </c>
      <c r="G331" s="193"/>
      <c r="H331" s="197">
        <v>11.16</v>
      </c>
      <c r="I331" s="198"/>
      <c r="J331" s="193"/>
      <c r="K331" s="193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139</v>
      </c>
      <c r="AU331" s="203" t="s">
        <v>82</v>
      </c>
      <c r="AV331" s="13" t="s">
        <v>82</v>
      </c>
      <c r="AW331" s="13" t="s">
        <v>34</v>
      </c>
      <c r="AX331" s="13" t="s">
        <v>80</v>
      </c>
      <c r="AY331" s="203" t="s">
        <v>128</v>
      </c>
    </row>
    <row r="332" spans="1:65" s="2" customFormat="1" ht="21.75" customHeight="1">
      <c r="A332" s="35"/>
      <c r="B332" s="36"/>
      <c r="C332" s="174" t="s">
        <v>502</v>
      </c>
      <c r="D332" s="174" t="s">
        <v>130</v>
      </c>
      <c r="E332" s="175" t="s">
        <v>944</v>
      </c>
      <c r="F332" s="176" t="s">
        <v>945</v>
      </c>
      <c r="G332" s="177" t="s">
        <v>148</v>
      </c>
      <c r="H332" s="178">
        <v>1.7470000000000001</v>
      </c>
      <c r="I332" s="179"/>
      <c r="J332" s="180">
        <f>ROUND(I332*H332,2)</f>
        <v>0</v>
      </c>
      <c r="K332" s="176" t="s">
        <v>134</v>
      </c>
      <c r="L332" s="40"/>
      <c r="M332" s="181" t="s">
        <v>19</v>
      </c>
      <c r="N332" s="182" t="s">
        <v>43</v>
      </c>
      <c r="O332" s="65"/>
      <c r="P332" s="183">
        <f>O332*H332</f>
        <v>0</v>
      </c>
      <c r="Q332" s="183">
        <v>2.3010199999999998</v>
      </c>
      <c r="R332" s="183">
        <f>Q332*H332</f>
        <v>4.0198819400000003</v>
      </c>
      <c r="S332" s="183">
        <v>0</v>
      </c>
      <c r="T332" s="18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5" t="s">
        <v>135</v>
      </c>
      <c r="AT332" s="185" t="s">
        <v>130</v>
      </c>
      <c r="AU332" s="185" t="s">
        <v>82</v>
      </c>
      <c r="AY332" s="18" t="s">
        <v>128</v>
      </c>
      <c r="BE332" s="186">
        <f>IF(N332="základní",J332,0)</f>
        <v>0</v>
      </c>
      <c r="BF332" s="186">
        <f>IF(N332="snížená",J332,0)</f>
        <v>0</v>
      </c>
      <c r="BG332" s="186">
        <f>IF(N332="zákl. přenesená",J332,0)</f>
        <v>0</v>
      </c>
      <c r="BH332" s="186">
        <f>IF(N332="sníž. přenesená",J332,0)</f>
        <v>0</v>
      </c>
      <c r="BI332" s="186">
        <f>IF(N332="nulová",J332,0)</f>
        <v>0</v>
      </c>
      <c r="BJ332" s="18" t="s">
        <v>80</v>
      </c>
      <c r="BK332" s="186">
        <f>ROUND(I332*H332,2)</f>
        <v>0</v>
      </c>
      <c r="BL332" s="18" t="s">
        <v>135</v>
      </c>
      <c r="BM332" s="185" t="s">
        <v>946</v>
      </c>
    </row>
    <row r="333" spans="1:65" s="2" customFormat="1" ht="10">
      <c r="A333" s="35"/>
      <c r="B333" s="36"/>
      <c r="C333" s="37"/>
      <c r="D333" s="187" t="s">
        <v>137</v>
      </c>
      <c r="E333" s="37"/>
      <c r="F333" s="188" t="s">
        <v>947</v>
      </c>
      <c r="G333" s="37"/>
      <c r="H333" s="37"/>
      <c r="I333" s="189"/>
      <c r="J333" s="37"/>
      <c r="K333" s="37"/>
      <c r="L333" s="40"/>
      <c r="M333" s="190"/>
      <c r="N333" s="191"/>
      <c r="O333" s="65"/>
      <c r="P333" s="65"/>
      <c r="Q333" s="65"/>
      <c r="R333" s="65"/>
      <c r="S333" s="65"/>
      <c r="T333" s="66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137</v>
      </c>
      <c r="AU333" s="18" t="s">
        <v>82</v>
      </c>
    </row>
    <row r="334" spans="1:65" s="13" customFormat="1" ht="10">
      <c r="B334" s="192"/>
      <c r="C334" s="193"/>
      <c r="D334" s="194" t="s">
        <v>139</v>
      </c>
      <c r="E334" s="195" t="s">
        <v>19</v>
      </c>
      <c r="F334" s="196" t="s">
        <v>948</v>
      </c>
      <c r="G334" s="193"/>
      <c r="H334" s="197">
        <v>1.7470000000000001</v>
      </c>
      <c r="I334" s="198"/>
      <c r="J334" s="193"/>
      <c r="K334" s="193"/>
      <c r="L334" s="199"/>
      <c r="M334" s="200"/>
      <c r="N334" s="201"/>
      <c r="O334" s="201"/>
      <c r="P334" s="201"/>
      <c r="Q334" s="201"/>
      <c r="R334" s="201"/>
      <c r="S334" s="201"/>
      <c r="T334" s="202"/>
      <c r="AT334" s="203" t="s">
        <v>139</v>
      </c>
      <c r="AU334" s="203" t="s">
        <v>82</v>
      </c>
      <c r="AV334" s="13" t="s">
        <v>82</v>
      </c>
      <c r="AW334" s="13" t="s">
        <v>34</v>
      </c>
      <c r="AX334" s="13" t="s">
        <v>80</v>
      </c>
      <c r="AY334" s="203" t="s">
        <v>128</v>
      </c>
    </row>
    <row r="335" spans="1:65" s="2" customFormat="1" ht="21.75" customHeight="1">
      <c r="A335" s="35"/>
      <c r="B335" s="36"/>
      <c r="C335" s="174" t="s">
        <v>508</v>
      </c>
      <c r="D335" s="174" t="s">
        <v>130</v>
      </c>
      <c r="E335" s="175" t="s">
        <v>949</v>
      </c>
      <c r="F335" s="176" t="s">
        <v>950</v>
      </c>
      <c r="G335" s="177" t="s">
        <v>148</v>
      </c>
      <c r="H335" s="178">
        <v>0.78200000000000003</v>
      </c>
      <c r="I335" s="179"/>
      <c r="J335" s="180">
        <f>ROUND(I335*H335,2)</f>
        <v>0</v>
      </c>
      <c r="K335" s="176" t="s">
        <v>134</v>
      </c>
      <c r="L335" s="40"/>
      <c r="M335" s="181" t="s">
        <v>19</v>
      </c>
      <c r="N335" s="182" t="s">
        <v>43</v>
      </c>
      <c r="O335" s="65"/>
      <c r="P335" s="183">
        <f>O335*H335</f>
        <v>0</v>
      </c>
      <c r="Q335" s="183">
        <v>2.3010199999999998</v>
      </c>
      <c r="R335" s="183">
        <f>Q335*H335</f>
        <v>1.79939764</v>
      </c>
      <c r="S335" s="183">
        <v>0</v>
      </c>
      <c r="T335" s="18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135</v>
      </c>
      <c r="AT335" s="185" t="s">
        <v>130</v>
      </c>
      <c r="AU335" s="185" t="s">
        <v>82</v>
      </c>
      <c r="AY335" s="18" t="s">
        <v>128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8" t="s">
        <v>80</v>
      </c>
      <c r="BK335" s="186">
        <f>ROUND(I335*H335,2)</f>
        <v>0</v>
      </c>
      <c r="BL335" s="18" t="s">
        <v>135</v>
      </c>
      <c r="BM335" s="185" t="s">
        <v>951</v>
      </c>
    </row>
    <row r="336" spans="1:65" s="2" customFormat="1" ht="10">
      <c r="A336" s="35"/>
      <c r="B336" s="36"/>
      <c r="C336" s="37"/>
      <c r="D336" s="187" t="s">
        <v>137</v>
      </c>
      <c r="E336" s="37"/>
      <c r="F336" s="188" t="s">
        <v>952</v>
      </c>
      <c r="G336" s="37"/>
      <c r="H336" s="37"/>
      <c r="I336" s="189"/>
      <c r="J336" s="37"/>
      <c r="K336" s="37"/>
      <c r="L336" s="40"/>
      <c r="M336" s="190"/>
      <c r="N336" s="191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137</v>
      </c>
      <c r="AU336" s="18" t="s">
        <v>82</v>
      </c>
    </row>
    <row r="337" spans="1:65" s="13" customFormat="1" ht="10">
      <c r="B337" s="192"/>
      <c r="C337" s="193"/>
      <c r="D337" s="194" t="s">
        <v>139</v>
      </c>
      <c r="E337" s="195" t="s">
        <v>19</v>
      </c>
      <c r="F337" s="196" t="s">
        <v>953</v>
      </c>
      <c r="G337" s="193"/>
      <c r="H337" s="197">
        <v>0.78200000000000003</v>
      </c>
      <c r="I337" s="198"/>
      <c r="J337" s="193"/>
      <c r="K337" s="193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139</v>
      </c>
      <c r="AU337" s="203" t="s">
        <v>82</v>
      </c>
      <c r="AV337" s="13" t="s">
        <v>82</v>
      </c>
      <c r="AW337" s="13" t="s">
        <v>34</v>
      </c>
      <c r="AX337" s="13" t="s">
        <v>80</v>
      </c>
      <c r="AY337" s="203" t="s">
        <v>128</v>
      </c>
    </row>
    <row r="338" spans="1:65" s="2" customFormat="1" ht="21.75" customHeight="1">
      <c r="A338" s="35"/>
      <c r="B338" s="36"/>
      <c r="C338" s="174" t="s">
        <v>514</v>
      </c>
      <c r="D338" s="174" t="s">
        <v>130</v>
      </c>
      <c r="E338" s="175" t="s">
        <v>954</v>
      </c>
      <c r="F338" s="176" t="s">
        <v>955</v>
      </c>
      <c r="G338" s="177" t="s">
        <v>148</v>
      </c>
      <c r="H338" s="178">
        <v>2.5289999999999999</v>
      </c>
      <c r="I338" s="179"/>
      <c r="J338" s="180">
        <f>ROUND(I338*H338,2)</f>
        <v>0</v>
      </c>
      <c r="K338" s="176" t="s">
        <v>134</v>
      </c>
      <c r="L338" s="40"/>
      <c r="M338" s="181" t="s">
        <v>19</v>
      </c>
      <c r="N338" s="182" t="s">
        <v>43</v>
      </c>
      <c r="O338" s="65"/>
      <c r="P338" s="183">
        <f>O338*H338</f>
        <v>0</v>
      </c>
      <c r="Q338" s="183">
        <v>0</v>
      </c>
      <c r="R338" s="183">
        <f>Q338*H338</f>
        <v>0</v>
      </c>
      <c r="S338" s="183">
        <v>0</v>
      </c>
      <c r="T338" s="18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135</v>
      </c>
      <c r="AT338" s="185" t="s">
        <v>130</v>
      </c>
      <c r="AU338" s="185" t="s">
        <v>82</v>
      </c>
      <c r="AY338" s="18" t="s">
        <v>128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18" t="s">
        <v>80</v>
      </c>
      <c r="BK338" s="186">
        <f>ROUND(I338*H338,2)</f>
        <v>0</v>
      </c>
      <c r="BL338" s="18" t="s">
        <v>135</v>
      </c>
      <c r="BM338" s="185" t="s">
        <v>956</v>
      </c>
    </row>
    <row r="339" spans="1:65" s="2" customFormat="1" ht="10">
      <c r="A339" s="35"/>
      <c r="B339" s="36"/>
      <c r="C339" s="37"/>
      <c r="D339" s="187" t="s">
        <v>137</v>
      </c>
      <c r="E339" s="37"/>
      <c r="F339" s="188" t="s">
        <v>957</v>
      </c>
      <c r="G339" s="37"/>
      <c r="H339" s="37"/>
      <c r="I339" s="189"/>
      <c r="J339" s="37"/>
      <c r="K339" s="37"/>
      <c r="L339" s="40"/>
      <c r="M339" s="190"/>
      <c r="N339" s="191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137</v>
      </c>
      <c r="AU339" s="18" t="s">
        <v>82</v>
      </c>
    </row>
    <row r="340" spans="1:65" s="13" customFormat="1" ht="10">
      <c r="B340" s="192"/>
      <c r="C340" s="193"/>
      <c r="D340" s="194" t="s">
        <v>139</v>
      </c>
      <c r="E340" s="195" t="s">
        <v>19</v>
      </c>
      <c r="F340" s="196" t="s">
        <v>948</v>
      </c>
      <c r="G340" s="193"/>
      <c r="H340" s="197">
        <v>1.7470000000000001</v>
      </c>
      <c r="I340" s="198"/>
      <c r="J340" s="193"/>
      <c r="K340" s="193"/>
      <c r="L340" s="199"/>
      <c r="M340" s="200"/>
      <c r="N340" s="201"/>
      <c r="O340" s="201"/>
      <c r="P340" s="201"/>
      <c r="Q340" s="201"/>
      <c r="R340" s="201"/>
      <c r="S340" s="201"/>
      <c r="T340" s="202"/>
      <c r="AT340" s="203" t="s">
        <v>139</v>
      </c>
      <c r="AU340" s="203" t="s">
        <v>82</v>
      </c>
      <c r="AV340" s="13" t="s">
        <v>82</v>
      </c>
      <c r="AW340" s="13" t="s">
        <v>34</v>
      </c>
      <c r="AX340" s="13" t="s">
        <v>72</v>
      </c>
      <c r="AY340" s="203" t="s">
        <v>128</v>
      </c>
    </row>
    <row r="341" spans="1:65" s="13" customFormat="1" ht="10">
      <c r="B341" s="192"/>
      <c r="C341" s="193"/>
      <c r="D341" s="194" t="s">
        <v>139</v>
      </c>
      <c r="E341" s="195" t="s">
        <v>19</v>
      </c>
      <c r="F341" s="196" t="s">
        <v>953</v>
      </c>
      <c r="G341" s="193"/>
      <c r="H341" s="197">
        <v>0.78200000000000003</v>
      </c>
      <c r="I341" s="198"/>
      <c r="J341" s="193"/>
      <c r="K341" s="193"/>
      <c r="L341" s="199"/>
      <c r="M341" s="200"/>
      <c r="N341" s="201"/>
      <c r="O341" s="201"/>
      <c r="P341" s="201"/>
      <c r="Q341" s="201"/>
      <c r="R341" s="201"/>
      <c r="S341" s="201"/>
      <c r="T341" s="202"/>
      <c r="AT341" s="203" t="s">
        <v>139</v>
      </c>
      <c r="AU341" s="203" t="s">
        <v>82</v>
      </c>
      <c r="AV341" s="13" t="s">
        <v>82</v>
      </c>
      <c r="AW341" s="13" t="s">
        <v>34</v>
      </c>
      <c r="AX341" s="13" t="s">
        <v>72</v>
      </c>
      <c r="AY341" s="203" t="s">
        <v>128</v>
      </c>
    </row>
    <row r="342" spans="1:65" s="14" customFormat="1" ht="10">
      <c r="B342" s="204"/>
      <c r="C342" s="205"/>
      <c r="D342" s="194" t="s">
        <v>139</v>
      </c>
      <c r="E342" s="206" t="s">
        <v>19</v>
      </c>
      <c r="F342" s="207" t="s">
        <v>153</v>
      </c>
      <c r="G342" s="205"/>
      <c r="H342" s="208">
        <v>2.5289999999999999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139</v>
      </c>
      <c r="AU342" s="214" t="s">
        <v>82</v>
      </c>
      <c r="AV342" s="14" t="s">
        <v>135</v>
      </c>
      <c r="AW342" s="14" t="s">
        <v>34</v>
      </c>
      <c r="AX342" s="14" t="s">
        <v>80</v>
      </c>
      <c r="AY342" s="214" t="s">
        <v>128</v>
      </c>
    </row>
    <row r="343" spans="1:65" s="2" customFormat="1" ht="24.15" customHeight="1">
      <c r="A343" s="35"/>
      <c r="B343" s="36"/>
      <c r="C343" s="174" t="s">
        <v>522</v>
      </c>
      <c r="D343" s="174" t="s">
        <v>130</v>
      </c>
      <c r="E343" s="175" t="s">
        <v>958</v>
      </c>
      <c r="F343" s="176" t="s">
        <v>959</v>
      </c>
      <c r="G343" s="177" t="s">
        <v>148</v>
      </c>
      <c r="H343" s="178">
        <v>2.5289999999999999</v>
      </c>
      <c r="I343" s="179"/>
      <c r="J343" s="180">
        <f>ROUND(I343*H343,2)</f>
        <v>0</v>
      </c>
      <c r="K343" s="176" t="s">
        <v>134</v>
      </c>
      <c r="L343" s="40"/>
      <c r="M343" s="181" t="s">
        <v>19</v>
      </c>
      <c r="N343" s="182" t="s">
        <v>43</v>
      </c>
      <c r="O343" s="65"/>
      <c r="P343" s="183">
        <f>O343*H343</f>
        <v>0</v>
      </c>
      <c r="Q343" s="183">
        <v>0</v>
      </c>
      <c r="R343" s="183">
        <f>Q343*H343</f>
        <v>0</v>
      </c>
      <c r="S343" s="183">
        <v>0</v>
      </c>
      <c r="T343" s="184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5" t="s">
        <v>135</v>
      </c>
      <c r="AT343" s="185" t="s">
        <v>130</v>
      </c>
      <c r="AU343" s="185" t="s">
        <v>82</v>
      </c>
      <c r="AY343" s="18" t="s">
        <v>128</v>
      </c>
      <c r="BE343" s="186">
        <f>IF(N343="základní",J343,0)</f>
        <v>0</v>
      </c>
      <c r="BF343" s="186">
        <f>IF(N343="snížená",J343,0)</f>
        <v>0</v>
      </c>
      <c r="BG343" s="186">
        <f>IF(N343="zákl. přenesená",J343,0)</f>
        <v>0</v>
      </c>
      <c r="BH343" s="186">
        <f>IF(N343="sníž. přenesená",J343,0)</f>
        <v>0</v>
      </c>
      <c r="BI343" s="186">
        <f>IF(N343="nulová",J343,0)</f>
        <v>0</v>
      </c>
      <c r="BJ343" s="18" t="s">
        <v>80</v>
      </c>
      <c r="BK343" s="186">
        <f>ROUND(I343*H343,2)</f>
        <v>0</v>
      </c>
      <c r="BL343" s="18" t="s">
        <v>135</v>
      </c>
      <c r="BM343" s="185" t="s">
        <v>960</v>
      </c>
    </row>
    <row r="344" spans="1:65" s="2" customFormat="1" ht="10">
      <c r="A344" s="35"/>
      <c r="B344" s="36"/>
      <c r="C344" s="37"/>
      <c r="D344" s="187" t="s">
        <v>137</v>
      </c>
      <c r="E344" s="37"/>
      <c r="F344" s="188" t="s">
        <v>961</v>
      </c>
      <c r="G344" s="37"/>
      <c r="H344" s="37"/>
      <c r="I344" s="189"/>
      <c r="J344" s="37"/>
      <c r="K344" s="37"/>
      <c r="L344" s="40"/>
      <c r="M344" s="190"/>
      <c r="N344" s="191"/>
      <c r="O344" s="65"/>
      <c r="P344" s="65"/>
      <c r="Q344" s="65"/>
      <c r="R344" s="65"/>
      <c r="S344" s="65"/>
      <c r="T344" s="66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137</v>
      </c>
      <c r="AU344" s="18" t="s">
        <v>82</v>
      </c>
    </row>
    <row r="345" spans="1:65" s="13" customFormat="1" ht="10">
      <c r="B345" s="192"/>
      <c r="C345" s="193"/>
      <c r="D345" s="194" t="s">
        <v>139</v>
      </c>
      <c r="E345" s="195" t="s">
        <v>19</v>
      </c>
      <c r="F345" s="196" t="s">
        <v>948</v>
      </c>
      <c r="G345" s="193"/>
      <c r="H345" s="197">
        <v>1.7470000000000001</v>
      </c>
      <c r="I345" s="198"/>
      <c r="J345" s="193"/>
      <c r="K345" s="193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139</v>
      </c>
      <c r="AU345" s="203" t="s">
        <v>82</v>
      </c>
      <c r="AV345" s="13" t="s">
        <v>82</v>
      </c>
      <c r="AW345" s="13" t="s">
        <v>34</v>
      </c>
      <c r="AX345" s="13" t="s">
        <v>72</v>
      </c>
      <c r="AY345" s="203" t="s">
        <v>128</v>
      </c>
    </row>
    <row r="346" spans="1:65" s="13" customFormat="1" ht="10">
      <c r="B346" s="192"/>
      <c r="C346" s="193"/>
      <c r="D346" s="194" t="s">
        <v>139</v>
      </c>
      <c r="E346" s="195" t="s">
        <v>19</v>
      </c>
      <c r="F346" s="196" t="s">
        <v>953</v>
      </c>
      <c r="G346" s="193"/>
      <c r="H346" s="197">
        <v>0.78200000000000003</v>
      </c>
      <c r="I346" s="198"/>
      <c r="J346" s="193"/>
      <c r="K346" s="193"/>
      <c r="L346" s="199"/>
      <c r="M346" s="200"/>
      <c r="N346" s="201"/>
      <c r="O346" s="201"/>
      <c r="P346" s="201"/>
      <c r="Q346" s="201"/>
      <c r="R346" s="201"/>
      <c r="S346" s="201"/>
      <c r="T346" s="202"/>
      <c r="AT346" s="203" t="s">
        <v>139</v>
      </c>
      <c r="AU346" s="203" t="s">
        <v>82</v>
      </c>
      <c r="AV346" s="13" t="s">
        <v>82</v>
      </c>
      <c r="AW346" s="13" t="s">
        <v>34</v>
      </c>
      <c r="AX346" s="13" t="s">
        <v>72</v>
      </c>
      <c r="AY346" s="203" t="s">
        <v>128</v>
      </c>
    </row>
    <row r="347" spans="1:65" s="14" customFormat="1" ht="10">
      <c r="B347" s="204"/>
      <c r="C347" s="205"/>
      <c r="D347" s="194" t="s">
        <v>139</v>
      </c>
      <c r="E347" s="206" t="s">
        <v>19</v>
      </c>
      <c r="F347" s="207" t="s">
        <v>153</v>
      </c>
      <c r="G347" s="205"/>
      <c r="H347" s="208">
        <v>2.5289999999999999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139</v>
      </c>
      <c r="AU347" s="214" t="s">
        <v>82</v>
      </c>
      <c r="AV347" s="14" t="s">
        <v>135</v>
      </c>
      <c r="AW347" s="14" t="s">
        <v>34</v>
      </c>
      <c r="AX347" s="14" t="s">
        <v>80</v>
      </c>
      <c r="AY347" s="214" t="s">
        <v>128</v>
      </c>
    </row>
    <row r="348" spans="1:65" s="2" customFormat="1" ht="16.5" customHeight="1">
      <c r="A348" s="35"/>
      <c r="B348" s="36"/>
      <c r="C348" s="174" t="s">
        <v>528</v>
      </c>
      <c r="D348" s="174" t="s">
        <v>130</v>
      </c>
      <c r="E348" s="175" t="s">
        <v>962</v>
      </c>
      <c r="F348" s="176" t="s">
        <v>963</v>
      </c>
      <c r="G348" s="177" t="s">
        <v>174</v>
      </c>
      <c r="H348" s="178">
        <v>0.22700000000000001</v>
      </c>
      <c r="I348" s="179"/>
      <c r="J348" s="180">
        <f>ROUND(I348*H348,2)</f>
        <v>0</v>
      </c>
      <c r="K348" s="176" t="s">
        <v>134</v>
      </c>
      <c r="L348" s="40"/>
      <c r="M348" s="181" t="s">
        <v>19</v>
      </c>
      <c r="N348" s="182" t="s">
        <v>43</v>
      </c>
      <c r="O348" s="65"/>
      <c r="P348" s="183">
        <f>O348*H348</f>
        <v>0</v>
      </c>
      <c r="Q348" s="183">
        <v>1.06277</v>
      </c>
      <c r="R348" s="183">
        <f>Q348*H348</f>
        <v>0.24124879000000002</v>
      </c>
      <c r="S348" s="183">
        <v>0</v>
      </c>
      <c r="T348" s="18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5" t="s">
        <v>135</v>
      </c>
      <c r="AT348" s="185" t="s">
        <v>130</v>
      </c>
      <c r="AU348" s="185" t="s">
        <v>82</v>
      </c>
      <c r="AY348" s="18" t="s">
        <v>128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18" t="s">
        <v>80</v>
      </c>
      <c r="BK348" s="186">
        <f>ROUND(I348*H348,2)</f>
        <v>0</v>
      </c>
      <c r="BL348" s="18" t="s">
        <v>135</v>
      </c>
      <c r="BM348" s="185" t="s">
        <v>964</v>
      </c>
    </row>
    <row r="349" spans="1:65" s="2" customFormat="1" ht="10">
      <c r="A349" s="35"/>
      <c r="B349" s="36"/>
      <c r="C349" s="37"/>
      <c r="D349" s="187" t="s">
        <v>137</v>
      </c>
      <c r="E349" s="37"/>
      <c r="F349" s="188" t="s">
        <v>965</v>
      </c>
      <c r="G349" s="37"/>
      <c r="H349" s="37"/>
      <c r="I349" s="189"/>
      <c r="J349" s="37"/>
      <c r="K349" s="37"/>
      <c r="L349" s="40"/>
      <c r="M349" s="190"/>
      <c r="N349" s="191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137</v>
      </c>
      <c r="AU349" s="18" t="s">
        <v>82</v>
      </c>
    </row>
    <row r="350" spans="1:65" s="15" customFormat="1" ht="10">
      <c r="B350" s="230"/>
      <c r="C350" s="231"/>
      <c r="D350" s="194" t="s">
        <v>139</v>
      </c>
      <c r="E350" s="232" t="s">
        <v>19</v>
      </c>
      <c r="F350" s="233" t="s">
        <v>673</v>
      </c>
      <c r="G350" s="231"/>
      <c r="H350" s="232" t="s">
        <v>19</v>
      </c>
      <c r="I350" s="234"/>
      <c r="J350" s="231"/>
      <c r="K350" s="231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139</v>
      </c>
      <c r="AU350" s="239" t="s">
        <v>82</v>
      </c>
      <c r="AV350" s="15" t="s">
        <v>80</v>
      </c>
      <c r="AW350" s="15" t="s">
        <v>34</v>
      </c>
      <c r="AX350" s="15" t="s">
        <v>72</v>
      </c>
      <c r="AY350" s="239" t="s">
        <v>128</v>
      </c>
    </row>
    <row r="351" spans="1:65" s="13" customFormat="1" ht="10">
      <c r="B351" s="192"/>
      <c r="C351" s="193"/>
      <c r="D351" s="194" t="s">
        <v>139</v>
      </c>
      <c r="E351" s="195" t="s">
        <v>19</v>
      </c>
      <c r="F351" s="196" t="s">
        <v>966</v>
      </c>
      <c r="G351" s="193"/>
      <c r="H351" s="197">
        <v>7.0000000000000007E-2</v>
      </c>
      <c r="I351" s="198"/>
      <c r="J351" s="193"/>
      <c r="K351" s="193"/>
      <c r="L351" s="199"/>
      <c r="M351" s="200"/>
      <c r="N351" s="201"/>
      <c r="O351" s="201"/>
      <c r="P351" s="201"/>
      <c r="Q351" s="201"/>
      <c r="R351" s="201"/>
      <c r="S351" s="201"/>
      <c r="T351" s="202"/>
      <c r="AT351" s="203" t="s">
        <v>139</v>
      </c>
      <c r="AU351" s="203" t="s">
        <v>82</v>
      </c>
      <c r="AV351" s="13" t="s">
        <v>82</v>
      </c>
      <c r="AW351" s="13" t="s">
        <v>34</v>
      </c>
      <c r="AX351" s="13" t="s">
        <v>72</v>
      </c>
      <c r="AY351" s="203" t="s">
        <v>128</v>
      </c>
    </row>
    <row r="352" spans="1:65" s="13" customFormat="1" ht="10">
      <c r="B352" s="192"/>
      <c r="C352" s="193"/>
      <c r="D352" s="194" t="s">
        <v>139</v>
      </c>
      <c r="E352" s="195" t="s">
        <v>19</v>
      </c>
      <c r="F352" s="196" t="s">
        <v>967</v>
      </c>
      <c r="G352" s="193"/>
      <c r="H352" s="197">
        <v>0.157</v>
      </c>
      <c r="I352" s="198"/>
      <c r="J352" s="193"/>
      <c r="K352" s="193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139</v>
      </c>
      <c r="AU352" s="203" t="s">
        <v>82</v>
      </c>
      <c r="AV352" s="13" t="s">
        <v>82</v>
      </c>
      <c r="AW352" s="13" t="s">
        <v>34</v>
      </c>
      <c r="AX352" s="13" t="s">
        <v>72</v>
      </c>
      <c r="AY352" s="203" t="s">
        <v>128</v>
      </c>
    </row>
    <row r="353" spans="1:65" s="14" customFormat="1" ht="10">
      <c r="B353" s="204"/>
      <c r="C353" s="205"/>
      <c r="D353" s="194" t="s">
        <v>139</v>
      </c>
      <c r="E353" s="206" t="s">
        <v>19</v>
      </c>
      <c r="F353" s="207" t="s">
        <v>153</v>
      </c>
      <c r="G353" s="205"/>
      <c r="H353" s="208">
        <v>0.22700000000000001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139</v>
      </c>
      <c r="AU353" s="214" t="s">
        <v>82</v>
      </c>
      <c r="AV353" s="14" t="s">
        <v>135</v>
      </c>
      <c r="AW353" s="14" t="s">
        <v>34</v>
      </c>
      <c r="AX353" s="14" t="s">
        <v>80</v>
      </c>
      <c r="AY353" s="214" t="s">
        <v>128</v>
      </c>
    </row>
    <row r="354" spans="1:65" s="2" customFormat="1" ht="24.15" customHeight="1">
      <c r="A354" s="35"/>
      <c r="B354" s="36"/>
      <c r="C354" s="174" t="s">
        <v>534</v>
      </c>
      <c r="D354" s="174" t="s">
        <v>130</v>
      </c>
      <c r="E354" s="175" t="s">
        <v>968</v>
      </c>
      <c r="F354" s="176" t="s">
        <v>969</v>
      </c>
      <c r="G354" s="177" t="s">
        <v>258</v>
      </c>
      <c r="H354" s="178">
        <v>49.616</v>
      </c>
      <c r="I354" s="179"/>
      <c r="J354" s="180">
        <f>ROUND(I354*H354,2)</f>
        <v>0</v>
      </c>
      <c r="K354" s="176" t="s">
        <v>134</v>
      </c>
      <c r="L354" s="40"/>
      <c r="M354" s="181" t="s">
        <v>19</v>
      </c>
      <c r="N354" s="182" t="s">
        <v>43</v>
      </c>
      <c r="O354" s="65"/>
      <c r="P354" s="183">
        <f>O354*H354</f>
        <v>0</v>
      </c>
      <c r="Q354" s="183">
        <v>2.0000000000000002E-5</v>
      </c>
      <c r="R354" s="183">
        <f>Q354*H354</f>
        <v>9.9232000000000009E-4</v>
      </c>
      <c r="S354" s="183">
        <v>0</v>
      </c>
      <c r="T354" s="18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5" t="s">
        <v>135</v>
      </c>
      <c r="AT354" s="185" t="s">
        <v>130</v>
      </c>
      <c r="AU354" s="185" t="s">
        <v>82</v>
      </c>
      <c r="AY354" s="18" t="s">
        <v>128</v>
      </c>
      <c r="BE354" s="186">
        <f>IF(N354="základní",J354,0)</f>
        <v>0</v>
      </c>
      <c r="BF354" s="186">
        <f>IF(N354="snížená",J354,0)</f>
        <v>0</v>
      </c>
      <c r="BG354" s="186">
        <f>IF(N354="zákl. přenesená",J354,0)</f>
        <v>0</v>
      </c>
      <c r="BH354" s="186">
        <f>IF(N354="sníž. přenesená",J354,0)</f>
        <v>0</v>
      </c>
      <c r="BI354" s="186">
        <f>IF(N354="nulová",J354,0)</f>
        <v>0</v>
      </c>
      <c r="BJ354" s="18" t="s">
        <v>80</v>
      </c>
      <c r="BK354" s="186">
        <f>ROUND(I354*H354,2)</f>
        <v>0</v>
      </c>
      <c r="BL354" s="18" t="s">
        <v>135</v>
      </c>
      <c r="BM354" s="185" t="s">
        <v>970</v>
      </c>
    </row>
    <row r="355" spans="1:65" s="2" customFormat="1" ht="10">
      <c r="A355" s="35"/>
      <c r="B355" s="36"/>
      <c r="C355" s="37"/>
      <c r="D355" s="187" t="s">
        <v>137</v>
      </c>
      <c r="E355" s="37"/>
      <c r="F355" s="188" t="s">
        <v>971</v>
      </c>
      <c r="G355" s="37"/>
      <c r="H355" s="37"/>
      <c r="I355" s="189"/>
      <c r="J355" s="37"/>
      <c r="K355" s="37"/>
      <c r="L355" s="40"/>
      <c r="M355" s="190"/>
      <c r="N355" s="191"/>
      <c r="O355" s="65"/>
      <c r="P355" s="65"/>
      <c r="Q355" s="65"/>
      <c r="R355" s="65"/>
      <c r="S355" s="65"/>
      <c r="T355" s="66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137</v>
      </c>
      <c r="AU355" s="18" t="s">
        <v>82</v>
      </c>
    </row>
    <row r="356" spans="1:65" s="13" customFormat="1" ht="10">
      <c r="B356" s="192"/>
      <c r="C356" s="193"/>
      <c r="D356" s="194" t="s">
        <v>139</v>
      </c>
      <c r="E356" s="195" t="s">
        <v>19</v>
      </c>
      <c r="F356" s="196" t="s">
        <v>972</v>
      </c>
      <c r="G356" s="193"/>
      <c r="H356" s="197">
        <v>17.216000000000001</v>
      </c>
      <c r="I356" s="198"/>
      <c r="J356" s="193"/>
      <c r="K356" s="193"/>
      <c r="L356" s="199"/>
      <c r="M356" s="200"/>
      <c r="N356" s="201"/>
      <c r="O356" s="201"/>
      <c r="P356" s="201"/>
      <c r="Q356" s="201"/>
      <c r="R356" s="201"/>
      <c r="S356" s="201"/>
      <c r="T356" s="202"/>
      <c r="AT356" s="203" t="s">
        <v>139</v>
      </c>
      <c r="AU356" s="203" t="s">
        <v>82</v>
      </c>
      <c r="AV356" s="13" t="s">
        <v>82</v>
      </c>
      <c r="AW356" s="13" t="s">
        <v>34</v>
      </c>
      <c r="AX356" s="13" t="s">
        <v>72</v>
      </c>
      <c r="AY356" s="203" t="s">
        <v>128</v>
      </c>
    </row>
    <row r="357" spans="1:65" s="13" customFormat="1" ht="10">
      <c r="B357" s="192"/>
      <c r="C357" s="193"/>
      <c r="D357" s="194" t="s">
        <v>139</v>
      </c>
      <c r="E357" s="195" t="s">
        <v>19</v>
      </c>
      <c r="F357" s="196" t="s">
        <v>973</v>
      </c>
      <c r="G357" s="193"/>
      <c r="H357" s="197">
        <v>32.4</v>
      </c>
      <c r="I357" s="198"/>
      <c r="J357" s="193"/>
      <c r="K357" s="193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139</v>
      </c>
      <c r="AU357" s="203" t="s">
        <v>82</v>
      </c>
      <c r="AV357" s="13" t="s">
        <v>82</v>
      </c>
      <c r="AW357" s="13" t="s">
        <v>34</v>
      </c>
      <c r="AX357" s="13" t="s">
        <v>72</v>
      </c>
      <c r="AY357" s="203" t="s">
        <v>128</v>
      </c>
    </row>
    <row r="358" spans="1:65" s="14" customFormat="1" ht="10">
      <c r="B358" s="204"/>
      <c r="C358" s="205"/>
      <c r="D358" s="194" t="s">
        <v>139</v>
      </c>
      <c r="E358" s="206" t="s">
        <v>19</v>
      </c>
      <c r="F358" s="207" t="s">
        <v>153</v>
      </c>
      <c r="G358" s="205"/>
      <c r="H358" s="208">
        <v>49.616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139</v>
      </c>
      <c r="AU358" s="214" t="s">
        <v>82</v>
      </c>
      <c r="AV358" s="14" t="s">
        <v>135</v>
      </c>
      <c r="AW358" s="14" t="s">
        <v>34</v>
      </c>
      <c r="AX358" s="14" t="s">
        <v>80</v>
      </c>
      <c r="AY358" s="214" t="s">
        <v>128</v>
      </c>
    </row>
    <row r="359" spans="1:65" s="12" customFormat="1" ht="22.75" customHeight="1">
      <c r="B359" s="158"/>
      <c r="C359" s="159"/>
      <c r="D359" s="160" t="s">
        <v>71</v>
      </c>
      <c r="E359" s="172" t="s">
        <v>189</v>
      </c>
      <c r="F359" s="172" t="s">
        <v>194</v>
      </c>
      <c r="G359" s="159"/>
      <c r="H359" s="159"/>
      <c r="I359" s="162"/>
      <c r="J359" s="173">
        <f>BK359</f>
        <v>0</v>
      </c>
      <c r="K359" s="159"/>
      <c r="L359" s="164"/>
      <c r="M359" s="165"/>
      <c r="N359" s="166"/>
      <c r="O359" s="166"/>
      <c r="P359" s="167">
        <f>SUM(P360:P404)</f>
        <v>0</v>
      </c>
      <c r="Q359" s="166"/>
      <c r="R359" s="167">
        <f>SUM(R360:R404)</f>
        <v>0.19103249999999999</v>
      </c>
      <c r="S359" s="166"/>
      <c r="T359" s="168">
        <f>SUM(T360:T404)</f>
        <v>11.718</v>
      </c>
      <c r="AR359" s="169" t="s">
        <v>80</v>
      </c>
      <c r="AT359" s="170" t="s">
        <v>71</v>
      </c>
      <c r="AU359" s="170" t="s">
        <v>80</v>
      </c>
      <c r="AY359" s="169" t="s">
        <v>128</v>
      </c>
      <c r="BK359" s="171">
        <f>SUM(BK360:BK404)</f>
        <v>0</v>
      </c>
    </row>
    <row r="360" spans="1:65" s="2" customFormat="1" ht="24.15" customHeight="1">
      <c r="A360" s="35"/>
      <c r="B360" s="36"/>
      <c r="C360" s="174" t="s">
        <v>570</v>
      </c>
      <c r="D360" s="174" t="s">
        <v>130</v>
      </c>
      <c r="E360" s="175" t="s">
        <v>974</v>
      </c>
      <c r="F360" s="176" t="s">
        <v>975</v>
      </c>
      <c r="G360" s="177" t="s">
        <v>133</v>
      </c>
      <c r="H360" s="178">
        <v>266</v>
      </c>
      <c r="I360" s="179"/>
      <c r="J360" s="180">
        <f>ROUND(I360*H360,2)</f>
        <v>0</v>
      </c>
      <c r="K360" s="176" t="s">
        <v>134</v>
      </c>
      <c r="L360" s="40"/>
      <c r="M360" s="181" t="s">
        <v>19</v>
      </c>
      <c r="N360" s="182" t="s">
        <v>43</v>
      </c>
      <c r="O360" s="65"/>
      <c r="P360" s="183">
        <f>O360*H360</f>
        <v>0</v>
      </c>
      <c r="Q360" s="183">
        <v>0</v>
      </c>
      <c r="R360" s="183">
        <f>Q360*H360</f>
        <v>0</v>
      </c>
      <c r="S360" s="183">
        <v>0</v>
      </c>
      <c r="T360" s="184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85" t="s">
        <v>135</v>
      </c>
      <c r="AT360" s="185" t="s">
        <v>130</v>
      </c>
      <c r="AU360" s="185" t="s">
        <v>82</v>
      </c>
      <c r="AY360" s="18" t="s">
        <v>128</v>
      </c>
      <c r="BE360" s="186">
        <f>IF(N360="základní",J360,0)</f>
        <v>0</v>
      </c>
      <c r="BF360" s="186">
        <f>IF(N360="snížená",J360,0)</f>
        <v>0</v>
      </c>
      <c r="BG360" s="186">
        <f>IF(N360="zákl. přenesená",J360,0)</f>
        <v>0</v>
      </c>
      <c r="BH360" s="186">
        <f>IF(N360="sníž. přenesená",J360,0)</f>
        <v>0</v>
      </c>
      <c r="BI360" s="186">
        <f>IF(N360="nulová",J360,0)</f>
        <v>0</v>
      </c>
      <c r="BJ360" s="18" t="s">
        <v>80</v>
      </c>
      <c r="BK360" s="186">
        <f>ROUND(I360*H360,2)</f>
        <v>0</v>
      </c>
      <c r="BL360" s="18" t="s">
        <v>135</v>
      </c>
      <c r="BM360" s="185" t="s">
        <v>976</v>
      </c>
    </row>
    <row r="361" spans="1:65" s="2" customFormat="1" ht="10">
      <c r="A361" s="35"/>
      <c r="B361" s="36"/>
      <c r="C361" s="37"/>
      <c r="D361" s="187" t="s">
        <v>137</v>
      </c>
      <c r="E361" s="37"/>
      <c r="F361" s="188" t="s">
        <v>977</v>
      </c>
      <c r="G361" s="37"/>
      <c r="H361" s="37"/>
      <c r="I361" s="189"/>
      <c r="J361" s="37"/>
      <c r="K361" s="37"/>
      <c r="L361" s="40"/>
      <c r="M361" s="190"/>
      <c r="N361" s="191"/>
      <c r="O361" s="65"/>
      <c r="P361" s="65"/>
      <c r="Q361" s="65"/>
      <c r="R361" s="65"/>
      <c r="S361" s="65"/>
      <c r="T361" s="66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137</v>
      </c>
      <c r="AU361" s="18" t="s">
        <v>82</v>
      </c>
    </row>
    <row r="362" spans="1:65" s="13" customFormat="1" ht="10">
      <c r="B362" s="192"/>
      <c r="C362" s="193"/>
      <c r="D362" s="194" t="s">
        <v>139</v>
      </c>
      <c r="E362" s="195" t="s">
        <v>19</v>
      </c>
      <c r="F362" s="196" t="s">
        <v>978</v>
      </c>
      <c r="G362" s="193"/>
      <c r="H362" s="197">
        <v>266</v>
      </c>
      <c r="I362" s="198"/>
      <c r="J362" s="193"/>
      <c r="K362" s="193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139</v>
      </c>
      <c r="AU362" s="203" t="s">
        <v>82</v>
      </c>
      <c r="AV362" s="13" t="s">
        <v>82</v>
      </c>
      <c r="AW362" s="13" t="s">
        <v>34</v>
      </c>
      <c r="AX362" s="13" t="s">
        <v>80</v>
      </c>
      <c r="AY362" s="203" t="s">
        <v>128</v>
      </c>
    </row>
    <row r="363" spans="1:65" s="2" customFormat="1" ht="24.15" customHeight="1">
      <c r="A363" s="35"/>
      <c r="B363" s="36"/>
      <c r="C363" s="174" t="s">
        <v>575</v>
      </c>
      <c r="D363" s="174" t="s">
        <v>130</v>
      </c>
      <c r="E363" s="175" t="s">
        <v>979</v>
      </c>
      <c r="F363" s="176" t="s">
        <v>980</v>
      </c>
      <c r="G363" s="177" t="s">
        <v>133</v>
      </c>
      <c r="H363" s="178">
        <v>100</v>
      </c>
      <c r="I363" s="179"/>
      <c r="J363" s="180">
        <f>ROUND(I363*H363,2)</f>
        <v>0</v>
      </c>
      <c r="K363" s="176" t="s">
        <v>134</v>
      </c>
      <c r="L363" s="40"/>
      <c r="M363" s="181" t="s">
        <v>19</v>
      </c>
      <c r="N363" s="182" t="s">
        <v>43</v>
      </c>
      <c r="O363" s="65"/>
      <c r="P363" s="183">
        <f>O363*H363</f>
        <v>0</v>
      </c>
      <c r="Q363" s="183">
        <v>0</v>
      </c>
      <c r="R363" s="183">
        <f>Q363*H363</f>
        <v>0</v>
      </c>
      <c r="S363" s="183">
        <v>0</v>
      </c>
      <c r="T363" s="18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5" t="s">
        <v>135</v>
      </c>
      <c r="AT363" s="185" t="s">
        <v>130</v>
      </c>
      <c r="AU363" s="185" t="s">
        <v>82</v>
      </c>
      <c r="AY363" s="18" t="s">
        <v>128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8" t="s">
        <v>80</v>
      </c>
      <c r="BK363" s="186">
        <f>ROUND(I363*H363,2)</f>
        <v>0</v>
      </c>
      <c r="BL363" s="18" t="s">
        <v>135</v>
      </c>
      <c r="BM363" s="185" t="s">
        <v>981</v>
      </c>
    </row>
    <row r="364" spans="1:65" s="2" customFormat="1" ht="10">
      <c r="A364" s="35"/>
      <c r="B364" s="36"/>
      <c r="C364" s="37"/>
      <c r="D364" s="187" t="s">
        <v>137</v>
      </c>
      <c r="E364" s="37"/>
      <c r="F364" s="188" t="s">
        <v>982</v>
      </c>
      <c r="G364" s="37"/>
      <c r="H364" s="37"/>
      <c r="I364" s="189"/>
      <c r="J364" s="37"/>
      <c r="K364" s="37"/>
      <c r="L364" s="40"/>
      <c r="M364" s="190"/>
      <c r="N364" s="191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137</v>
      </c>
      <c r="AU364" s="18" t="s">
        <v>82</v>
      </c>
    </row>
    <row r="365" spans="1:65" s="13" customFormat="1" ht="10">
      <c r="B365" s="192"/>
      <c r="C365" s="193"/>
      <c r="D365" s="194" t="s">
        <v>139</v>
      </c>
      <c r="E365" s="195" t="s">
        <v>19</v>
      </c>
      <c r="F365" s="196" t="s">
        <v>983</v>
      </c>
      <c r="G365" s="193"/>
      <c r="H365" s="197">
        <v>100</v>
      </c>
      <c r="I365" s="198"/>
      <c r="J365" s="193"/>
      <c r="K365" s="193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139</v>
      </c>
      <c r="AU365" s="203" t="s">
        <v>82</v>
      </c>
      <c r="AV365" s="13" t="s">
        <v>82</v>
      </c>
      <c r="AW365" s="13" t="s">
        <v>34</v>
      </c>
      <c r="AX365" s="13" t="s">
        <v>80</v>
      </c>
      <c r="AY365" s="203" t="s">
        <v>128</v>
      </c>
    </row>
    <row r="366" spans="1:65" s="2" customFormat="1" ht="24.15" customHeight="1">
      <c r="A366" s="35"/>
      <c r="B366" s="36"/>
      <c r="C366" s="174" t="s">
        <v>581</v>
      </c>
      <c r="D366" s="174" t="s">
        <v>130</v>
      </c>
      <c r="E366" s="175" t="s">
        <v>984</v>
      </c>
      <c r="F366" s="176" t="s">
        <v>985</v>
      </c>
      <c r="G366" s="177" t="s">
        <v>133</v>
      </c>
      <c r="H366" s="178">
        <v>45900</v>
      </c>
      <c r="I366" s="179"/>
      <c r="J366" s="180">
        <f>ROUND(I366*H366,2)</f>
        <v>0</v>
      </c>
      <c r="K366" s="176" t="s">
        <v>134</v>
      </c>
      <c r="L366" s="40"/>
      <c r="M366" s="181" t="s">
        <v>19</v>
      </c>
      <c r="N366" s="182" t="s">
        <v>43</v>
      </c>
      <c r="O366" s="65"/>
      <c r="P366" s="183">
        <f>O366*H366</f>
        <v>0</v>
      </c>
      <c r="Q366" s="183">
        <v>0</v>
      </c>
      <c r="R366" s="183">
        <f>Q366*H366</f>
        <v>0</v>
      </c>
      <c r="S366" s="183">
        <v>0</v>
      </c>
      <c r="T366" s="18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5" t="s">
        <v>135</v>
      </c>
      <c r="AT366" s="185" t="s">
        <v>130</v>
      </c>
      <c r="AU366" s="185" t="s">
        <v>82</v>
      </c>
      <c r="AY366" s="18" t="s">
        <v>128</v>
      </c>
      <c r="BE366" s="186">
        <f>IF(N366="základní",J366,0)</f>
        <v>0</v>
      </c>
      <c r="BF366" s="186">
        <f>IF(N366="snížená",J366,0)</f>
        <v>0</v>
      </c>
      <c r="BG366" s="186">
        <f>IF(N366="zákl. přenesená",J366,0)</f>
        <v>0</v>
      </c>
      <c r="BH366" s="186">
        <f>IF(N366="sníž. přenesená",J366,0)</f>
        <v>0</v>
      </c>
      <c r="BI366" s="186">
        <f>IF(N366="nulová",J366,0)</f>
        <v>0</v>
      </c>
      <c r="BJ366" s="18" t="s">
        <v>80</v>
      </c>
      <c r="BK366" s="186">
        <f>ROUND(I366*H366,2)</f>
        <v>0</v>
      </c>
      <c r="BL366" s="18" t="s">
        <v>135</v>
      </c>
      <c r="BM366" s="185" t="s">
        <v>986</v>
      </c>
    </row>
    <row r="367" spans="1:65" s="2" customFormat="1" ht="10">
      <c r="A367" s="35"/>
      <c r="B367" s="36"/>
      <c r="C367" s="37"/>
      <c r="D367" s="187" t="s">
        <v>137</v>
      </c>
      <c r="E367" s="37"/>
      <c r="F367" s="188" t="s">
        <v>987</v>
      </c>
      <c r="G367" s="37"/>
      <c r="H367" s="37"/>
      <c r="I367" s="189"/>
      <c r="J367" s="37"/>
      <c r="K367" s="37"/>
      <c r="L367" s="40"/>
      <c r="M367" s="190"/>
      <c r="N367" s="191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137</v>
      </c>
      <c r="AU367" s="18" t="s">
        <v>82</v>
      </c>
    </row>
    <row r="368" spans="1:65" s="13" customFormat="1" ht="10">
      <c r="B368" s="192"/>
      <c r="C368" s="193"/>
      <c r="D368" s="194" t="s">
        <v>139</v>
      </c>
      <c r="E368" s="195" t="s">
        <v>19</v>
      </c>
      <c r="F368" s="196" t="s">
        <v>988</v>
      </c>
      <c r="G368" s="193"/>
      <c r="H368" s="197">
        <v>6000</v>
      </c>
      <c r="I368" s="198"/>
      <c r="J368" s="193"/>
      <c r="K368" s="193"/>
      <c r="L368" s="199"/>
      <c r="M368" s="200"/>
      <c r="N368" s="201"/>
      <c r="O368" s="201"/>
      <c r="P368" s="201"/>
      <c r="Q368" s="201"/>
      <c r="R368" s="201"/>
      <c r="S368" s="201"/>
      <c r="T368" s="202"/>
      <c r="AT368" s="203" t="s">
        <v>139</v>
      </c>
      <c r="AU368" s="203" t="s">
        <v>82</v>
      </c>
      <c r="AV368" s="13" t="s">
        <v>82</v>
      </c>
      <c r="AW368" s="13" t="s">
        <v>34</v>
      </c>
      <c r="AX368" s="13" t="s">
        <v>72</v>
      </c>
      <c r="AY368" s="203" t="s">
        <v>128</v>
      </c>
    </row>
    <row r="369" spans="1:65" s="13" customFormat="1" ht="10">
      <c r="B369" s="192"/>
      <c r="C369" s="193"/>
      <c r="D369" s="194" t="s">
        <v>139</v>
      </c>
      <c r="E369" s="195" t="s">
        <v>19</v>
      </c>
      <c r="F369" s="196" t="s">
        <v>989</v>
      </c>
      <c r="G369" s="193"/>
      <c r="H369" s="197">
        <v>39900</v>
      </c>
      <c r="I369" s="198"/>
      <c r="J369" s="193"/>
      <c r="K369" s="193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139</v>
      </c>
      <c r="AU369" s="203" t="s">
        <v>82</v>
      </c>
      <c r="AV369" s="13" t="s">
        <v>82</v>
      </c>
      <c r="AW369" s="13" t="s">
        <v>34</v>
      </c>
      <c r="AX369" s="13" t="s">
        <v>72</v>
      </c>
      <c r="AY369" s="203" t="s">
        <v>128</v>
      </c>
    </row>
    <row r="370" spans="1:65" s="14" customFormat="1" ht="10">
      <c r="B370" s="204"/>
      <c r="C370" s="205"/>
      <c r="D370" s="194" t="s">
        <v>139</v>
      </c>
      <c r="E370" s="206" t="s">
        <v>19</v>
      </c>
      <c r="F370" s="207" t="s">
        <v>153</v>
      </c>
      <c r="G370" s="205"/>
      <c r="H370" s="208">
        <v>45900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139</v>
      </c>
      <c r="AU370" s="214" t="s">
        <v>82</v>
      </c>
      <c r="AV370" s="14" t="s">
        <v>135</v>
      </c>
      <c r="AW370" s="14" t="s">
        <v>34</v>
      </c>
      <c r="AX370" s="14" t="s">
        <v>80</v>
      </c>
      <c r="AY370" s="214" t="s">
        <v>128</v>
      </c>
    </row>
    <row r="371" spans="1:65" s="2" customFormat="1" ht="24.15" customHeight="1">
      <c r="A371" s="35"/>
      <c r="B371" s="36"/>
      <c r="C371" s="174" t="s">
        <v>585</v>
      </c>
      <c r="D371" s="174" t="s">
        <v>130</v>
      </c>
      <c r="E371" s="175" t="s">
        <v>990</v>
      </c>
      <c r="F371" s="176" t="s">
        <v>991</v>
      </c>
      <c r="G371" s="177" t="s">
        <v>133</v>
      </c>
      <c r="H371" s="178">
        <v>266</v>
      </c>
      <c r="I371" s="179"/>
      <c r="J371" s="180">
        <f>ROUND(I371*H371,2)</f>
        <v>0</v>
      </c>
      <c r="K371" s="176" t="s">
        <v>134</v>
      </c>
      <c r="L371" s="40"/>
      <c r="M371" s="181" t="s">
        <v>19</v>
      </c>
      <c r="N371" s="182" t="s">
        <v>43</v>
      </c>
      <c r="O371" s="65"/>
      <c r="P371" s="183">
        <f>O371*H371</f>
        <v>0</v>
      </c>
      <c r="Q371" s="183">
        <v>0</v>
      </c>
      <c r="R371" s="183">
        <f>Q371*H371</f>
        <v>0</v>
      </c>
      <c r="S371" s="183">
        <v>0</v>
      </c>
      <c r="T371" s="184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5" t="s">
        <v>135</v>
      </c>
      <c r="AT371" s="185" t="s">
        <v>130</v>
      </c>
      <c r="AU371" s="185" t="s">
        <v>82</v>
      </c>
      <c r="AY371" s="18" t="s">
        <v>128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18" t="s">
        <v>80</v>
      </c>
      <c r="BK371" s="186">
        <f>ROUND(I371*H371,2)</f>
        <v>0</v>
      </c>
      <c r="BL371" s="18" t="s">
        <v>135</v>
      </c>
      <c r="BM371" s="185" t="s">
        <v>992</v>
      </c>
    </row>
    <row r="372" spans="1:65" s="2" customFormat="1" ht="10">
      <c r="A372" s="35"/>
      <c r="B372" s="36"/>
      <c r="C372" s="37"/>
      <c r="D372" s="187" t="s">
        <v>137</v>
      </c>
      <c r="E372" s="37"/>
      <c r="F372" s="188" t="s">
        <v>993</v>
      </c>
      <c r="G372" s="37"/>
      <c r="H372" s="37"/>
      <c r="I372" s="189"/>
      <c r="J372" s="37"/>
      <c r="K372" s="37"/>
      <c r="L372" s="40"/>
      <c r="M372" s="190"/>
      <c r="N372" s="191"/>
      <c r="O372" s="65"/>
      <c r="P372" s="65"/>
      <c r="Q372" s="65"/>
      <c r="R372" s="65"/>
      <c r="S372" s="65"/>
      <c r="T372" s="66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137</v>
      </c>
      <c r="AU372" s="18" t="s">
        <v>82</v>
      </c>
    </row>
    <row r="373" spans="1:65" s="2" customFormat="1" ht="24.15" customHeight="1">
      <c r="A373" s="35"/>
      <c r="B373" s="36"/>
      <c r="C373" s="174" t="s">
        <v>592</v>
      </c>
      <c r="D373" s="174" t="s">
        <v>130</v>
      </c>
      <c r="E373" s="175" t="s">
        <v>994</v>
      </c>
      <c r="F373" s="176" t="s">
        <v>995</v>
      </c>
      <c r="G373" s="177" t="s">
        <v>133</v>
      </c>
      <c r="H373" s="178">
        <v>100</v>
      </c>
      <c r="I373" s="179"/>
      <c r="J373" s="180">
        <f>ROUND(I373*H373,2)</f>
        <v>0</v>
      </c>
      <c r="K373" s="176" t="s">
        <v>134</v>
      </c>
      <c r="L373" s="40"/>
      <c r="M373" s="181" t="s">
        <v>19</v>
      </c>
      <c r="N373" s="182" t="s">
        <v>43</v>
      </c>
      <c r="O373" s="65"/>
      <c r="P373" s="183">
        <f>O373*H373</f>
        <v>0</v>
      </c>
      <c r="Q373" s="183">
        <v>0</v>
      </c>
      <c r="R373" s="183">
        <f>Q373*H373</f>
        <v>0</v>
      </c>
      <c r="S373" s="183">
        <v>0</v>
      </c>
      <c r="T373" s="18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5" t="s">
        <v>135</v>
      </c>
      <c r="AT373" s="185" t="s">
        <v>130</v>
      </c>
      <c r="AU373" s="185" t="s">
        <v>82</v>
      </c>
      <c r="AY373" s="18" t="s">
        <v>128</v>
      </c>
      <c r="BE373" s="186">
        <f>IF(N373="základní",J373,0)</f>
        <v>0</v>
      </c>
      <c r="BF373" s="186">
        <f>IF(N373="snížená",J373,0)</f>
        <v>0</v>
      </c>
      <c r="BG373" s="186">
        <f>IF(N373="zákl. přenesená",J373,0)</f>
        <v>0</v>
      </c>
      <c r="BH373" s="186">
        <f>IF(N373="sníž. přenesená",J373,0)</f>
        <v>0</v>
      </c>
      <c r="BI373" s="186">
        <f>IF(N373="nulová",J373,0)</f>
        <v>0</v>
      </c>
      <c r="BJ373" s="18" t="s">
        <v>80</v>
      </c>
      <c r="BK373" s="186">
        <f>ROUND(I373*H373,2)</f>
        <v>0</v>
      </c>
      <c r="BL373" s="18" t="s">
        <v>135</v>
      </c>
      <c r="BM373" s="185" t="s">
        <v>996</v>
      </c>
    </row>
    <row r="374" spans="1:65" s="2" customFormat="1" ht="10">
      <c r="A374" s="35"/>
      <c r="B374" s="36"/>
      <c r="C374" s="37"/>
      <c r="D374" s="187" t="s">
        <v>137</v>
      </c>
      <c r="E374" s="37"/>
      <c r="F374" s="188" t="s">
        <v>997</v>
      </c>
      <c r="G374" s="37"/>
      <c r="H374" s="37"/>
      <c r="I374" s="189"/>
      <c r="J374" s="37"/>
      <c r="K374" s="37"/>
      <c r="L374" s="40"/>
      <c r="M374" s="190"/>
      <c r="N374" s="191"/>
      <c r="O374" s="65"/>
      <c r="P374" s="65"/>
      <c r="Q374" s="65"/>
      <c r="R374" s="65"/>
      <c r="S374" s="65"/>
      <c r="T374" s="66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137</v>
      </c>
      <c r="AU374" s="18" t="s">
        <v>82</v>
      </c>
    </row>
    <row r="375" spans="1:65" s="2" customFormat="1" ht="24.15" customHeight="1">
      <c r="A375" s="35"/>
      <c r="B375" s="36"/>
      <c r="C375" s="174" t="s">
        <v>599</v>
      </c>
      <c r="D375" s="174" t="s">
        <v>130</v>
      </c>
      <c r="E375" s="175" t="s">
        <v>998</v>
      </c>
      <c r="F375" s="176" t="s">
        <v>999</v>
      </c>
      <c r="G375" s="177" t="s">
        <v>258</v>
      </c>
      <c r="H375" s="178">
        <v>133</v>
      </c>
      <c r="I375" s="179"/>
      <c r="J375" s="180">
        <f>ROUND(I375*H375,2)</f>
        <v>0</v>
      </c>
      <c r="K375" s="176" t="s">
        <v>134</v>
      </c>
      <c r="L375" s="40"/>
      <c r="M375" s="181" t="s">
        <v>19</v>
      </c>
      <c r="N375" s="182" t="s">
        <v>43</v>
      </c>
      <c r="O375" s="65"/>
      <c r="P375" s="183">
        <f>O375*H375</f>
        <v>0</v>
      </c>
      <c r="Q375" s="183">
        <v>0</v>
      </c>
      <c r="R375" s="183">
        <f>Q375*H375</f>
        <v>0</v>
      </c>
      <c r="S375" s="183">
        <v>0</v>
      </c>
      <c r="T375" s="184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5" t="s">
        <v>135</v>
      </c>
      <c r="AT375" s="185" t="s">
        <v>130</v>
      </c>
      <c r="AU375" s="185" t="s">
        <v>82</v>
      </c>
      <c r="AY375" s="18" t="s">
        <v>128</v>
      </c>
      <c r="BE375" s="186">
        <f>IF(N375="základní",J375,0)</f>
        <v>0</v>
      </c>
      <c r="BF375" s="186">
        <f>IF(N375="snížená",J375,0)</f>
        <v>0</v>
      </c>
      <c r="BG375" s="186">
        <f>IF(N375="zákl. přenesená",J375,0)</f>
        <v>0</v>
      </c>
      <c r="BH375" s="186">
        <f>IF(N375="sníž. přenesená",J375,0)</f>
        <v>0</v>
      </c>
      <c r="BI375" s="186">
        <f>IF(N375="nulová",J375,0)</f>
        <v>0</v>
      </c>
      <c r="BJ375" s="18" t="s">
        <v>80</v>
      </c>
      <c r="BK375" s="186">
        <f>ROUND(I375*H375,2)</f>
        <v>0</v>
      </c>
      <c r="BL375" s="18" t="s">
        <v>135</v>
      </c>
      <c r="BM375" s="185" t="s">
        <v>1000</v>
      </c>
    </row>
    <row r="376" spans="1:65" s="2" customFormat="1" ht="10">
      <c r="A376" s="35"/>
      <c r="B376" s="36"/>
      <c r="C376" s="37"/>
      <c r="D376" s="187" t="s">
        <v>137</v>
      </c>
      <c r="E376" s="37"/>
      <c r="F376" s="188" t="s">
        <v>1001</v>
      </c>
      <c r="G376" s="37"/>
      <c r="H376" s="37"/>
      <c r="I376" s="189"/>
      <c r="J376" s="37"/>
      <c r="K376" s="37"/>
      <c r="L376" s="40"/>
      <c r="M376" s="190"/>
      <c r="N376" s="191"/>
      <c r="O376" s="65"/>
      <c r="P376" s="65"/>
      <c r="Q376" s="65"/>
      <c r="R376" s="65"/>
      <c r="S376" s="65"/>
      <c r="T376" s="66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137</v>
      </c>
      <c r="AU376" s="18" t="s">
        <v>82</v>
      </c>
    </row>
    <row r="377" spans="1:65" s="13" customFormat="1" ht="10">
      <c r="B377" s="192"/>
      <c r="C377" s="193"/>
      <c r="D377" s="194" t="s">
        <v>139</v>
      </c>
      <c r="E377" s="195" t="s">
        <v>19</v>
      </c>
      <c r="F377" s="196" t="s">
        <v>1002</v>
      </c>
      <c r="G377" s="193"/>
      <c r="H377" s="197">
        <v>133</v>
      </c>
      <c r="I377" s="198"/>
      <c r="J377" s="193"/>
      <c r="K377" s="193"/>
      <c r="L377" s="199"/>
      <c r="M377" s="200"/>
      <c r="N377" s="201"/>
      <c r="O377" s="201"/>
      <c r="P377" s="201"/>
      <c r="Q377" s="201"/>
      <c r="R377" s="201"/>
      <c r="S377" s="201"/>
      <c r="T377" s="202"/>
      <c r="AT377" s="203" t="s">
        <v>139</v>
      </c>
      <c r="AU377" s="203" t="s">
        <v>82</v>
      </c>
      <c r="AV377" s="13" t="s">
        <v>82</v>
      </c>
      <c r="AW377" s="13" t="s">
        <v>34</v>
      </c>
      <c r="AX377" s="13" t="s">
        <v>80</v>
      </c>
      <c r="AY377" s="203" t="s">
        <v>128</v>
      </c>
    </row>
    <row r="378" spans="1:65" s="2" customFormat="1" ht="21.75" customHeight="1">
      <c r="A378" s="35"/>
      <c r="B378" s="36"/>
      <c r="C378" s="174" t="s">
        <v>605</v>
      </c>
      <c r="D378" s="174" t="s">
        <v>130</v>
      </c>
      <c r="E378" s="175" t="s">
        <v>1003</v>
      </c>
      <c r="F378" s="176" t="s">
        <v>1004</v>
      </c>
      <c r="G378" s="177" t="s">
        <v>258</v>
      </c>
      <c r="H378" s="178">
        <v>19950</v>
      </c>
      <c r="I378" s="179"/>
      <c r="J378" s="180">
        <f>ROUND(I378*H378,2)</f>
        <v>0</v>
      </c>
      <c r="K378" s="176" t="s">
        <v>134</v>
      </c>
      <c r="L378" s="40"/>
      <c r="M378" s="181" t="s">
        <v>19</v>
      </c>
      <c r="N378" s="182" t="s">
        <v>43</v>
      </c>
      <c r="O378" s="65"/>
      <c r="P378" s="183">
        <f>O378*H378</f>
        <v>0</v>
      </c>
      <c r="Q378" s="183">
        <v>0</v>
      </c>
      <c r="R378" s="183">
        <f>Q378*H378</f>
        <v>0</v>
      </c>
      <c r="S378" s="183">
        <v>0</v>
      </c>
      <c r="T378" s="184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85" t="s">
        <v>135</v>
      </c>
      <c r="AT378" s="185" t="s">
        <v>130</v>
      </c>
      <c r="AU378" s="185" t="s">
        <v>82</v>
      </c>
      <c r="AY378" s="18" t="s">
        <v>128</v>
      </c>
      <c r="BE378" s="186">
        <f>IF(N378="základní",J378,0)</f>
        <v>0</v>
      </c>
      <c r="BF378" s="186">
        <f>IF(N378="snížená",J378,0)</f>
        <v>0</v>
      </c>
      <c r="BG378" s="186">
        <f>IF(N378="zákl. přenesená",J378,0)</f>
        <v>0</v>
      </c>
      <c r="BH378" s="186">
        <f>IF(N378="sníž. přenesená",J378,0)</f>
        <v>0</v>
      </c>
      <c r="BI378" s="186">
        <f>IF(N378="nulová",J378,0)</f>
        <v>0</v>
      </c>
      <c r="BJ378" s="18" t="s">
        <v>80</v>
      </c>
      <c r="BK378" s="186">
        <f>ROUND(I378*H378,2)</f>
        <v>0</v>
      </c>
      <c r="BL378" s="18" t="s">
        <v>135</v>
      </c>
      <c r="BM378" s="185" t="s">
        <v>1005</v>
      </c>
    </row>
    <row r="379" spans="1:65" s="2" customFormat="1" ht="10">
      <c r="A379" s="35"/>
      <c r="B379" s="36"/>
      <c r="C379" s="37"/>
      <c r="D379" s="187" t="s">
        <v>137</v>
      </c>
      <c r="E379" s="37"/>
      <c r="F379" s="188" t="s">
        <v>1006</v>
      </c>
      <c r="G379" s="37"/>
      <c r="H379" s="37"/>
      <c r="I379" s="189"/>
      <c r="J379" s="37"/>
      <c r="K379" s="37"/>
      <c r="L379" s="40"/>
      <c r="M379" s="190"/>
      <c r="N379" s="191"/>
      <c r="O379" s="65"/>
      <c r="P379" s="65"/>
      <c r="Q379" s="65"/>
      <c r="R379" s="65"/>
      <c r="S379" s="65"/>
      <c r="T379" s="66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137</v>
      </c>
      <c r="AU379" s="18" t="s">
        <v>82</v>
      </c>
    </row>
    <row r="380" spans="1:65" s="13" customFormat="1" ht="10">
      <c r="B380" s="192"/>
      <c r="C380" s="193"/>
      <c r="D380" s="194" t="s">
        <v>139</v>
      </c>
      <c r="E380" s="193"/>
      <c r="F380" s="196" t="s">
        <v>1007</v>
      </c>
      <c r="G380" s="193"/>
      <c r="H380" s="197">
        <v>19950</v>
      </c>
      <c r="I380" s="198"/>
      <c r="J380" s="193"/>
      <c r="K380" s="193"/>
      <c r="L380" s="199"/>
      <c r="M380" s="200"/>
      <c r="N380" s="201"/>
      <c r="O380" s="201"/>
      <c r="P380" s="201"/>
      <c r="Q380" s="201"/>
      <c r="R380" s="201"/>
      <c r="S380" s="201"/>
      <c r="T380" s="202"/>
      <c r="AT380" s="203" t="s">
        <v>139</v>
      </c>
      <c r="AU380" s="203" t="s">
        <v>82</v>
      </c>
      <c r="AV380" s="13" t="s">
        <v>82</v>
      </c>
      <c r="AW380" s="13" t="s">
        <v>4</v>
      </c>
      <c r="AX380" s="13" t="s">
        <v>80</v>
      </c>
      <c r="AY380" s="203" t="s">
        <v>128</v>
      </c>
    </row>
    <row r="381" spans="1:65" s="2" customFormat="1" ht="24.15" customHeight="1">
      <c r="A381" s="35"/>
      <c r="B381" s="36"/>
      <c r="C381" s="174" t="s">
        <v>613</v>
      </c>
      <c r="D381" s="174" t="s">
        <v>130</v>
      </c>
      <c r="E381" s="175" t="s">
        <v>1008</v>
      </c>
      <c r="F381" s="176" t="s">
        <v>1009</v>
      </c>
      <c r="G381" s="177" t="s">
        <v>258</v>
      </c>
      <c r="H381" s="178">
        <v>133</v>
      </c>
      <c r="I381" s="179"/>
      <c r="J381" s="180">
        <f>ROUND(I381*H381,2)</f>
        <v>0</v>
      </c>
      <c r="K381" s="176" t="s">
        <v>134</v>
      </c>
      <c r="L381" s="40"/>
      <c r="M381" s="181" t="s">
        <v>19</v>
      </c>
      <c r="N381" s="182" t="s">
        <v>43</v>
      </c>
      <c r="O381" s="65"/>
      <c r="P381" s="183">
        <f>O381*H381</f>
        <v>0</v>
      </c>
      <c r="Q381" s="183">
        <v>0</v>
      </c>
      <c r="R381" s="183">
        <f>Q381*H381</f>
        <v>0</v>
      </c>
      <c r="S381" s="183">
        <v>0</v>
      </c>
      <c r="T381" s="184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5" t="s">
        <v>135</v>
      </c>
      <c r="AT381" s="185" t="s">
        <v>130</v>
      </c>
      <c r="AU381" s="185" t="s">
        <v>82</v>
      </c>
      <c r="AY381" s="18" t="s">
        <v>128</v>
      </c>
      <c r="BE381" s="186">
        <f>IF(N381="základní",J381,0)</f>
        <v>0</v>
      </c>
      <c r="BF381" s="186">
        <f>IF(N381="snížená",J381,0)</f>
        <v>0</v>
      </c>
      <c r="BG381" s="186">
        <f>IF(N381="zákl. přenesená",J381,0)</f>
        <v>0</v>
      </c>
      <c r="BH381" s="186">
        <f>IF(N381="sníž. přenesená",J381,0)</f>
        <v>0</v>
      </c>
      <c r="BI381" s="186">
        <f>IF(N381="nulová",J381,0)</f>
        <v>0</v>
      </c>
      <c r="BJ381" s="18" t="s">
        <v>80</v>
      </c>
      <c r="BK381" s="186">
        <f>ROUND(I381*H381,2)</f>
        <v>0</v>
      </c>
      <c r="BL381" s="18" t="s">
        <v>135</v>
      </c>
      <c r="BM381" s="185" t="s">
        <v>1010</v>
      </c>
    </row>
    <row r="382" spans="1:65" s="2" customFormat="1" ht="10">
      <c r="A382" s="35"/>
      <c r="B382" s="36"/>
      <c r="C382" s="37"/>
      <c r="D382" s="187" t="s">
        <v>137</v>
      </c>
      <c r="E382" s="37"/>
      <c r="F382" s="188" t="s">
        <v>1011</v>
      </c>
      <c r="G382" s="37"/>
      <c r="H382" s="37"/>
      <c r="I382" s="189"/>
      <c r="J382" s="37"/>
      <c r="K382" s="37"/>
      <c r="L382" s="40"/>
      <c r="M382" s="190"/>
      <c r="N382" s="191"/>
      <c r="O382" s="65"/>
      <c r="P382" s="65"/>
      <c r="Q382" s="65"/>
      <c r="R382" s="65"/>
      <c r="S382" s="65"/>
      <c r="T382" s="66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137</v>
      </c>
      <c r="AU382" s="18" t="s">
        <v>82</v>
      </c>
    </row>
    <row r="383" spans="1:65" s="2" customFormat="1" ht="21.75" customHeight="1">
      <c r="A383" s="35"/>
      <c r="B383" s="36"/>
      <c r="C383" s="174" t="s">
        <v>622</v>
      </c>
      <c r="D383" s="174" t="s">
        <v>130</v>
      </c>
      <c r="E383" s="175" t="s">
        <v>1012</v>
      </c>
      <c r="F383" s="176" t="s">
        <v>1013</v>
      </c>
      <c r="G383" s="177" t="s">
        <v>1014</v>
      </c>
      <c r="H383" s="178">
        <v>150</v>
      </c>
      <c r="I383" s="179"/>
      <c r="J383" s="180">
        <f>ROUND(I383*H383,2)</f>
        <v>0</v>
      </c>
      <c r="K383" s="176" t="s">
        <v>134</v>
      </c>
      <c r="L383" s="40"/>
      <c r="M383" s="181" t="s">
        <v>19</v>
      </c>
      <c r="N383" s="182" t="s">
        <v>43</v>
      </c>
      <c r="O383" s="65"/>
      <c r="P383" s="183">
        <f>O383*H383</f>
        <v>0</v>
      </c>
      <c r="Q383" s="183">
        <v>0</v>
      </c>
      <c r="R383" s="183">
        <f>Q383*H383</f>
        <v>0</v>
      </c>
      <c r="S383" s="183">
        <v>0</v>
      </c>
      <c r="T383" s="18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5" t="s">
        <v>135</v>
      </c>
      <c r="AT383" s="185" t="s">
        <v>130</v>
      </c>
      <c r="AU383" s="185" t="s">
        <v>82</v>
      </c>
      <c r="AY383" s="18" t="s">
        <v>128</v>
      </c>
      <c r="BE383" s="186">
        <f>IF(N383="základní",J383,0)</f>
        <v>0</v>
      </c>
      <c r="BF383" s="186">
        <f>IF(N383="snížená",J383,0)</f>
        <v>0</v>
      </c>
      <c r="BG383" s="186">
        <f>IF(N383="zákl. přenesená",J383,0)</f>
        <v>0</v>
      </c>
      <c r="BH383" s="186">
        <f>IF(N383="sníž. přenesená",J383,0)</f>
        <v>0</v>
      </c>
      <c r="BI383" s="186">
        <f>IF(N383="nulová",J383,0)</f>
        <v>0</v>
      </c>
      <c r="BJ383" s="18" t="s">
        <v>80</v>
      </c>
      <c r="BK383" s="186">
        <f>ROUND(I383*H383,2)</f>
        <v>0</v>
      </c>
      <c r="BL383" s="18" t="s">
        <v>135</v>
      </c>
      <c r="BM383" s="185" t="s">
        <v>1015</v>
      </c>
    </row>
    <row r="384" spans="1:65" s="2" customFormat="1" ht="10">
      <c r="A384" s="35"/>
      <c r="B384" s="36"/>
      <c r="C384" s="37"/>
      <c r="D384" s="187" t="s">
        <v>137</v>
      </c>
      <c r="E384" s="37"/>
      <c r="F384" s="188" t="s">
        <v>1016</v>
      </c>
      <c r="G384" s="37"/>
      <c r="H384" s="37"/>
      <c r="I384" s="189"/>
      <c r="J384" s="37"/>
      <c r="K384" s="37"/>
      <c r="L384" s="40"/>
      <c r="M384" s="190"/>
      <c r="N384" s="191"/>
      <c r="O384" s="65"/>
      <c r="P384" s="65"/>
      <c r="Q384" s="65"/>
      <c r="R384" s="65"/>
      <c r="S384" s="65"/>
      <c r="T384" s="66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137</v>
      </c>
      <c r="AU384" s="18" t="s">
        <v>82</v>
      </c>
    </row>
    <row r="385" spans="1:65" s="13" customFormat="1" ht="10">
      <c r="B385" s="192"/>
      <c r="C385" s="193"/>
      <c r="D385" s="194" t="s">
        <v>139</v>
      </c>
      <c r="E385" s="195" t="s">
        <v>19</v>
      </c>
      <c r="F385" s="196" t="s">
        <v>1017</v>
      </c>
      <c r="G385" s="193"/>
      <c r="H385" s="197">
        <v>150</v>
      </c>
      <c r="I385" s="198"/>
      <c r="J385" s="193"/>
      <c r="K385" s="193"/>
      <c r="L385" s="199"/>
      <c r="M385" s="200"/>
      <c r="N385" s="201"/>
      <c r="O385" s="201"/>
      <c r="P385" s="201"/>
      <c r="Q385" s="201"/>
      <c r="R385" s="201"/>
      <c r="S385" s="201"/>
      <c r="T385" s="202"/>
      <c r="AT385" s="203" t="s">
        <v>139</v>
      </c>
      <c r="AU385" s="203" t="s">
        <v>82</v>
      </c>
      <c r="AV385" s="13" t="s">
        <v>82</v>
      </c>
      <c r="AW385" s="13" t="s">
        <v>34</v>
      </c>
      <c r="AX385" s="13" t="s">
        <v>80</v>
      </c>
      <c r="AY385" s="203" t="s">
        <v>128</v>
      </c>
    </row>
    <row r="386" spans="1:65" s="2" customFormat="1" ht="24.15" customHeight="1">
      <c r="A386" s="35"/>
      <c r="B386" s="36"/>
      <c r="C386" s="174" t="s">
        <v>419</v>
      </c>
      <c r="D386" s="174" t="s">
        <v>130</v>
      </c>
      <c r="E386" s="175" t="s">
        <v>1018</v>
      </c>
      <c r="F386" s="176" t="s">
        <v>1019</v>
      </c>
      <c r="G386" s="177" t="s">
        <v>133</v>
      </c>
      <c r="H386" s="178">
        <v>481.25</v>
      </c>
      <c r="I386" s="179"/>
      <c r="J386" s="180">
        <f>ROUND(I386*H386,2)</f>
        <v>0</v>
      </c>
      <c r="K386" s="176" t="s">
        <v>134</v>
      </c>
      <c r="L386" s="40"/>
      <c r="M386" s="181" t="s">
        <v>19</v>
      </c>
      <c r="N386" s="182" t="s">
        <v>43</v>
      </c>
      <c r="O386" s="65"/>
      <c r="P386" s="183">
        <f>O386*H386</f>
        <v>0</v>
      </c>
      <c r="Q386" s="183">
        <v>2.1000000000000001E-4</v>
      </c>
      <c r="R386" s="183">
        <f>Q386*H386</f>
        <v>0.1010625</v>
      </c>
      <c r="S386" s="183">
        <v>0</v>
      </c>
      <c r="T386" s="184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5" t="s">
        <v>135</v>
      </c>
      <c r="AT386" s="185" t="s">
        <v>130</v>
      </c>
      <c r="AU386" s="185" t="s">
        <v>82</v>
      </c>
      <c r="AY386" s="18" t="s">
        <v>128</v>
      </c>
      <c r="BE386" s="186">
        <f>IF(N386="základní",J386,0)</f>
        <v>0</v>
      </c>
      <c r="BF386" s="186">
        <f>IF(N386="snížená",J386,0)</f>
        <v>0</v>
      </c>
      <c r="BG386" s="186">
        <f>IF(N386="zákl. přenesená",J386,0)</f>
        <v>0</v>
      </c>
      <c r="BH386" s="186">
        <f>IF(N386="sníž. přenesená",J386,0)</f>
        <v>0</v>
      </c>
      <c r="BI386" s="186">
        <f>IF(N386="nulová",J386,0)</f>
        <v>0</v>
      </c>
      <c r="BJ386" s="18" t="s">
        <v>80</v>
      </c>
      <c r="BK386" s="186">
        <f>ROUND(I386*H386,2)</f>
        <v>0</v>
      </c>
      <c r="BL386" s="18" t="s">
        <v>135</v>
      </c>
      <c r="BM386" s="185" t="s">
        <v>1020</v>
      </c>
    </row>
    <row r="387" spans="1:65" s="2" customFormat="1" ht="10">
      <c r="A387" s="35"/>
      <c r="B387" s="36"/>
      <c r="C387" s="37"/>
      <c r="D387" s="187" t="s">
        <v>137</v>
      </c>
      <c r="E387" s="37"/>
      <c r="F387" s="188" t="s">
        <v>1021</v>
      </c>
      <c r="G387" s="37"/>
      <c r="H387" s="37"/>
      <c r="I387" s="189"/>
      <c r="J387" s="37"/>
      <c r="K387" s="37"/>
      <c r="L387" s="40"/>
      <c r="M387" s="190"/>
      <c r="N387" s="191"/>
      <c r="O387" s="65"/>
      <c r="P387" s="65"/>
      <c r="Q387" s="65"/>
      <c r="R387" s="65"/>
      <c r="S387" s="65"/>
      <c r="T387" s="66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137</v>
      </c>
      <c r="AU387" s="18" t="s">
        <v>82</v>
      </c>
    </row>
    <row r="388" spans="1:65" s="13" customFormat="1" ht="10">
      <c r="B388" s="192"/>
      <c r="C388" s="193"/>
      <c r="D388" s="194" t="s">
        <v>139</v>
      </c>
      <c r="E388" s="195" t="s">
        <v>19</v>
      </c>
      <c r="F388" s="196" t="s">
        <v>1022</v>
      </c>
      <c r="G388" s="193"/>
      <c r="H388" s="197">
        <v>481.25</v>
      </c>
      <c r="I388" s="198"/>
      <c r="J388" s="193"/>
      <c r="K388" s="193"/>
      <c r="L388" s="199"/>
      <c r="M388" s="200"/>
      <c r="N388" s="201"/>
      <c r="O388" s="201"/>
      <c r="P388" s="201"/>
      <c r="Q388" s="201"/>
      <c r="R388" s="201"/>
      <c r="S388" s="201"/>
      <c r="T388" s="202"/>
      <c r="AT388" s="203" t="s">
        <v>139</v>
      </c>
      <c r="AU388" s="203" t="s">
        <v>82</v>
      </c>
      <c r="AV388" s="13" t="s">
        <v>82</v>
      </c>
      <c r="AW388" s="13" t="s">
        <v>34</v>
      </c>
      <c r="AX388" s="13" t="s">
        <v>80</v>
      </c>
      <c r="AY388" s="203" t="s">
        <v>128</v>
      </c>
    </row>
    <row r="389" spans="1:65" s="2" customFormat="1" ht="24.15" customHeight="1">
      <c r="A389" s="35"/>
      <c r="B389" s="36"/>
      <c r="C389" s="174" t="s">
        <v>183</v>
      </c>
      <c r="D389" s="174" t="s">
        <v>130</v>
      </c>
      <c r="E389" s="175" t="s">
        <v>1023</v>
      </c>
      <c r="F389" s="176" t="s">
        <v>1024</v>
      </c>
      <c r="G389" s="177" t="s">
        <v>133</v>
      </c>
      <c r="H389" s="178">
        <v>481.25</v>
      </c>
      <c r="I389" s="179"/>
      <c r="J389" s="180">
        <f>ROUND(I389*H389,2)</f>
        <v>0</v>
      </c>
      <c r="K389" s="176" t="s">
        <v>134</v>
      </c>
      <c r="L389" s="40"/>
      <c r="M389" s="181" t="s">
        <v>19</v>
      </c>
      <c r="N389" s="182" t="s">
        <v>43</v>
      </c>
      <c r="O389" s="65"/>
      <c r="P389" s="183">
        <f>O389*H389</f>
        <v>0</v>
      </c>
      <c r="Q389" s="183">
        <v>4.0000000000000003E-5</v>
      </c>
      <c r="R389" s="183">
        <f>Q389*H389</f>
        <v>1.9250000000000003E-2</v>
      </c>
      <c r="S389" s="183">
        <v>0</v>
      </c>
      <c r="T389" s="184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5" t="s">
        <v>135</v>
      </c>
      <c r="AT389" s="185" t="s">
        <v>130</v>
      </c>
      <c r="AU389" s="185" t="s">
        <v>82</v>
      </c>
      <c r="AY389" s="18" t="s">
        <v>128</v>
      </c>
      <c r="BE389" s="186">
        <f>IF(N389="základní",J389,0)</f>
        <v>0</v>
      </c>
      <c r="BF389" s="186">
        <f>IF(N389="snížená",J389,0)</f>
        <v>0</v>
      </c>
      <c r="BG389" s="186">
        <f>IF(N389="zákl. přenesená",J389,0)</f>
        <v>0</v>
      </c>
      <c r="BH389" s="186">
        <f>IF(N389="sníž. přenesená",J389,0)</f>
        <v>0</v>
      </c>
      <c r="BI389" s="186">
        <f>IF(N389="nulová",J389,0)</f>
        <v>0</v>
      </c>
      <c r="BJ389" s="18" t="s">
        <v>80</v>
      </c>
      <c r="BK389" s="186">
        <f>ROUND(I389*H389,2)</f>
        <v>0</v>
      </c>
      <c r="BL389" s="18" t="s">
        <v>135</v>
      </c>
      <c r="BM389" s="185" t="s">
        <v>1025</v>
      </c>
    </row>
    <row r="390" spans="1:65" s="2" customFormat="1" ht="10">
      <c r="A390" s="35"/>
      <c r="B390" s="36"/>
      <c r="C390" s="37"/>
      <c r="D390" s="187" t="s">
        <v>137</v>
      </c>
      <c r="E390" s="37"/>
      <c r="F390" s="188" t="s">
        <v>1026</v>
      </c>
      <c r="G390" s="37"/>
      <c r="H390" s="37"/>
      <c r="I390" s="189"/>
      <c r="J390" s="37"/>
      <c r="K390" s="37"/>
      <c r="L390" s="40"/>
      <c r="M390" s="190"/>
      <c r="N390" s="191"/>
      <c r="O390" s="65"/>
      <c r="P390" s="65"/>
      <c r="Q390" s="65"/>
      <c r="R390" s="65"/>
      <c r="S390" s="65"/>
      <c r="T390" s="66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137</v>
      </c>
      <c r="AU390" s="18" t="s">
        <v>82</v>
      </c>
    </row>
    <row r="391" spans="1:65" s="13" customFormat="1" ht="10">
      <c r="B391" s="192"/>
      <c r="C391" s="193"/>
      <c r="D391" s="194" t="s">
        <v>139</v>
      </c>
      <c r="E391" s="195" t="s">
        <v>19</v>
      </c>
      <c r="F391" s="196" t="s">
        <v>1022</v>
      </c>
      <c r="G391" s="193"/>
      <c r="H391" s="197">
        <v>481.25</v>
      </c>
      <c r="I391" s="198"/>
      <c r="J391" s="193"/>
      <c r="K391" s="193"/>
      <c r="L391" s="199"/>
      <c r="M391" s="200"/>
      <c r="N391" s="201"/>
      <c r="O391" s="201"/>
      <c r="P391" s="201"/>
      <c r="Q391" s="201"/>
      <c r="R391" s="201"/>
      <c r="S391" s="201"/>
      <c r="T391" s="202"/>
      <c r="AT391" s="203" t="s">
        <v>139</v>
      </c>
      <c r="AU391" s="203" t="s">
        <v>82</v>
      </c>
      <c r="AV391" s="13" t="s">
        <v>82</v>
      </c>
      <c r="AW391" s="13" t="s">
        <v>34</v>
      </c>
      <c r="AX391" s="13" t="s">
        <v>80</v>
      </c>
      <c r="AY391" s="203" t="s">
        <v>128</v>
      </c>
    </row>
    <row r="392" spans="1:65" s="2" customFormat="1" ht="16.5" customHeight="1">
      <c r="A392" s="35"/>
      <c r="B392" s="36"/>
      <c r="C392" s="174" t="s">
        <v>1027</v>
      </c>
      <c r="D392" s="174" t="s">
        <v>130</v>
      </c>
      <c r="E392" s="175" t="s">
        <v>1028</v>
      </c>
      <c r="F392" s="176" t="s">
        <v>1029</v>
      </c>
      <c r="G392" s="177" t="s">
        <v>305</v>
      </c>
      <c r="H392" s="178">
        <v>4</v>
      </c>
      <c r="I392" s="179"/>
      <c r="J392" s="180">
        <f>ROUND(I392*H392,2)</f>
        <v>0</v>
      </c>
      <c r="K392" s="176" t="s">
        <v>134</v>
      </c>
      <c r="L392" s="40"/>
      <c r="M392" s="181" t="s">
        <v>19</v>
      </c>
      <c r="N392" s="182" t="s">
        <v>43</v>
      </c>
      <c r="O392" s="65"/>
      <c r="P392" s="183">
        <f>O392*H392</f>
        <v>0</v>
      </c>
      <c r="Q392" s="183">
        <v>1.8000000000000001E-4</v>
      </c>
      <c r="R392" s="183">
        <f>Q392*H392</f>
        <v>7.2000000000000005E-4</v>
      </c>
      <c r="S392" s="183">
        <v>0</v>
      </c>
      <c r="T392" s="184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5" t="s">
        <v>135</v>
      </c>
      <c r="AT392" s="185" t="s">
        <v>130</v>
      </c>
      <c r="AU392" s="185" t="s">
        <v>82</v>
      </c>
      <c r="AY392" s="18" t="s">
        <v>128</v>
      </c>
      <c r="BE392" s="186">
        <f>IF(N392="základní",J392,0)</f>
        <v>0</v>
      </c>
      <c r="BF392" s="186">
        <f>IF(N392="snížená",J392,0)</f>
        <v>0</v>
      </c>
      <c r="BG392" s="186">
        <f>IF(N392="zákl. přenesená",J392,0)</f>
        <v>0</v>
      </c>
      <c r="BH392" s="186">
        <f>IF(N392="sníž. přenesená",J392,0)</f>
        <v>0</v>
      </c>
      <c r="BI392" s="186">
        <f>IF(N392="nulová",J392,0)</f>
        <v>0</v>
      </c>
      <c r="BJ392" s="18" t="s">
        <v>80</v>
      </c>
      <c r="BK392" s="186">
        <f>ROUND(I392*H392,2)</f>
        <v>0</v>
      </c>
      <c r="BL392" s="18" t="s">
        <v>135</v>
      </c>
      <c r="BM392" s="185" t="s">
        <v>1030</v>
      </c>
    </row>
    <row r="393" spans="1:65" s="2" customFormat="1" ht="10">
      <c r="A393" s="35"/>
      <c r="B393" s="36"/>
      <c r="C393" s="37"/>
      <c r="D393" s="187" t="s">
        <v>137</v>
      </c>
      <c r="E393" s="37"/>
      <c r="F393" s="188" t="s">
        <v>1031</v>
      </c>
      <c r="G393" s="37"/>
      <c r="H393" s="37"/>
      <c r="I393" s="189"/>
      <c r="J393" s="37"/>
      <c r="K393" s="37"/>
      <c r="L393" s="40"/>
      <c r="M393" s="190"/>
      <c r="N393" s="191"/>
      <c r="O393" s="65"/>
      <c r="P393" s="65"/>
      <c r="Q393" s="65"/>
      <c r="R393" s="65"/>
      <c r="S393" s="65"/>
      <c r="T393" s="66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137</v>
      </c>
      <c r="AU393" s="18" t="s">
        <v>82</v>
      </c>
    </row>
    <row r="394" spans="1:65" s="2" customFormat="1" ht="16.5" customHeight="1">
      <c r="A394" s="35"/>
      <c r="B394" s="36"/>
      <c r="C394" s="215" t="s">
        <v>1032</v>
      </c>
      <c r="D394" s="215" t="s">
        <v>414</v>
      </c>
      <c r="E394" s="216" t="s">
        <v>1033</v>
      </c>
      <c r="F394" s="217" t="s">
        <v>1034</v>
      </c>
      <c r="G394" s="218" t="s">
        <v>305</v>
      </c>
      <c r="H394" s="219">
        <v>4</v>
      </c>
      <c r="I394" s="220"/>
      <c r="J394" s="221">
        <f>ROUND(I394*H394,2)</f>
        <v>0</v>
      </c>
      <c r="K394" s="217" t="s">
        <v>134</v>
      </c>
      <c r="L394" s="222"/>
      <c r="M394" s="223" t="s">
        <v>19</v>
      </c>
      <c r="N394" s="224" t="s">
        <v>43</v>
      </c>
      <c r="O394" s="65"/>
      <c r="P394" s="183">
        <f>O394*H394</f>
        <v>0</v>
      </c>
      <c r="Q394" s="183">
        <v>1.2E-2</v>
      </c>
      <c r="R394" s="183">
        <f>Q394*H394</f>
        <v>4.8000000000000001E-2</v>
      </c>
      <c r="S394" s="183">
        <v>0</v>
      </c>
      <c r="T394" s="184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85" t="s">
        <v>178</v>
      </c>
      <c r="AT394" s="185" t="s">
        <v>414</v>
      </c>
      <c r="AU394" s="185" t="s">
        <v>82</v>
      </c>
      <c r="AY394" s="18" t="s">
        <v>128</v>
      </c>
      <c r="BE394" s="186">
        <f>IF(N394="základní",J394,0)</f>
        <v>0</v>
      </c>
      <c r="BF394" s="186">
        <f>IF(N394="snížená",J394,0)</f>
        <v>0</v>
      </c>
      <c r="BG394" s="186">
        <f>IF(N394="zákl. přenesená",J394,0)</f>
        <v>0</v>
      </c>
      <c r="BH394" s="186">
        <f>IF(N394="sníž. přenesená",J394,0)</f>
        <v>0</v>
      </c>
      <c r="BI394" s="186">
        <f>IF(N394="nulová",J394,0)</f>
        <v>0</v>
      </c>
      <c r="BJ394" s="18" t="s">
        <v>80</v>
      </c>
      <c r="BK394" s="186">
        <f>ROUND(I394*H394,2)</f>
        <v>0</v>
      </c>
      <c r="BL394" s="18" t="s">
        <v>135</v>
      </c>
      <c r="BM394" s="185" t="s">
        <v>1035</v>
      </c>
    </row>
    <row r="395" spans="1:65" s="2" customFormat="1" ht="24.15" customHeight="1">
      <c r="A395" s="35"/>
      <c r="B395" s="36"/>
      <c r="C395" s="174" t="s">
        <v>1036</v>
      </c>
      <c r="D395" s="174" t="s">
        <v>130</v>
      </c>
      <c r="E395" s="175" t="s">
        <v>1037</v>
      </c>
      <c r="F395" s="176" t="s">
        <v>1038</v>
      </c>
      <c r="G395" s="177" t="s">
        <v>305</v>
      </c>
      <c r="H395" s="178">
        <v>50</v>
      </c>
      <c r="I395" s="179"/>
      <c r="J395" s="180">
        <f>ROUND(I395*H395,2)</f>
        <v>0</v>
      </c>
      <c r="K395" s="176" t="s">
        <v>134</v>
      </c>
      <c r="L395" s="40"/>
      <c r="M395" s="181" t="s">
        <v>19</v>
      </c>
      <c r="N395" s="182" t="s">
        <v>43</v>
      </c>
      <c r="O395" s="65"/>
      <c r="P395" s="183">
        <f>O395*H395</f>
        <v>0</v>
      </c>
      <c r="Q395" s="183">
        <v>2.0000000000000002E-5</v>
      </c>
      <c r="R395" s="183">
        <f>Q395*H395</f>
        <v>1E-3</v>
      </c>
      <c r="S395" s="183">
        <v>0</v>
      </c>
      <c r="T395" s="184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5" t="s">
        <v>135</v>
      </c>
      <c r="AT395" s="185" t="s">
        <v>130</v>
      </c>
      <c r="AU395" s="185" t="s">
        <v>82</v>
      </c>
      <c r="AY395" s="18" t="s">
        <v>128</v>
      </c>
      <c r="BE395" s="186">
        <f>IF(N395="základní",J395,0)</f>
        <v>0</v>
      </c>
      <c r="BF395" s="186">
        <f>IF(N395="snížená",J395,0)</f>
        <v>0</v>
      </c>
      <c r="BG395" s="186">
        <f>IF(N395="zákl. přenesená",J395,0)</f>
        <v>0</v>
      </c>
      <c r="BH395" s="186">
        <f>IF(N395="sníž. přenesená",J395,0)</f>
        <v>0</v>
      </c>
      <c r="BI395" s="186">
        <f>IF(N395="nulová",J395,0)</f>
        <v>0</v>
      </c>
      <c r="BJ395" s="18" t="s">
        <v>80</v>
      </c>
      <c r="BK395" s="186">
        <f>ROUND(I395*H395,2)</f>
        <v>0</v>
      </c>
      <c r="BL395" s="18" t="s">
        <v>135</v>
      </c>
      <c r="BM395" s="185" t="s">
        <v>1039</v>
      </c>
    </row>
    <row r="396" spans="1:65" s="2" customFormat="1" ht="10">
      <c r="A396" s="35"/>
      <c r="B396" s="36"/>
      <c r="C396" s="37"/>
      <c r="D396" s="187" t="s">
        <v>137</v>
      </c>
      <c r="E396" s="37"/>
      <c r="F396" s="188" t="s">
        <v>1040</v>
      </c>
      <c r="G396" s="37"/>
      <c r="H396" s="37"/>
      <c r="I396" s="189"/>
      <c r="J396" s="37"/>
      <c r="K396" s="37"/>
      <c r="L396" s="40"/>
      <c r="M396" s="190"/>
      <c r="N396" s="191"/>
      <c r="O396" s="65"/>
      <c r="P396" s="65"/>
      <c r="Q396" s="65"/>
      <c r="R396" s="65"/>
      <c r="S396" s="65"/>
      <c r="T396" s="66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137</v>
      </c>
      <c r="AU396" s="18" t="s">
        <v>82</v>
      </c>
    </row>
    <row r="397" spans="1:65" s="13" customFormat="1" ht="10">
      <c r="B397" s="192"/>
      <c r="C397" s="193"/>
      <c r="D397" s="194" t="s">
        <v>139</v>
      </c>
      <c r="E397" s="195" t="s">
        <v>19</v>
      </c>
      <c r="F397" s="196" t="s">
        <v>1041</v>
      </c>
      <c r="G397" s="193"/>
      <c r="H397" s="197">
        <v>50</v>
      </c>
      <c r="I397" s="198"/>
      <c r="J397" s="193"/>
      <c r="K397" s="193"/>
      <c r="L397" s="199"/>
      <c r="M397" s="200"/>
      <c r="N397" s="201"/>
      <c r="O397" s="201"/>
      <c r="P397" s="201"/>
      <c r="Q397" s="201"/>
      <c r="R397" s="201"/>
      <c r="S397" s="201"/>
      <c r="T397" s="202"/>
      <c r="AT397" s="203" t="s">
        <v>139</v>
      </c>
      <c r="AU397" s="203" t="s">
        <v>82</v>
      </c>
      <c r="AV397" s="13" t="s">
        <v>82</v>
      </c>
      <c r="AW397" s="13" t="s">
        <v>34</v>
      </c>
      <c r="AX397" s="13" t="s">
        <v>80</v>
      </c>
      <c r="AY397" s="203" t="s">
        <v>128</v>
      </c>
    </row>
    <row r="398" spans="1:65" s="2" customFormat="1" ht="21.75" customHeight="1">
      <c r="A398" s="35"/>
      <c r="B398" s="36"/>
      <c r="C398" s="174" t="s">
        <v>1042</v>
      </c>
      <c r="D398" s="174" t="s">
        <v>130</v>
      </c>
      <c r="E398" s="175" t="s">
        <v>1043</v>
      </c>
      <c r="F398" s="176" t="s">
        <v>1044</v>
      </c>
      <c r="G398" s="177" t="s">
        <v>305</v>
      </c>
      <c r="H398" s="178">
        <v>50</v>
      </c>
      <c r="I398" s="179"/>
      <c r="J398" s="180">
        <f>ROUND(I398*H398,2)</f>
        <v>0</v>
      </c>
      <c r="K398" s="176" t="s">
        <v>134</v>
      </c>
      <c r="L398" s="40"/>
      <c r="M398" s="181" t="s">
        <v>19</v>
      </c>
      <c r="N398" s="182" t="s">
        <v>43</v>
      </c>
      <c r="O398" s="65"/>
      <c r="P398" s="183">
        <f>O398*H398</f>
        <v>0</v>
      </c>
      <c r="Q398" s="183">
        <v>4.2000000000000002E-4</v>
      </c>
      <c r="R398" s="183">
        <f>Q398*H398</f>
        <v>2.1000000000000001E-2</v>
      </c>
      <c r="S398" s="183">
        <v>0</v>
      </c>
      <c r="T398" s="184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5" t="s">
        <v>135</v>
      </c>
      <c r="AT398" s="185" t="s">
        <v>130</v>
      </c>
      <c r="AU398" s="185" t="s">
        <v>82</v>
      </c>
      <c r="AY398" s="18" t="s">
        <v>128</v>
      </c>
      <c r="BE398" s="186">
        <f>IF(N398="základní",J398,0)</f>
        <v>0</v>
      </c>
      <c r="BF398" s="186">
        <f>IF(N398="snížená",J398,0)</f>
        <v>0</v>
      </c>
      <c r="BG398" s="186">
        <f>IF(N398="zákl. přenesená",J398,0)</f>
        <v>0</v>
      </c>
      <c r="BH398" s="186">
        <f>IF(N398="sníž. přenesená",J398,0)</f>
        <v>0</v>
      </c>
      <c r="BI398" s="186">
        <f>IF(N398="nulová",J398,0)</f>
        <v>0</v>
      </c>
      <c r="BJ398" s="18" t="s">
        <v>80</v>
      </c>
      <c r="BK398" s="186">
        <f>ROUND(I398*H398,2)</f>
        <v>0</v>
      </c>
      <c r="BL398" s="18" t="s">
        <v>135</v>
      </c>
      <c r="BM398" s="185" t="s">
        <v>1045</v>
      </c>
    </row>
    <row r="399" spans="1:65" s="2" customFormat="1" ht="10">
      <c r="A399" s="35"/>
      <c r="B399" s="36"/>
      <c r="C399" s="37"/>
      <c r="D399" s="187" t="s">
        <v>137</v>
      </c>
      <c r="E399" s="37"/>
      <c r="F399" s="188" t="s">
        <v>1046</v>
      </c>
      <c r="G399" s="37"/>
      <c r="H399" s="37"/>
      <c r="I399" s="189"/>
      <c r="J399" s="37"/>
      <c r="K399" s="37"/>
      <c r="L399" s="40"/>
      <c r="M399" s="190"/>
      <c r="N399" s="191"/>
      <c r="O399" s="65"/>
      <c r="P399" s="65"/>
      <c r="Q399" s="65"/>
      <c r="R399" s="65"/>
      <c r="S399" s="65"/>
      <c r="T399" s="66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137</v>
      </c>
      <c r="AU399" s="18" t="s">
        <v>82</v>
      </c>
    </row>
    <row r="400" spans="1:65" s="13" customFormat="1" ht="10">
      <c r="B400" s="192"/>
      <c r="C400" s="193"/>
      <c r="D400" s="194" t="s">
        <v>139</v>
      </c>
      <c r="E400" s="195" t="s">
        <v>19</v>
      </c>
      <c r="F400" s="196" t="s">
        <v>1041</v>
      </c>
      <c r="G400" s="193"/>
      <c r="H400" s="197">
        <v>50</v>
      </c>
      <c r="I400" s="198"/>
      <c r="J400" s="193"/>
      <c r="K400" s="193"/>
      <c r="L400" s="199"/>
      <c r="M400" s="200"/>
      <c r="N400" s="201"/>
      <c r="O400" s="201"/>
      <c r="P400" s="201"/>
      <c r="Q400" s="201"/>
      <c r="R400" s="201"/>
      <c r="S400" s="201"/>
      <c r="T400" s="202"/>
      <c r="AT400" s="203" t="s">
        <v>139</v>
      </c>
      <c r="AU400" s="203" t="s">
        <v>82</v>
      </c>
      <c r="AV400" s="13" t="s">
        <v>82</v>
      </c>
      <c r="AW400" s="13" t="s">
        <v>34</v>
      </c>
      <c r="AX400" s="13" t="s">
        <v>80</v>
      </c>
      <c r="AY400" s="203" t="s">
        <v>128</v>
      </c>
    </row>
    <row r="401" spans="1:65" s="2" customFormat="1" ht="24.15" customHeight="1">
      <c r="A401" s="35"/>
      <c r="B401" s="36"/>
      <c r="C401" s="174" t="s">
        <v>1047</v>
      </c>
      <c r="D401" s="174" t="s">
        <v>130</v>
      </c>
      <c r="E401" s="175" t="s">
        <v>1048</v>
      </c>
      <c r="F401" s="176" t="s">
        <v>1049</v>
      </c>
      <c r="G401" s="177" t="s">
        <v>305</v>
      </c>
      <c r="H401" s="178">
        <v>378</v>
      </c>
      <c r="I401" s="179"/>
      <c r="J401" s="180">
        <f>ROUND(I401*H401,2)</f>
        <v>0</v>
      </c>
      <c r="K401" s="176" t="s">
        <v>134</v>
      </c>
      <c r="L401" s="40"/>
      <c r="M401" s="181" t="s">
        <v>19</v>
      </c>
      <c r="N401" s="182" t="s">
        <v>43</v>
      </c>
      <c r="O401" s="65"/>
      <c r="P401" s="183">
        <f>O401*H401</f>
        <v>0</v>
      </c>
      <c r="Q401" s="183">
        <v>0</v>
      </c>
      <c r="R401" s="183">
        <f>Q401*H401</f>
        <v>0</v>
      </c>
      <c r="S401" s="183">
        <v>3.1E-2</v>
      </c>
      <c r="T401" s="184">
        <f>S401*H401</f>
        <v>11.718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5" t="s">
        <v>135</v>
      </c>
      <c r="AT401" s="185" t="s">
        <v>130</v>
      </c>
      <c r="AU401" s="185" t="s">
        <v>82</v>
      </c>
      <c r="AY401" s="18" t="s">
        <v>128</v>
      </c>
      <c r="BE401" s="186">
        <f>IF(N401="základní",J401,0)</f>
        <v>0</v>
      </c>
      <c r="BF401" s="186">
        <f>IF(N401="snížená",J401,0)</f>
        <v>0</v>
      </c>
      <c r="BG401" s="186">
        <f>IF(N401="zákl. přenesená",J401,0)</f>
        <v>0</v>
      </c>
      <c r="BH401" s="186">
        <f>IF(N401="sníž. přenesená",J401,0)</f>
        <v>0</v>
      </c>
      <c r="BI401" s="186">
        <f>IF(N401="nulová",J401,0)</f>
        <v>0</v>
      </c>
      <c r="BJ401" s="18" t="s">
        <v>80</v>
      </c>
      <c r="BK401" s="186">
        <f>ROUND(I401*H401,2)</f>
        <v>0</v>
      </c>
      <c r="BL401" s="18" t="s">
        <v>135</v>
      </c>
      <c r="BM401" s="185" t="s">
        <v>1050</v>
      </c>
    </row>
    <row r="402" spans="1:65" s="2" customFormat="1" ht="10">
      <c r="A402" s="35"/>
      <c r="B402" s="36"/>
      <c r="C402" s="37"/>
      <c r="D402" s="187" t="s">
        <v>137</v>
      </c>
      <c r="E402" s="37"/>
      <c r="F402" s="188" t="s">
        <v>1051</v>
      </c>
      <c r="G402" s="37"/>
      <c r="H402" s="37"/>
      <c r="I402" s="189"/>
      <c r="J402" s="37"/>
      <c r="K402" s="37"/>
      <c r="L402" s="40"/>
      <c r="M402" s="190"/>
      <c r="N402" s="191"/>
      <c r="O402" s="65"/>
      <c r="P402" s="65"/>
      <c r="Q402" s="65"/>
      <c r="R402" s="65"/>
      <c r="S402" s="65"/>
      <c r="T402" s="66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137</v>
      </c>
      <c r="AU402" s="18" t="s">
        <v>82</v>
      </c>
    </row>
    <row r="403" spans="1:65" s="13" customFormat="1" ht="10">
      <c r="B403" s="192"/>
      <c r="C403" s="193"/>
      <c r="D403" s="194" t="s">
        <v>139</v>
      </c>
      <c r="E403" s="195" t="s">
        <v>19</v>
      </c>
      <c r="F403" s="196" t="s">
        <v>1052</v>
      </c>
      <c r="G403" s="193"/>
      <c r="H403" s="197">
        <v>378</v>
      </c>
      <c r="I403" s="198"/>
      <c r="J403" s="193"/>
      <c r="K403" s="193"/>
      <c r="L403" s="199"/>
      <c r="M403" s="200"/>
      <c r="N403" s="201"/>
      <c r="O403" s="201"/>
      <c r="P403" s="201"/>
      <c r="Q403" s="201"/>
      <c r="R403" s="201"/>
      <c r="S403" s="201"/>
      <c r="T403" s="202"/>
      <c r="AT403" s="203" t="s">
        <v>139</v>
      </c>
      <c r="AU403" s="203" t="s">
        <v>82</v>
      </c>
      <c r="AV403" s="13" t="s">
        <v>82</v>
      </c>
      <c r="AW403" s="13" t="s">
        <v>34</v>
      </c>
      <c r="AX403" s="13" t="s">
        <v>80</v>
      </c>
      <c r="AY403" s="203" t="s">
        <v>128</v>
      </c>
    </row>
    <row r="404" spans="1:65" s="2" customFormat="1" ht="16.5" customHeight="1">
      <c r="A404" s="35"/>
      <c r="B404" s="36"/>
      <c r="C404" s="174" t="s">
        <v>1053</v>
      </c>
      <c r="D404" s="174" t="s">
        <v>130</v>
      </c>
      <c r="E404" s="175" t="s">
        <v>1054</v>
      </c>
      <c r="F404" s="176" t="s">
        <v>1055</v>
      </c>
      <c r="G404" s="177" t="s">
        <v>192</v>
      </c>
      <c r="H404" s="178">
        <v>1</v>
      </c>
      <c r="I404" s="179"/>
      <c r="J404" s="180">
        <f>ROUND(I404*H404,2)</f>
        <v>0</v>
      </c>
      <c r="K404" s="176" t="s">
        <v>19</v>
      </c>
      <c r="L404" s="40"/>
      <c r="M404" s="181" t="s">
        <v>19</v>
      </c>
      <c r="N404" s="182" t="s">
        <v>43</v>
      </c>
      <c r="O404" s="65"/>
      <c r="P404" s="183">
        <f>O404*H404</f>
        <v>0</v>
      </c>
      <c r="Q404" s="183">
        <v>0</v>
      </c>
      <c r="R404" s="183">
        <f>Q404*H404</f>
        <v>0</v>
      </c>
      <c r="S404" s="183">
        <v>0</v>
      </c>
      <c r="T404" s="184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5" t="s">
        <v>135</v>
      </c>
      <c r="AT404" s="185" t="s">
        <v>130</v>
      </c>
      <c r="AU404" s="185" t="s">
        <v>82</v>
      </c>
      <c r="AY404" s="18" t="s">
        <v>128</v>
      </c>
      <c r="BE404" s="186">
        <f>IF(N404="základní",J404,0)</f>
        <v>0</v>
      </c>
      <c r="BF404" s="186">
        <f>IF(N404="snížená",J404,0)</f>
        <v>0</v>
      </c>
      <c r="BG404" s="186">
        <f>IF(N404="zákl. přenesená",J404,0)</f>
        <v>0</v>
      </c>
      <c r="BH404" s="186">
        <f>IF(N404="sníž. přenesená",J404,0)</f>
        <v>0</v>
      </c>
      <c r="BI404" s="186">
        <f>IF(N404="nulová",J404,0)</f>
        <v>0</v>
      </c>
      <c r="BJ404" s="18" t="s">
        <v>80</v>
      </c>
      <c r="BK404" s="186">
        <f>ROUND(I404*H404,2)</f>
        <v>0</v>
      </c>
      <c r="BL404" s="18" t="s">
        <v>135</v>
      </c>
      <c r="BM404" s="185" t="s">
        <v>1056</v>
      </c>
    </row>
    <row r="405" spans="1:65" s="12" customFormat="1" ht="22.75" customHeight="1">
      <c r="B405" s="158"/>
      <c r="C405" s="159"/>
      <c r="D405" s="160" t="s">
        <v>71</v>
      </c>
      <c r="E405" s="172" t="s">
        <v>363</v>
      </c>
      <c r="F405" s="172" t="s">
        <v>364</v>
      </c>
      <c r="G405" s="159"/>
      <c r="H405" s="159"/>
      <c r="I405" s="162"/>
      <c r="J405" s="173">
        <f>BK405</f>
        <v>0</v>
      </c>
      <c r="K405" s="159"/>
      <c r="L405" s="164"/>
      <c r="M405" s="165"/>
      <c r="N405" s="166"/>
      <c r="O405" s="166"/>
      <c r="P405" s="167">
        <f>SUM(P406:P414)</f>
        <v>0</v>
      </c>
      <c r="Q405" s="166"/>
      <c r="R405" s="167">
        <f>SUM(R406:R414)</f>
        <v>0</v>
      </c>
      <c r="S405" s="166"/>
      <c r="T405" s="168">
        <f>SUM(T406:T414)</f>
        <v>0</v>
      </c>
      <c r="AR405" s="169" t="s">
        <v>80</v>
      </c>
      <c r="AT405" s="170" t="s">
        <v>71</v>
      </c>
      <c r="AU405" s="170" t="s">
        <v>80</v>
      </c>
      <c r="AY405" s="169" t="s">
        <v>128</v>
      </c>
      <c r="BK405" s="171">
        <f>SUM(BK406:BK414)</f>
        <v>0</v>
      </c>
    </row>
    <row r="406" spans="1:65" s="2" customFormat="1" ht="24.15" customHeight="1">
      <c r="A406" s="35"/>
      <c r="B406" s="36"/>
      <c r="C406" s="174" t="s">
        <v>1057</v>
      </c>
      <c r="D406" s="174" t="s">
        <v>130</v>
      </c>
      <c r="E406" s="175" t="s">
        <v>366</v>
      </c>
      <c r="F406" s="176" t="s">
        <v>367</v>
      </c>
      <c r="G406" s="177" t="s">
        <v>174</v>
      </c>
      <c r="H406" s="178">
        <v>24.698</v>
      </c>
      <c r="I406" s="179"/>
      <c r="J406" s="180">
        <f>ROUND(I406*H406,2)</f>
        <v>0</v>
      </c>
      <c r="K406" s="176" t="s">
        <v>134</v>
      </c>
      <c r="L406" s="40"/>
      <c r="M406" s="181" t="s">
        <v>19</v>
      </c>
      <c r="N406" s="182" t="s">
        <v>43</v>
      </c>
      <c r="O406" s="65"/>
      <c r="P406" s="183">
        <f>O406*H406</f>
        <v>0</v>
      </c>
      <c r="Q406" s="183">
        <v>0</v>
      </c>
      <c r="R406" s="183">
        <f>Q406*H406</f>
        <v>0</v>
      </c>
      <c r="S406" s="183">
        <v>0</v>
      </c>
      <c r="T406" s="184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5" t="s">
        <v>135</v>
      </c>
      <c r="AT406" s="185" t="s">
        <v>130</v>
      </c>
      <c r="AU406" s="185" t="s">
        <v>82</v>
      </c>
      <c r="AY406" s="18" t="s">
        <v>128</v>
      </c>
      <c r="BE406" s="186">
        <f>IF(N406="základní",J406,0)</f>
        <v>0</v>
      </c>
      <c r="BF406" s="186">
        <f>IF(N406="snížená",J406,0)</f>
        <v>0</v>
      </c>
      <c r="BG406" s="186">
        <f>IF(N406="zákl. přenesená",J406,0)</f>
        <v>0</v>
      </c>
      <c r="BH406" s="186">
        <f>IF(N406="sníž. přenesená",J406,0)</f>
        <v>0</v>
      </c>
      <c r="BI406" s="186">
        <f>IF(N406="nulová",J406,0)</f>
        <v>0</v>
      </c>
      <c r="BJ406" s="18" t="s">
        <v>80</v>
      </c>
      <c r="BK406" s="186">
        <f>ROUND(I406*H406,2)</f>
        <v>0</v>
      </c>
      <c r="BL406" s="18" t="s">
        <v>135</v>
      </c>
      <c r="BM406" s="185" t="s">
        <v>1058</v>
      </c>
    </row>
    <row r="407" spans="1:65" s="2" customFormat="1" ht="10">
      <c r="A407" s="35"/>
      <c r="B407" s="36"/>
      <c r="C407" s="37"/>
      <c r="D407" s="187" t="s">
        <v>137</v>
      </c>
      <c r="E407" s="37"/>
      <c r="F407" s="188" t="s">
        <v>369</v>
      </c>
      <c r="G407" s="37"/>
      <c r="H407" s="37"/>
      <c r="I407" s="189"/>
      <c r="J407" s="37"/>
      <c r="K407" s="37"/>
      <c r="L407" s="40"/>
      <c r="M407" s="190"/>
      <c r="N407" s="191"/>
      <c r="O407" s="65"/>
      <c r="P407" s="65"/>
      <c r="Q407" s="65"/>
      <c r="R407" s="65"/>
      <c r="S407" s="65"/>
      <c r="T407" s="66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137</v>
      </c>
      <c r="AU407" s="18" t="s">
        <v>82</v>
      </c>
    </row>
    <row r="408" spans="1:65" s="2" customFormat="1" ht="21.75" customHeight="1">
      <c r="A408" s="35"/>
      <c r="B408" s="36"/>
      <c r="C408" s="174" t="s">
        <v>1059</v>
      </c>
      <c r="D408" s="174" t="s">
        <v>130</v>
      </c>
      <c r="E408" s="175" t="s">
        <v>382</v>
      </c>
      <c r="F408" s="176" t="s">
        <v>383</v>
      </c>
      <c r="G408" s="177" t="s">
        <v>174</v>
      </c>
      <c r="H408" s="178">
        <v>24.698</v>
      </c>
      <c r="I408" s="179"/>
      <c r="J408" s="180">
        <f>ROUND(I408*H408,2)</f>
        <v>0</v>
      </c>
      <c r="K408" s="176" t="s">
        <v>134</v>
      </c>
      <c r="L408" s="40"/>
      <c r="M408" s="181" t="s">
        <v>19</v>
      </c>
      <c r="N408" s="182" t="s">
        <v>43</v>
      </c>
      <c r="O408" s="65"/>
      <c r="P408" s="183">
        <f>O408*H408</f>
        <v>0</v>
      </c>
      <c r="Q408" s="183">
        <v>0</v>
      </c>
      <c r="R408" s="183">
        <f>Q408*H408</f>
        <v>0</v>
      </c>
      <c r="S408" s="183">
        <v>0</v>
      </c>
      <c r="T408" s="184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5" t="s">
        <v>135</v>
      </c>
      <c r="AT408" s="185" t="s">
        <v>130</v>
      </c>
      <c r="AU408" s="185" t="s">
        <v>82</v>
      </c>
      <c r="AY408" s="18" t="s">
        <v>128</v>
      </c>
      <c r="BE408" s="186">
        <f>IF(N408="základní",J408,0)</f>
        <v>0</v>
      </c>
      <c r="BF408" s="186">
        <f>IF(N408="snížená",J408,0)</f>
        <v>0</v>
      </c>
      <c r="BG408" s="186">
        <f>IF(N408="zákl. přenesená",J408,0)</f>
        <v>0</v>
      </c>
      <c r="BH408" s="186">
        <f>IF(N408="sníž. přenesená",J408,0)</f>
        <v>0</v>
      </c>
      <c r="BI408" s="186">
        <f>IF(N408="nulová",J408,0)</f>
        <v>0</v>
      </c>
      <c r="BJ408" s="18" t="s">
        <v>80</v>
      </c>
      <c r="BK408" s="186">
        <f>ROUND(I408*H408,2)</f>
        <v>0</v>
      </c>
      <c r="BL408" s="18" t="s">
        <v>135</v>
      </c>
      <c r="BM408" s="185" t="s">
        <v>1060</v>
      </c>
    </row>
    <row r="409" spans="1:65" s="2" customFormat="1" ht="10">
      <c r="A409" s="35"/>
      <c r="B409" s="36"/>
      <c r="C409" s="37"/>
      <c r="D409" s="187" t="s">
        <v>137</v>
      </c>
      <c r="E409" s="37"/>
      <c r="F409" s="188" t="s">
        <v>385</v>
      </c>
      <c r="G409" s="37"/>
      <c r="H409" s="37"/>
      <c r="I409" s="189"/>
      <c r="J409" s="37"/>
      <c r="K409" s="37"/>
      <c r="L409" s="40"/>
      <c r="M409" s="190"/>
      <c r="N409" s="191"/>
      <c r="O409" s="65"/>
      <c r="P409" s="65"/>
      <c r="Q409" s="65"/>
      <c r="R409" s="65"/>
      <c r="S409" s="65"/>
      <c r="T409" s="66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137</v>
      </c>
      <c r="AU409" s="18" t="s">
        <v>82</v>
      </c>
    </row>
    <row r="410" spans="1:65" s="2" customFormat="1" ht="24.15" customHeight="1">
      <c r="A410" s="35"/>
      <c r="B410" s="36"/>
      <c r="C410" s="174" t="s">
        <v>1061</v>
      </c>
      <c r="D410" s="174" t="s">
        <v>130</v>
      </c>
      <c r="E410" s="175" t="s">
        <v>387</v>
      </c>
      <c r="F410" s="176" t="s">
        <v>388</v>
      </c>
      <c r="G410" s="177" t="s">
        <v>174</v>
      </c>
      <c r="H410" s="178">
        <v>469.262</v>
      </c>
      <c r="I410" s="179"/>
      <c r="J410" s="180">
        <f>ROUND(I410*H410,2)</f>
        <v>0</v>
      </c>
      <c r="K410" s="176" t="s">
        <v>134</v>
      </c>
      <c r="L410" s="40"/>
      <c r="M410" s="181" t="s">
        <v>19</v>
      </c>
      <c r="N410" s="182" t="s">
        <v>43</v>
      </c>
      <c r="O410" s="65"/>
      <c r="P410" s="183">
        <f>O410*H410</f>
        <v>0</v>
      </c>
      <c r="Q410" s="183">
        <v>0</v>
      </c>
      <c r="R410" s="183">
        <f>Q410*H410</f>
        <v>0</v>
      </c>
      <c r="S410" s="183">
        <v>0</v>
      </c>
      <c r="T410" s="184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5" t="s">
        <v>135</v>
      </c>
      <c r="AT410" s="185" t="s">
        <v>130</v>
      </c>
      <c r="AU410" s="185" t="s">
        <v>82</v>
      </c>
      <c r="AY410" s="18" t="s">
        <v>128</v>
      </c>
      <c r="BE410" s="186">
        <f>IF(N410="základní",J410,0)</f>
        <v>0</v>
      </c>
      <c r="BF410" s="186">
        <f>IF(N410="snížená",J410,0)</f>
        <v>0</v>
      </c>
      <c r="BG410" s="186">
        <f>IF(N410="zákl. přenesená",J410,0)</f>
        <v>0</v>
      </c>
      <c r="BH410" s="186">
        <f>IF(N410="sníž. přenesená",J410,0)</f>
        <v>0</v>
      </c>
      <c r="BI410" s="186">
        <f>IF(N410="nulová",J410,0)</f>
        <v>0</v>
      </c>
      <c r="BJ410" s="18" t="s">
        <v>80</v>
      </c>
      <c r="BK410" s="186">
        <f>ROUND(I410*H410,2)</f>
        <v>0</v>
      </c>
      <c r="BL410" s="18" t="s">
        <v>135</v>
      </c>
      <c r="BM410" s="185" t="s">
        <v>1062</v>
      </c>
    </row>
    <row r="411" spans="1:65" s="2" customFormat="1" ht="10">
      <c r="A411" s="35"/>
      <c r="B411" s="36"/>
      <c r="C411" s="37"/>
      <c r="D411" s="187" t="s">
        <v>137</v>
      </c>
      <c r="E411" s="37"/>
      <c r="F411" s="188" t="s">
        <v>390</v>
      </c>
      <c r="G411" s="37"/>
      <c r="H411" s="37"/>
      <c r="I411" s="189"/>
      <c r="J411" s="37"/>
      <c r="K411" s="37"/>
      <c r="L411" s="40"/>
      <c r="M411" s="190"/>
      <c r="N411" s="191"/>
      <c r="O411" s="65"/>
      <c r="P411" s="65"/>
      <c r="Q411" s="65"/>
      <c r="R411" s="65"/>
      <c r="S411" s="65"/>
      <c r="T411" s="66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8" t="s">
        <v>137</v>
      </c>
      <c r="AU411" s="18" t="s">
        <v>82</v>
      </c>
    </row>
    <row r="412" spans="1:65" s="13" customFormat="1" ht="10">
      <c r="B412" s="192"/>
      <c r="C412" s="193"/>
      <c r="D412" s="194" t="s">
        <v>139</v>
      </c>
      <c r="E412" s="193"/>
      <c r="F412" s="196" t="s">
        <v>1063</v>
      </c>
      <c r="G412" s="193"/>
      <c r="H412" s="197">
        <v>469.262</v>
      </c>
      <c r="I412" s="198"/>
      <c r="J412" s="193"/>
      <c r="K412" s="193"/>
      <c r="L412" s="199"/>
      <c r="M412" s="200"/>
      <c r="N412" s="201"/>
      <c r="O412" s="201"/>
      <c r="P412" s="201"/>
      <c r="Q412" s="201"/>
      <c r="R412" s="201"/>
      <c r="S412" s="201"/>
      <c r="T412" s="202"/>
      <c r="AT412" s="203" t="s">
        <v>139</v>
      </c>
      <c r="AU412" s="203" t="s">
        <v>82</v>
      </c>
      <c r="AV412" s="13" t="s">
        <v>82</v>
      </c>
      <c r="AW412" s="13" t="s">
        <v>4</v>
      </c>
      <c r="AX412" s="13" t="s">
        <v>80</v>
      </c>
      <c r="AY412" s="203" t="s">
        <v>128</v>
      </c>
    </row>
    <row r="413" spans="1:65" s="2" customFormat="1" ht="24.15" customHeight="1">
      <c r="A413" s="35"/>
      <c r="B413" s="36"/>
      <c r="C413" s="174" t="s">
        <v>1064</v>
      </c>
      <c r="D413" s="174" t="s">
        <v>130</v>
      </c>
      <c r="E413" s="175" t="s">
        <v>393</v>
      </c>
      <c r="F413" s="176" t="s">
        <v>394</v>
      </c>
      <c r="G413" s="177" t="s">
        <v>174</v>
      </c>
      <c r="H413" s="178">
        <v>24.698</v>
      </c>
      <c r="I413" s="179"/>
      <c r="J413" s="180">
        <f>ROUND(I413*H413,2)</f>
        <v>0</v>
      </c>
      <c r="K413" s="176" t="s">
        <v>134</v>
      </c>
      <c r="L413" s="40"/>
      <c r="M413" s="181" t="s">
        <v>19</v>
      </c>
      <c r="N413" s="182" t="s">
        <v>43</v>
      </c>
      <c r="O413" s="65"/>
      <c r="P413" s="183">
        <f>O413*H413</f>
        <v>0</v>
      </c>
      <c r="Q413" s="183">
        <v>0</v>
      </c>
      <c r="R413" s="183">
        <f>Q413*H413</f>
        <v>0</v>
      </c>
      <c r="S413" s="183">
        <v>0</v>
      </c>
      <c r="T413" s="184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5" t="s">
        <v>135</v>
      </c>
      <c r="AT413" s="185" t="s">
        <v>130</v>
      </c>
      <c r="AU413" s="185" t="s">
        <v>82</v>
      </c>
      <c r="AY413" s="18" t="s">
        <v>128</v>
      </c>
      <c r="BE413" s="186">
        <f>IF(N413="základní",J413,0)</f>
        <v>0</v>
      </c>
      <c r="BF413" s="186">
        <f>IF(N413="snížená",J413,0)</f>
        <v>0</v>
      </c>
      <c r="BG413" s="186">
        <f>IF(N413="zákl. přenesená",J413,0)</f>
        <v>0</v>
      </c>
      <c r="BH413" s="186">
        <f>IF(N413="sníž. přenesená",J413,0)</f>
        <v>0</v>
      </c>
      <c r="BI413" s="186">
        <f>IF(N413="nulová",J413,0)</f>
        <v>0</v>
      </c>
      <c r="BJ413" s="18" t="s">
        <v>80</v>
      </c>
      <c r="BK413" s="186">
        <f>ROUND(I413*H413,2)</f>
        <v>0</v>
      </c>
      <c r="BL413" s="18" t="s">
        <v>135</v>
      </c>
      <c r="BM413" s="185" t="s">
        <v>1065</v>
      </c>
    </row>
    <row r="414" spans="1:65" s="2" customFormat="1" ht="10">
      <c r="A414" s="35"/>
      <c r="B414" s="36"/>
      <c r="C414" s="37"/>
      <c r="D414" s="187" t="s">
        <v>137</v>
      </c>
      <c r="E414" s="37"/>
      <c r="F414" s="188" t="s">
        <v>396</v>
      </c>
      <c r="G414" s="37"/>
      <c r="H414" s="37"/>
      <c r="I414" s="189"/>
      <c r="J414" s="37"/>
      <c r="K414" s="37"/>
      <c r="L414" s="40"/>
      <c r="M414" s="190"/>
      <c r="N414" s="191"/>
      <c r="O414" s="65"/>
      <c r="P414" s="65"/>
      <c r="Q414" s="65"/>
      <c r="R414" s="65"/>
      <c r="S414" s="65"/>
      <c r="T414" s="66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137</v>
      </c>
      <c r="AU414" s="18" t="s">
        <v>82</v>
      </c>
    </row>
    <row r="415" spans="1:65" s="12" customFormat="1" ht="22.75" customHeight="1">
      <c r="B415" s="158"/>
      <c r="C415" s="159"/>
      <c r="D415" s="160" t="s">
        <v>71</v>
      </c>
      <c r="E415" s="172" t="s">
        <v>1066</v>
      </c>
      <c r="F415" s="172" t="s">
        <v>1067</v>
      </c>
      <c r="G415" s="159"/>
      <c r="H415" s="159"/>
      <c r="I415" s="162"/>
      <c r="J415" s="173">
        <f>BK415</f>
        <v>0</v>
      </c>
      <c r="K415" s="159"/>
      <c r="L415" s="164"/>
      <c r="M415" s="165"/>
      <c r="N415" s="166"/>
      <c r="O415" s="166"/>
      <c r="P415" s="167">
        <f>SUM(P416:P417)</f>
        <v>0</v>
      </c>
      <c r="Q415" s="166"/>
      <c r="R415" s="167">
        <f>SUM(R416:R417)</f>
        <v>0</v>
      </c>
      <c r="S415" s="166"/>
      <c r="T415" s="168">
        <f>SUM(T416:T417)</f>
        <v>0</v>
      </c>
      <c r="AR415" s="169" t="s">
        <v>80</v>
      </c>
      <c r="AT415" s="170" t="s">
        <v>71</v>
      </c>
      <c r="AU415" s="170" t="s">
        <v>80</v>
      </c>
      <c r="AY415" s="169" t="s">
        <v>128</v>
      </c>
      <c r="BK415" s="171">
        <f>SUM(BK416:BK417)</f>
        <v>0</v>
      </c>
    </row>
    <row r="416" spans="1:65" s="2" customFormat="1" ht="33" customHeight="1">
      <c r="A416" s="35"/>
      <c r="B416" s="36"/>
      <c r="C416" s="174" t="s">
        <v>1068</v>
      </c>
      <c r="D416" s="174" t="s">
        <v>130</v>
      </c>
      <c r="E416" s="175" t="s">
        <v>1069</v>
      </c>
      <c r="F416" s="176" t="s">
        <v>1070</v>
      </c>
      <c r="G416" s="177" t="s">
        <v>174</v>
      </c>
      <c r="H416" s="178">
        <v>179.60499999999999</v>
      </c>
      <c r="I416" s="179"/>
      <c r="J416" s="180">
        <f>ROUND(I416*H416,2)</f>
        <v>0</v>
      </c>
      <c r="K416" s="176" t="s">
        <v>134</v>
      </c>
      <c r="L416" s="40"/>
      <c r="M416" s="181" t="s">
        <v>19</v>
      </c>
      <c r="N416" s="182" t="s">
        <v>43</v>
      </c>
      <c r="O416" s="65"/>
      <c r="P416" s="183">
        <f>O416*H416</f>
        <v>0</v>
      </c>
      <c r="Q416" s="183">
        <v>0</v>
      </c>
      <c r="R416" s="183">
        <f>Q416*H416</f>
        <v>0</v>
      </c>
      <c r="S416" s="183">
        <v>0</v>
      </c>
      <c r="T416" s="184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5" t="s">
        <v>135</v>
      </c>
      <c r="AT416" s="185" t="s">
        <v>130</v>
      </c>
      <c r="AU416" s="185" t="s">
        <v>82</v>
      </c>
      <c r="AY416" s="18" t="s">
        <v>128</v>
      </c>
      <c r="BE416" s="186">
        <f>IF(N416="základní",J416,0)</f>
        <v>0</v>
      </c>
      <c r="BF416" s="186">
        <f>IF(N416="snížená",J416,0)</f>
        <v>0</v>
      </c>
      <c r="BG416" s="186">
        <f>IF(N416="zákl. přenesená",J416,0)</f>
        <v>0</v>
      </c>
      <c r="BH416" s="186">
        <f>IF(N416="sníž. přenesená",J416,0)</f>
        <v>0</v>
      </c>
      <c r="BI416" s="186">
        <f>IF(N416="nulová",J416,0)</f>
        <v>0</v>
      </c>
      <c r="BJ416" s="18" t="s">
        <v>80</v>
      </c>
      <c r="BK416" s="186">
        <f>ROUND(I416*H416,2)</f>
        <v>0</v>
      </c>
      <c r="BL416" s="18" t="s">
        <v>135</v>
      </c>
      <c r="BM416" s="185" t="s">
        <v>1071</v>
      </c>
    </row>
    <row r="417" spans="1:65" s="2" customFormat="1" ht="10">
      <c r="A417" s="35"/>
      <c r="B417" s="36"/>
      <c r="C417" s="37"/>
      <c r="D417" s="187" t="s">
        <v>137</v>
      </c>
      <c r="E417" s="37"/>
      <c r="F417" s="188" t="s">
        <v>1072</v>
      </c>
      <c r="G417" s="37"/>
      <c r="H417" s="37"/>
      <c r="I417" s="189"/>
      <c r="J417" s="37"/>
      <c r="K417" s="37"/>
      <c r="L417" s="40"/>
      <c r="M417" s="190"/>
      <c r="N417" s="191"/>
      <c r="O417" s="65"/>
      <c r="P417" s="65"/>
      <c r="Q417" s="65"/>
      <c r="R417" s="65"/>
      <c r="S417" s="65"/>
      <c r="T417" s="66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137</v>
      </c>
      <c r="AU417" s="18" t="s">
        <v>82</v>
      </c>
    </row>
    <row r="418" spans="1:65" s="12" customFormat="1" ht="25.9" customHeight="1">
      <c r="B418" s="158"/>
      <c r="C418" s="159"/>
      <c r="D418" s="160" t="s">
        <v>71</v>
      </c>
      <c r="E418" s="161" t="s">
        <v>397</v>
      </c>
      <c r="F418" s="161" t="s">
        <v>398</v>
      </c>
      <c r="G418" s="159"/>
      <c r="H418" s="159"/>
      <c r="I418" s="162"/>
      <c r="J418" s="163">
        <f>BK418</f>
        <v>0</v>
      </c>
      <c r="K418" s="159"/>
      <c r="L418" s="164"/>
      <c r="M418" s="165"/>
      <c r="N418" s="166"/>
      <c r="O418" s="166"/>
      <c r="P418" s="167">
        <f>P419+P432+P487+P491+P494+P499+P503+P615+P687+P750+P833+P895+P1003+P1100+P1125+P1143+P1181+P1189+P1229+P1281</f>
        <v>0</v>
      </c>
      <c r="Q418" s="166"/>
      <c r="R418" s="167">
        <f>R419+R432+R487+R491+R494+R499+R503+R615+R687+R750+R833+R895+R1003+R1100+R1125+R1143+R1181+R1189+R1229+R1281</f>
        <v>264.07610120999999</v>
      </c>
      <c r="S418" s="166"/>
      <c r="T418" s="168">
        <f>T419+T432+T487+T491+T494+T499+T503+T615+T687+T750+T833+T895+T1003+T1100+T1125+T1143+T1181+T1189+T1229+T1281</f>
        <v>0</v>
      </c>
      <c r="AR418" s="169" t="s">
        <v>82</v>
      </c>
      <c r="AT418" s="170" t="s">
        <v>71</v>
      </c>
      <c r="AU418" s="170" t="s">
        <v>72</v>
      </c>
      <c r="AY418" s="169" t="s">
        <v>128</v>
      </c>
      <c r="BK418" s="171">
        <f>BK419+BK432+BK487+BK491+BK494+BK499+BK503+BK615+BK687+BK750+BK833+BK895+BK1003+BK1100+BK1125+BK1143+BK1181+BK1189+BK1229+BK1281</f>
        <v>0</v>
      </c>
    </row>
    <row r="419" spans="1:65" s="12" customFormat="1" ht="22.75" customHeight="1">
      <c r="B419" s="158"/>
      <c r="C419" s="159"/>
      <c r="D419" s="160" t="s">
        <v>71</v>
      </c>
      <c r="E419" s="172" t="s">
        <v>1073</v>
      </c>
      <c r="F419" s="172" t="s">
        <v>1074</v>
      </c>
      <c r="G419" s="159"/>
      <c r="H419" s="159"/>
      <c r="I419" s="162"/>
      <c r="J419" s="173">
        <f>BK419</f>
        <v>0</v>
      </c>
      <c r="K419" s="159"/>
      <c r="L419" s="164"/>
      <c r="M419" s="165"/>
      <c r="N419" s="166"/>
      <c r="O419" s="166"/>
      <c r="P419" s="167">
        <f>SUM(P420:P431)</f>
        <v>0</v>
      </c>
      <c r="Q419" s="166"/>
      <c r="R419" s="167">
        <f>SUM(R420:R431)</f>
        <v>0.11074440000000001</v>
      </c>
      <c r="S419" s="166"/>
      <c r="T419" s="168">
        <f>SUM(T420:T431)</f>
        <v>0</v>
      </c>
      <c r="AR419" s="169" t="s">
        <v>82</v>
      </c>
      <c r="AT419" s="170" t="s">
        <v>71</v>
      </c>
      <c r="AU419" s="170" t="s">
        <v>80</v>
      </c>
      <c r="AY419" s="169" t="s">
        <v>128</v>
      </c>
      <c r="BK419" s="171">
        <f>SUM(BK420:BK431)</f>
        <v>0</v>
      </c>
    </row>
    <row r="420" spans="1:65" s="2" customFormat="1" ht="24.15" customHeight="1">
      <c r="A420" s="35"/>
      <c r="B420" s="36"/>
      <c r="C420" s="174" t="s">
        <v>1075</v>
      </c>
      <c r="D420" s="174" t="s">
        <v>130</v>
      </c>
      <c r="E420" s="175" t="s">
        <v>1076</v>
      </c>
      <c r="F420" s="176" t="s">
        <v>1077</v>
      </c>
      <c r="G420" s="177" t="s">
        <v>133</v>
      </c>
      <c r="H420" s="178">
        <v>15.648</v>
      </c>
      <c r="I420" s="179"/>
      <c r="J420" s="180">
        <f>ROUND(I420*H420,2)</f>
        <v>0</v>
      </c>
      <c r="K420" s="176" t="s">
        <v>134</v>
      </c>
      <c r="L420" s="40"/>
      <c r="M420" s="181" t="s">
        <v>19</v>
      </c>
      <c r="N420" s="182" t="s">
        <v>43</v>
      </c>
      <c r="O420" s="65"/>
      <c r="P420" s="183">
        <f>O420*H420</f>
        <v>0</v>
      </c>
      <c r="Q420" s="183">
        <v>0</v>
      </c>
      <c r="R420" s="183">
        <f>Q420*H420</f>
        <v>0</v>
      </c>
      <c r="S420" s="183">
        <v>0</v>
      </c>
      <c r="T420" s="184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5" t="s">
        <v>230</v>
      </c>
      <c r="AT420" s="185" t="s">
        <v>130</v>
      </c>
      <c r="AU420" s="185" t="s">
        <v>82</v>
      </c>
      <c r="AY420" s="18" t="s">
        <v>128</v>
      </c>
      <c r="BE420" s="186">
        <f>IF(N420="základní",J420,0)</f>
        <v>0</v>
      </c>
      <c r="BF420" s="186">
        <f>IF(N420="snížená",J420,0)</f>
        <v>0</v>
      </c>
      <c r="BG420" s="186">
        <f>IF(N420="zákl. přenesená",J420,0)</f>
        <v>0</v>
      </c>
      <c r="BH420" s="186">
        <f>IF(N420="sníž. přenesená",J420,0)</f>
        <v>0</v>
      </c>
      <c r="BI420" s="186">
        <f>IF(N420="nulová",J420,0)</f>
        <v>0</v>
      </c>
      <c r="BJ420" s="18" t="s">
        <v>80</v>
      </c>
      <c r="BK420" s="186">
        <f>ROUND(I420*H420,2)</f>
        <v>0</v>
      </c>
      <c r="BL420" s="18" t="s">
        <v>230</v>
      </c>
      <c r="BM420" s="185" t="s">
        <v>1078</v>
      </c>
    </row>
    <row r="421" spans="1:65" s="2" customFormat="1" ht="10">
      <c r="A421" s="35"/>
      <c r="B421" s="36"/>
      <c r="C421" s="37"/>
      <c r="D421" s="187" t="s">
        <v>137</v>
      </c>
      <c r="E421" s="37"/>
      <c r="F421" s="188" t="s">
        <v>1079</v>
      </c>
      <c r="G421" s="37"/>
      <c r="H421" s="37"/>
      <c r="I421" s="189"/>
      <c r="J421" s="37"/>
      <c r="K421" s="37"/>
      <c r="L421" s="40"/>
      <c r="M421" s="190"/>
      <c r="N421" s="191"/>
      <c r="O421" s="65"/>
      <c r="P421" s="65"/>
      <c r="Q421" s="65"/>
      <c r="R421" s="65"/>
      <c r="S421" s="65"/>
      <c r="T421" s="66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8" t="s">
        <v>137</v>
      </c>
      <c r="AU421" s="18" t="s">
        <v>82</v>
      </c>
    </row>
    <row r="422" spans="1:65" s="13" customFormat="1" ht="10">
      <c r="B422" s="192"/>
      <c r="C422" s="193"/>
      <c r="D422" s="194" t="s">
        <v>139</v>
      </c>
      <c r="E422" s="195" t="s">
        <v>19</v>
      </c>
      <c r="F422" s="196" t="s">
        <v>654</v>
      </c>
      <c r="G422" s="193"/>
      <c r="H422" s="197">
        <v>15.648</v>
      </c>
      <c r="I422" s="198"/>
      <c r="J422" s="193"/>
      <c r="K422" s="193"/>
      <c r="L422" s="199"/>
      <c r="M422" s="200"/>
      <c r="N422" s="201"/>
      <c r="O422" s="201"/>
      <c r="P422" s="201"/>
      <c r="Q422" s="201"/>
      <c r="R422" s="201"/>
      <c r="S422" s="201"/>
      <c r="T422" s="202"/>
      <c r="AT422" s="203" t="s">
        <v>139</v>
      </c>
      <c r="AU422" s="203" t="s">
        <v>82</v>
      </c>
      <c r="AV422" s="13" t="s">
        <v>82</v>
      </c>
      <c r="AW422" s="13" t="s">
        <v>34</v>
      </c>
      <c r="AX422" s="13" t="s">
        <v>80</v>
      </c>
      <c r="AY422" s="203" t="s">
        <v>128</v>
      </c>
    </row>
    <row r="423" spans="1:65" s="2" customFormat="1" ht="16.5" customHeight="1">
      <c r="A423" s="35"/>
      <c r="B423" s="36"/>
      <c r="C423" s="215" t="s">
        <v>1080</v>
      </c>
      <c r="D423" s="215" t="s">
        <v>414</v>
      </c>
      <c r="E423" s="216" t="s">
        <v>1081</v>
      </c>
      <c r="F423" s="217" t="s">
        <v>1082</v>
      </c>
      <c r="G423" s="218" t="s">
        <v>174</v>
      </c>
      <c r="H423" s="219">
        <v>6.0000000000000001E-3</v>
      </c>
      <c r="I423" s="220"/>
      <c r="J423" s="221">
        <f>ROUND(I423*H423,2)</f>
        <v>0</v>
      </c>
      <c r="K423" s="217" t="s">
        <v>134</v>
      </c>
      <c r="L423" s="222"/>
      <c r="M423" s="223" t="s">
        <v>19</v>
      </c>
      <c r="N423" s="224" t="s">
        <v>43</v>
      </c>
      <c r="O423" s="65"/>
      <c r="P423" s="183">
        <f>O423*H423</f>
        <v>0</v>
      </c>
      <c r="Q423" s="183">
        <v>1</v>
      </c>
      <c r="R423" s="183">
        <f>Q423*H423</f>
        <v>6.0000000000000001E-3</v>
      </c>
      <c r="S423" s="183">
        <v>0</v>
      </c>
      <c r="T423" s="184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5" t="s">
        <v>334</v>
      </c>
      <c r="AT423" s="185" t="s">
        <v>414</v>
      </c>
      <c r="AU423" s="185" t="s">
        <v>82</v>
      </c>
      <c r="AY423" s="18" t="s">
        <v>128</v>
      </c>
      <c r="BE423" s="186">
        <f>IF(N423="základní",J423,0)</f>
        <v>0</v>
      </c>
      <c r="BF423" s="186">
        <f>IF(N423="snížená",J423,0)</f>
        <v>0</v>
      </c>
      <c r="BG423" s="186">
        <f>IF(N423="zákl. přenesená",J423,0)</f>
        <v>0</v>
      </c>
      <c r="BH423" s="186">
        <f>IF(N423="sníž. přenesená",J423,0)</f>
        <v>0</v>
      </c>
      <c r="BI423" s="186">
        <f>IF(N423="nulová",J423,0)</f>
        <v>0</v>
      </c>
      <c r="BJ423" s="18" t="s">
        <v>80</v>
      </c>
      <c r="BK423" s="186">
        <f>ROUND(I423*H423,2)</f>
        <v>0</v>
      </c>
      <c r="BL423" s="18" t="s">
        <v>230</v>
      </c>
      <c r="BM423" s="185" t="s">
        <v>1083</v>
      </c>
    </row>
    <row r="424" spans="1:65" s="13" customFormat="1" ht="10">
      <c r="B424" s="192"/>
      <c r="C424" s="193"/>
      <c r="D424" s="194" t="s">
        <v>139</v>
      </c>
      <c r="E424" s="193"/>
      <c r="F424" s="196" t="s">
        <v>1084</v>
      </c>
      <c r="G424" s="193"/>
      <c r="H424" s="197">
        <v>6.0000000000000001E-3</v>
      </c>
      <c r="I424" s="198"/>
      <c r="J424" s="193"/>
      <c r="K424" s="193"/>
      <c r="L424" s="199"/>
      <c r="M424" s="200"/>
      <c r="N424" s="201"/>
      <c r="O424" s="201"/>
      <c r="P424" s="201"/>
      <c r="Q424" s="201"/>
      <c r="R424" s="201"/>
      <c r="S424" s="201"/>
      <c r="T424" s="202"/>
      <c r="AT424" s="203" t="s">
        <v>139</v>
      </c>
      <c r="AU424" s="203" t="s">
        <v>82</v>
      </c>
      <c r="AV424" s="13" t="s">
        <v>82</v>
      </c>
      <c r="AW424" s="13" t="s">
        <v>4</v>
      </c>
      <c r="AX424" s="13" t="s">
        <v>80</v>
      </c>
      <c r="AY424" s="203" t="s">
        <v>128</v>
      </c>
    </row>
    <row r="425" spans="1:65" s="2" customFormat="1" ht="16.5" customHeight="1">
      <c r="A425" s="35"/>
      <c r="B425" s="36"/>
      <c r="C425" s="174" t="s">
        <v>1085</v>
      </c>
      <c r="D425" s="174" t="s">
        <v>130</v>
      </c>
      <c r="E425" s="175" t="s">
        <v>1086</v>
      </c>
      <c r="F425" s="176" t="s">
        <v>1087</v>
      </c>
      <c r="G425" s="177" t="s">
        <v>133</v>
      </c>
      <c r="H425" s="178">
        <v>15.648</v>
      </c>
      <c r="I425" s="179"/>
      <c r="J425" s="180">
        <f>ROUND(I425*H425,2)</f>
        <v>0</v>
      </c>
      <c r="K425" s="176" t="s">
        <v>134</v>
      </c>
      <c r="L425" s="40"/>
      <c r="M425" s="181" t="s">
        <v>19</v>
      </c>
      <c r="N425" s="182" t="s">
        <v>43</v>
      </c>
      <c r="O425" s="65"/>
      <c r="P425" s="183">
        <f>O425*H425</f>
        <v>0</v>
      </c>
      <c r="Q425" s="183">
        <v>4.0000000000000002E-4</v>
      </c>
      <c r="R425" s="183">
        <f>Q425*H425</f>
        <v>6.2592000000000004E-3</v>
      </c>
      <c r="S425" s="183">
        <v>0</v>
      </c>
      <c r="T425" s="184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85" t="s">
        <v>230</v>
      </c>
      <c r="AT425" s="185" t="s">
        <v>130</v>
      </c>
      <c r="AU425" s="185" t="s">
        <v>82</v>
      </c>
      <c r="AY425" s="18" t="s">
        <v>128</v>
      </c>
      <c r="BE425" s="186">
        <f>IF(N425="základní",J425,0)</f>
        <v>0</v>
      </c>
      <c r="BF425" s="186">
        <f>IF(N425="snížená",J425,0)</f>
        <v>0</v>
      </c>
      <c r="BG425" s="186">
        <f>IF(N425="zákl. přenesená",J425,0)</f>
        <v>0</v>
      </c>
      <c r="BH425" s="186">
        <f>IF(N425="sníž. přenesená",J425,0)</f>
        <v>0</v>
      </c>
      <c r="BI425" s="186">
        <f>IF(N425="nulová",J425,0)</f>
        <v>0</v>
      </c>
      <c r="BJ425" s="18" t="s">
        <v>80</v>
      </c>
      <c r="BK425" s="186">
        <f>ROUND(I425*H425,2)</f>
        <v>0</v>
      </c>
      <c r="BL425" s="18" t="s">
        <v>230</v>
      </c>
      <c r="BM425" s="185" t="s">
        <v>1088</v>
      </c>
    </row>
    <row r="426" spans="1:65" s="2" customFormat="1" ht="10">
      <c r="A426" s="35"/>
      <c r="B426" s="36"/>
      <c r="C426" s="37"/>
      <c r="D426" s="187" t="s">
        <v>137</v>
      </c>
      <c r="E426" s="37"/>
      <c r="F426" s="188" t="s">
        <v>1089</v>
      </c>
      <c r="G426" s="37"/>
      <c r="H426" s="37"/>
      <c r="I426" s="189"/>
      <c r="J426" s="37"/>
      <c r="K426" s="37"/>
      <c r="L426" s="40"/>
      <c r="M426" s="190"/>
      <c r="N426" s="191"/>
      <c r="O426" s="65"/>
      <c r="P426" s="65"/>
      <c r="Q426" s="65"/>
      <c r="R426" s="65"/>
      <c r="S426" s="65"/>
      <c r="T426" s="66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8" t="s">
        <v>137</v>
      </c>
      <c r="AU426" s="18" t="s">
        <v>82</v>
      </c>
    </row>
    <row r="427" spans="1:65" s="13" customFormat="1" ht="10">
      <c r="B427" s="192"/>
      <c r="C427" s="193"/>
      <c r="D427" s="194" t="s">
        <v>139</v>
      </c>
      <c r="E427" s="195" t="s">
        <v>19</v>
      </c>
      <c r="F427" s="196" t="s">
        <v>654</v>
      </c>
      <c r="G427" s="193"/>
      <c r="H427" s="197">
        <v>15.648</v>
      </c>
      <c r="I427" s="198"/>
      <c r="J427" s="193"/>
      <c r="K427" s="193"/>
      <c r="L427" s="199"/>
      <c r="M427" s="200"/>
      <c r="N427" s="201"/>
      <c r="O427" s="201"/>
      <c r="P427" s="201"/>
      <c r="Q427" s="201"/>
      <c r="R427" s="201"/>
      <c r="S427" s="201"/>
      <c r="T427" s="202"/>
      <c r="AT427" s="203" t="s">
        <v>139</v>
      </c>
      <c r="AU427" s="203" t="s">
        <v>82</v>
      </c>
      <c r="AV427" s="13" t="s">
        <v>82</v>
      </c>
      <c r="AW427" s="13" t="s">
        <v>34</v>
      </c>
      <c r="AX427" s="13" t="s">
        <v>80</v>
      </c>
      <c r="AY427" s="203" t="s">
        <v>128</v>
      </c>
    </row>
    <row r="428" spans="1:65" s="2" customFormat="1" ht="24.15" customHeight="1">
      <c r="A428" s="35"/>
      <c r="B428" s="36"/>
      <c r="C428" s="215" t="s">
        <v>1090</v>
      </c>
      <c r="D428" s="215" t="s">
        <v>414</v>
      </c>
      <c r="E428" s="216" t="s">
        <v>1091</v>
      </c>
      <c r="F428" s="217" t="s">
        <v>1092</v>
      </c>
      <c r="G428" s="218" t="s">
        <v>133</v>
      </c>
      <c r="H428" s="219">
        <v>18.238</v>
      </c>
      <c r="I428" s="220"/>
      <c r="J428" s="221">
        <f>ROUND(I428*H428,2)</f>
        <v>0</v>
      </c>
      <c r="K428" s="217" t="s">
        <v>134</v>
      </c>
      <c r="L428" s="222"/>
      <c r="M428" s="223" t="s">
        <v>19</v>
      </c>
      <c r="N428" s="224" t="s">
        <v>43</v>
      </c>
      <c r="O428" s="65"/>
      <c r="P428" s="183">
        <f>O428*H428</f>
        <v>0</v>
      </c>
      <c r="Q428" s="183">
        <v>5.4000000000000003E-3</v>
      </c>
      <c r="R428" s="183">
        <f>Q428*H428</f>
        <v>9.8485200000000009E-2</v>
      </c>
      <c r="S428" s="183">
        <v>0</v>
      </c>
      <c r="T428" s="184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5" t="s">
        <v>334</v>
      </c>
      <c r="AT428" s="185" t="s">
        <v>414</v>
      </c>
      <c r="AU428" s="185" t="s">
        <v>82</v>
      </c>
      <c r="AY428" s="18" t="s">
        <v>128</v>
      </c>
      <c r="BE428" s="186">
        <f>IF(N428="základní",J428,0)</f>
        <v>0</v>
      </c>
      <c r="BF428" s="186">
        <f>IF(N428="snížená",J428,0)</f>
        <v>0</v>
      </c>
      <c r="BG428" s="186">
        <f>IF(N428="zákl. přenesená",J428,0)</f>
        <v>0</v>
      </c>
      <c r="BH428" s="186">
        <f>IF(N428="sníž. přenesená",J428,0)</f>
        <v>0</v>
      </c>
      <c r="BI428" s="186">
        <f>IF(N428="nulová",J428,0)</f>
        <v>0</v>
      </c>
      <c r="BJ428" s="18" t="s">
        <v>80</v>
      </c>
      <c r="BK428" s="186">
        <f>ROUND(I428*H428,2)</f>
        <v>0</v>
      </c>
      <c r="BL428" s="18" t="s">
        <v>230</v>
      </c>
      <c r="BM428" s="185" t="s">
        <v>1093</v>
      </c>
    </row>
    <row r="429" spans="1:65" s="13" customFormat="1" ht="10">
      <c r="B429" s="192"/>
      <c r="C429" s="193"/>
      <c r="D429" s="194" t="s">
        <v>139</v>
      </c>
      <c r="E429" s="193"/>
      <c r="F429" s="196" t="s">
        <v>1094</v>
      </c>
      <c r="G429" s="193"/>
      <c r="H429" s="197">
        <v>18.238</v>
      </c>
      <c r="I429" s="198"/>
      <c r="J429" s="193"/>
      <c r="K429" s="193"/>
      <c r="L429" s="199"/>
      <c r="M429" s="200"/>
      <c r="N429" s="201"/>
      <c r="O429" s="201"/>
      <c r="P429" s="201"/>
      <c r="Q429" s="201"/>
      <c r="R429" s="201"/>
      <c r="S429" s="201"/>
      <c r="T429" s="202"/>
      <c r="AT429" s="203" t="s">
        <v>139</v>
      </c>
      <c r="AU429" s="203" t="s">
        <v>82</v>
      </c>
      <c r="AV429" s="13" t="s">
        <v>82</v>
      </c>
      <c r="AW429" s="13" t="s">
        <v>4</v>
      </c>
      <c r="AX429" s="13" t="s">
        <v>80</v>
      </c>
      <c r="AY429" s="203" t="s">
        <v>128</v>
      </c>
    </row>
    <row r="430" spans="1:65" s="2" customFormat="1" ht="24.15" customHeight="1">
      <c r="A430" s="35"/>
      <c r="B430" s="36"/>
      <c r="C430" s="174" t="s">
        <v>1095</v>
      </c>
      <c r="D430" s="174" t="s">
        <v>130</v>
      </c>
      <c r="E430" s="175" t="s">
        <v>1096</v>
      </c>
      <c r="F430" s="176" t="s">
        <v>1097</v>
      </c>
      <c r="G430" s="177" t="s">
        <v>426</v>
      </c>
      <c r="H430" s="225"/>
      <c r="I430" s="179"/>
      <c r="J430" s="180">
        <f>ROUND(I430*H430,2)</f>
        <v>0</v>
      </c>
      <c r="K430" s="176" t="s">
        <v>134</v>
      </c>
      <c r="L430" s="40"/>
      <c r="M430" s="181" t="s">
        <v>19</v>
      </c>
      <c r="N430" s="182" t="s">
        <v>43</v>
      </c>
      <c r="O430" s="65"/>
      <c r="P430" s="183">
        <f>O430*H430</f>
        <v>0</v>
      </c>
      <c r="Q430" s="183">
        <v>0</v>
      </c>
      <c r="R430" s="183">
        <f>Q430*H430</f>
        <v>0</v>
      </c>
      <c r="S430" s="183">
        <v>0</v>
      </c>
      <c r="T430" s="184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5" t="s">
        <v>230</v>
      </c>
      <c r="AT430" s="185" t="s">
        <v>130</v>
      </c>
      <c r="AU430" s="185" t="s">
        <v>82</v>
      </c>
      <c r="AY430" s="18" t="s">
        <v>128</v>
      </c>
      <c r="BE430" s="186">
        <f>IF(N430="základní",J430,0)</f>
        <v>0</v>
      </c>
      <c r="BF430" s="186">
        <f>IF(N430="snížená",J430,0)</f>
        <v>0</v>
      </c>
      <c r="BG430" s="186">
        <f>IF(N430="zákl. přenesená",J430,0)</f>
        <v>0</v>
      </c>
      <c r="BH430" s="186">
        <f>IF(N430="sníž. přenesená",J430,0)</f>
        <v>0</v>
      </c>
      <c r="BI430" s="186">
        <f>IF(N430="nulová",J430,0)</f>
        <v>0</v>
      </c>
      <c r="BJ430" s="18" t="s">
        <v>80</v>
      </c>
      <c r="BK430" s="186">
        <f>ROUND(I430*H430,2)</f>
        <v>0</v>
      </c>
      <c r="BL430" s="18" t="s">
        <v>230</v>
      </c>
      <c r="BM430" s="185" t="s">
        <v>1098</v>
      </c>
    </row>
    <row r="431" spans="1:65" s="2" customFormat="1" ht="10">
      <c r="A431" s="35"/>
      <c r="B431" s="36"/>
      <c r="C431" s="37"/>
      <c r="D431" s="187" t="s">
        <v>137</v>
      </c>
      <c r="E431" s="37"/>
      <c r="F431" s="188" t="s">
        <v>1099</v>
      </c>
      <c r="G431" s="37"/>
      <c r="H431" s="37"/>
      <c r="I431" s="189"/>
      <c r="J431" s="37"/>
      <c r="K431" s="37"/>
      <c r="L431" s="40"/>
      <c r="M431" s="190"/>
      <c r="N431" s="191"/>
      <c r="O431" s="65"/>
      <c r="P431" s="65"/>
      <c r="Q431" s="65"/>
      <c r="R431" s="65"/>
      <c r="S431" s="65"/>
      <c r="T431" s="66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137</v>
      </c>
      <c r="AU431" s="18" t="s">
        <v>82</v>
      </c>
    </row>
    <row r="432" spans="1:65" s="12" customFormat="1" ht="22.75" customHeight="1">
      <c r="B432" s="158"/>
      <c r="C432" s="159"/>
      <c r="D432" s="160" t="s">
        <v>71</v>
      </c>
      <c r="E432" s="172" t="s">
        <v>1100</v>
      </c>
      <c r="F432" s="172" t="s">
        <v>1101</v>
      </c>
      <c r="G432" s="159"/>
      <c r="H432" s="159"/>
      <c r="I432" s="162"/>
      <c r="J432" s="173">
        <f>BK432</f>
        <v>0</v>
      </c>
      <c r="K432" s="159"/>
      <c r="L432" s="164"/>
      <c r="M432" s="165"/>
      <c r="N432" s="166"/>
      <c r="O432" s="166"/>
      <c r="P432" s="167">
        <f>SUM(P433:P486)</f>
        <v>0</v>
      </c>
      <c r="Q432" s="166"/>
      <c r="R432" s="167">
        <f>SUM(R433:R486)</f>
        <v>18.975638</v>
      </c>
      <c r="S432" s="166"/>
      <c r="T432" s="168">
        <f>SUM(T433:T486)</f>
        <v>0</v>
      </c>
      <c r="AR432" s="169" t="s">
        <v>82</v>
      </c>
      <c r="AT432" s="170" t="s">
        <v>71</v>
      </c>
      <c r="AU432" s="170" t="s">
        <v>80</v>
      </c>
      <c r="AY432" s="169" t="s">
        <v>128</v>
      </c>
      <c r="BK432" s="171">
        <f>SUM(BK433:BK486)</f>
        <v>0</v>
      </c>
    </row>
    <row r="433" spans="1:65" s="2" customFormat="1" ht="24.15" customHeight="1">
      <c r="A433" s="35"/>
      <c r="B433" s="36"/>
      <c r="C433" s="174" t="s">
        <v>1102</v>
      </c>
      <c r="D433" s="174" t="s">
        <v>130</v>
      </c>
      <c r="E433" s="175" t="s">
        <v>1103</v>
      </c>
      <c r="F433" s="176" t="s">
        <v>1104</v>
      </c>
      <c r="G433" s="177" t="s">
        <v>133</v>
      </c>
      <c r="H433" s="178">
        <v>15.648</v>
      </c>
      <c r="I433" s="179"/>
      <c r="J433" s="180">
        <f>ROUND(I433*H433,2)</f>
        <v>0</v>
      </c>
      <c r="K433" s="176" t="s">
        <v>134</v>
      </c>
      <c r="L433" s="40"/>
      <c r="M433" s="181" t="s">
        <v>19</v>
      </c>
      <c r="N433" s="182" t="s">
        <v>43</v>
      </c>
      <c r="O433" s="65"/>
      <c r="P433" s="183">
        <f>O433*H433</f>
        <v>0</v>
      </c>
      <c r="Q433" s="183">
        <v>0</v>
      </c>
      <c r="R433" s="183">
        <f>Q433*H433</f>
        <v>0</v>
      </c>
      <c r="S433" s="183">
        <v>0</v>
      </c>
      <c r="T433" s="184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5" t="s">
        <v>230</v>
      </c>
      <c r="AT433" s="185" t="s">
        <v>130</v>
      </c>
      <c r="AU433" s="185" t="s">
        <v>82</v>
      </c>
      <c r="AY433" s="18" t="s">
        <v>128</v>
      </c>
      <c r="BE433" s="186">
        <f>IF(N433="základní",J433,0)</f>
        <v>0</v>
      </c>
      <c r="BF433" s="186">
        <f>IF(N433="snížená",J433,0)</f>
        <v>0</v>
      </c>
      <c r="BG433" s="186">
        <f>IF(N433="zákl. přenesená",J433,0)</f>
        <v>0</v>
      </c>
      <c r="BH433" s="186">
        <f>IF(N433="sníž. přenesená",J433,0)</f>
        <v>0</v>
      </c>
      <c r="BI433" s="186">
        <f>IF(N433="nulová",J433,0)</f>
        <v>0</v>
      </c>
      <c r="BJ433" s="18" t="s">
        <v>80</v>
      </c>
      <c r="BK433" s="186">
        <f>ROUND(I433*H433,2)</f>
        <v>0</v>
      </c>
      <c r="BL433" s="18" t="s">
        <v>230</v>
      </c>
      <c r="BM433" s="185" t="s">
        <v>1105</v>
      </c>
    </row>
    <row r="434" spans="1:65" s="2" customFormat="1" ht="10">
      <c r="A434" s="35"/>
      <c r="B434" s="36"/>
      <c r="C434" s="37"/>
      <c r="D434" s="187" t="s">
        <v>137</v>
      </c>
      <c r="E434" s="37"/>
      <c r="F434" s="188" t="s">
        <v>1106</v>
      </c>
      <c r="G434" s="37"/>
      <c r="H434" s="37"/>
      <c r="I434" s="189"/>
      <c r="J434" s="37"/>
      <c r="K434" s="37"/>
      <c r="L434" s="40"/>
      <c r="M434" s="190"/>
      <c r="N434" s="191"/>
      <c r="O434" s="65"/>
      <c r="P434" s="65"/>
      <c r="Q434" s="65"/>
      <c r="R434" s="65"/>
      <c r="S434" s="65"/>
      <c r="T434" s="66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137</v>
      </c>
      <c r="AU434" s="18" t="s">
        <v>82</v>
      </c>
    </row>
    <row r="435" spans="1:65" s="13" customFormat="1" ht="10">
      <c r="B435" s="192"/>
      <c r="C435" s="193"/>
      <c r="D435" s="194" t="s">
        <v>139</v>
      </c>
      <c r="E435" s="195" t="s">
        <v>19</v>
      </c>
      <c r="F435" s="196" t="s">
        <v>654</v>
      </c>
      <c r="G435" s="193"/>
      <c r="H435" s="197">
        <v>15.648</v>
      </c>
      <c r="I435" s="198"/>
      <c r="J435" s="193"/>
      <c r="K435" s="193"/>
      <c r="L435" s="199"/>
      <c r="M435" s="200"/>
      <c r="N435" s="201"/>
      <c r="O435" s="201"/>
      <c r="P435" s="201"/>
      <c r="Q435" s="201"/>
      <c r="R435" s="201"/>
      <c r="S435" s="201"/>
      <c r="T435" s="202"/>
      <c r="AT435" s="203" t="s">
        <v>139</v>
      </c>
      <c r="AU435" s="203" t="s">
        <v>82</v>
      </c>
      <c r="AV435" s="13" t="s">
        <v>82</v>
      </c>
      <c r="AW435" s="13" t="s">
        <v>34</v>
      </c>
      <c r="AX435" s="13" t="s">
        <v>80</v>
      </c>
      <c r="AY435" s="203" t="s">
        <v>128</v>
      </c>
    </row>
    <row r="436" spans="1:65" s="2" customFormat="1" ht="16.5" customHeight="1">
      <c r="A436" s="35"/>
      <c r="B436" s="36"/>
      <c r="C436" s="215" t="s">
        <v>1107</v>
      </c>
      <c r="D436" s="215" t="s">
        <v>414</v>
      </c>
      <c r="E436" s="216" t="s">
        <v>1108</v>
      </c>
      <c r="F436" s="217" t="s">
        <v>1109</v>
      </c>
      <c r="G436" s="218" t="s">
        <v>133</v>
      </c>
      <c r="H436" s="219">
        <v>16.43</v>
      </c>
      <c r="I436" s="220"/>
      <c r="J436" s="221">
        <f>ROUND(I436*H436,2)</f>
        <v>0</v>
      </c>
      <c r="K436" s="217" t="s">
        <v>134</v>
      </c>
      <c r="L436" s="222"/>
      <c r="M436" s="223" t="s">
        <v>19</v>
      </c>
      <c r="N436" s="224" t="s">
        <v>43</v>
      </c>
      <c r="O436" s="65"/>
      <c r="P436" s="183">
        <f>O436*H436</f>
        <v>0</v>
      </c>
      <c r="Q436" s="183">
        <v>2.3999999999999998E-3</v>
      </c>
      <c r="R436" s="183">
        <f>Q436*H436</f>
        <v>3.9431999999999995E-2</v>
      </c>
      <c r="S436" s="183">
        <v>0</v>
      </c>
      <c r="T436" s="184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5" t="s">
        <v>334</v>
      </c>
      <c r="AT436" s="185" t="s">
        <v>414</v>
      </c>
      <c r="AU436" s="185" t="s">
        <v>82</v>
      </c>
      <c r="AY436" s="18" t="s">
        <v>128</v>
      </c>
      <c r="BE436" s="186">
        <f>IF(N436="základní",J436,0)</f>
        <v>0</v>
      </c>
      <c r="BF436" s="186">
        <f>IF(N436="snížená",J436,0)</f>
        <v>0</v>
      </c>
      <c r="BG436" s="186">
        <f>IF(N436="zákl. přenesená",J436,0)</f>
        <v>0</v>
      </c>
      <c r="BH436" s="186">
        <f>IF(N436="sníž. přenesená",J436,0)</f>
        <v>0</v>
      </c>
      <c r="BI436" s="186">
        <f>IF(N436="nulová",J436,0)</f>
        <v>0</v>
      </c>
      <c r="BJ436" s="18" t="s">
        <v>80</v>
      </c>
      <c r="BK436" s="186">
        <f>ROUND(I436*H436,2)</f>
        <v>0</v>
      </c>
      <c r="BL436" s="18" t="s">
        <v>230</v>
      </c>
      <c r="BM436" s="185" t="s">
        <v>1110</v>
      </c>
    </row>
    <row r="437" spans="1:65" s="13" customFormat="1" ht="10">
      <c r="B437" s="192"/>
      <c r="C437" s="193"/>
      <c r="D437" s="194" t="s">
        <v>139</v>
      </c>
      <c r="E437" s="193"/>
      <c r="F437" s="196" t="s">
        <v>1111</v>
      </c>
      <c r="G437" s="193"/>
      <c r="H437" s="197">
        <v>16.43</v>
      </c>
      <c r="I437" s="198"/>
      <c r="J437" s="193"/>
      <c r="K437" s="193"/>
      <c r="L437" s="199"/>
      <c r="M437" s="200"/>
      <c r="N437" s="201"/>
      <c r="O437" s="201"/>
      <c r="P437" s="201"/>
      <c r="Q437" s="201"/>
      <c r="R437" s="201"/>
      <c r="S437" s="201"/>
      <c r="T437" s="202"/>
      <c r="AT437" s="203" t="s">
        <v>139</v>
      </c>
      <c r="AU437" s="203" t="s">
        <v>82</v>
      </c>
      <c r="AV437" s="13" t="s">
        <v>82</v>
      </c>
      <c r="AW437" s="13" t="s">
        <v>4</v>
      </c>
      <c r="AX437" s="13" t="s">
        <v>80</v>
      </c>
      <c r="AY437" s="203" t="s">
        <v>128</v>
      </c>
    </row>
    <row r="438" spans="1:65" s="2" customFormat="1" ht="24.15" customHeight="1">
      <c r="A438" s="35"/>
      <c r="B438" s="36"/>
      <c r="C438" s="174" t="s">
        <v>1112</v>
      </c>
      <c r="D438" s="174" t="s">
        <v>130</v>
      </c>
      <c r="E438" s="175" t="s">
        <v>1113</v>
      </c>
      <c r="F438" s="176" t="s">
        <v>1114</v>
      </c>
      <c r="G438" s="177" t="s">
        <v>133</v>
      </c>
      <c r="H438" s="178">
        <v>543.4</v>
      </c>
      <c r="I438" s="179"/>
      <c r="J438" s="180">
        <f>ROUND(I438*H438,2)</f>
        <v>0</v>
      </c>
      <c r="K438" s="176" t="s">
        <v>134</v>
      </c>
      <c r="L438" s="40"/>
      <c r="M438" s="181" t="s">
        <v>19</v>
      </c>
      <c r="N438" s="182" t="s">
        <v>43</v>
      </c>
      <c r="O438" s="65"/>
      <c r="P438" s="183">
        <f>O438*H438</f>
        <v>0</v>
      </c>
      <c r="Q438" s="183">
        <v>0</v>
      </c>
      <c r="R438" s="183">
        <f>Q438*H438</f>
        <v>0</v>
      </c>
      <c r="S438" s="183">
        <v>0</v>
      </c>
      <c r="T438" s="184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85" t="s">
        <v>230</v>
      </c>
      <c r="AT438" s="185" t="s">
        <v>130</v>
      </c>
      <c r="AU438" s="185" t="s">
        <v>82</v>
      </c>
      <c r="AY438" s="18" t="s">
        <v>128</v>
      </c>
      <c r="BE438" s="186">
        <f>IF(N438="základní",J438,0)</f>
        <v>0</v>
      </c>
      <c r="BF438" s="186">
        <f>IF(N438="snížená",J438,0)</f>
        <v>0</v>
      </c>
      <c r="BG438" s="186">
        <f>IF(N438="zákl. přenesená",J438,0)</f>
        <v>0</v>
      </c>
      <c r="BH438" s="186">
        <f>IF(N438="sníž. přenesená",J438,0)</f>
        <v>0</v>
      </c>
      <c r="BI438" s="186">
        <f>IF(N438="nulová",J438,0)</f>
        <v>0</v>
      </c>
      <c r="BJ438" s="18" t="s">
        <v>80</v>
      </c>
      <c r="BK438" s="186">
        <f>ROUND(I438*H438,2)</f>
        <v>0</v>
      </c>
      <c r="BL438" s="18" t="s">
        <v>230</v>
      </c>
      <c r="BM438" s="185" t="s">
        <v>1115</v>
      </c>
    </row>
    <row r="439" spans="1:65" s="2" customFormat="1" ht="10">
      <c r="A439" s="35"/>
      <c r="B439" s="36"/>
      <c r="C439" s="37"/>
      <c r="D439" s="187" t="s">
        <v>137</v>
      </c>
      <c r="E439" s="37"/>
      <c r="F439" s="188" t="s">
        <v>1116</v>
      </c>
      <c r="G439" s="37"/>
      <c r="H439" s="37"/>
      <c r="I439" s="189"/>
      <c r="J439" s="37"/>
      <c r="K439" s="37"/>
      <c r="L439" s="40"/>
      <c r="M439" s="190"/>
      <c r="N439" s="191"/>
      <c r="O439" s="65"/>
      <c r="P439" s="65"/>
      <c r="Q439" s="65"/>
      <c r="R439" s="65"/>
      <c r="S439" s="65"/>
      <c r="T439" s="66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137</v>
      </c>
      <c r="AU439" s="18" t="s">
        <v>82</v>
      </c>
    </row>
    <row r="440" spans="1:65" s="13" customFormat="1" ht="10">
      <c r="B440" s="192"/>
      <c r="C440" s="193"/>
      <c r="D440" s="194" t="s">
        <v>139</v>
      </c>
      <c r="E440" s="195" t="s">
        <v>19</v>
      </c>
      <c r="F440" s="196" t="s">
        <v>1117</v>
      </c>
      <c r="G440" s="193"/>
      <c r="H440" s="197">
        <v>543.4</v>
      </c>
      <c r="I440" s="198"/>
      <c r="J440" s="193"/>
      <c r="K440" s="193"/>
      <c r="L440" s="199"/>
      <c r="M440" s="200"/>
      <c r="N440" s="201"/>
      <c r="O440" s="201"/>
      <c r="P440" s="201"/>
      <c r="Q440" s="201"/>
      <c r="R440" s="201"/>
      <c r="S440" s="201"/>
      <c r="T440" s="202"/>
      <c r="AT440" s="203" t="s">
        <v>139</v>
      </c>
      <c r="AU440" s="203" t="s">
        <v>82</v>
      </c>
      <c r="AV440" s="13" t="s">
        <v>82</v>
      </c>
      <c r="AW440" s="13" t="s">
        <v>34</v>
      </c>
      <c r="AX440" s="13" t="s">
        <v>80</v>
      </c>
      <c r="AY440" s="203" t="s">
        <v>128</v>
      </c>
    </row>
    <row r="441" spans="1:65" s="2" customFormat="1" ht="16.5" customHeight="1">
      <c r="A441" s="35"/>
      <c r="B441" s="36"/>
      <c r="C441" s="215" t="s">
        <v>1118</v>
      </c>
      <c r="D441" s="215" t="s">
        <v>414</v>
      </c>
      <c r="E441" s="216" t="s">
        <v>1119</v>
      </c>
      <c r="F441" s="217" t="s">
        <v>1120</v>
      </c>
      <c r="G441" s="218" t="s">
        <v>133</v>
      </c>
      <c r="H441" s="219">
        <v>597.74</v>
      </c>
      <c r="I441" s="220"/>
      <c r="J441" s="221">
        <f>ROUND(I441*H441,2)</f>
        <v>0</v>
      </c>
      <c r="K441" s="217" t="s">
        <v>134</v>
      </c>
      <c r="L441" s="222"/>
      <c r="M441" s="223" t="s">
        <v>19</v>
      </c>
      <c r="N441" s="224" t="s">
        <v>43</v>
      </c>
      <c r="O441" s="65"/>
      <c r="P441" s="183">
        <f>O441*H441</f>
        <v>0</v>
      </c>
      <c r="Q441" s="183">
        <v>1.1999999999999999E-3</v>
      </c>
      <c r="R441" s="183">
        <f>Q441*H441</f>
        <v>0.71728799999999993</v>
      </c>
      <c r="S441" s="183">
        <v>0</v>
      </c>
      <c r="T441" s="184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85" t="s">
        <v>334</v>
      </c>
      <c r="AT441" s="185" t="s">
        <v>414</v>
      </c>
      <c r="AU441" s="185" t="s">
        <v>82</v>
      </c>
      <c r="AY441" s="18" t="s">
        <v>128</v>
      </c>
      <c r="BE441" s="186">
        <f>IF(N441="základní",J441,0)</f>
        <v>0</v>
      </c>
      <c r="BF441" s="186">
        <f>IF(N441="snížená",J441,0)</f>
        <v>0</v>
      </c>
      <c r="BG441" s="186">
        <f>IF(N441="zákl. přenesená",J441,0)</f>
        <v>0</v>
      </c>
      <c r="BH441" s="186">
        <f>IF(N441="sníž. přenesená",J441,0)</f>
        <v>0</v>
      </c>
      <c r="BI441" s="186">
        <f>IF(N441="nulová",J441,0)</f>
        <v>0</v>
      </c>
      <c r="BJ441" s="18" t="s">
        <v>80</v>
      </c>
      <c r="BK441" s="186">
        <f>ROUND(I441*H441,2)</f>
        <v>0</v>
      </c>
      <c r="BL441" s="18" t="s">
        <v>230</v>
      </c>
      <c r="BM441" s="185" t="s">
        <v>1121</v>
      </c>
    </row>
    <row r="442" spans="1:65" s="13" customFormat="1" ht="10">
      <c r="B442" s="192"/>
      <c r="C442" s="193"/>
      <c r="D442" s="194" t="s">
        <v>139</v>
      </c>
      <c r="E442" s="193"/>
      <c r="F442" s="196" t="s">
        <v>1122</v>
      </c>
      <c r="G442" s="193"/>
      <c r="H442" s="197">
        <v>597.74</v>
      </c>
      <c r="I442" s="198"/>
      <c r="J442" s="193"/>
      <c r="K442" s="193"/>
      <c r="L442" s="199"/>
      <c r="M442" s="200"/>
      <c r="N442" s="201"/>
      <c r="O442" s="201"/>
      <c r="P442" s="201"/>
      <c r="Q442" s="201"/>
      <c r="R442" s="201"/>
      <c r="S442" s="201"/>
      <c r="T442" s="202"/>
      <c r="AT442" s="203" t="s">
        <v>139</v>
      </c>
      <c r="AU442" s="203" t="s">
        <v>82</v>
      </c>
      <c r="AV442" s="13" t="s">
        <v>82</v>
      </c>
      <c r="AW442" s="13" t="s">
        <v>4</v>
      </c>
      <c r="AX442" s="13" t="s">
        <v>80</v>
      </c>
      <c r="AY442" s="203" t="s">
        <v>128</v>
      </c>
    </row>
    <row r="443" spans="1:65" s="2" customFormat="1" ht="16.5" customHeight="1">
      <c r="A443" s="35"/>
      <c r="B443" s="36"/>
      <c r="C443" s="215" t="s">
        <v>1123</v>
      </c>
      <c r="D443" s="215" t="s">
        <v>414</v>
      </c>
      <c r="E443" s="216" t="s">
        <v>1124</v>
      </c>
      <c r="F443" s="217" t="s">
        <v>1125</v>
      </c>
      <c r="G443" s="218" t="s">
        <v>133</v>
      </c>
      <c r="H443" s="219">
        <v>597.74</v>
      </c>
      <c r="I443" s="220"/>
      <c r="J443" s="221">
        <f>ROUND(I443*H443,2)</f>
        <v>0</v>
      </c>
      <c r="K443" s="217" t="s">
        <v>134</v>
      </c>
      <c r="L443" s="222"/>
      <c r="M443" s="223" t="s">
        <v>19</v>
      </c>
      <c r="N443" s="224" t="s">
        <v>43</v>
      </c>
      <c r="O443" s="65"/>
      <c r="P443" s="183">
        <f>O443*H443</f>
        <v>0</v>
      </c>
      <c r="Q443" s="183">
        <v>5.1999999999999995E-4</v>
      </c>
      <c r="R443" s="183">
        <f>Q443*H443</f>
        <v>0.31082479999999996</v>
      </c>
      <c r="S443" s="183">
        <v>0</v>
      </c>
      <c r="T443" s="184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85" t="s">
        <v>334</v>
      </c>
      <c r="AT443" s="185" t="s">
        <v>414</v>
      </c>
      <c r="AU443" s="185" t="s">
        <v>82</v>
      </c>
      <c r="AY443" s="18" t="s">
        <v>128</v>
      </c>
      <c r="BE443" s="186">
        <f>IF(N443="základní",J443,0)</f>
        <v>0</v>
      </c>
      <c r="BF443" s="186">
        <f>IF(N443="snížená",J443,0)</f>
        <v>0</v>
      </c>
      <c r="BG443" s="186">
        <f>IF(N443="zákl. přenesená",J443,0)</f>
        <v>0</v>
      </c>
      <c r="BH443" s="186">
        <f>IF(N443="sníž. přenesená",J443,0)</f>
        <v>0</v>
      </c>
      <c r="BI443" s="186">
        <f>IF(N443="nulová",J443,0)</f>
        <v>0</v>
      </c>
      <c r="BJ443" s="18" t="s">
        <v>80</v>
      </c>
      <c r="BK443" s="186">
        <f>ROUND(I443*H443,2)</f>
        <v>0</v>
      </c>
      <c r="BL443" s="18" t="s">
        <v>230</v>
      </c>
      <c r="BM443" s="185" t="s">
        <v>1126</v>
      </c>
    </row>
    <row r="444" spans="1:65" s="13" customFormat="1" ht="10">
      <c r="B444" s="192"/>
      <c r="C444" s="193"/>
      <c r="D444" s="194" t="s">
        <v>139</v>
      </c>
      <c r="E444" s="193"/>
      <c r="F444" s="196" t="s">
        <v>1122</v>
      </c>
      <c r="G444" s="193"/>
      <c r="H444" s="197">
        <v>597.74</v>
      </c>
      <c r="I444" s="198"/>
      <c r="J444" s="193"/>
      <c r="K444" s="193"/>
      <c r="L444" s="199"/>
      <c r="M444" s="200"/>
      <c r="N444" s="201"/>
      <c r="O444" s="201"/>
      <c r="P444" s="201"/>
      <c r="Q444" s="201"/>
      <c r="R444" s="201"/>
      <c r="S444" s="201"/>
      <c r="T444" s="202"/>
      <c r="AT444" s="203" t="s">
        <v>139</v>
      </c>
      <c r="AU444" s="203" t="s">
        <v>82</v>
      </c>
      <c r="AV444" s="13" t="s">
        <v>82</v>
      </c>
      <c r="AW444" s="13" t="s">
        <v>4</v>
      </c>
      <c r="AX444" s="13" t="s">
        <v>80</v>
      </c>
      <c r="AY444" s="203" t="s">
        <v>128</v>
      </c>
    </row>
    <row r="445" spans="1:65" s="2" customFormat="1" ht="24.15" customHeight="1">
      <c r="A445" s="35"/>
      <c r="B445" s="36"/>
      <c r="C445" s="174" t="s">
        <v>1127</v>
      </c>
      <c r="D445" s="174" t="s">
        <v>130</v>
      </c>
      <c r="E445" s="175" t="s">
        <v>1128</v>
      </c>
      <c r="F445" s="176" t="s">
        <v>1129</v>
      </c>
      <c r="G445" s="177" t="s">
        <v>133</v>
      </c>
      <c r="H445" s="178">
        <v>543.4</v>
      </c>
      <c r="I445" s="179"/>
      <c r="J445" s="180">
        <f>ROUND(I445*H445,2)</f>
        <v>0</v>
      </c>
      <c r="K445" s="176" t="s">
        <v>134</v>
      </c>
      <c r="L445" s="40"/>
      <c r="M445" s="181" t="s">
        <v>19</v>
      </c>
      <c r="N445" s="182" t="s">
        <v>43</v>
      </c>
      <c r="O445" s="65"/>
      <c r="P445" s="183">
        <f>O445*H445</f>
        <v>0</v>
      </c>
      <c r="Q445" s="183">
        <v>0</v>
      </c>
      <c r="R445" s="183">
        <f>Q445*H445</f>
        <v>0</v>
      </c>
      <c r="S445" s="183">
        <v>0</v>
      </c>
      <c r="T445" s="184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85" t="s">
        <v>230</v>
      </c>
      <c r="AT445" s="185" t="s">
        <v>130</v>
      </c>
      <c r="AU445" s="185" t="s">
        <v>82</v>
      </c>
      <c r="AY445" s="18" t="s">
        <v>128</v>
      </c>
      <c r="BE445" s="186">
        <f>IF(N445="základní",J445,0)</f>
        <v>0</v>
      </c>
      <c r="BF445" s="186">
        <f>IF(N445="snížená",J445,0)</f>
        <v>0</v>
      </c>
      <c r="BG445" s="186">
        <f>IF(N445="zákl. přenesená",J445,0)</f>
        <v>0</v>
      </c>
      <c r="BH445" s="186">
        <f>IF(N445="sníž. přenesená",J445,0)</f>
        <v>0</v>
      </c>
      <c r="BI445" s="186">
        <f>IF(N445="nulová",J445,0)</f>
        <v>0</v>
      </c>
      <c r="BJ445" s="18" t="s">
        <v>80</v>
      </c>
      <c r="BK445" s="186">
        <f>ROUND(I445*H445,2)</f>
        <v>0</v>
      </c>
      <c r="BL445" s="18" t="s">
        <v>230</v>
      </c>
      <c r="BM445" s="185" t="s">
        <v>1130</v>
      </c>
    </row>
    <row r="446" spans="1:65" s="2" customFormat="1" ht="10">
      <c r="A446" s="35"/>
      <c r="B446" s="36"/>
      <c r="C446" s="37"/>
      <c r="D446" s="187" t="s">
        <v>137</v>
      </c>
      <c r="E446" s="37"/>
      <c r="F446" s="188" t="s">
        <v>1131</v>
      </c>
      <c r="G446" s="37"/>
      <c r="H446" s="37"/>
      <c r="I446" s="189"/>
      <c r="J446" s="37"/>
      <c r="K446" s="37"/>
      <c r="L446" s="40"/>
      <c r="M446" s="190"/>
      <c r="N446" s="191"/>
      <c r="O446" s="65"/>
      <c r="P446" s="65"/>
      <c r="Q446" s="65"/>
      <c r="R446" s="65"/>
      <c r="S446" s="65"/>
      <c r="T446" s="66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137</v>
      </c>
      <c r="AU446" s="18" t="s">
        <v>82</v>
      </c>
    </row>
    <row r="447" spans="1:65" s="13" customFormat="1" ht="10">
      <c r="B447" s="192"/>
      <c r="C447" s="193"/>
      <c r="D447" s="194" t="s">
        <v>139</v>
      </c>
      <c r="E447" s="195" t="s">
        <v>19</v>
      </c>
      <c r="F447" s="196" t="s">
        <v>1117</v>
      </c>
      <c r="G447" s="193"/>
      <c r="H447" s="197">
        <v>543.4</v>
      </c>
      <c r="I447" s="198"/>
      <c r="J447" s="193"/>
      <c r="K447" s="193"/>
      <c r="L447" s="199"/>
      <c r="M447" s="200"/>
      <c r="N447" s="201"/>
      <c r="O447" s="201"/>
      <c r="P447" s="201"/>
      <c r="Q447" s="201"/>
      <c r="R447" s="201"/>
      <c r="S447" s="201"/>
      <c r="T447" s="202"/>
      <c r="AT447" s="203" t="s">
        <v>139</v>
      </c>
      <c r="AU447" s="203" t="s">
        <v>82</v>
      </c>
      <c r="AV447" s="13" t="s">
        <v>82</v>
      </c>
      <c r="AW447" s="13" t="s">
        <v>34</v>
      </c>
      <c r="AX447" s="13" t="s">
        <v>80</v>
      </c>
      <c r="AY447" s="203" t="s">
        <v>128</v>
      </c>
    </row>
    <row r="448" spans="1:65" s="2" customFormat="1" ht="16.5" customHeight="1">
      <c r="A448" s="35"/>
      <c r="B448" s="36"/>
      <c r="C448" s="215" t="s">
        <v>1132</v>
      </c>
      <c r="D448" s="215" t="s">
        <v>414</v>
      </c>
      <c r="E448" s="216" t="s">
        <v>1133</v>
      </c>
      <c r="F448" s="217" t="s">
        <v>1134</v>
      </c>
      <c r="G448" s="218" t="s">
        <v>133</v>
      </c>
      <c r="H448" s="219">
        <v>1141.1400000000001</v>
      </c>
      <c r="I448" s="220"/>
      <c r="J448" s="221">
        <f>ROUND(I448*H448,2)</f>
        <v>0</v>
      </c>
      <c r="K448" s="217" t="s">
        <v>134</v>
      </c>
      <c r="L448" s="222"/>
      <c r="M448" s="223" t="s">
        <v>19</v>
      </c>
      <c r="N448" s="224" t="s">
        <v>43</v>
      </c>
      <c r="O448" s="65"/>
      <c r="P448" s="183">
        <f>O448*H448</f>
        <v>0</v>
      </c>
      <c r="Q448" s="183">
        <v>3.0400000000000002E-3</v>
      </c>
      <c r="R448" s="183">
        <f>Q448*H448</f>
        <v>3.4690656000000004</v>
      </c>
      <c r="S448" s="183">
        <v>0</v>
      </c>
      <c r="T448" s="184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85" t="s">
        <v>334</v>
      </c>
      <c r="AT448" s="185" t="s">
        <v>414</v>
      </c>
      <c r="AU448" s="185" t="s">
        <v>82</v>
      </c>
      <c r="AY448" s="18" t="s">
        <v>128</v>
      </c>
      <c r="BE448" s="186">
        <f>IF(N448="základní",J448,0)</f>
        <v>0</v>
      </c>
      <c r="BF448" s="186">
        <f>IF(N448="snížená",J448,0)</f>
        <v>0</v>
      </c>
      <c r="BG448" s="186">
        <f>IF(N448="zákl. přenesená",J448,0)</f>
        <v>0</v>
      </c>
      <c r="BH448" s="186">
        <f>IF(N448="sníž. přenesená",J448,0)</f>
        <v>0</v>
      </c>
      <c r="BI448" s="186">
        <f>IF(N448="nulová",J448,0)</f>
        <v>0</v>
      </c>
      <c r="BJ448" s="18" t="s">
        <v>80</v>
      </c>
      <c r="BK448" s="186">
        <f>ROUND(I448*H448,2)</f>
        <v>0</v>
      </c>
      <c r="BL448" s="18" t="s">
        <v>230</v>
      </c>
      <c r="BM448" s="185" t="s">
        <v>1135</v>
      </c>
    </row>
    <row r="449" spans="1:65" s="13" customFormat="1" ht="10">
      <c r="B449" s="192"/>
      <c r="C449" s="193"/>
      <c r="D449" s="194" t="s">
        <v>139</v>
      </c>
      <c r="E449" s="193"/>
      <c r="F449" s="196" t="s">
        <v>1136</v>
      </c>
      <c r="G449" s="193"/>
      <c r="H449" s="197">
        <v>1141.1400000000001</v>
      </c>
      <c r="I449" s="198"/>
      <c r="J449" s="193"/>
      <c r="K449" s="193"/>
      <c r="L449" s="199"/>
      <c r="M449" s="200"/>
      <c r="N449" s="201"/>
      <c r="O449" s="201"/>
      <c r="P449" s="201"/>
      <c r="Q449" s="201"/>
      <c r="R449" s="201"/>
      <c r="S449" s="201"/>
      <c r="T449" s="202"/>
      <c r="AT449" s="203" t="s">
        <v>139</v>
      </c>
      <c r="AU449" s="203" t="s">
        <v>82</v>
      </c>
      <c r="AV449" s="13" t="s">
        <v>82</v>
      </c>
      <c r="AW449" s="13" t="s">
        <v>4</v>
      </c>
      <c r="AX449" s="13" t="s">
        <v>80</v>
      </c>
      <c r="AY449" s="203" t="s">
        <v>128</v>
      </c>
    </row>
    <row r="450" spans="1:65" s="2" customFormat="1" ht="24.15" customHeight="1">
      <c r="A450" s="35"/>
      <c r="B450" s="36"/>
      <c r="C450" s="174" t="s">
        <v>1137</v>
      </c>
      <c r="D450" s="174" t="s">
        <v>130</v>
      </c>
      <c r="E450" s="175" t="s">
        <v>1138</v>
      </c>
      <c r="F450" s="176" t="s">
        <v>1139</v>
      </c>
      <c r="G450" s="177" t="s">
        <v>133</v>
      </c>
      <c r="H450" s="178">
        <v>4.68</v>
      </c>
      <c r="I450" s="179"/>
      <c r="J450" s="180">
        <f>ROUND(I450*H450,2)</f>
        <v>0</v>
      </c>
      <c r="K450" s="176" t="s">
        <v>134</v>
      </c>
      <c r="L450" s="40"/>
      <c r="M450" s="181" t="s">
        <v>19</v>
      </c>
      <c r="N450" s="182" t="s">
        <v>43</v>
      </c>
      <c r="O450" s="65"/>
      <c r="P450" s="183">
        <f>O450*H450</f>
        <v>0</v>
      </c>
      <c r="Q450" s="183">
        <v>6.0000000000000001E-3</v>
      </c>
      <c r="R450" s="183">
        <f>Q450*H450</f>
        <v>2.8079999999999997E-2</v>
      </c>
      <c r="S450" s="183">
        <v>0</v>
      </c>
      <c r="T450" s="184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5" t="s">
        <v>230</v>
      </c>
      <c r="AT450" s="185" t="s">
        <v>130</v>
      </c>
      <c r="AU450" s="185" t="s">
        <v>82</v>
      </c>
      <c r="AY450" s="18" t="s">
        <v>128</v>
      </c>
      <c r="BE450" s="186">
        <f>IF(N450="základní",J450,0)</f>
        <v>0</v>
      </c>
      <c r="BF450" s="186">
        <f>IF(N450="snížená",J450,0)</f>
        <v>0</v>
      </c>
      <c r="BG450" s="186">
        <f>IF(N450="zákl. přenesená",J450,0)</f>
        <v>0</v>
      </c>
      <c r="BH450" s="186">
        <f>IF(N450="sníž. přenesená",J450,0)</f>
        <v>0</v>
      </c>
      <c r="BI450" s="186">
        <f>IF(N450="nulová",J450,0)</f>
        <v>0</v>
      </c>
      <c r="BJ450" s="18" t="s">
        <v>80</v>
      </c>
      <c r="BK450" s="186">
        <f>ROUND(I450*H450,2)</f>
        <v>0</v>
      </c>
      <c r="BL450" s="18" t="s">
        <v>230</v>
      </c>
      <c r="BM450" s="185" t="s">
        <v>1140</v>
      </c>
    </row>
    <row r="451" spans="1:65" s="2" customFormat="1" ht="10">
      <c r="A451" s="35"/>
      <c r="B451" s="36"/>
      <c r="C451" s="37"/>
      <c r="D451" s="187" t="s">
        <v>137</v>
      </c>
      <c r="E451" s="37"/>
      <c r="F451" s="188" t="s">
        <v>1141</v>
      </c>
      <c r="G451" s="37"/>
      <c r="H451" s="37"/>
      <c r="I451" s="189"/>
      <c r="J451" s="37"/>
      <c r="K451" s="37"/>
      <c r="L451" s="40"/>
      <c r="M451" s="190"/>
      <c r="N451" s="191"/>
      <c r="O451" s="65"/>
      <c r="P451" s="65"/>
      <c r="Q451" s="65"/>
      <c r="R451" s="65"/>
      <c r="S451" s="65"/>
      <c r="T451" s="66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137</v>
      </c>
      <c r="AU451" s="18" t="s">
        <v>82</v>
      </c>
    </row>
    <row r="452" spans="1:65" s="13" customFormat="1" ht="10">
      <c r="B452" s="192"/>
      <c r="C452" s="193"/>
      <c r="D452" s="194" t="s">
        <v>139</v>
      </c>
      <c r="E452" s="195" t="s">
        <v>19</v>
      </c>
      <c r="F452" s="196" t="s">
        <v>1142</v>
      </c>
      <c r="G452" s="193"/>
      <c r="H452" s="197">
        <v>4.68</v>
      </c>
      <c r="I452" s="198"/>
      <c r="J452" s="193"/>
      <c r="K452" s="193"/>
      <c r="L452" s="199"/>
      <c r="M452" s="200"/>
      <c r="N452" s="201"/>
      <c r="O452" s="201"/>
      <c r="P452" s="201"/>
      <c r="Q452" s="201"/>
      <c r="R452" s="201"/>
      <c r="S452" s="201"/>
      <c r="T452" s="202"/>
      <c r="AT452" s="203" t="s">
        <v>139</v>
      </c>
      <c r="AU452" s="203" t="s">
        <v>82</v>
      </c>
      <c r="AV452" s="13" t="s">
        <v>82</v>
      </c>
      <c r="AW452" s="13" t="s">
        <v>34</v>
      </c>
      <c r="AX452" s="13" t="s">
        <v>80</v>
      </c>
      <c r="AY452" s="203" t="s">
        <v>128</v>
      </c>
    </row>
    <row r="453" spans="1:65" s="2" customFormat="1" ht="16.5" customHeight="1">
      <c r="A453" s="35"/>
      <c r="B453" s="36"/>
      <c r="C453" s="215" t="s">
        <v>1143</v>
      </c>
      <c r="D453" s="215" t="s">
        <v>414</v>
      </c>
      <c r="E453" s="216" t="s">
        <v>1144</v>
      </c>
      <c r="F453" s="217" t="s">
        <v>1145</v>
      </c>
      <c r="G453" s="218" t="s">
        <v>133</v>
      </c>
      <c r="H453" s="219">
        <v>5.1479999999999997</v>
      </c>
      <c r="I453" s="220"/>
      <c r="J453" s="221">
        <f>ROUND(I453*H453,2)</f>
        <v>0</v>
      </c>
      <c r="K453" s="217" t="s">
        <v>134</v>
      </c>
      <c r="L453" s="222"/>
      <c r="M453" s="223" t="s">
        <v>19</v>
      </c>
      <c r="N453" s="224" t="s">
        <v>43</v>
      </c>
      <c r="O453" s="65"/>
      <c r="P453" s="183">
        <f>O453*H453</f>
        <v>0</v>
      </c>
      <c r="Q453" s="183">
        <v>1.8E-3</v>
      </c>
      <c r="R453" s="183">
        <f>Q453*H453</f>
        <v>9.2663999999999993E-3</v>
      </c>
      <c r="S453" s="183">
        <v>0</v>
      </c>
      <c r="T453" s="184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85" t="s">
        <v>334</v>
      </c>
      <c r="AT453" s="185" t="s">
        <v>414</v>
      </c>
      <c r="AU453" s="185" t="s">
        <v>82</v>
      </c>
      <c r="AY453" s="18" t="s">
        <v>128</v>
      </c>
      <c r="BE453" s="186">
        <f>IF(N453="základní",J453,0)</f>
        <v>0</v>
      </c>
      <c r="BF453" s="186">
        <f>IF(N453="snížená",J453,0)</f>
        <v>0</v>
      </c>
      <c r="BG453" s="186">
        <f>IF(N453="zákl. přenesená",J453,0)</f>
        <v>0</v>
      </c>
      <c r="BH453" s="186">
        <f>IF(N453="sníž. přenesená",J453,0)</f>
        <v>0</v>
      </c>
      <c r="BI453" s="186">
        <f>IF(N453="nulová",J453,0)</f>
        <v>0</v>
      </c>
      <c r="BJ453" s="18" t="s">
        <v>80</v>
      </c>
      <c r="BK453" s="186">
        <f>ROUND(I453*H453,2)</f>
        <v>0</v>
      </c>
      <c r="BL453" s="18" t="s">
        <v>230</v>
      </c>
      <c r="BM453" s="185" t="s">
        <v>1146</v>
      </c>
    </row>
    <row r="454" spans="1:65" s="13" customFormat="1" ht="10">
      <c r="B454" s="192"/>
      <c r="C454" s="193"/>
      <c r="D454" s="194" t="s">
        <v>139</v>
      </c>
      <c r="E454" s="193"/>
      <c r="F454" s="196" t="s">
        <v>1147</v>
      </c>
      <c r="G454" s="193"/>
      <c r="H454" s="197">
        <v>5.1479999999999997</v>
      </c>
      <c r="I454" s="198"/>
      <c r="J454" s="193"/>
      <c r="K454" s="193"/>
      <c r="L454" s="199"/>
      <c r="M454" s="200"/>
      <c r="N454" s="201"/>
      <c r="O454" s="201"/>
      <c r="P454" s="201"/>
      <c r="Q454" s="201"/>
      <c r="R454" s="201"/>
      <c r="S454" s="201"/>
      <c r="T454" s="202"/>
      <c r="AT454" s="203" t="s">
        <v>139</v>
      </c>
      <c r="AU454" s="203" t="s">
        <v>82</v>
      </c>
      <c r="AV454" s="13" t="s">
        <v>82</v>
      </c>
      <c r="AW454" s="13" t="s">
        <v>4</v>
      </c>
      <c r="AX454" s="13" t="s">
        <v>80</v>
      </c>
      <c r="AY454" s="203" t="s">
        <v>128</v>
      </c>
    </row>
    <row r="455" spans="1:65" s="2" customFormat="1" ht="24.15" customHeight="1">
      <c r="A455" s="35"/>
      <c r="B455" s="36"/>
      <c r="C455" s="174" t="s">
        <v>1148</v>
      </c>
      <c r="D455" s="174" t="s">
        <v>130</v>
      </c>
      <c r="E455" s="175" t="s">
        <v>1149</v>
      </c>
      <c r="F455" s="176" t="s">
        <v>1150</v>
      </c>
      <c r="G455" s="177" t="s">
        <v>133</v>
      </c>
      <c r="H455" s="178">
        <v>2522</v>
      </c>
      <c r="I455" s="179"/>
      <c r="J455" s="180">
        <f>ROUND(I455*H455,2)</f>
        <v>0</v>
      </c>
      <c r="K455" s="176" t="s">
        <v>134</v>
      </c>
      <c r="L455" s="40"/>
      <c r="M455" s="181" t="s">
        <v>19</v>
      </c>
      <c r="N455" s="182" t="s">
        <v>43</v>
      </c>
      <c r="O455" s="65"/>
      <c r="P455" s="183">
        <f>O455*H455</f>
        <v>0</v>
      </c>
      <c r="Q455" s="183">
        <v>0</v>
      </c>
      <c r="R455" s="183">
        <f>Q455*H455</f>
        <v>0</v>
      </c>
      <c r="S455" s="183">
        <v>0</v>
      </c>
      <c r="T455" s="184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85" t="s">
        <v>230</v>
      </c>
      <c r="AT455" s="185" t="s">
        <v>130</v>
      </c>
      <c r="AU455" s="185" t="s">
        <v>82</v>
      </c>
      <c r="AY455" s="18" t="s">
        <v>128</v>
      </c>
      <c r="BE455" s="186">
        <f>IF(N455="základní",J455,0)</f>
        <v>0</v>
      </c>
      <c r="BF455" s="186">
        <f>IF(N455="snížená",J455,0)</f>
        <v>0</v>
      </c>
      <c r="BG455" s="186">
        <f>IF(N455="zákl. přenesená",J455,0)</f>
        <v>0</v>
      </c>
      <c r="BH455" s="186">
        <f>IF(N455="sníž. přenesená",J455,0)</f>
        <v>0</v>
      </c>
      <c r="BI455" s="186">
        <f>IF(N455="nulová",J455,0)</f>
        <v>0</v>
      </c>
      <c r="BJ455" s="18" t="s">
        <v>80</v>
      </c>
      <c r="BK455" s="186">
        <f>ROUND(I455*H455,2)</f>
        <v>0</v>
      </c>
      <c r="BL455" s="18" t="s">
        <v>230</v>
      </c>
      <c r="BM455" s="185" t="s">
        <v>1151</v>
      </c>
    </row>
    <row r="456" spans="1:65" s="2" customFormat="1" ht="10">
      <c r="A456" s="35"/>
      <c r="B456" s="36"/>
      <c r="C456" s="37"/>
      <c r="D456" s="187" t="s">
        <v>137</v>
      </c>
      <c r="E456" s="37"/>
      <c r="F456" s="188" t="s">
        <v>1152</v>
      </c>
      <c r="G456" s="37"/>
      <c r="H456" s="37"/>
      <c r="I456" s="189"/>
      <c r="J456" s="37"/>
      <c r="K456" s="37"/>
      <c r="L456" s="40"/>
      <c r="M456" s="190"/>
      <c r="N456" s="191"/>
      <c r="O456" s="65"/>
      <c r="P456" s="65"/>
      <c r="Q456" s="65"/>
      <c r="R456" s="65"/>
      <c r="S456" s="65"/>
      <c r="T456" s="66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8" t="s">
        <v>137</v>
      </c>
      <c r="AU456" s="18" t="s">
        <v>82</v>
      </c>
    </row>
    <row r="457" spans="1:65" s="13" customFormat="1" ht="10">
      <c r="B457" s="192"/>
      <c r="C457" s="193"/>
      <c r="D457" s="194" t="s">
        <v>139</v>
      </c>
      <c r="E457" s="195" t="s">
        <v>19</v>
      </c>
      <c r="F457" s="196" t="s">
        <v>1153</v>
      </c>
      <c r="G457" s="193"/>
      <c r="H457" s="197">
        <v>790</v>
      </c>
      <c r="I457" s="198"/>
      <c r="J457" s="193"/>
      <c r="K457" s="193"/>
      <c r="L457" s="199"/>
      <c r="M457" s="200"/>
      <c r="N457" s="201"/>
      <c r="O457" s="201"/>
      <c r="P457" s="201"/>
      <c r="Q457" s="201"/>
      <c r="R457" s="201"/>
      <c r="S457" s="201"/>
      <c r="T457" s="202"/>
      <c r="AT457" s="203" t="s">
        <v>139</v>
      </c>
      <c r="AU457" s="203" t="s">
        <v>82</v>
      </c>
      <c r="AV457" s="13" t="s">
        <v>82</v>
      </c>
      <c r="AW457" s="13" t="s">
        <v>34</v>
      </c>
      <c r="AX457" s="13" t="s">
        <v>72</v>
      </c>
      <c r="AY457" s="203" t="s">
        <v>128</v>
      </c>
    </row>
    <row r="458" spans="1:65" s="13" customFormat="1" ht="10">
      <c r="B458" s="192"/>
      <c r="C458" s="193"/>
      <c r="D458" s="194" t="s">
        <v>139</v>
      </c>
      <c r="E458" s="195" t="s">
        <v>19</v>
      </c>
      <c r="F458" s="196" t="s">
        <v>1154</v>
      </c>
      <c r="G458" s="193"/>
      <c r="H458" s="197">
        <v>790</v>
      </c>
      <c r="I458" s="198"/>
      <c r="J458" s="193"/>
      <c r="K458" s="193"/>
      <c r="L458" s="199"/>
      <c r="M458" s="200"/>
      <c r="N458" s="201"/>
      <c r="O458" s="201"/>
      <c r="P458" s="201"/>
      <c r="Q458" s="201"/>
      <c r="R458" s="201"/>
      <c r="S458" s="201"/>
      <c r="T458" s="202"/>
      <c r="AT458" s="203" t="s">
        <v>139</v>
      </c>
      <c r="AU458" s="203" t="s">
        <v>82</v>
      </c>
      <c r="AV458" s="13" t="s">
        <v>82</v>
      </c>
      <c r="AW458" s="13" t="s">
        <v>34</v>
      </c>
      <c r="AX458" s="13" t="s">
        <v>72</v>
      </c>
      <c r="AY458" s="203" t="s">
        <v>128</v>
      </c>
    </row>
    <row r="459" spans="1:65" s="13" customFormat="1" ht="10">
      <c r="B459" s="192"/>
      <c r="C459" s="193"/>
      <c r="D459" s="194" t="s">
        <v>139</v>
      </c>
      <c r="E459" s="195" t="s">
        <v>19</v>
      </c>
      <c r="F459" s="196" t="s">
        <v>1155</v>
      </c>
      <c r="G459" s="193"/>
      <c r="H459" s="197">
        <v>790</v>
      </c>
      <c r="I459" s="198"/>
      <c r="J459" s="193"/>
      <c r="K459" s="193"/>
      <c r="L459" s="199"/>
      <c r="M459" s="200"/>
      <c r="N459" s="201"/>
      <c r="O459" s="201"/>
      <c r="P459" s="201"/>
      <c r="Q459" s="201"/>
      <c r="R459" s="201"/>
      <c r="S459" s="201"/>
      <c r="T459" s="202"/>
      <c r="AT459" s="203" t="s">
        <v>139</v>
      </c>
      <c r="AU459" s="203" t="s">
        <v>82</v>
      </c>
      <c r="AV459" s="13" t="s">
        <v>82</v>
      </c>
      <c r="AW459" s="13" t="s">
        <v>34</v>
      </c>
      <c r="AX459" s="13" t="s">
        <v>72</v>
      </c>
      <c r="AY459" s="203" t="s">
        <v>128</v>
      </c>
    </row>
    <row r="460" spans="1:65" s="13" customFormat="1" ht="10">
      <c r="B460" s="192"/>
      <c r="C460" s="193"/>
      <c r="D460" s="194" t="s">
        <v>139</v>
      </c>
      <c r="E460" s="195" t="s">
        <v>19</v>
      </c>
      <c r="F460" s="196" t="s">
        <v>1156</v>
      </c>
      <c r="G460" s="193"/>
      <c r="H460" s="197">
        <v>47</v>
      </c>
      <c r="I460" s="198"/>
      <c r="J460" s="193"/>
      <c r="K460" s="193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139</v>
      </c>
      <c r="AU460" s="203" t="s">
        <v>82</v>
      </c>
      <c r="AV460" s="13" t="s">
        <v>82</v>
      </c>
      <c r="AW460" s="13" t="s">
        <v>34</v>
      </c>
      <c r="AX460" s="13" t="s">
        <v>72</v>
      </c>
      <c r="AY460" s="203" t="s">
        <v>128</v>
      </c>
    </row>
    <row r="461" spans="1:65" s="13" customFormat="1" ht="10">
      <c r="B461" s="192"/>
      <c r="C461" s="193"/>
      <c r="D461" s="194" t="s">
        <v>139</v>
      </c>
      <c r="E461" s="195" t="s">
        <v>19</v>
      </c>
      <c r="F461" s="196" t="s">
        <v>1157</v>
      </c>
      <c r="G461" s="193"/>
      <c r="H461" s="197">
        <v>47</v>
      </c>
      <c r="I461" s="198"/>
      <c r="J461" s="193"/>
      <c r="K461" s="193"/>
      <c r="L461" s="199"/>
      <c r="M461" s="200"/>
      <c r="N461" s="201"/>
      <c r="O461" s="201"/>
      <c r="P461" s="201"/>
      <c r="Q461" s="201"/>
      <c r="R461" s="201"/>
      <c r="S461" s="201"/>
      <c r="T461" s="202"/>
      <c r="AT461" s="203" t="s">
        <v>139</v>
      </c>
      <c r="AU461" s="203" t="s">
        <v>82</v>
      </c>
      <c r="AV461" s="13" t="s">
        <v>82</v>
      </c>
      <c r="AW461" s="13" t="s">
        <v>34</v>
      </c>
      <c r="AX461" s="13" t="s">
        <v>72</v>
      </c>
      <c r="AY461" s="203" t="s">
        <v>128</v>
      </c>
    </row>
    <row r="462" spans="1:65" s="13" customFormat="1" ht="10">
      <c r="B462" s="192"/>
      <c r="C462" s="193"/>
      <c r="D462" s="194" t="s">
        <v>139</v>
      </c>
      <c r="E462" s="195" t="s">
        <v>19</v>
      </c>
      <c r="F462" s="196" t="s">
        <v>1158</v>
      </c>
      <c r="G462" s="193"/>
      <c r="H462" s="197">
        <v>29</v>
      </c>
      <c r="I462" s="198"/>
      <c r="J462" s="193"/>
      <c r="K462" s="193"/>
      <c r="L462" s="199"/>
      <c r="M462" s="200"/>
      <c r="N462" s="201"/>
      <c r="O462" s="201"/>
      <c r="P462" s="201"/>
      <c r="Q462" s="201"/>
      <c r="R462" s="201"/>
      <c r="S462" s="201"/>
      <c r="T462" s="202"/>
      <c r="AT462" s="203" t="s">
        <v>139</v>
      </c>
      <c r="AU462" s="203" t="s">
        <v>82</v>
      </c>
      <c r="AV462" s="13" t="s">
        <v>82</v>
      </c>
      <c r="AW462" s="13" t="s">
        <v>34</v>
      </c>
      <c r="AX462" s="13" t="s">
        <v>72</v>
      </c>
      <c r="AY462" s="203" t="s">
        <v>128</v>
      </c>
    </row>
    <row r="463" spans="1:65" s="13" customFormat="1" ht="10">
      <c r="B463" s="192"/>
      <c r="C463" s="193"/>
      <c r="D463" s="194" t="s">
        <v>139</v>
      </c>
      <c r="E463" s="195" t="s">
        <v>19</v>
      </c>
      <c r="F463" s="196" t="s">
        <v>1159</v>
      </c>
      <c r="G463" s="193"/>
      <c r="H463" s="197">
        <v>29</v>
      </c>
      <c r="I463" s="198"/>
      <c r="J463" s="193"/>
      <c r="K463" s="193"/>
      <c r="L463" s="199"/>
      <c r="M463" s="200"/>
      <c r="N463" s="201"/>
      <c r="O463" s="201"/>
      <c r="P463" s="201"/>
      <c r="Q463" s="201"/>
      <c r="R463" s="201"/>
      <c r="S463" s="201"/>
      <c r="T463" s="202"/>
      <c r="AT463" s="203" t="s">
        <v>139</v>
      </c>
      <c r="AU463" s="203" t="s">
        <v>82</v>
      </c>
      <c r="AV463" s="13" t="s">
        <v>82</v>
      </c>
      <c r="AW463" s="13" t="s">
        <v>34</v>
      </c>
      <c r="AX463" s="13" t="s">
        <v>72</v>
      </c>
      <c r="AY463" s="203" t="s">
        <v>128</v>
      </c>
    </row>
    <row r="464" spans="1:65" s="14" customFormat="1" ht="10">
      <c r="B464" s="204"/>
      <c r="C464" s="205"/>
      <c r="D464" s="194" t="s">
        <v>139</v>
      </c>
      <c r="E464" s="206" t="s">
        <v>19</v>
      </c>
      <c r="F464" s="207" t="s">
        <v>153</v>
      </c>
      <c r="G464" s="205"/>
      <c r="H464" s="208">
        <v>2522</v>
      </c>
      <c r="I464" s="209"/>
      <c r="J464" s="205"/>
      <c r="K464" s="205"/>
      <c r="L464" s="210"/>
      <c r="M464" s="211"/>
      <c r="N464" s="212"/>
      <c r="O464" s="212"/>
      <c r="P464" s="212"/>
      <c r="Q464" s="212"/>
      <c r="R464" s="212"/>
      <c r="S464" s="212"/>
      <c r="T464" s="213"/>
      <c r="AT464" s="214" t="s">
        <v>139</v>
      </c>
      <c r="AU464" s="214" t="s">
        <v>82</v>
      </c>
      <c r="AV464" s="14" t="s">
        <v>135</v>
      </c>
      <c r="AW464" s="14" t="s">
        <v>34</v>
      </c>
      <c r="AX464" s="14" t="s">
        <v>80</v>
      </c>
      <c r="AY464" s="214" t="s">
        <v>128</v>
      </c>
    </row>
    <row r="465" spans="1:65" s="2" customFormat="1" ht="16.5" customHeight="1">
      <c r="A465" s="35"/>
      <c r="B465" s="36"/>
      <c r="C465" s="215" t="s">
        <v>1160</v>
      </c>
      <c r="D465" s="215" t="s">
        <v>414</v>
      </c>
      <c r="E465" s="216" t="s">
        <v>1161</v>
      </c>
      <c r="F465" s="217" t="s">
        <v>1162</v>
      </c>
      <c r="G465" s="218" t="s">
        <v>133</v>
      </c>
      <c r="H465" s="219">
        <v>1821.6</v>
      </c>
      <c r="I465" s="220"/>
      <c r="J465" s="221">
        <f>ROUND(I465*H465,2)</f>
        <v>0</v>
      </c>
      <c r="K465" s="217" t="s">
        <v>134</v>
      </c>
      <c r="L465" s="222"/>
      <c r="M465" s="223" t="s">
        <v>19</v>
      </c>
      <c r="N465" s="224" t="s">
        <v>43</v>
      </c>
      <c r="O465" s="65"/>
      <c r="P465" s="183">
        <f>O465*H465</f>
        <v>0</v>
      </c>
      <c r="Q465" s="183">
        <v>4.7999999999999996E-3</v>
      </c>
      <c r="R465" s="183">
        <f>Q465*H465</f>
        <v>8.7436799999999995</v>
      </c>
      <c r="S465" s="183">
        <v>0</v>
      </c>
      <c r="T465" s="184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85" t="s">
        <v>334</v>
      </c>
      <c r="AT465" s="185" t="s">
        <v>414</v>
      </c>
      <c r="AU465" s="185" t="s">
        <v>82</v>
      </c>
      <c r="AY465" s="18" t="s">
        <v>128</v>
      </c>
      <c r="BE465" s="186">
        <f>IF(N465="základní",J465,0)</f>
        <v>0</v>
      </c>
      <c r="BF465" s="186">
        <f>IF(N465="snížená",J465,0)</f>
        <v>0</v>
      </c>
      <c r="BG465" s="186">
        <f>IF(N465="zákl. přenesená",J465,0)</f>
        <v>0</v>
      </c>
      <c r="BH465" s="186">
        <f>IF(N465="sníž. přenesená",J465,0)</f>
        <v>0</v>
      </c>
      <c r="BI465" s="186">
        <f>IF(N465="nulová",J465,0)</f>
        <v>0</v>
      </c>
      <c r="BJ465" s="18" t="s">
        <v>80</v>
      </c>
      <c r="BK465" s="186">
        <f>ROUND(I465*H465,2)</f>
        <v>0</v>
      </c>
      <c r="BL465" s="18" t="s">
        <v>230</v>
      </c>
      <c r="BM465" s="185" t="s">
        <v>1163</v>
      </c>
    </row>
    <row r="466" spans="1:65" s="13" customFormat="1" ht="10">
      <c r="B466" s="192"/>
      <c r="C466" s="193"/>
      <c r="D466" s="194" t="s">
        <v>139</v>
      </c>
      <c r="E466" s="195" t="s">
        <v>19</v>
      </c>
      <c r="F466" s="196" t="s">
        <v>1153</v>
      </c>
      <c r="G466" s="193"/>
      <c r="H466" s="197">
        <v>790</v>
      </c>
      <c r="I466" s="198"/>
      <c r="J466" s="193"/>
      <c r="K466" s="193"/>
      <c r="L466" s="199"/>
      <c r="M466" s="200"/>
      <c r="N466" s="201"/>
      <c r="O466" s="201"/>
      <c r="P466" s="201"/>
      <c r="Q466" s="201"/>
      <c r="R466" s="201"/>
      <c r="S466" s="201"/>
      <c r="T466" s="202"/>
      <c r="AT466" s="203" t="s">
        <v>139</v>
      </c>
      <c r="AU466" s="203" t="s">
        <v>82</v>
      </c>
      <c r="AV466" s="13" t="s">
        <v>82</v>
      </c>
      <c r="AW466" s="13" t="s">
        <v>34</v>
      </c>
      <c r="AX466" s="13" t="s">
        <v>72</v>
      </c>
      <c r="AY466" s="203" t="s">
        <v>128</v>
      </c>
    </row>
    <row r="467" spans="1:65" s="13" customFormat="1" ht="10">
      <c r="B467" s="192"/>
      <c r="C467" s="193"/>
      <c r="D467" s="194" t="s">
        <v>139</v>
      </c>
      <c r="E467" s="195" t="s">
        <v>19</v>
      </c>
      <c r="F467" s="196" t="s">
        <v>1154</v>
      </c>
      <c r="G467" s="193"/>
      <c r="H467" s="197">
        <v>790</v>
      </c>
      <c r="I467" s="198"/>
      <c r="J467" s="193"/>
      <c r="K467" s="193"/>
      <c r="L467" s="199"/>
      <c r="M467" s="200"/>
      <c r="N467" s="201"/>
      <c r="O467" s="201"/>
      <c r="P467" s="201"/>
      <c r="Q467" s="201"/>
      <c r="R467" s="201"/>
      <c r="S467" s="201"/>
      <c r="T467" s="202"/>
      <c r="AT467" s="203" t="s">
        <v>139</v>
      </c>
      <c r="AU467" s="203" t="s">
        <v>82</v>
      </c>
      <c r="AV467" s="13" t="s">
        <v>82</v>
      </c>
      <c r="AW467" s="13" t="s">
        <v>34</v>
      </c>
      <c r="AX467" s="13" t="s">
        <v>72</v>
      </c>
      <c r="AY467" s="203" t="s">
        <v>128</v>
      </c>
    </row>
    <row r="468" spans="1:65" s="13" customFormat="1" ht="10">
      <c r="B468" s="192"/>
      <c r="C468" s="193"/>
      <c r="D468" s="194" t="s">
        <v>139</v>
      </c>
      <c r="E468" s="195" t="s">
        <v>19</v>
      </c>
      <c r="F468" s="196" t="s">
        <v>1156</v>
      </c>
      <c r="G468" s="193"/>
      <c r="H468" s="197">
        <v>47</v>
      </c>
      <c r="I468" s="198"/>
      <c r="J468" s="193"/>
      <c r="K468" s="193"/>
      <c r="L468" s="199"/>
      <c r="M468" s="200"/>
      <c r="N468" s="201"/>
      <c r="O468" s="201"/>
      <c r="P468" s="201"/>
      <c r="Q468" s="201"/>
      <c r="R468" s="201"/>
      <c r="S468" s="201"/>
      <c r="T468" s="202"/>
      <c r="AT468" s="203" t="s">
        <v>139</v>
      </c>
      <c r="AU468" s="203" t="s">
        <v>82</v>
      </c>
      <c r="AV468" s="13" t="s">
        <v>82</v>
      </c>
      <c r="AW468" s="13" t="s">
        <v>34</v>
      </c>
      <c r="AX468" s="13" t="s">
        <v>72</v>
      </c>
      <c r="AY468" s="203" t="s">
        <v>128</v>
      </c>
    </row>
    <row r="469" spans="1:65" s="13" customFormat="1" ht="10">
      <c r="B469" s="192"/>
      <c r="C469" s="193"/>
      <c r="D469" s="194" t="s">
        <v>139</v>
      </c>
      <c r="E469" s="195" t="s">
        <v>19</v>
      </c>
      <c r="F469" s="196" t="s">
        <v>1158</v>
      </c>
      <c r="G469" s="193"/>
      <c r="H469" s="197">
        <v>29</v>
      </c>
      <c r="I469" s="198"/>
      <c r="J469" s="193"/>
      <c r="K469" s="193"/>
      <c r="L469" s="199"/>
      <c r="M469" s="200"/>
      <c r="N469" s="201"/>
      <c r="O469" s="201"/>
      <c r="P469" s="201"/>
      <c r="Q469" s="201"/>
      <c r="R469" s="201"/>
      <c r="S469" s="201"/>
      <c r="T469" s="202"/>
      <c r="AT469" s="203" t="s">
        <v>139</v>
      </c>
      <c r="AU469" s="203" t="s">
        <v>82</v>
      </c>
      <c r="AV469" s="13" t="s">
        <v>82</v>
      </c>
      <c r="AW469" s="13" t="s">
        <v>34</v>
      </c>
      <c r="AX469" s="13" t="s">
        <v>72</v>
      </c>
      <c r="AY469" s="203" t="s">
        <v>128</v>
      </c>
    </row>
    <row r="470" spans="1:65" s="14" customFormat="1" ht="10">
      <c r="B470" s="204"/>
      <c r="C470" s="205"/>
      <c r="D470" s="194" t="s">
        <v>139</v>
      </c>
      <c r="E470" s="206" t="s">
        <v>19</v>
      </c>
      <c r="F470" s="207" t="s">
        <v>153</v>
      </c>
      <c r="G470" s="205"/>
      <c r="H470" s="208">
        <v>1656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139</v>
      </c>
      <c r="AU470" s="214" t="s">
        <v>82</v>
      </c>
      <c r="AV470" s="14" t="s">
        <v>135</v>
      </c>
      <c r="AW470" s="14" t="s">
        <v>34</v>
      </c>
      <c r="AX470" s="14" t="s">
        <v>80</v>
      </c>
      <c r="AY470" s="214" t="s">
        <v>128</v>
      </c>
    </row>
    <row r="471" spans="1:65" s="13" customFormat="1" ht="10">
      <c r="B471" s="192"/>
      <c r="C471" s="193"/>
      <c r="D471" s="194" t="s">
        <v>139</v>
      </c>
      <c r="E471" s="193"/>
      <c r="F471" s="196" t="s">
        <v>1164</v>
      </c>
      <c r="G471" s="193"/>
      <c r="H471" s="197">
        <v>1821.6</v>
      </c>
      <c r="I471" s="198"/>
      <c r="J471" s="193"/>
      <c r="K471" s="193"/>
      <c r="L471" s="199"/>
      <c r="M471" s="200"/>
      <c r="N471" s="201"/>
      <c r="O471" s="201"/>
      <c r="P471" s="201"/>
      <c r="Q471" s="201"/>
      <c r="R471" s="201"/>
      <c r="S471" s="201"/>
      <c r="T471" s="202"/>
      <c r="AT471" s="203" t="s">
        <v>139</v>
      </c>
      <c r="AU471" s="203" t="s">
        <v>82</v>
      </c>
      <c r="AV471" s="13" t="s">
        <v>82</v>
      </c>
      <c r="AW471" s="13" t="s">
        <v>4</v>
      </c>
      <c r="AX471" s="13" t="s">
        <v>80</v>
      </c>
      <c r="AY471" s="203" t="s">
        <v>128</v>
      </c>
    </row>
    <row r="472" spans="1:65" s="2" customFormat="1" ht="16.5" customHeight="1">
      <c r="A472" s="35"/>
      <c r="B472" s="36"/>
      <c r="C472" s="215" t="s">
        <v>1165</v>
      </c>
      <c r="D472" s="215" t="s">
        <v>414</v>
      </c>
      <c r="E472" s="216" t="s">
        <v>1166</v>
      </c>
      <c r="F472" s="217" t="s">
        <v>1167</v>
      </c>
      <c r="G472" s="218" t="s">
        <v>133</v>
      </c>
      <c r="H472" s="219">
        <v>952.6</v>
      </c>
      <c r="I472" s="220"/>
      <c r="J472" s="221">
        <f>ROUND(I472*H472,2)</f>
        <v>0</v>
      </c>
      <c r="K472" s="217" t="s">
        <v>134</v>
      </c>
      <c r="L472" s="222"/>
      <c r="M472" s="223" t="s">
        <v>19</v>
      </c>
      <c r="N472" s="224" t="s">
        <v>43</v>
      </c>
      <c r="O472" s="65"/>
      <c r="P472" s="183">
        <f>O472*H472</f>
        <v>0</v>
      </c>
      <c r="Q472" s="183">
        <v>5.4000000000000003E-3</v>
      </c>
      <c r="R472" s="183">
        <f>Q472*H472</f>
        <v>5.1440400000000004</v>
      </c>
      <c r="S472" s="183">
        <v>0</v>
      </c>
      <c r="T472" s="184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85" t="s">
        <v>334</v>
      </c>
      <c r="AT472" s="185" t="s">
        <v>414</v>
      </c>
      <c r="AU472" s="185" t="s">
        <v>82</v>
      </c>
      <c r="AY472" s="18" t="s">
        <v>128</v>
      </c>
      <c r="BE472" s="186">
        <f>IF(N472="základní",J472,0)</f>
        <v>0</v>
      </c>
      <c r="BF472" s="186">
        <f>IF(N472="snížená",J472,0)</f>
        <v>0</v>
      </c>
      <c r="BG472" s="186">
        <f>IF(N472="zákl. přenesená",J472,0)</f>
        <v>0</v>
      </c>
      <c r="BH472" s="186">
        <f>IF(N472="sníž. přenesená",J472,0)</f>
        <v>0</v>
      </c>
      <c r="BI472" s="186">
        <f>IF(N472="nulová",J472,0)</f>
        <v>0</v>
      </c>
      <c r="BJ472" s="18" t="s">
        <v>80</v>
      </c>
      <c r="BK472" s="186">
        <f>ROUND(I472*H472,2)</f>
        <v>0</v>
      </c>
      <c r="BL472" s="18" t="s">
        <v>230</v>
      </c>
      <c r="BM472" s="185" t="s">
        <v>1168</v>
      </c>
    </row>
    <row r="473" spans="1:65" s="13" customFormat="1" ht="10">
      <c r="B473" s="192"/>
      <c r="C473" s="193"/>
      <c r="D473" s="194" t="s">
        <v>139</v>
      </c>
      <c r="E473" s="195" t="s">
        <v>19</v>
      </c>
      <c r="F473" s="196" t="s">
        <v>1155</v>
      </c>
      <c r="G473" s="193"/>
      <c r="H473" s="197">
        <v>790</v>
      </c>
      <c r="I473" s="198"/>
      <c r="J473" s="193"/>
      <c r="K473" s="193"/>
      <c r="L473" s="199"/>
      <c r="M473" s="200"/>
      <c r="N473" s="201"/>
      <c r="O473" s="201"/>
      <c r="P473" s="201"/>
      <c r="Q473" s="201"/>
      <c r="R473" s="201"/>
      <c r="S473" s="201"/>
      <c r="T473" s="202"/>
      <c r="AT473" s="203" t="s">
        <v>139</v>
      </c>
      <c r="AU473" s="203" t="s">
        <v>82</v>
      </c>
      <c r="AV473" s="13" t="s">
        <v>82</v>
      </c>
      <c r="AW473" s="13" t="s">
        <v>34</v>
      </c>
      <c r="AX473" s="13" t="s">
        <v>72</v>
      </c>
      <c r="AY473" s="203" t="s">
        <v>128</v>
      </c>
    </row>
    <row r="474" spans="1:65" s="13" customFormat="1" ht="10">
      <c r="B474" s="192"/>
      <c r="C474" s="193"/>
      <c r="D474" s="194" t="s">
        <v>139</v>
      </c>
      <c r="E474" s="195" t="s">
        <v>19</v>
      </c>
      <c r="F474" s="196" t="s">
        <v>1157</v>
      </c>
      <c r="G474" s="193"/>
      <c r="H474" s="197">
        <v>47</v>
      </c>
      <c r="I474" s="198"/>
      <c r="J474" s="193"/>
      <c r="K474" s="193"/>
      <c r="L474" s="199"/>
      <c r="M474" s="200"/>
      <c r="N474" s="201"/>
      <c r="O474" s="201"/>
      <c r="P474" s="201"/>
      <c r="Q474" s="201"/>
      <c r="R474" s="201"/>
      <c r="S474" s="201"/>
      <c r="T474" s="202"/>
      <c r="AT474" s="203" t="s">
        <v>139</v>
      </c>
      <c r="AU474" s="203" t="s">
        <v>82</v>
      </c>
      <c r="AV474" s="13" t="s">
        <v>82</v>
      </c>
      <c r="AW474" s="13" t="s">
        <v>34</v>
      </c>
      <c r="AX474" s="13" t="s">
        <v>72</v>
      </c>
      <c r="AY474" s="203" t="s">
        <v>128</v>
      </c>
    </row>
    <row r="475" spans="1:65" s="13" customFormat="1" ht="10">
      <c r="B475" s="192"/>
      <c r="C475" s="193"/>
      <c r="D475" s="194" t="s">
        <v>139</v>
      </c>
      <c r="E475" s="195" t="s">
        <v>19</v>
      </c>
      <c r="F475" s="196" t="s">
        <v>1159</v>
      </c>
      <c r="G475" s="193"/>
      <c r="H475" s="197">
        <v>29</v>
      </c>
      <c r="I475" s="198"/>
      <c r="J475" s="193"/>
      <c r="K475" s="193"/>
      <c r="L475" s="199"/>
      <c r="M475" s="200"/>
      <c r="N475" s="201"/>
      <c r="O475" s="201"/>
      <c r="P475" s="201"/>
      <c r="Q475" s="201"/>
      <c r="R475" s="201"/>
      <c r="S475" s="201"/>
      <c r="T475" s="202"/>
      <c r="AT475" s="203" t="s">
        <v>139</v>
      </c>
      <c r="AU475" s="203" t="s">
        <v>82</v>
      </c>
      <c r="AV475" s="13" t="s">
        <v>82</v>
      </c>
      <c r="AW475" s="13" t="s">
        <v>34</v>
      </c>
      <c r="AX475" s="13" t="s">
        <v>72</v>
      </c>
      <c r="AY475" s="203" t="s">
        <v>128</v>
      </c>
    </row>
    <row r="476" spans="1:65" s="14" customFormat="1" ht="10">
      <c r="B476" s="204"/>
      <c r="C476" s="205"/>
      <c r="D476" s="194" t="s">
        <v>139</v>
      </c>
      <c r="E476" s="206" t="s">
        <v>19</v>
      </c>
      <c r="F476" s="207" t="s">
        <v>153</v>
      </c>
      <c r="G476" s="205"/>
      <c r="H476" s="208">
        <v>866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139</v>
      </c>
      <c r="AU476" s="214" t="s">
        <v>82</v>
      </c>
      <c r="AV476" s="14" t="s">
        <v>135</v>
      </c>
      <c r="AW476" s="14" t="s">
        <v>34</v>
      </c>
      <c r="AX476" s="14" t="s">
        <v>80</v>
      </c>
      <c r="AY476" s="214" t="s">
        <v>128</v>
      </c>
    </row>
    <row r="477" spans="1:65" s="13" customFormat="1" ht="10">
      <c r="B477" s="192"/>
      <c r="C477" s="193"/>
      <c r="D477" s="194" t="s">
        <v>139</v>
      </c>
      <c r="E477" s="193"/>
      <c r="F477" s="196" t="s">
        <v>1169</v>
      </c>
      <c r="G477" s="193"/>
      <c r="H477" s="197">
        <v>952.6</v>
      </c>
      <c r="I477" s="198"/>
      <c r="J477" s="193"/>
      <c r="K477" s="193"/>
      <c r="L477" s="199"/>
      <c r="M477" s="200"/>
      <c r="N477" s="201"/>
      <c r="O477" s="201"/>
      <c r="P477" s="201"/>
      <c r="Q477" s="201"/>
      <c r="R477" s="201"/>
      <c r="S477" s="201"/>
      <c r="T477" s="202"/>
      <c r="AT477" s="203" t="s">
        <v>139</v>
      </c>
      <c r="AU477" s="203" t="s">
        <v>82</v>
      </c>
      <c r="AV477" s="13" t="s">
        <v>82</v>
      </c>
      <c r="AW477" s="13" t="s">
        <v>4</v>
      </c>
      <c r="AX477" s="13" t="s">
        <v>80</v>
      </c>
      <c r="AY477" s="203" t="s">
        <v>128</v>
      </c>
    </row>
    <row r="478" spans="1:65" s="2" customFormat="1" ht="24.15" customHeight="1">
      <c r="A478" s="35"/>
      <c r="B478" s="36"/>
      <c r="C478" s="174" t="s">
        <v>1170</v>
      </c>
      <c r="D478" s="174" t="s">
        <v>130</v>
      </c>
      <c r="E478" s="175" t="s">
        <v>1171</v>
      </c>
      <c r="F478" s="176" t="s">
        <v>1172</v>
      </c>
      <c r="G478" s="177" t="s">
        <v>133</v>
      </c>
      <c r="H478" s="178">
        <v>1102.4480000000001</v>
      </c>
      <c r="I478" s="179"/>
      <c r="J478" s="180">
        <f>ROUND(I478*H478,2)</f>
        <v>0</v>
      </c>
      <c r="K478" s="176" t="s">
        <v>134</v>
      </c>
      <c r="L478" s="40"/>
      <c r="M478" s="181" t="s">
        <v>19</v>
      </c>
      <c r="N478" s="182" t="s">
        <v>43</v>
      </c>
      <c r="O478" s="65"/>
      <c r="P478" s="183">
        <f>O478*H478</f>
        <v>0</v>
      </c>
      <c r="Q478" s="183">
        <v>0</v>
      </c>
      <c r="R478" s="183">
        <f>Q478*H478</f>
        <v>0</v>
      </c>
      <c r="S478" s="183">
        <v>0</v>
      </c>
      <c r="T478" s="184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85" t="s">
        <v>230</v>
      </c>
      <c r="AT478" s="185" t="s">
        <v>130</v>
      </c>
      <c r="AU478" s="185" t="s">
        <v>82</v>
      </c>
      <c r="AY478" s="18" t="s">
        <v>128</v>
      </c>
      <c r="BE478" s="186">
        <f>IF(N478="základní",J478,0)</f>
        <v>0</v>
      </c>
      <c r="BF478" s="186">
        <f>IF(N478="snížená",J478,0)</f>
        <v>0</v>
      </c>
      <c r="BG478" s="186">
        <f>IF(N478="zákl. přenesená",J478,0)</f>
        <v>0</v>
      </c>
      <c r="BH478" s="186">
        <f>IF(N478="sníž. přenesená",J478,0)</f>
        <v>0</v>
      </c>
      <c r="BI478" s="186">
        <f>IF(N478="nulová",J478,0)</f>
        <v>0</v>
      </c>
      <c r="BJ478" s="18" t="s">
        <v>80</v>
      </c>
      <c r="BK478" s="186">
        <f>ROUND(I478*H478,2)</f>
        <v>0</v>
      </c>
      <c r="BL478" s="18" t="s">
        <v>230</v>
      </c>
      <c r="BM478" s="185" t="s">
        <v>1173</v>
      </c>
    </row>
    <row r="479" spans="1:65" s="2" customFormat="1" ht="10">
      <c r="A479" s="35"/>
      <c r="B479" s="36"/>
      <c r="C479" s="37"/>
      <c r="D479" s="187" t="s">
        <v>137</v>
      </c>
      <c r="E479" s="37"/>
      <c r="F479" s="188" t="s">
        <v>1174</v>
      </c>
      <c r="G479" s="37"/>
      <c r="H479" s="37"/>
      <c r="I479" s="189"/>
      <c r="J479" s="37"/>
      <c r="K479" s="37"/>
      <c r="L479" s="40"/>
      <c r="M479" s="190"/>
      <c r="N479" s="191"/>
      <c r="O479" s="65"/>
      <c r="P479" s="65"/>
      <c r="Q479" s="65"/>
      <c r="R479" s="65"/>
      <c r="S479" s="65"/>
      <c r="T479" s="66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T479" s="18" t="s">
        <v>137</v>
      </c>
      <c r="AU479" s="18" t="s">
        <v>82</v>
      </c>
    </row>
    <row r="480" spans="1:65" s="13" customFormat="1" ht="10">
      <c r="B480" s="192"/>
      <c r="C480" s="193"/>
      <c r="D480" s="194" t="s">
        <v>139</v>
      </c>
      <c r="E480" s="195" t="s">
        <v>19</v>
      </c>
      <c r="F480" s="196" t="s">
        <v>654</v>
      </c>
      <c r="G480" s="193"/>
      <c r="H480" s="197">
        <v>15.648</v>
      </c>
      <c r="I480" s="198"/>
      <c r="J480" s="193"/>
      <c r="K480" s="193"/>
      <c r="L480" s="199"/>
      <c r="M480" s="200"/>
      <c r="N480" s="201"/>
      <c r="O480" s="201"/>
      <c r="P480" s="201"/>
      <c r="Q480" s="201"/>
      <c r="R480" s="201"/>
      <c r="S480" s="201"/>
      <c r="T480" s="202"/>
      <c r="AT480" s="203" t="s">
        <v>139</v>
      </c>
      <c r="AU480" s="203" t="s">
        <v>82</v>
      </c>
      <c r="AV480" s="13" t="s">
        <v>82</v>
      </c>
      <c r="AW480" s="13" t="s">
        <v>34</v>
      </c>
      <c r="AX480" s="13" t="s">
        <v>72</v>
      </c>
      <c r="AY480" s="203" t="s">
        <v>128</v>
      </c>
    </row>
    <row r="481" spans="1:65" s="13" customFormat="1" ht="10">
      <c r="B481" s="192"/>
      <c r="C481" s="193"/>
      <c r="D481" s="194" t="s">
        <v>139</v>
      </c>
      <c r="E481" s="195" t="s">
        <v>19</v>
      </c>
      <c r="F481" s="196" t="s">
        <v>1175</v>
      </c>
      <c r="G481" s="193"/>
      <c r="H481" s="197">
        <v>1086.8</v>
      </c>
      <c r="I481" s="198"/>
      <c r="J481" s="193"/>
      <c r="K481" s="193"/>
      <c r="L481" s="199"/>
      <c r="M481" s="200"/>
      <c r="N481" s="201"/>
      <c r="O481" s="201"/>
      <c r="P481" s="201"/>
      <c r="Q481" s="201"/>
      <c r="R481" s="201"/>
      <c r="S481" s="201"/>
      <c r="T481" s="202"/>
      <c r="AT481" s="203" t="s">
        <v>139</v>
      </c>
      <c r="AU481" s="203" t="s">
        <v>82</v>
      </c>
      <c r="AV481" s="13" t="s">
        <v>82</v>
      </c>
      <c r="AW481" s="13" t="s">
        <v>34</v>
      </c>
      <c r="AX481" s="13" t="s">
        <v>72</v>
      </c>
      <c r="AY481" s="203" t="s">
        <v>128</v>
      </c>
    </row>
    <row r="482" spans="1:65" s="14" customFormat="1" ht="10">
      <c r="B482" s="204"/>
      <c r="C482" s="205"/>
      <c r="D482" s="194" t="s">
        <v>139</v>
      </c>
      <c r="E482" s="206" t="s">
        <v>19</v>
      </c>
      <c r="F482" s="207" t="s">
        <v>153</v>
      </c>
      <c r="G482" s="205"/>
      <c r="H482" s="208">
        <v>1102.4479999999999</v>
      </c>
      <c r="I482" s="209"/>
      <c r="J482" s="205"/>
      <c r="K482" s="205"/>
      <c r="L482" s="210"/>
      <c r="M482" s="211"/>
      <c r="N482" s="212"/>
      <c r="O482" s="212"/>
      <c r="P482" s="212"/>
      <c r="Q482" s="212"/>
      <c r="R482" s="212"/>
      <c r="S482" s="212"/>
      <c r="T482" s="213"/>
      <c r="AT482" s="214" t="s">
        <v>139</v>
      </c>
      <c r="AU482" s="214" t="s">
        <v>82</v>
      </c>
      <c r="AV482" s="14" t="s">
        <v>135</v>
      </c>
      <c r="AW482" s="14" t="s">
        <v>34</v>
      </c>
      <c r="AX482" s="14" t="s">
        <v>80</v>
      </c>
      <c r="AY482" s="214" t="s">
        <v>128</v>
      </c>
    </row>
    <row r="483" spans="1:65" s="2" customFormat="1" ht="16.5" customHeight="1">
      <c r="A483" s="35"/>
      <c r="B483" s="36"/>
      <c r="C483" s="215" t="s">
        <v>1176</v>
      </c>
      <c r="D483" s="215" t="s">
        <v>414</v>
      </c>
      <c r="E483" s="216" t="s">
        <v>1177</v>
      </c>
      <c r="F483" s="217" t="s">
        <v>1178</v>
      </c>
      <c r="G483" s="218" t="s">
        <v>133</v>
      </c>
      <c r="H483" s="219">
        <v>1284.903</v>
      </c>
      <c r="I483" s="220"/>
      <c r="J483" s="221">
        <f>ROUND(I483*H483,2)</f>
        <v>0</v>
      </c>
      <c r="K483" s="217" t="s">
        <v>134</v>
      </c>
      <c r="L483" s="222"/>
      <c r="M483" s="223" t="s">
        <v>19</v>
      </c>
      <c r="N483" s="224" t="s">
        <v>43</v>
      </c>
      <c r="O483" s="65"/>
      <c r="P483" s="183">
        <f>O483*H483</f>
        <v>0</v>
      </c>
      <c r="Q483" s="183">
        <v>4.0000000000000002E-4</v>
      </c>
      <c r="R483" s="183">
        <f>Q483*H483</f>
        <v>0.51396120000000001</v>
      </c>
      <c r="S483" s="183">
        <v>0</v>
      </c>
      <c r="T483" s="184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85" t="s">
        <v>334</v>
      </c>
      <c r="AT483" s="185" t="s">
        <v>414</v>
      </c>
      <c r="AU483" s="185" t="s">
        <v>82</v>
      </c>
      <c r="AY483" s="18" t="s">
        <v>128</v>
      </c>
      <c r="BE483" s="186">
        <f>IF(N483="základní",J483,0)</f>
        <v>0</v>
      </c>
      <c r="BF483" s="186">
        <f>IF(N483="snížená",J483,0)</f>
        <v>0</v>
      </c>
      <c r="BG483" s="186">
        <f>IF(N483="zákl. přenesená",J483,0)</f>
        <v>0</v>
      </c>
      <c r="BH483" s="186">
        <f>IF(N483="sníž. přenesená",J483,0)</f>
        <v>0</v>
      </c>
      <c r="BI483" s="186">
        <f>IF(N483="nulová",J483,0)</f>
        <v>0</v>
      </c>
      <c r="BJ483" s="18" t="s">
        <v>80</v>
      </c>
      <c r="BK483" s="186">
        <f>ROUND(I483*H483,2)</f>
        <v>0</v>
      </c>
      <c r="BL483" s="18" t="s">
        <v>230</v>
      </c>
      <c r="BM483" s="185" t="s">
        <v>1179</v>
      </c>
    </row>
    <row r="484" spans="1:65" s="13" customFormat="1" ht="10">
      <c r="B484" s="192"/>
      <c r="C484" s="193"/>
      <c r="D484" s="194" t="s">
        <v>139</v>
      </c>
      <c r="E484" s="193"/>
      <c r="F484" s="196" t="s">
        <v>1180</v>
      </c>
      <c r="G484" s="193"/>
      <c r="H484" s="197">
        <v>1284.903</v>
      </c>
      <c r="I484" s="198"/>
      <c r="J484" s="193"/>
      <c r="K484" s="193"/>
      <c r="L484" s="199"/>
      <c r="M484" s="200"/>
      <c r="N484" s="201"/>
      <c r="O484" s="201"/>
      <c r="P484" s="201"/>
      <c r="Q484" s="201"/>
      <c r="R484" s="201"/>
      <c r="S484" s="201"/>
      <c r="T484" s="202"/>
      <c r="AT484" s="203" t="s">
        <v>139</v>
      </c>
      <c r="AU484" s="203" t="s">
        <v>82</v>
      </c>
      <c r="AV484" s="13" t="s">
        <v>82</v>
      </c>
      <c r="AW484" s="13" t="s">
        <v>4</v>
      </c>
      <c r="AX484" s="13" t="s">
        <v>80</v>
      </c>
      <c r="AY484" s="203" t="s">
        <v>128</v>
      </c>
    </row>
    <row r="485" spans="1:65" s="2" customFormat="1" ht="24.15" customHeight="1">
      <c r="A485" s="35"/>
      <c r="B485" s="36"/>
      <c r="C485" s="174" t="s">
        <v>1181</v>
      </c>
      <c r="D485" s="174" t="s">
        <v>130</v>
      </c>
      <c r="E485" s="175" t="s">
        <v>1182</v>
      </c>
      <c r="F485" s="176" t="s">
        <v>1183</v>
      </c>
      <c r="G485" s="177" t="s">
        <v>426</v>
      </c>
      <c r="H485" s="225"/>
      <c r="I485" s="179"/>
      <c r="J485" s="180">
        <f>ROUND(I485*H485,2)</f>
        <v>0</v>
      </c>
      <c r="K485" s="176" t="s">
        <v>134</v>
      </c>
      <c r="L485" s="40"/>
      <c r="M485" s="181" t="s">
        <v>19</v>
      </c>
      <c r="N485" s="182" t="s">
        <v>43</v>
      </c>
      <c r="O485" s="65"/>
      <c r="P485" s="183">
        <f>O485*H485</f>
        <v>0</v>
      </c>
      <c r="Q485" s="183">
        <v>0</v>
      </c>
      <c r="R485" s="183">
        <f>Q485*H485</f>
        <v>0</v>
      </c>
      <c r="S485" s="183">
        <v>0</v>
      </c>
      <c r="T485" s="184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85" t="s">
        <v>230</v>
      </c>
      <c r="AT485" s="185" t="s">
        <v>130</v>
      </c>
      <c r="AU485" s="185" t="s">
        <v>82</v>
      </c>
      <c r="AY485" s="18" t="s">
        <v>128</v>
      </c>
      <c r="BE485" s="186">
        <f>IF(N485="základní",J485,0)</f>
        <v>0</v>
      </c>
      <c r="BF485" s="186">
        <f>IF(N485="snížená",J485,0)</f>
        <v>0</v>
      </c>
      <c r="BG485" s="186">
        <f>IF(N485="zákl. přenesená",J485,0)</f>
        <v>0</v>
      </c>
      <c r="BH485" s="186">
        <f>IF(N485="sníž. přenesená",J485,0)</f>
        <v>0</v>
      </c>
      <c r="BI485" s="186">
        <f>IF(N485="nulová",J485,0)</f>
        <v>0</v>
      </c>
      <c r="BJ485" s="18" t="s">
        <v>80</v>
      </c>
      <c r="BK485" s="186">
        <f>ROUND(I485*H485,2)</f>
        <v>0</v>
      </c>
      <c r="BL485" s="18" t="s">
        <v>230</v>
      </c>
      <c r="BM485" s="185" t="s">
        <v>1184</v>
      </c>
    </row>
    <row r="486" spans="1:65" s="2" customFormat="1" ht="10">
      <c r="A486" s="35"/>
      <c r="B486" s="36"/>
      <c r="C486" s="37"/>
      <c r="D486" s="187" t="s">
        <v>137</v>
      </c>
      <c r="E486" s="37"/>
      <c r="F486" s="188" t="s">
        <v>1185</v>
      </c>
      <c r="G486" s="37"/>
      <c r="H486" s="37"/>
      <c r="I486" s="189"/>
      <c r="J486" s="37"/>
      <c r="K486" s="37"/>
      <c r="L486" s="40"/>
      <c r="M486" s="190"/>
      <c r="N486" s="191"/>
      <c r="O486" s="65"/>
      <c r="P486" s="65"/>
      <c r="Q486" s="65"/>
      <c r="R486" s="65"/>
      <c r="S486" s="65"/>
      <c r="T486" s="66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137</v>
      </c>
      <c r="AU486" s="18" t="s">
        <v>82</v>
      </c>
    </row>
    <row r="487" spans="1:65" s="12" customFormat="1" ht="22.75" customHeight="1">
      <c r="B487" s="158"/>
      <c r="C487" s="159"/>
      <c r="D487" s="160" t="s">
        <v>71</v>
      </c>
      <c r="E487" s="172" t="s">
        <v>429</v>
      </c>
      <c r="F487" s="172" t="s">
        <v>430</v>
      </c>
      <c r="G487" s="159"/>
      <c r="H487" s="159"/>
      <c r="I487" s="162"/>
      <c r="J487" s="173">
        <f>BK487</f>
        <v>0</v>
      </c>
      <c r="K487" s="159"/>
      <c r="L487" s="164"/>
      <c r="M487" s="165"/>
      <c r="N487" s="166"/>
      <c r="O487" s="166"/>
      <c r="P487" s="167">
        <f>SUM(P488:P490)</f>
        <v>0</v>
      </c>
      <c r="Q487" s="166"/>
      <c r="R487" s="167">
        <f>SUM(R488:R490)</f>
        <v>0</v>
      </c>
      <c r="S487" s="166"/>
      <c r="T487" s="168">
        <f>SUM(T488:T490)</f>
        <v>0</v>
      </c>
      <c r="AR487" s="169" t="s">
        <v>82</v>
      </c>
      <c r="AT487" s="170" t="s">
        <v>71</v>
      </c>
      <c r="AU487" s="170" t="s">
        <v>80</v>
      </c>
      <c r="AY487" s="169" t="s">
        <v>128</v>
      </c>
      <c r="BK487" s="171">
        <f>SUM(BK488:BK490)</f>
        <v>0</v>
      </c>
    </row>
    <row r="488" spans="1:65" s="2" customFormat="1" ht="16.5" customHeight="1">
      <c r="A488" s="35"/>
      <c r="B488" s="36"/>
      <c r="C488" s="174" t="s">
        <v>1186</v>
      </c>
      <c r="D488" s="174" t="s">
        <v>130</v>
      </c>
      <c r="E488" s="175" t="s">
        <v>432</v>
      </c>
      <c r="F488" s="176" t="s">
        <v>1187</v>
      </c>
      <c r="G488" s="177" t="s">
        <v>192</v>
      </c>
      <c r="H488" s="178">
        <v>1</v>
      </c>
      <c r="I488" s="179">
        <f>zdravotechnika!J150</f>
        <v>0</v>
      </c>
      <c r="J488" s="180">
        <f>ROUND(I488*H488,2)</f>
        <v>0</v>
      </c>
      <c r="K488" s="176" t="s">
        <v>19</v>
      </c>
      <c r="L488" s="40"/>
      <c r="M488" s="181" t="s">
        <v>19</v>
      </c>
      <c r="N488" s="182" t="s">
        <v>43</v>
      </c>
      <c r="O488" s="65"/>
      <c r="P488" s="183">
        <f>O488*H488</f>
        <v>0</v>
      </c>
      <c r="Q488" s="183">
        <v>0</v>
      </c>
      <c r="R488" s="183">
        <f>Q488*H488</f>
        <v>0</v>
      </c>
      <c r="S488" s="183">
        <v>0</v>
      </c>
      <c r="T488" s="184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85" t="s">
        <v>230</v>
      </c>
      <c r="AT488" s="185" t="s">
        <v>130</v>
      </c>
      <c r="AU488" s="185" t="s">
        <v>82</v>
      </c>
      <c r="AY488" s="18" t="s">
        <v>128</v>
      </c>
      <c r="BE488" s="186">
        <f>IF(N488="základní",J488,0)</f>
        <v>0</v>
      </c>
      <c r="BF488" s="186">
        <f>IF(N488="snížená",J488,0)</f>
        <v>0</v>
      </c>
      <c r="BG488" s="186">
        <f>IF(N488="zákl. přenesená",J488,0)</f>
        <v>0</v>
      </c>
      <c r="BH488" s="186">
        <f>IF(N488="sníž. přenesená",J488,0)</f>
        <v>0</v>
      </c>
      <c r="BI488" s="186">
        <f>IF(N488="nulová",J488,0)</f>
        <v>0</v>
      </c>
      <c r="BJ488" s="18" t="s">
        <v>80</v>
      </c>
      <c r="BK488" s="186">
        <f>ROUND(I488*H488,2)</f>
        <v>0</v>
      </c>
      <c r="BL488" s="18" t="s">
        <v>230</v>
      </c>
      <c r="BM488" s="185" t="s">
        <v>1188</v>
      </c>
    </row>
    <row r="489" spans="1:65" s="2" customFormat="1" ht="16.5" customHeight="1">
      <c r="A489" s="35"/>
      <c r="B489" s="36"/>
      <c r="C489" s="174" t="s">
        <v>1189</v>
      </c>
      <c r="D489" s="174" t="s">
        <v>130</v>
      </c>
      <c r="E489" s="175" t="s">
        <v>1190</v>
      </c>
      <c r="F489" s="176" t="s">
        <v>1191</v>
      </c>
      <c r="G489" s="177" t="s">
        <v>192</v>
      </c>
      <c r="H489" s="178">
        <v>1</v>
      </c>
      <c r="I489" s="179">
        <f>plyn!H15</f>
        <v>0</v>
      </c>
      <c r="J489" s="180">
        <f>ROUND(I489*H489,2)</f>
        <v>0</v>
      </c>
      <c r="K489" s="176" t="s">
        <v>19</v>
      </c>
      <c r="L489" s="40"/>
      <c r="M489" s="181" t="s">
        <v>19</v>
      </c>
      <c r="N489" s="182" t="s">
        <v>43</v>
      </c>
      <c r="O489" s="65"/>
      <c r="P489" s="183">
        <f>O489*H489</f>
        <v>0</v>
      </c>
      <c r="Q489" s="183">
        <v>0</v>
      </c>
      <c r="R489" s="183">
        <f>Q489*H489</f>
        <v>0</v>
      </c>
      <c r="S489" s="183">
        <v>0</v>
      </c>
      <c r="T489" s="184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85" t="s">
        <v>230</v>
      </c>
      <c r="AT489" s="185" t="s">
        <v>130</v>
      </c>
      <c r="AU489" s="185" t="s">
        <v>82</v>
      </c>
      <c r="AY489" s="18" t="s">
        <v>128</v>
      </c>
      <c r="BE489" s="186">
        <f>IF(N489="základní",J489,0)</f>
        <v>0</v>
      </c>
      <c r="BF489" s="186">
        <f>IF(N489="snížená",J489,0)</f>
        <v>0</v>
      </c>
      <c r="BG489" s="186">
        <f>IF(N489="zákl. přenesená",J489,0)</f>
        <v>0</v>
      </c>
      <c r="BH489" s="186">
        <f>IF(N489="sníž. přenesená",J489,0)</f>
        <v>0</v>
      </c>
      <c r="BI489" s="186">
        <f>IF(N489="nulová",J489,0)</f>
        <v>0</v>
      </c>
      <c r="BJ489" s="18" t="s">
        <v>80</v>
      </c>
      <c r="BK489" s="186">
        <f>ROUND(I489*H489,2)</f>
        <v>0</v>
      </c>
      <c r="BL489" s="18" t="s">
        <v>230</v>
      </c>
      <c r="BM489" s="185" t="s">
        <v>1192</v>
      </c>
    </row>
    <row r="490" spans="1:65" s="2" customFormat="1" ht="16.5" customHeight="1">
      <c r="A490" s="35"/>
      <c r="B490" s="36"/>
      <c r="C490" s="174" t="s">
        <v>1193</v>
      </c>
      <c r="D490" s="174" t="s">
        <v>130</v>
      </c>
      <c r="E490" s="175" t="s">
        <v>1194</v>
      </c>
      <c r="F490" s="176" t="s">
        <v>1195</v>
      </c>
      <c r="G490" s="177" t="s">
        <v>426</v>
      </c>
      <c r="H490" s="225"/>
      <c r="I490" s="179"/>
      <c r="J490" s="180">
        <f>ROUND(I490*H490,2)</f>
        <v>0</v>
      </c>
      <c r="K490" s="176" t="s">
        <v>19</v>
      </c>
      <c r="L490" s="40"/>
      <c r="M490" s="181" t="s">
        <v>19</v>
      </c>
      <c r="N490" s="182" t="s">
        <v>43</v>
      </c>
      <c r="O490" s="65"/>
      <c r="P490" s="183">
        <f>O490*H490</f>
        <v>0</v>
      </c>
      <c r="Q490" s="183">
        <v>0</v>
      </c>
      <c r="R490" s="183">
        <f>Q490*H490</f>
        <v>0</v>
      </c>
      <c r="S490" s="183">
        <v>0</v>
      </c>
      <c r="T490" s="184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85" t="s">
        <v>230</v>
      </c>
      <c r="AT490" s="185" t="s">
        <v>130</v>
      </c>
      <c r="AU490" s="185" t="s">
        <v>82</v>
      </c>
      <c r="AY490" s="18" t="s">
        <v>128</v>
      </c>
      <c r="BE490" s="186">
        <f>IF(N490="základní",J490,0)</f>
        <v>0</v>
      </c>
      <c r="BF490" s="186">
        <f>IF(N490="snížená",J490,0)</f>
        <v>0</v>
      </c>
      <c r="BG490" s="186">
        <f>IF(N490="zákl. přenesená",J490,0)</f>
        <v>0</v>
      </c>
      <c r="BH490" s="186">
        <f>IF(N490="sníž. přenesená",J490,0)</f>
        <v>0</v>
      </c>
      <c r="BI490" s="186">
        <f>IF(N490="nulová",J490,0)</f>
        <v>0</v>
      </c>
      <c r="BJ490" s="18" t="s">
        <v>80</v>
      </c>
      <c r="BK490" s="186">
        <f>ROUND(I490*H490,2)</f>
        <v>0</v>
      </c>
      <c r="BL490" s="18" t="s">
        <v>230</v>
      </c>
      <c r="BM490" s="185" t="s">
        <v>1196</v>
      </c>
    </row>
    <row r="491" spans="1:65" s="12" customFormat="1" ht="22.75" customHeight="1">
      <c r="B491" s="158"/>
      <c r="C491" s="159"/>
      <c r="D491" s="160" t="s">
        <v>71</v>
      </c>
      <c r="E491" s="172" t="s">
        <v>435</v>
      </c>
      <c r="F491" s="172" t="s">
        <v>436</v>
      </c>
      <c r="G491" s="159"/>
      <c r="H491" s="159"/>
      <c r="I491" s="162"/>
      <c r="J491" s="173">
        <f>BK491</f>
        <v>0</v>
      </c>
      <c r="K491" s="159"/>
      <c r="L491" s="164"/>
      <c r="M491" s="165"/>
      <c r="N491" s="166"/>
      <c r="O491" s="166"/>
      <c r="P491" s="167">
        <f>SUM(P492:P493)</f>
        <v>0</v>
      </c>
      <c r="Q491" s="166"/>
      <c r="R491" s="167">
        <f>SUM(R492:R493)</f>
        <v>0</v>
      </c>
      <c r="S491" s="166"/>
      <c r="T491" s="168">
        <f>SUM(T492:T493)</f>
        <v>0</v>
      </c>
      <c r="AR491" s="169" t="s">
        <v>82</v>
      </c>
      <c r="AT491" s="170" t="s">
        <v>71</v>
      </c>
      <c r="AU491" s="170" t="s">
        <v>80</v>
      </c>
      <c r="AY491" s="169" t="s">
        <v>128</v>
      </c>
      <c r="BK491" s="171">
        <f>SUM(BK492:BK493)</f>
        <v>0</v>
      </c>
    </row>
    <row r="492" spans="1:65" s="2" customFormat="1" ht="16.5" customHeight="1">
      <c r="A492" s="35"/>
      <c r="B492" s="36"/>
      <c r="C492" s="174" t="s">
        <v>1197</v>
      </c>
      <c r="D492" s="174" t="s">
        <v>130</v>
      </c>
      <c r="E492" s="175" t="s">
        <v>438</v>
      </c>
      <c r="F492" s="176" t="s">
        <v>1198</v>
      </c>
      <c r="G492" s="177" t="s">
        <v>192</v>
      </c>
      <c r="H492" s="178">
        <v>1</v>
      </c>
      <c r="I492" s="179">
        <f>vytapeni!I113</f>
        <v>0</v>
      </c>
      <c r="J492" s="180">
        <f>ROUND(I492*H492,2)</f>
        <v>0</v>
      </c>
      <c r="K492" s="176" t="s">
        <v>19</v>
      </c>
      <c r="L492" s="40"/>
      <c r="M492" s="181" t="s">
        <v>19</v>
      </c>
      <c r="N492" s="182" t="s">
        <v>43</v>
      </c>
      <c r="O492" s="65"/>
      <c r="P492" s="183">
        <f>O492*H492</f>
        <v>0</v>
      </c>
      <c r="Q492" s="183">
        <v>0</v>
      </c>
      <c r="R492" s="183">
        <f>Q492*H492</f>
        <v>0</v>
      </c>
      <c r="S492" s="183">
        <v>0</v>
      </c>
      <c r="T492" s="184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85" t="s">
        <v>230</v>
      </c>
      <c r="AT492" s="185" t="s">
        <v>130</v>
      </c>
      <c r="AU492" s="185" t="s">
        <v>82</v>
      </c>
      <c r="AY492" s="18" t="s">
        <v>128</v>
      </c>
      <c r="BE492" s="186">
        <f>IF(N492="základní",J492,0)</f>
        <v>0</v>
      </c>
      <c r="BF492" s="186">
        <f>IF(N492="snížená",J492,0)</f>
        <v>0</v>
      </c>
      <c r="BG492" s="186">
        <f>IF(N492="zákl. přenesená",J492,0)</f>
        <v>0</v>
      </c>
      <c r="BH492" s="186">
        <f>IF(N492="sníž. přenesená",J492,0)</f>
        <v>0</v>
      </c>
      <c r="BI492" s="186">
        <f>IF(N492="nulová",J492,0)</f>
        <v>0</v>
      </c>
      <c r="BJ492" s="18" t="s">
        <v>80</v>
      </c>
      <c r="BK492" s="186">
        <f>ROUND(I492*H492,2)</f>
        <v>0</v>
      </c>
      <c r="BL492" s="18" t="s">
        <v>230</v>
      </c>
      <c r="BM492" s="185" t="s">
        <v>1199</v>
      </c>
    </row>
    <row r="493" spans="1:65" s="2" customFormat="1" ht="16.5" customHeight="1">
      <c r="A493" s="35"/>
      <c r="B493" s="36"/>
      <c r="C493" s="174" t="s">
        <v>1200</v>
      </c>
      <c r="D493" s="174" t="s">
        <v>130</v>
      </c>
      <c r="E493" s="175" t="s">
        <v>1201</v>
      </c>
      <c r="F493" s="176" t="s">
        <v>1195</v>
      </c>
      <c r="G493" s="177" t="s">
        <v>426</v>
      </c>
      <c r="H493" s="225"/>
      <c r="I493" s="179"/>
      <c r="J493" s="180">
        <f>ROUND(I493*H493,2)</f>
        <v>0</v>
      </c>
      <c r="K493" s="176" t="s">
        <v>19</v>
      </c>
      <c r="L493" s="40"/>
      <c r="M493" s="181" t="s">
        <v>19</v>
      </c>
      <c r="N493" s="182" t="s">
        <v>43</v>
      </c>
      <c r="O493" s="65"/>
      <c r="P493" s="183">
        <f>O493*H493</f>
        <v>0</v>
      </c>
      <c r="Q493" s="183">
        <v>0</v>
      </c>
      <c r="R493" s="183">
        <f>Q493*H493</f>
        <v>0</v>
      </c>
      <c r="S493" s="183">
        <v>0</v>
      </c>
      <c r="T493" s="184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185" t="s">
        <v>230</v>
      </c>
      <c r="AT493" s="185" t="s">
        <v>130</v>
      </c>
      <c r="AU493" s="185" t="s">
        <v>82</v>
      </c>
      <c r="AY493" s="18" t="s">
        <v>128</v>
      </c>
      <c r="BE493" s="186">
        <f>IF(N493="základní",J493,0)</f>
        <v>0</v>
      </c>
      <c r="BF493" s="186">
        <f>IF(N493="snížená",J493,0)</f>
        <v>0</v>
      </c>
      <c r="BG493" s="186">
        <f>IF(N493="zákl. přenesená",J493,0)</f>
        <v>0</v>
      </c>
      <c r="BH493" s="186">
        <f>IF(N493="sníž. přenesená",J493,0)</f>
        <v>0</v>
      </c>
      <c r="BI493" s="186">
        <f>IF(N493="nulová",J493,0)</f>
        <v>0</v>
      </c>
      <c r="BJ493" s="18" t="s">
        <v>80</v>
      </c>
      <c r="BK493" s="186">
        <f>ROUND(I493*H493,2)</f>
        <v>0</v>
      </c>
      <c r="BL493" s="18" t="s">
        <v>230</v>
      </c>
      <c r="BM493" s="185" t="s">
        <v>1202</v>
      </c>
    </row>
    <row r="494" spans="1:65" s="12" customFormat="1" ht="22.75" customHeight="1">
      <c r="B494" s="158"/>
      <c r="C494" s="159"/>
      <c r="D494" s="160" t="s">
        <v>71</v>
      </c>
      <c r="E494" s="172" t="s">
        <v>441</v>
      </c>
      <c r="F494" s="172" t="s">
        <v>1203</v>
      </c>
      <c r="G494" s="159"/>
      <c r="H494" s="159"/>
      <c r="I494" s="162"/>
      <c r="J494" s="173">
        <f>BK494</f>
        <v>0</v>
      </c>
      <c r="K494" s="159"/>
      <c r="L494" s="164"/>
      <c r="M494" s="165"/>
      <c r="N494" s="166"/>
      <c r="O494" s="166"/>
      <c r="P494" s="167">
        <f>SUM(P495:P498)</f>
        <v>0</v>
      </c>
      <c r="Q494" s="166"/>
      <c r="R494" s="167">
        <f>SUM(R495:R498)</f>
        <v>0</v>
      </c>
      <c r="S494" s="166"/>
      <c r="T494" s="168">
        <f>SUM(T495:T498)</f>
        <v>0</v>
      </c>
      <c r="AR494" s="169" t="s">
        <v>82</v>
      </c>
      <c r="AT494" s="170" t="s">
        <v>71</v>
      </c>
      <c r="AU494" s="170" t="s">
        <v>80</v>
      </c>
      <c r="AY494" s="169" t="s">
        <v>128</v>
      </c>
      <c r="BK494" s="171">
        <f>SUM(BK495:BK498)</f>
        <v>0</v>
      </c>
    </row>
    <row r="495" spans="1:65" s="2" customFormat="1" ht="16.5" customHeight="1">
      <c r="A495" s="35"/>
      <c r="B495" s="36"/>
      <c r="C495" s="174" t="s">
        <v>1204</v>
      </c>
      <c r="D495" s="174" t="s">
        <v>130</v>
      </c>
      <c r="E495" s="175" t="s">
        <v>444</v>
      </c>
      <c r="F495" s="176" t="s">
        <v>1205</v>
      </c>
      <c r="G495" s="177" t="s">
        <v>192</v>
      </c>
      <c r="H495" s="178">
        <v>1</v>
      </c>
      <c r="I495" s="179">
        <f>elektroinstalace!F113</f>
        <v>0</v>
      </c>
      <c r="J495" s="180">
        <f>ROUND(I495*H495,2)</f>
        <v>0</v>
      </c>
      <c r="K495" s="176" t="s">
        <v>19</v>
      </c>
      <c r="L495" s="40"/>
      <c r="M495" s="181" t="s">
        <v>19</v>
      </c>
      <c r="N495" s="182" t="s">
        <v>43</v>
      </c>
      <c r="O495" s="65"/>
      <c r="P495" s="183">
        <f>O495*H495</f>
        <v>0</v>
      </c>
      <c r="Q495" s="183">
        <v>0</v>
      </c>
      <c r="R495" s="183">
        <f>Q495*H495</f>
        <v>0</v>
      </c>
      <c r="S495" s="183">
        <v>0</v>
      </c>
      <c r="T495" s="184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185" t="s">
        <v>230</v>
      </c>
      <c r="AT495" s="185" t="s">
        <v>130</v>
      </c>
      <c r="AU495" s="185" t="s">
        <v>82</v>
      </c>
      <c r="AY495" s="18" t="s">
        <v>128</v>
      </c>
      <c r="BE495" s="186">
        <f>IF(N495="základní",J495,0)</f>
        <v>0</v>
      </c>
      <c r="BF495" s="186">
        <f>IF(N495="snížená",J495,0)</f>
        <v>0</v>
      </c>
      <c r="BG495" s="186">
        <f>IF(N495="zákl. přenesená",J495,0)</f>
        <v>0</v>
      </c>
      <c r="BH495" s="186">
        <f>IF(N495="sníž. přenesená",J495,0)</f>
        <v>0</v>
      </c>
      <c r="BI495" s="186">
        <f>IF(N495="nulová",J495,0)</f>
        <v>0</v>
      </c>
      <c r="BJ495" s="18" t="s">
        <v>80</v>
      </c>
      <c r="BK495" s="186">
        <f>ROUND(I495*H495,2)</f>
        <v>0</v>
      </c>
      <c r="BL495" s="18" t="s">
        <v>230</v>
      </c>
      <c r="BM495" s="185" t="s">
        <v>1206</v>
      </c>
    </row>
    <row r="496" spans="1:65" s="2" customFormat="1" ht="16.5" customHeight="1">
      <c r="A496" s="35"/>
      <c r="B496" s="36"/>
      <c r="C496" s="174" t="s">
        <v>1207</v>
      </c>
      <c r="D496" s="174" t="s">
        <v>130</v>
      </c>
      <c r="E496" s="175" t="s">
        <v>448</v>
      </c>
      <c r="F496" s="176" t="s">
        <v>1208</v>
      </c>
      <c r="G496" s="177" t="s">
        <v>192</v>
      </c>
      <c r="H496" s="178">
        <v>1</v>
      </c>
      <c r="I496" s="179">
        <f>slaboproud!E128</f>
        <v>0</v>
      </c>
      <c r="J496" s="180">
        <f>ROUND(I496*H496,2)</f>
        <v>0</v>
      </c>
      <c r="K496" s="176" t="s">
        <v>19</v>
      </c>
      <c r="L496" s="40"/>
      <c r="M496" s="181" t="s">
        <v>19</v>
      </c>
      <c r="N496" s="182" t="s">
        <v>43</v>
      </c>
      <c r="O496" s="65"/>
      <c r="P496" s="183">
        <f>O496*H496</f>
        <v>0</v>
      </c>
      <c r="Q496" s="183">
        <v>0</v>
      </c>
      <c r="R496" s="183">
        <f>Q496*H496</f>
        <v>0</v>
      </c>
      <c r="S496" s="183">
        <v>0</v>
      </c>
      <c r="T496" s="184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85" t="s">
        <v>230</v>
      </c>
      <c r="AT496" s="185" t="s">
        <v>130</v>
      </c>
      <c r="AU496" s="185" t="s">
        <v>82</v>
      </c>
      <c r="AY496" s="18" t="s">
        <v>128</v>
      </c>
      <c r="BE496" s="186">
        <f>IF(N496="základní",J496,0)</f>
        <v>0</v>
      </c>
      <c r="BF496" s="186">
        <f>IF(N496="snížená",J496,0)</f>
        <v>0</v>
      </c>
      <c r="BG496" s="186">
        <f>IF(N496="zákl. přenesená",J496,0)</f>
        <v>0</v>
      </c>
      <c r="BH496" s="186">
        <f>IF(N496="sníž. přenesená",J496,0)</f>
        <v>0</v>
      </c>
      <c r="BI496" s="186">
        <f>IF(N496="nulová",J496,0)</f>
        <v>0</v>
      </c>
      <c r="BJ496" s="18" t="s">
        <v>80</v>
      </c>
      <c r="BK496" s="186">
        <f>ROUND(I496*H496,2)</f>
        <v>0</v>
      </c>
      <c r="BL496" s="18" t="s">
        <v>230</v>
      </c>
      <c r="BM496" s="185" t="s">
        <v>1209</v>
      </c>
    </row>
    <row r="497" spans="1:65" s="2" customFormat="1" ht="16.5" customHeight="1">
      <c r="A497" s="35"/>
      <c r="B497" s="36"/>
      <c r="C497" s="174" t="s">
        <v>1210</v>
      </c>
      <c r="D497" s="174" t="s">
        <v>130</v>
      </c>
      <c r="E497" s="175" t="s">
        <v>1211</v>
      </c>
      <c r="F497" s="176" t="s">
        <v>1195</v>
      </c>
      <c r="G497" s="177" t="s">
        <v>426</v>
      </c>
      <c r="H497" s="225"/>
      <c r="I497" s="179"/>
      <c r="J497" s="180">
        <f>ROUND(I497*H497,2)</f>
        <v>0</v>
      </c>
      <c r="K497" s="176" t="s">
        <v>19</v>
      </c>
      <c r="L497" s="40"/>
      <c r="M497" s="181" t="s">
        <v>19</v>
      </c>
      <c r="N497" s="182" t="s">
        <v>43</v>
      </c>
      <c r="O497" s="65"/>
      <c r="P497" s="183">
        <f>O497*H497</f>
        <v>0</v>
      </c>
      <c r="Q497" s="183">
        <v>0</v>
      </c>
      <c r="R497" s="183">
        <f>Q497*H497</f>
        <v>0</v>
      </c>
      <c r="S497" s="183">
        <v>0</v>
      </c>
      <c r="T497" s="184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85" t="s">
        <v>230</v>
      </c>
      <c r="AT497" s="185" t="s">
        <v>130</v>
      </c>
      <c r="AU497" s="185" t="s">
        <v>82</v>
      </c>
      <c r="AY497" s="18" t="s">
        <v>128</v>
      </c>
      <c r="BE497" s="186">
        <f>IF(N497="základní",J497,0)</f>
        <v>0</v>
      </c>
      <c r="BF497" s="186">
        <f>IF(N497="snížená",J497,0)</f>
        <v>0</v>
      </c>
      <c r="BG497" s="186">
        <f>IF(N497="zákl. přenesená",J497,0)</f>
        <v>0</v>
      </c>
      <c r="BH497" s="186">
        <f>IF(N497="sníž. přenesená",J497,0)</f>
        <v>0</v>
      </c>
      <c r="BI497" s="186">
        <f>IF(N497="nulová",J497,0)</f>
        <v>0</v>
      </c>
      <c r="BJ497" s="18" t="s">
        <v>80</v>
      </c>
      <c r="BK497" s="186">
        <f>ROUND(I497*H497,2)</f>
        <v>0</v>
      </c>
      <c r="BL497" s="18" t="s">
        <v>230</v>
      </c>
      <c r="BM497" s="185" t="s">
        <v>1212</v>
      </c>
    </row>
    <row r="498" spans="1:65" s="2" customFormat="1" ht="16.5" customHeight="1">
      <c r="A498" s="35"/>
      <c r="B498" s="36"/>
      <c r="C498" s="174" t="s">
        <v>1213</v>
      </c>
      <c r="D498" s="174" t="s">
        <v>130</v>
      </c>
      <c r="E498" s="175" t="s">
        <v>1214</v>
      </c>
      <c r="F498" s="176" t="s">
        <v>1215</v>
      </c>
      <c r="G498" s="177" t="s">
        <v>192</v>
      </c>
      <c r="H498" s="178">
        <v>1</v>
      </c>
      <c r="I498" s="179"/>
      <c r="J498" s="180">
        <f>ROUND(I498*H498,2)</f>
        <v>0</v>
      </c>
      <c r="K498" s="176" t="s">
        <v>19</v>
      </c>
      <c r="L498" s="40"/>
      <c r="M498" s="181" t="s">
        <v>19</v>
      </c>
      <c r="N498" s="182" t="s">
        <v>43</v>
      </c>
      <c r="O498" s="65"/>
      <c r="P498" s="183">
        <f>O498*H498</f>
        <v>0</v>
      </c>
      <c r="Q498" s="183">
        <v>0</v>
      </c>
      <c r="R498" s="183">
        <f>Q498*H498</f>
        <v>0</v>
      </c>
      <c r="S498" s="183">
        <v>0</v>
      </c>
      <c r="T498" s="184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85" t="s">
        <v>230</v>
      </c>
      <c r="AT498" s="185" t="s">
        <v>130</v>
      </c>
      <c r="AU498" s="185" t="s">
        <v>82</v>
      </c>
      <c r="AY498" s="18" t="s">
        <v>128</v>
      </c>
      <c r="BE498" s="186">
        <f>IF(N498="základní",J498,0)</f>
        <v>0</v>
      </c>
      <c r="BF498" s="186">
        <f>IF(N498="snížená",J498,0)</f>
        <v>0</v>
      </c>
      <c r="BG498" s="186">
        <f>IF(N498="zákl. přenesená",J498,0)</f>
        <v>0</v>
      </c>
      <c r="BH498" s="186">
        <f>IF(N498="sníž. přenesená",J498,0)</f>
        <v>0</v>
      </c>
      <c r="BI498" s="186">
        <f>IF(N498="nulová",J498,0)</f>
        <v>0</v>
      </c>
      <c r="BJ498" s="18" t="s">
        <v>80</v>
      </c>
      <c r="BK498" s="186">
        <f>ROUND(I498*H498,2)</f>
        <v>0</v>
      </c>
      <c r="BL498" s="18" t="s">
        <v>230</v>
      </c>
      <c r="BM498" s="185" t="s">
        <v>1216</v>
      </c>
    </row>
    <row r="499" spans="1:65" s="12" customFormat="1" ht="22.75" customHeight="1">
      <c r="B499" s="158"/>
      <c r="C499" s="159"/>
      <c r="D499" s="160" t="s">
        <v>71</v>
      </c>
      <c r="E499" s="172" t="s">
        <v>451</v>
      </c>
      <c r="F499" s="172" t="s">
        <v>452</v>
      </c>
      <c r="G499" s="159"/>
      <c r="H499" s="159"/>
      <c r="I499" s="162"/>
      <c r="J499" s="173">
        <f>BK499</f>
        <v>0</v>
      </c>
      <c r="K499" s="159"/>
      <c r="L499" s="164"/>
      <c r="M499" s="165"/>
      <c r="N499" s="166"/>
      <c r="O499" s="166"/>
      <c r="P499" s="167">
        <f>SUM(P500:P502)</f>
        <v>0</v>
      </c>
      <c r="Q499" s="166"/>
      <c r="R499" s="167">
        <f>SUM(R500:R502)</f>
        <v>0</v>
      </c>
      <c r="S499" s="166"/>
      <c r="T499" s="168">
        <f>SUM(T500:T502)</f>
        <v>0</v>
      </c>
      <c r="AR499" s="169" t="s">
        <v>82</v>
      </c>
      <c r="AT499" s="170" t="s">
        <v>71</v>
      </c>
      <c r="AU499" s="170" t="s">
        <v>80</v>
      </c>
      <c r="AY499" s="169" t="s">
        <v>128</v>
      </c>
      <c r="BK499" s="171">
        <f>SUM(BK500:BK502)</f>
        <v>0</v>
      </c>
    </row>
    <row r="500" spans="1:65" s="2" customFormat="1" ht="16.5" customHeight="1">
      <c r="A500" s="35"/>
      <c r="B500" s="36"/>
      <c r="C500" s="174" t="s">
        <v>1217</v>
      </c>
      <c r="D500" s="174" t="s">
        <v>130</v>
      </c>
      <c r="E500" s="175" t="s">
        <v>1218</v>
      </c>
      <c r="F500" s="176" t="s">
        <v>1219</v>
      </c>
      <c r="G500" s="177" t="s">
        <v>192</v>
      </c>
      <c r="H500" s="178">
        <v>1</v>
      </c>
      <c r="I500" s="179">
        <f>klimatizace!J53</f>
        <v>0</v>
      </c>
      <c r="J500" s="180">
        <f>ROUND(I500*H500,2)</f>
        <v>0</v>
      </c>
      <c r="K500" s="176" t="s">
        <v>19</v>
      </c>
      <c r="L500" s="40"/>
      <c r="M500" s="181" t="s">
        <v>19</v>
      </c>
      <c r="N500" s="182" t="s">
        <v>43</v>
      </c>
      <c r="O500" s="65"/>
      <c r="P500" s="183">
        <f>O500*H500</f>
        <v>0</v>
      </c>
      <c r="Q500" s="183">
        <v>0</v>
      </c>
      <c r="R500" s="183">
        <f>Q500*H500</f>
        <v>0</v>
      </c>
      <c r="S500" s="183">
        <v>0</v>
      </c>
      <c r="T500" s="184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85" t="s">
        <v>230</v>
      </c>
      <c r="AT500" s="185" t="s">
        <v>130</v>
      </c>
      <c r="AU500" s="185" t="s">
        <v>82</v>
      </c>
      <c r="AY500" s="18" t="s">
        <v>128</v>
      </c>
      <c r="BE500" s="186">
        <f>IF(N500="základní",J500,0)</f>
        <v>0</v>
      </c>
      <c r="BF500" s="186">
        <f>IF(N500="snížená",J500,0)</f>
        <v>0</v>
      </c>
      <c r="BG500" s="186">
        <f>IF(N500="zákl. přenesená",J500,0)</f>
        <v>0</v>
      </c>
      <c r="BH500" s="186">
        <f>IF(N500="sníž. přenesená",J500,0)</f>
        <v>0</v>
      </c>
      <c r="BI500" s="186">
        <f>IF(N500="nulová",J500,0)</f>
        <v>0</v>
      </c>
      <c r="BJ500" s="18" t="s">
        <v>80</v>
      </c>
      <c r="BK500" s="186">
        <f>ROUND(I500*H500,2)</f>
        <v>0</v>
      </c>
      <c r="BL500" s="18" t="s">
        <v>230</v>
      </c>
      <c r="BM500" s="185" t="s">
        <v>1220</v>
      </c>
    </row>
    <row r="501" spans="1:65" s="2" customFormat="1" ht="16.5" customHeight="1">
      <c r="A501" s="35"/>
      <c r="B501" s="36"/>
      <c r="C501" s="174" t="s">
        <v>1221</v>
      </c>
      <c r="D501" s="174" t="s">
        <v>130</v>
      </c>
      <c r="E501" s="175" t="s">
        <v>1222</v>
      </c>
      <c r="F501" s="176" t="s">
        <v>1223</v>
      </c>
      <c r="G501" s="177" t="s">
        <v>192</v>
      </c>
      <c r="H501" s="178">
        <v>2</v>
      </c>
      <c r="I501" s="179"/>
      <c r="J501" s="180">
        <f>ROUND(I501*H501,2)</f>
        <v>0</v>
      </c>
      <c r="K501" s="176" t="s">
        <v>19</v>
      </c>
      <c r="L501" s="40"/>
      <c r="M501" s="181" t="s">
        <v>19</v>
      </c>
      <c r="N501" s="182" t="s">
        <v>43</v>
      </c>
      <c r="O501" s="65"/>
      <c r="P501" s="183">
        <f>O501*H501</f>
        <v>0</v>
      </c>
      <c r="Q501" s="183">
        <v>0</v>
      </c>
      <c r="R501" s="183">
        <f>Q501*H501</f>
        <v>0</v>
      </c>
      <c r="S501" s="183">
        <v>0</v>
      </c>
      <c r="T501" s="184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85" t="s">
        <v>230</v>
      </c>
      <c r="AT501" s="185" t="s">
        <v>130</v>
      </c>
      <c r="AU501" s="185" t="s">
        <v>82</v>
      </c>
      <c r="AY501" s="18" t="s">
        <v>128</v>
      </c>
      <c r="BE501" s="186">
        <f>IF(N501="základní",J501,0)</f>
        <v>0</v>
      </c>
      <c r="BF501" s="186">
        <f>IF(N501="snížená",J501,0)</f>
        <v>0</v>
      </c>
      <c r="BG501" s="186">
        <f>IF(N501="zákl. přenesená",J501,0)</f>
        <v>0</v>
      </c>
      <c r="BH501" s="186">
        <f>IF(N501="sníž. přenesená",J501,0)</f>
        <v>0</v>
      </c>
      <c r="BI501" s="186">
        <f>IF(N501="nulová",J501,0)</f>
        <v>0</v>
      </c>
      <c r="BJ501" s="18" t="s">
        <v>80</v>
      </c>
      <c r="BK501" s="186">
        <f>ROUND(I501*H501,2)</f>
        <v>0</v>
      </c>
      <c r="BL501" s="18" t="s">
        <v>230</v>
      </c>
      <c r="BM501" s="185" t="s">
        <v>1224</v>
      </c>
    </row>
    <row r="502" spans="1:65" s="2" customFormat="1" ht="16.5" customHeight="1">
      <c r="A502" s="35"/>
      <c r="B502" s="36"/>
      <c r="C502" s="174" t="s">
        <v>1225</v>
      </c>
      <c r="D502" s="174" t="s">
        <v>130</v>
      </c>
      <c r="E502" s="175" t="s">
        <v>1226</v>
      </c>
      <c r="F502" s="176" t="s">
        <v>1195</v>
      </c>
      <c r="G502" s="177" t="s">
        <v>426</v>
      </c>
      <c r="H502" s="225"/>
      <c r="I502" s="179"/>
      <c r="J502" s="180">
        <f>ROUND(I502*H502,2)</f>
        <v>0</v>
      </c>
      <c r="K502" s="176" t="s">
        <v>19</v>
      </c>
      <c r="L502" s="40"/>
      <c r="M502" s="181" t="s">
        <v>19</v>
      </c>
      <c r="N502" s="182" t="s">
        <v>43</v>
      </c>
      <c r="O502" s="65"/>
      <c r="P502" s="183">
        <f>O502*H502</f>
        <v>0</v>
      </c>
      <c r="Q502" s="183">
        <v>0</v>
      </c>
      <c r="R502" s="183">
        <f>Q502*H502</f>
        <v>0</v>
      </c>
      <c r="S502" s="183">
        <v>0</v>
      </c>
      <c r="T502" s="184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85" t="s">
        <v>230</v>
      </c>
      <c r="AT502" s="185" t="s">
        <v>130</v>
      </c>
      <c r="AU502" s="185" t="s">
        <v>82</v>
      </c>
      <c r="AY502" s="18" t="s">
        <v>128</v>
      </c>
      <c r="BE502" s="186">
        <f>IF(N502="základní",J502,0)</f>
        <v>0</v>
      </c>
      <c r="BF502" s="186">
        <f>IF(N502="snížená",J502,0)</f>
        <v>0</v>
      </c>
      <c r="BG502" s="186">
        <f>IF(N502="zákl. přenesená",J502,0)</f>
        <v>0</v>
      </c>
      <c r="BH502" s="186">
        <f>IF(N502="sníž. přenesená",J502,0)</f>
        <v>0</v>
      </c>
      <c r="BI502" s="186">
        <f>IF(N502="nulová",J502,0)</f>
        <v>0</v>
      </c>
      <c r="BJ502" s="18" t="s">
        <v>80</v>
      </c>
      <c r="BK502" s="186">
        <f>ROUND(I502*H502,2)</f>
        <v>0</v>
      </c>
      <c r="BL502" s="18" t="s">
        <v>230</v>
      </c>
      <c r="BM502" s="185" t="s">
        <v>1227</v>
      </c>
    </row>
    <row r="503" spans="1:65" s="12" customFormat="1" ht="22.75" customHeight="1">
      <c r="B503" s="158"/>
      <c r="C503" s="159"/>
      <c r="D503" s="160" t="s">
        <v>71</v>
      </c>
      <c r="E503" s="172" t="s">
        <v>457</v>
      </c>
      <c r="F503" s="172" t="s">
        <v>458</v>
      </c>
      <c r="G503" s="159"/>
      <c r="H503" s="159"/>
      <c r="I503" s="162"/>
      <c r="J503" s="173">
        <f>BK503</f>
        <v>0</v>
      </c>
      <c r="K503" s="159"/>
      <c r="L503" s="164"/>
      <c r="M503" s="165"/>
      <c r="N503" s="166"/>
      <c r="O503" s="166"/>
      <c r="P503" s="167">
        <f>SUM(P504:P614)</f>
        <v>0</v>
      </c>
      <c r="Q503" s="166"/>
      <c r="R503" s="167">
        <f>SUM(R504:R614)</f>
        <v>80.643453960000016</v>
      </c>
      <c r="S503" s="166"/>
      <c r="T503" s="168">
        <f>SUM(T504:T614)</f>
        <v>0</v>
      </c>
      <c r="AR503" s="169" t="s">
        <v>82</v>
      </c>
      <c r="AT503" s="170" t="s">
        <v>71</v>
      </c>
      <c r="AU503" s="170" t="s">
        <v>80</v>
      </c>
      <c r="AY503" s="169" t="s">
        <v>128</v>
      </c>
      <c r="BK503" s="171">
        <f>SUM(BK504:BK614)</f>
        <v>0</v>
      </c>
    </row>
    <row r="504" spans="1:65" s="2" customFormat="1" ht="16.5" customHeight="1">
      <c r="A504" s="35"/>
      <c r="B504" s="36"/>
      <c r="C504" s="174" t="s">
        <v>1228</v>
      </c>
      <c r="D504" s="174" t="s">
        <v>130</v>
      </c>
      <c r="E504" s="175" t="s">
        <v>1229</v>
      </c>
      <c r="F504" s="176" t="s">
        <v>1230</v>
      </c>
      <c r="G504" s="177" t="s">
        <v>148</v>
      </c>
      <c r="H504" s="178">
        <v>28.068999999999999</v>
      </c>
      <c r="I504" s="179"/>
      <c r="J504" s="180">
        <f>ROUND(I504*H504,2)</f>
        <v>0</v>
      </c>
      <c r="K504" s="176" t="s">
        <v>134</v>
      </c>
      <c r="L504" s="40"/>
      <c r="M504" s="181" t="s">
        <v>19</v>
      </c>
      <c r="N504" s="182" t="s">
        <v>43</v>
      </c>
      <c r="O504" s="65"/>
      <c r="P504" s="183">
        <f>O504*H504</f>
        <v>0</v>
      </c>
      <c r="Q504" s="183">
        <v>0</v>
      </c>
      <c r="R504" s="183">
        <f>Q504*H504</f>
        <v>0</v>
      </c>
      <c r="S504" s="183">
        <v>0</v>
      </c>
      <c r="T504" s="184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185" t="s">
        <v>230</v>
      </c>
      <c r="AT504" s="185" t="s">
        <v>130</v>
      </c>
      <c r="AU504" s="185" t="s">
        <v>82</v>
      </c>
      <c r="AY504" s="18" t="s">
        <v>128</v>
      </c>
      <c r="BE504" s="186">
        <f>IF(N504="základní",J504,0)</f>
        <v>0</v>
      </c>
      <c r="BF504" s="186">
        <f>IF(N504="snížená",J504,0)</f>
        <v>0</v>
      </c>
      <c r="BG504" s="186">
        <f>IF(N504="zákl. přenesená",J504,0)</f>
        <v>0</v>
      </c>
      <c r="BH504" s="186">
        <f>IF(N504="sníž. přenesená",J504,0)</f>
        <v>0</v>
      </c>
      <c r="BI504" s="186">
        <f>IF(N504="nulová",J504,0)</f>
        <v>0</v>
      </c>
      <c r="BJ504" s="18" t="s">
        <v>80</v>
      </c>
      <c r="BK504" s="186">
        <f>ROUND(I504*H504,2)</f>
        <v>0</v>
      </c>
      <c r="BL504" s="18" t="s">
        <v>230</v>
      </c>
      <c r="BM504" s="185" t="s">
        <v>1231</v>
      </c>
    </row>
    <row r="505" spans="1:65" s="2" customFormat="1" ht="10">
      <c r="A505" s="35"/>
      <c r="B505" s="36"/>
      <c r="C505" s="37"/>
      <c r="D505" s="187" t="s">
        <v>137</v>
      </c>
      <c r="E505" s="37"/>
      <c r="F505" s="188" t="s">
        <v>1232</v>
      </c>
      <c r="G505" s="37"/>
      <c r="H505" s="37"/>
      <c r="I505" s="189"/>
      <c r="J505" s="37"/>
      <c r="K505" s="37"/>
      <c r="L505" s="40"/>
      <c r="M505" s="190"/>
      <c r="N505" s="191"/>
      <c r="O505" s="65"/>
      <c r="P505" s="65"/>
      <c r="Q505" s="65"/>
      <c r="R505" s="65"/>
      <c r="S505" s="65"/>
      <c r="T505" s="66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T505" s="18" t="s">
        <v>137</v>
      </c>
      <c r="AU505" s="18" t="s">
        <v>82</v>
      </c>
    </row>
    <row r="506" spans="1:65" s="13" customFormat="1" ht="10">
      <c r="B506" s="192"/>
      <c r="C506" s="193"/>
      <c r="D506" s="194" t="s">
        <v>139</v>
      </c>
      <c r="E506" s="195" t="s">
        <v>19</v>
      </c>
      <c r="F506" s="196" t="s">
        <v>1233</v>
      </c>
      <c r="G506" s="193"/>
      <c r="H506" s="197">
        <v>17.745000000000001</v>
      </c>
      <c r="I506" s="198"/>
      <c r="J506" s="193"/>
      <c r="K506" s="193"/>
      <c r="L506" s="199"/>
      <c r="M506" s="200"/>
      <c r="N506" s="201"/>
      <c r="O506" s="201"/>
      <c r="P506" s="201"/>
      <c r="Q506" s="201"/>
      <c r="R506" s="201"/>
      <c r="S506" s="201"/>
      <c r="T506" s="202"/>
      <c r="AT506" s="203" t="s">
        <v>139</v>
      </c>
      <c r="AU506" s="203" t="s">
        <v>82</v>
      </c>
      <c r="AV506" s="13" t="s">
        <v>82</v>
      </c>
      <c r="AW506" s="13" t="s">
        <v>34</v>
      </c>
      <c r="AX506" s="13" t="s">
        <v>72</v>
      </c>
      <c r="AY506" s="203" t="s">
        <v>128</v>
      </c>
    </row>
    <row r="507" spans="1:65" s="13" customFormat="1" ht="10">
      <c r="B507" s="192"/>
      <c r="C507" s="193"/>
      <c r="D507" s="194" t="s">
        <v>139</v>
      </c>
      <c r="E507" s="195" t="s">
        <v>19</v>
      </c>
      <c r="F507" s="196" t="s">
        <v>1234</v>
      </c>
      <c r="G507" s="193"/>
      <c r="H507" s="197">
        <v>4.8220000000000001</v>
      </c>
      <c r="I507" s="198"/>
      <c r="J507" s="193"/>
      <c r="K507" s="193"/>
      <c r="L507" s="199"/>
      <c r="M507" s="200"/>
      <c r="N507" s="201"/>
      <c r="O507" s="201"/>
      <c r="P507" s="201"/>
      <c r="Q507" s="201"/>
      <c r="R507" s="201"/>
      <c r="S507" s="201"/>
      <c r="T507" s="202"/>
      <c r="AT507" s="203" t="s">
        <v>139</v>
      </c>
      <c r="AU507" s="203" t="s">
        <v>82</v>
      </c>
      <c r="AV507" s="13" t="s">
        <v>82</v>
      </c>
      <c r="AW507" s="13" t="s">
        <v>34</v>
      </c>
      <c r="AX507" s="13" t="s">
        <v>72</v>
      </c>
      <c r="AY507" s="203" t="s">
        <v>128</v>
      </c>
    </row>
    <row r="508" spans="1:65" s="13" customFormat="1" ht="10">
      <c r="B508" s="192"/>
      <c r="C508" s="193"/>
      <c r="D508" s="194" t="s">
        <v>139</v>
      </c>
      <c r="E508" s="195" t="s">
        <v>19</v>
      </c>
      <c r="F508" s="196" t="s">
        <v>1235</v>
      </c>
      <c r="G508" s="193"/>
      <c r="H508" s="197">
        <v>1.393</v>
      </c>
      <c r="I508" s="198"/>
      <c r="J508" s="193"/>
      <c r="K508" s="193"/>
      <c r="L508" s="199"/>
      <c r="M508" s="200"/>
      <c r="N508" s="201"/>
      <c r="O508" s="201"/>
      <c r="P508" s="201"/>
      <c r="Q508" s="201"/>
      <c r="R508" s="201"/>
      <c r="S508" s="201"/>
      <c r="T508" s="202"/>
      <c r="AT508" s="203" t="s">
        <v>139</v>
      </c>
      <c r="AU508" s="203" t="s">
        <v>82</v>
      </c>
      <c r="AV508" s="13" t="s">
        <v>82</v>
      </c>
      <c r="AW508" s="13" t="s">
        <v>34</v>
      </c>
      <c r="AX508" s="13" t="s">
        <v>72</v>
      </c>
      <c r="AY508" s="203" t="s">
        <v>128</v>
      </c>
    </row>
    <row r="509" spans="1:65" s="13" customFormat="1" ht="10">
      <c r="B509" s="192"/>
      <c r="C509" s="193"/>
      <c r="D509" s="194" t="s">
        <v>139</v>
      </c>
      <c r="E509" s="195" t="s">
        <v>19</v>
      </c>
      <c r="F509" s="196" t="s">
        <v>1236</v>
      </c>
      <c r="G509" s="193"/>
      <c r="H509" s="197">
        <v>4.109</v>
      </c>
      <c r="I509" s="198"/>
      <c r="J509" s="193"/>
      <c r="K509" s="193"/>
      <c r="L509" s="199"/>
      <c r="M509" s="200"/>
      <c r="N509" s="201"/>
      <c r="O509" s="201"/>
      <c r="P509" s="201"/>
      <c r="Q509" s="201"/>
      <c r="R509" s="201"/>
      <c r="S509" s="201"/>
      <c r="T509" s="202"/>
      <c r="AT509" s="203" t="s">
        <v>139</v>
      </c>
      <c r="AU509" s="203" t="s">
        <v>82</v>
      </c>
      <c r="AV509" s="13" t="s">
        <v>82</v>
      </c>
      <c r="AW509" s="13" t="s">
        <v>34</v>
      </c>
      <c r="AX509" s="13" t="s">
        <v>72</v>
      </c>
      <c r="AY509" s="203" t="s">
        <v>128</v>
      </c>
    </row>
    <row r="510" spans="1:65" s="14" customFormat="1" ht="10">
      <c r="B510" s="204"/>
      <c r="C510" s="205"/>
      <c r="D510" s="194" t="s">
        <v>139</v>
      </c>
      <c r="E510" s="206" t="s">
        <v>19</v>
      </c>
      <c r="F510" s="207" t="s">
        <v>153</v>
      </c>
      <c r="G510" s="205"/>
      <c r="H510" s="208">
        <v>28.069000000000003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139</v>
      </c>
      <c r="AU510" s="214" t="s">
        <v>82</v>
      </c>
      <c r="AV510" s="14" t="s">
        <v>135</v>
      </c>
      <c r="AW510" s="14" t="s">
        <v>34</v>
      </c>
      <c r="AX510" s="14" t="s">
        <v>80</v>
      </c>
      <c r="AY510" s="214" t="s">
        <v>128</v>
      </c>
    </row>
    <row r="511" spans="1:65" s="2" customFormat="1" ht="24.15" customHeight="1">
      <c r="A511" s="35"/>
      <c r="B511" s="36"/>
      <c r="C511" s="174" t="s">
        <v>1237</v>
      </c>
      <c r="D511" s="174" t="s">
        <v>130</v>
      </c>
      <c r="E511" s="175" t="s">
        <v>1238</v>
      </c>
      <c r="F511" s="176" t="s">
        <v>1239</v>
      </c>
      <c r="G511" s="177" t="s">
        <v>148</v>
      </c>
      <c r="H511" s="178">
        <v>32.213000000000001</v>
      </c>
      <c r="I511" s="179"/>
      <c r="J511" s="180">
        <f>ROUND(I511*H511,2)</f>
        <v>0</v>
      </c>
      <c r="K511" s="176" t="s">
        <v>134</v>
      </c>
      <c r="L511" s="40"/>
      <c r="M511" s="181" t="s">
        <v>19</v>
      </c>
      <c r="N511" s="182" t="s">
        <v>43</v>
      </c>
      <c r="O511" s="65"/>
      <c r="P511" s="183">
        <f>O511*H511</f>
        <v>0</v>
      </c>
      <c r="Q511" s="183">
        <v>1.08E-3</v>
      </c>
      <c r="R511" s="183">
        <f>Q511*H511</f>
        <v>3.4790040000000001E-2</v>
      </c>
      <c r="S511" s="183">
        <v>0</v>
      </c>
      <c r="T511" s="184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85" t="s">
        <v>230</v>
      </c>
      <c r="AT511" s="185" t="s">
        <v>130</v>
      </c>
      <c r="AU511" s="185" t="s">
        <v>82</v>
      </c>
      <c r="AY511" s="18" t="s">
        <v>128</v>
      </c>
      <c r="BE511" s="186">
        <f>IF(N511="základní",J511,0)</f>
        <v>0</v>
      </c>
      <c r="BF511" s="186">
        <f>IF(N511="snížená",J511,0)</f>
        <v>0</v>
      </c>
      <c r="BG511" s="186">
        <f>IF(N511="zákl. přenesená",J511,0)</f>
        <v>0</v>
      </c>
      <c r="BH511" s="186">
        <f>IF(N511="sníž. přenesená",J511,0)</f>
        <v>0</v>
      </c>
      <c r="BI511" s="186">
        <f>IF(N511="nulová",J511,0)</f>
        <v>0</v>
      </c>
      <c r="BJ511" s="18" t="s">
        <v>80</v>
      </c>
      <c r="BK511" s="186">
        <f>ROUND(I511*H511,2)</f>
        <v>0</v>
      </c>
      <c r="BL511" s="18" t="s">
        <v>230</v>
      </c>
      <c r="BM511" s="185" t="s">
        <v>1240</v>
      </c>
    </row>
    <row r="512" spans="1:65" s="2" customFormat="1" ht="10">
      <c r="A512" s="35"/>
      <c r="B512" s="36"/>
      <c r="C512" s="37"/>
      <c r="D512" s="187" t="s">
        <v>137</v>
      </c>
      <c r="E512" s="37"/>
      <c r="F512" s="188" t="s">
        <v>1241</v>
      </c>
      <c r="G512" s="37"/>
      <c r="H512" s="37"/>
      <c r="I512" s="189"/>
      <c r="J512" s="37"/>
      <c r="K512" s="37"/>
      <c r="L512" s="40"/>
      <c r="M512" s="190"/>
      <c r="N512" s="191"/>
      <c r="O512" s="65"/>
      <c r="P512" s="65"/>
      <c r="Q512" s="65"/>
      <c r="R512" s="65"/>
      <c r="S512" s="65"/>
      <c r="T512" s="66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8" t="s">
        <v>137</v>
      </c>
      <c r="AU512" s="18" t="s">
        <v>82</v>
      </c>
    </row>
    <row r="513" spans="1:65" s="13" customFormat="1" ht="10">
      <c r="B513" s="192"/>
      <c r="C513" s="193"/>
      <c r="D513" s="194" t="s">
        <v>139</v>
      </c>
      <c r="E513" s="195" t="s">
        <v>19</v>
      </c>
      <c r="F513" s="196" t="s">
        <v>1233</v>
      </c>
      <c r="G513" s="193"/>
      <c r="H513" s="197">
        <v>17.745000000000001</v>
      </c>
      <c r="I513" s="198"/>
      <c r="J513" s="193"/>
      <c r="K513" s="193"/>
      <c r="L513" s="199"/>
      <c r="M513" s="200"/>
      <c r="N513" s="201"/>
      <c r="O513" s="201"/>
      <c r="P513" s="201"/>
      <c r="Q513" s="201"/>
      <c r="R513" s="201"/>
      <c r="S513" s="201"/>
      <c r="T513" s="202"/>
      <c r="AT513" s="203" t="s">
        <v>139</v>
      </c>
      <c r="AU513" s="203" t="s">
        <v>82</v>
      </c>
      <c r="AV513" s="13" t="s">
        <v>82</v>
      </c>
      <c r="AW513" s="13" t="s">
        <v>34</v>
      </c>
      <c r="AX513" s="13" t="s">
        <v>72</v>
      </c>
      <c r="AY513" s="203" t="s">
        <v>128</v>
      </c>
    </row>
    <row r="514" spans="1:65" s="13" customFormat="1" ht="10">
      <c r="B514" s="192"/>
      <c r="C514" s="193"/>
      <c r="D514" s="194" t="s">
        <v>139</v>
      </c>
      <c r="E514" s="195" t="s">
        <v>19</v>
      </c>
      <c r="F514" s="196" t="s">
        <v>1234</v>
      </c>
      <c r="G514" s="193"/>
      <c r="H514" s="197">
        <v>4.8220000000000001</v>
      </c>
      <c r="I514" s="198"/>
      <c r="J514" s="193"/>
      <c r="K514" s="193"/>
      <c r="L514" s="199"/>
      <c r="M514" s="200"/>
      <c r="N514" s="201"/>
      <c r="O514" s="201"/>
      <c r="P514" s="201"/>
      <c r="Q514" s="201"/>
      <c r="R514" s="201"/>
      <c r="S514" s="201"/>
      <c r="T514" s="202"/>
      <c r="AT514" s="203" t="s">
        <v>139</v>
      </c>
      <c r="AU514" s="203" t="s">
        <v>82</v>
      </c>
      <c r="AV514" s="13" t="s">
        <v>82</v>
      </c>
      <c r="AW514" s="13" t="s">
        <v>34</v>
      </c>
      <c r="AX514" s="13" t="s">
        <v>72</v>
      </c>
      <c r="AY514" s="203" t="s">
        <v>128</v>
      </c>
    </row>
    <row r="515" spans="1:65" s="13" customFormat="1" ht="10">
      <c r="B515" s="192"/>
      <c r="C515" s="193"/>
      <c r="D515" s="194" t="s">
        <v>139</v>
      </c>
      <c r="E515" s="195" t="s">
        <v>19</v>
      </c>
      <c r="F515" s="196" t="s">
        <v>1235</v>
      </c>
      <c r="G515" s="193"/>
      <c r="H515" s="197">
        <v>1.393</v>
      </c>
      <c r="I515" s="198"/>
      <c r="J515" s="193"/>
      <c r="K515" s="193"/>
      <c r="L515" s="199"/>
      <c r="M515" s="200"/>
      <c r="N515" s="201"/>
      <c r="O515" s="201"/>
      <c r="P515" s="201"/>
      <c r="Q515" s="201"/>
      <c r="R515" s="201"/>
      <c r="S515" s="201"/>
      <c r="T515" s="202"/>
      <c r="AT515" s="203" t="s">
        <v>139</v>
      </c>
      <c r="AU515" s="203" t="s">
        <v>82</v>
      </c>
      <c r="AV515" s="13" t="s">
        <v>82</v>
      </c>
      <c r="AW515" s="13" t="s">
        <v>34</v>
      </c>
      <c r="AX515" s="13" t="s">
        <v>72</v>
      </c>
      <c r="AY515" s="203" t="s">
        <v>128</v>
      </c>
    </row>
    <row r="516" spans="1:65" s="13" customFormat="1" ht="10">
      <c r="B516" s="192"/>
      <c r="C516" s="193"/>
      <c r="D516" s="194" t="s">
        <v>139</v>
      </c>
      <c r="E516" s="195" t="s">
        <v>19</v>
      </c>
      <c r="F516" s="196" t="s">
        <v>1236</v>
      </c>
      <c r="G516" s="193"/>
      <c r="H516" s="197">
        <v>4.109</v>
      </c>
      <c r="I516" s="198"/>
      <c r="J516" s="193"/>
      <c r="K516" s="193"/>
      <c r="L516" s="199"/>
      <c r="M516" s="200"/>
      <c r="N516" s="201"/>
      <c r="O516" s="201"/>
      <c r="P516" s="201"/>
      <c r="Q516" s="201"/>
      <c r="R516" s="201"/>
      <c r="S516" s="201"/>
      <c r="T516" s="202"/>
      <c r="AT516" s="203" t="s">
        <v>139</v>
      </c>
      <c r="AU516" s="203" t="s">
        <v>82</v>
      </c>
      <c r="AV516" s="13" t="s">
        <v>82</v>
      </c>
      <c r="AW516" s="13" t="s">
        <v>34</v>
      </c>
      <c r="AX516" s="13" t="s">
        <v>72</v>
      </c>
      <c r="AY516" s="203" t="s">
        <v>128</v>
      </c>
    </row>
    <row r="517" spans="1:65" s="13" customFormat="1" ht="10">
      <c r="B517" s="192"/>
      <c r="C517" s="193"/>
      <c r="D517" s="194" t="s">
        <v>139</v>
      </c>
      <c r="E517" s="195" t="s">
        <v>19</v>
      </c>
      <c r="F517" s="196" t="s">
        <v>1242</v>
      </c>
      <c r="G517" s="193"/>
      <c r="H517" s="197">
        <v>4.1440000000000001</v>
      </c>
      <c r="I517" s="198"/>
      <c r="J517" s="193"/>
      <c r="K517" s="193"/>
      <c r="L517" s="199"/>
      <c r="M517" s="200"/>
      <c r="N517" s="201"/>
      <c r="O517" s="201"/>
      <c r="P517" s="201"/>
      <c r="Q517" s="201"/>
      <c r="R517" s="201"/>
      <c r="S517" s="201"/>
      <c r="T517" s="202"/>
      <c r="AT517" s="203" t="s">
        <v>139</v>
      </c>
      <c r="AU517" s="203" t="s">
        <v>82</v>
      </c>
      <c r="AV517" s="13" t="s">
        <v>82</v>
      </c>
      <c r="AW517" s="13" t="s">
        <v>34</v>
      </c>
      <c r="AX517" s="13" t="s">
        <v>72</v>
      </c>
      <c r="AY517" s="203" t="s">
        <v>128</v>
      </c>
    </row>
    <row r="518" spans="1:65" s="14" customFormat="1" ht="10">
      <c r="B518" s="204"/>
      <c r="C518" s="205"/>
      <c r="D518" s="194" t="s">
        <v>139</v>
      </c>
      <c r="E518" s="206" t="s">
        <v>19</v>
      </c>
      <c r="F518" s="207" t="s">
        <v>153</v>
      </c>
      <c r="G518" s="205"/>
      <c r="H518" s="208">
        <v>32.213000000000001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139</v>
      </c>
      <c r="AU518" s="214" t="s">
        <v>82</v>
      </c>
      <c r="AV518" s="14" t="s">
        <v>135</v>
      </c>
      <c r="AW518" s="14" t="s">
        <v>34</v>
      </c>
      <c r="AX518" s="14" t="s">
        <v>80</v>
      </c>
      <c r="AY518" s="214" t="s">
        <v>128</v>
      </c>
    </row>
    <row r="519" spans="1:65" s="2" customFormat="1" ht="37.75" customHeight="1">
      <c r="A519" s="35"/>
      <c r="B519" s="36"/>
      <c r="C519" s="174" t="s">
        <v>1243</v>
      </c>
      <c r="D519" s="174" t="s">
        <v>130</v>
      </c>
      <c r="E519" s="175" t="s">
        <v>1244</v>
      </c>
      <c r="F519" s="176" t="s">
        <v>1245</v>
      </c>
      <c r="G519" s="177" t="s">
        <v>258</v>
      </c>
      <c r="H519" s="178">
        <v>1170.2</v>
      </c>
      <c r="I519" s="179"/>
      <c r="J519" s="180">
        <f>ROUND(I519*H519,2)</f>
        <v>0</v>
      </c>
      <c r="K519" s="176" t="s">
        <v>134</v>
      </c>
      <c r="L519" s="40"/>
      <c r="M519" s="181" t="s">
        <v>19</v>
      </c>
      <c r="N519" s="182" t="s">
        <v>43</v>
      </c>
      <c r="O519" s="65"/>
      <c r="P519" s="183">
        <f>O519*H519</f>
        <v>0</v>
      </c>
      <c r="Q519" s="183">
        <v>0</v>
      </c>
      <c r="R519" s="183">
        <f>Q519*H519</f>
        <v>0</v>
      </c>
      <c r="S519" s="183">
        <v>0</v>
      </c>
      <c r="T519" s="184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85" t="s">
        <v>230</v>
      </c>
      <c r="AT519" s="185" t="s">
        <v>130</v>
      </c>
      <c r="AU519" s="185" t="s">
        <v>82</v>
      </c>
      <c r="AY519" s="18" t="s">
        <v>128</v>
      </c>
      <c r="BE519" s="186">
        <f>IF(N519="základní",J519,0)</f>
        <v>0</v>
      </c>
      <c r="BF519" s="186">
        <f>IF(N519="snížená",J519,0)</f>
        <v>0</v>
      </c>
      <c r="BG519" s="186">
        <f>IF(N519="zákl. přenesená",J519,0)</f>
        <v>0</v>
      </c>
      <c r="BH519" s="186">
        <f>IF(N519="sníž. přenesená",J519,0)</f>
        <v>0</v>
      </c>
      <c r="BI519" s="186">
        <f>IF(N519="nulová",J519,0)</f>
        <v>0</v>
      </c>
      <c r="BJ519" s="18" t="s">
        <v>80</v>
      </c>
      <c r="BK519" s="186">
        <f>ROUND(I519*H519,2)</f>
        <v>0</v>
      </c>
      <c r="BL519" s="18" t="s">
        <v>230</v>
      </c>
      <c r="BM519" s="185" t="s">
        <v>1246</v>
      </c>
    </row>
    <row r="520" spans="1:65" s="2" customFormat="1" ht="10">
      <c r="A520" s="35"/>
      <c r="B520" s="36"/>
      <c r="C520" s="37"/>
      <c r="D520" s="187" t="s">
        <v>137</v>
      </c>
      <c r="E520" s="37"/>
      <c r="F520" s="188" t="s">
        <v>1247</v>
      </c>
      <c r="G520" s="37"/>
      <c r="H520" s="37"/>
      <c r="I520" s="189"/>
      <c r="J520" s="37"/>
      <c r="K520" s="37"/>
      <c r="L520" s="40"/>
      <c r="M520" s="190"/>
      <c r="N520" s="191"/>
      <c r="O520" s="65"/>
      <c r="P520" s="65"/>
      <c r="Q520" s="65"/>
      <c r="R520" s="65"/>
      <c r="S520" s="65"/>
      <c r="T520" s="66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8" t="s">
        <v>137</v>
      </c>
      <c r="AU520" s="18" t="s">
        <v>82</v>
      </c>
    </row>
    <row r="521" spans="1:65" s="13" customFormat="1" ht="10">
      <c r="B521" s="192"/>
      <c r="C521" s="193"/>
      <c r="D521" s="194" t="s">
        <v>139</v>
      </c>
      <c r="E521" s="195" t="s">
        <v>19</v>
      </c>
      <c r="F521" s="196" t="s">
        <v>1248</v>
      </c>
      <c r="G521" s="193"/>
      <c r="H521" s="197">
        <v>924.2</v>
      </c>
      <c r="I521" s="198"/>
      <c r="J521" s="193"/>
      <c r="K521" s="193"/>
      <c r="L521" s="199"/>
      <c r="M521" s="200"/>
      <c r="N521" s="201"/>
      <c r="O521" s="201"/>
      <c r="P521" s="201"/>
      <c r="Q521" s="201"/>
      <c r="R521" s="201"/>
      <c r="S521" s="201"/>
      <c r="T521" s="202"/>
      <c r="AT521" s="203" t="s">
        <v>139</v>
      </c>
      <c r="AU521" s="203" t="s">
        <v>82</v>
      </c>
      <c r="AV521" s="13" t="s">
        <v>82</v>
      </c>
      <c r="AW521" s="13" t="s">
        <v>34</v>
      </c>
      <c r="AX521" s="13" t="s">
        <v>72</v>
      </c>
      <c r="AY521" s="203" t="s">
        <v>128</v>
      </c>
    </row>
    <row r="522" spans="1:65" s="13" customFormat="1" ht="10">
      <c r="B522" s="192"/>
      <c r="C522" s="193"/>
      <c r="D522" s="194" t="s">
        <v>139</v>
      </c>
      <c r="E522" s="195" t="s">
        <v>19</v>
      </c>
      <c r="F522" s="196" t="s">
        <v>1249</v>
      </c>
      <c r="G522" s="193"/>
      <c r="H522" s="197">
        <v>246</v>
      </c>
      <c r="I522" s="198"/>
      <c r="J522" s="193"/>
      <c r="K522" s="193"/>
      <c r="L522" s="199"/>
      <c r="M522" s="200"/>
      <c r="N522" s="201"/>
      <c r="O522" s="201"/>
      <c r="P522" s="201"/>
      <c r="Q522" s="201"/>
      <c r="R522" s="201"/>
      <c r="S522" s="201"/>
      <c r="T522" s="202"/>
      <c r="AT522" s="203" t="s">
        <v>139</v>
      </c>
      <c r="AU522" s="203" t="s">
        <v>82</v>
      </c>
      <c r="AV522" s="13" t="s">
        <v>82</v>
      </c>
      <c r="AW522" s="13" t="s">
        <v>34</v>
      </c>
      <c r="AX522" s="13" t="s">
        <v>72</v>
      </c>
      <c r="AY522" s="203" t="s">
        <v>128</v>
      </c>
    </row>
    <row r="523" spans="1:65" s="14" customFormat="1" ht="10">
      <c r="B523" s="204"/>
      <c r="C523" s="205"/>
      <c r="D523" s="194" t="s">
        <v>139</v>
      </c>
      <c r="E523" s="206" t="s">
        <v>19</v>
      </c>
      <c r="F523" s="207" t="s">
        <v>153</v>
      </c>
      <c r="G523" s="205"/>
      <c r="H523" s="208">
        <v>1170.2</v>
      </c>
      <c r="I523" s="209"/>
      <c r="J523" s="205"/>
      <c r="K523" s="205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139</v>
      </c>
      <c r="AU523" s="214" t="s">
        <v>82</v>
      </c>
      <c r="AV523" s="14" t="s">
        <v>135</v>
      </c>
      <c r="AW523" s="14" t="s">
        <v>34</v>
      </c>
      <c r="AX523" s="14" t="s">
        <v>80</v>
      </c>
      <c r="AY523" s="214" t="s">
        <v>128</v>
      </c>
    </row>
    <row r="524" spans="1:65" s="2" customFormat="1" ht="16.5" customHeight="1">
      <c r="A524" s="35"/>
      <c r="B524" s="36"/>
      <c r="C524" s="215" t="s">
        <v>1250</v>
      </c>
      <c r="D524" s="215" t="s">
        <v>414</v>
      </c>
      <c r="E524" s="216" t="s">
        <v>1251</v>
      </c>
      <c r="F524" s="217" t="s">
        <v>1252</v>
      </c>
      <c r="G524" s="218" t="s">
        <v>148</v>
      </c>
      <c r="H524" s="219">
        <v>24.824000000000002</v>
      </c>
      <c r="I524" s="220"/>
      <c r="J524" s="221">
        <f>ROUND(I524*H524,2)</f>
        <v>0</v>
      </c>
      <c r="K524" s="217" t="s">
        <v>134</v>
      </c>
      <c r="L524" s="222"/>
      <c r="M524" s="223" t="s">
        <v>19</v>
      </c>
      <c r="N524" s="224" t="s">
        <v>43</v>
      </c>
      <c r="O524" s="65"/>
      <c r="P524" s="183">
        <f>O524*H524</f>
        <v>0</v>
      </c>
      <c r="Q524" s="183">
        <v>0.55000000000000004</v>
      </c>
      <c r="R524" s="183">
        <f>Q524*H524</f>
        <v>13.653200000000002</v>
      </c>
      <c r="S524" s="183">
        <v>0</v>
      </c>
      <c r="T524" s="184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85" t="s">
        <v>334</v>
      </c>
      <c r="AT524" s="185" t="s">
        <v>414</v>
      </c>
      <c r="AU524" s="185" t="s">
        <v>82</v>
      </c>
      <c r="AY524" s="18" t="s">
        <v>128</v>
      </c>
      <c r="BE524" s="186">
        <f>IF(N524="základní",J524,0)</f>
        <v>0</v>
      </c>
      <c r="BF524" s="186">
        <f>IF(N524="snížená",J524,0)</f>
        <v>0</v>
      </c>
      <c r="BG524" s="186">
        <f>IF(N524="zákl. přenesená",J524,0)</f>
        <v>0</v>
      </c>
      <c r="BH524" s="186">
        <f>IF(N524="sníž. přenesená",J524,0)</f>
        <v>0</v>
      </c>
      <c r="BI524" s="186">
        <f>IF(N524="nulová",J524,0)</f>
        <v>0</v>
      </c>
      <c r="BJ524" s="18" t="s">
        <v>80</v>
      </c>
      <c r="BK524" s="186">
        <f>ROUND(I524*H524,2)</f>
        <v>0</v>
      </c>
      <c r="BL524" s="18" t="s">
        <v>230</v>
      </c>
      <c r="BM524" s="185" t="s">
        <v>1253</v>
      </c>
    </row>
    <row r="525" spans="1:65" s="13" customFormat="1" ht="10">
      <c r="B525" s="192"/>
      <c r="C525" s="193"/>
      <c r="D525" s="194" t="s">
        <v>139</v>
      </c>
      <c r="E525" s="195" t="s">
        <v>19</v>
      </c>
      <c r="F525" s="196" t="s">
        <v>1233</v>
      </c>
      <c r="G525" s="193"/>
      <c r="H525" s="197">
        <v>17.745000000000001</v>
      </c>
      <c r="I525" s="198"/>
      <c r="J525" s="193"/>
      <c r="K525" s="193"/>
      <c r="L525" s="199"/>
      <c r="M525" s="200"/>
      <c r="N525" s="201"/>
      <c r="O525" s="201"/>
      <c r="P525" s="201"/>
      <c r="Q525" s="201"/>
      <c r="R525" s="201"/>
      <c r="S525" s="201"/>
      <c r="T525" s="202"/>
      <c r="AT525" s="203" t="s">
        <v>139</v>
      </c>
      <c r="AU525" s="203" t="s">
        <v>82</v>
      </c>
      <c r="AV525" s="13" t="s">
        <v>82</v>
      </c>
      <c r="AW525" s="13" t="s">
        <v>34</v>
      </c>
      <c r="AX525" s="13" t="s">
        <v>72</v>
      </c>
      <c r="AY525" s="203" t="s">
        <v>128</v>
      </c>
    </row>
    <row r="526" spans="1:65" s="13" customFormat="1" ht="10">
      <c r="B526" s="192"/>
      <c r="C526" s="193"/>
      <c r="D526" s="194" t="s">
        <v>139</v>
      </c>
      <c r="E526" s="195" t="s">
        <v>19</v>
      </c>
      <c r="F526" s="196" t="s">
        <v>1234</v>
      </c>
      <c r="G526" s="193"/>
      <c r="H526" s="197">
        <v>4.8220000000000001</v>
      </c>
      <c r="I526" s="198"/>
      <c r="J526" s="193"/>
      <c r="K526" s="193"/>
      <c r="L526" s="199"/>
      <c r="M526" s="200"/>
      <c r="N526" s="201"/>
      <c r="O526" s="201"/>
      <c r="P526" s="201"/>
      <c r="Q526" s="201"/>
      <c r="R526" s="201"/>
      <c r="S526" s="201"/>
      <c r="T526" s="202"/>
      <c r="AT526" s="203" t="s">
        <v>139</v>
      </c>
      <c r="AU526" s="203" t="s">
        <v>82</v>
      </c>
      <c r="AV526" s="13" t="s">
        <v>82</v>
      </c>
      <c r="AW526" s="13" t="s">
        <v>34</v>
      </c>
      <c r="AX526" s="13" t="s">
        <v>72</v>
      </c>
      <c r="AY526" s="203" t="s">
        <v>128</v>
      </c>
    </row>
    <row r="527" spans="1:65" s="14" customFormat="1" ht="10">
      <c r="B527" s="204"/>
      <c r="C527" s="205"/>
      <c r="D527" s="194" t="s">
        <v>139</v>
      </c>
      <c r="E527" s="206" t="s">
        <v>19</v>
      </c>
      <c r="F527" s="207" t="s">
        <v>153</v>
      </c>
      <c r="G527" s="205"/>
      <c r="H527" s="208">
        <v>22.567</v>
      </c>
      <c r="I527" s="209"/>
      <c r="J527" s="205"/>
      <c r="K527" s="205"/>
      <c r="L527" s="210"/>
      <c r="M527" s="211"/>
      <c r="N527" s="212"/>
      <c r="O527" s="212"/>
      <c r="P527" s="212"/>
      <c r="Q527" s="212"/>
      <c r="R527" s="212"/>
      <c r="S527" s="212"/>
      <c r="T527" s="213"/>
      <c r="AT527" s="214" t="s">
        <v>139</v>
      </c>
      <c r="AU527" s="214" t="s">
        <v>82</v>
      </c>
      <c r="AV527" s="14" t="s">
        <v>135</v>
      </c>
      <c r="AW527" s="14" t="s">
        <v>34</v>
      </c>
      <c r="AX527" s="14" t="s">
        <v>80</v>
      </c>
      <c r="AY527" s="214" t="s">
        <v>128</v>
      </c>
    </row>
    <row r="528" spans="1:65" s="13" customFormat="1" ht="10">
      <c r="B528" s="192"/>
      <c r="C528" s="193"/>
      <c r="D528" s="194" t="s">
        <v>139</v>
      </c>
      <c r="E528" s="193"/>
      <c r="F528" s="196" t="s">
        <v>1254</v>
      </c>
      <c r="G528" s="193"/>
      <c r="H528" s="197">
        <v>24.824000000000002</v>
      </c>
      <c r="I528" s="198"/>
      <c r="J528" s="193"/>
      <c r="K528" s="193"/>
      <c r="L528" s="199"/>
      <c r="M528" s="200"/>
      <c r="N528" s="201"/>
      <c r="O528" s="201"/>
      <c r="P528" s="201"/>
      <c r="Q528" s="201"/>
      <c r="R528" s="201"/>
      <c r="S528" s="201"/>
      <c r="T528" s="202"/>
      <c r="AT528" s="203" t="s">
        <v>139</v>
      </c>
      <c r="AU528" s="203" t="s">
        <v>82</v>
      </c>
      <c r="AV528" s="13" t="s">
        <v>82</v>
      </c>
      <c r="AW528" s="13" t="s">
        <v>4</v>
      </c>
      <c r="AX528" s="13" t="s">
        <v>80</v>
      </c>
      <c r="AY528" s="203" t="s">
        <v>128</v>
      </c>
    </row>
    <row r="529" spans="1:65" s="2" customFormat="1" ht="37.75" customHeight="1">
      <c r="A529" s="35"/>
      <c r="B529" s="36"/>
      <c r="C529" s="174" t="s">
        <v>1255</v>
      </c>
      <c r="D529" s="174" t="s">
        <v>130</v>
      </c>
      <c r="E529" s="175" t="s">
        <v>1256</v>
      </c>
      <c r="F529" s="176" t="s">
        <v>1257</v>
      </c>
      <c r="G529" s="177" t="s">
        <v>258</v>
      </c>
      <c r="H529" s="178">
        <v>54.4</v>
      </c>
      <c r="I529" s="179"/>
      <c r="J529" s="180">
        <f>ROUND(I529*H529,2)</f>
        <v>0</v>
      </c>
      <c r="K529" s="176" t="s">
        <v>134</v>
      </c>
      <c r="L529" s="40"/>
      <c r="M529" s="181" t="s">
        <v>19</v>
      </c>
      <c r="N529" s="182" t="s">
        <v>43</v>
      </c>
      <c r="O529" s="65"/>
      <c r="P529" s="183">
        <f>O529*H529</f>
        <v>0</v>
      </c>
      <c r="Q529" s="183">
        <v>0</v>
      </c>
      <c r="R529" s="183">
        <f>Q529*H529</f>
        <v>0</v>
      </c>
      <c r="S529" s="183">
        <v>0</v>
      </c>
      <c r="T529" s="184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185" t="s">
        <v>230</v>
      </c>
      <c r="AT529" s="185" t="s">
        <v>130</v>
      </c>
      <c r="AU529" s="185" t="s">
        <v>82</v>
      </c>
      <c r="AY529" s="18" t="s">
        <v>128</v>
      </c>
      <c r="BE529" s="186">
        <f>IF(N529="základní",J529,0)</f>
        <v>0</v>
      </c>
      <c r="BF529" s="186">
        <f>IF(N529="snížená",J529,0)</f>
        <v>0</v>
      </c>
      <c r="BG529" s="186">
        <f>IF(N529="zákl. přenesená",J529,0)</f>
        <v>0</v>
      </c>
      <c r="BH529" s="186">
        <f>IF(N529="sníž. přenesená",J529,0)</f>
        <v>0</v>
      </c>
      <c r="BI529" s="186">
        <f>IF(N529="nulová",J529,0)</f>
        <v>0</v>
      </c>
      <c r="BJ529" s="18" t="s">
        <v>80</v>
      </c>
      <c r="BK529" s="186">
        <f>ROUND(I529*H529,2)</f>
        <v>0</v>
      </c>
      <c r="BL529" s="18" t="s">
        <v>230</v>
      </c>
      <c r="BM529" s="185" t="s">
        <v>1258</v>
      </c>
    </row>
    <row r="530" spans="1:65" s="2" customFormat="1" ht="10">
      <c r="A530" s="35"/>
      <c r="B530" s="36"/>
      <c r="C530" s="37"/>
      <c r="D530" s="187" t="s">
        <v>137</v>
      </c>
      <c r="E530" s="37"/>
      <c r="F530" s="188" t="s">
        <v>1259</v>
      </c>
      <c r="G530" s="37"/>
      <c r="H530" s="37"/>
      <c r="I530" s="189"/>
      <c r="J530" s="37"/>
      <c r="K530" s="37"/>
      <c r="L530" s="40"/>
      <c r="M530" s="190"/>
      <c r="N530" s="191"/>
      <c r="O530" s="65"/>
      <c r="P530" s="65"/>
      <c r="Q530" s="65"/>
      <c r="R530" s="65"/>
      <c r="S530" s="65"/>
      <c r="T530" s="66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8" t="s">
        <v>137</v>
      </c>
      <c r="AU530" s="18" t="s">
        <v>82</v>
      </c>
    </row>
    <row r="531" spans="1:65" s="13" customFormat="1" ht="10">
      <c r="B531" s="192"/>
      <c r="C531" s="193"/>
      <c r="D531" s="194" t="s">
        <v>139</v>
      </c>
      <c r="E531" s="195" t="s">
        <v>19</v>
      </c>
      <c r="F531" s="196" t="s">
        <v>1260</v>
      </c>
      <c r="G531" s="193"/>
      <c r="H531" s="197">
        <v>54.4</v>
      </c>
      <c r="I531" s="198"/>
      <c r="J531" s="193"/>
      <c r="K531" s="193"/>
      <c r="L531" s="199"/>
      <c r="M531" s="200"/>
      <c r="N531" s="201"/>
      <c r="O531" s="201"/>
      <c r="P531" s="201"/>
      <c r="Q531" s="201"/>
      <c r="R531" s="201"/>
      <c r="S531" s="201"/>
      <c r="T531" s="202"/>
      <c r="AT531" s="203" t="s">
        <v>139</v>
      </c>
      <c r="AU531" s="203" t="s">
        <v>82</v>
      </c>
      <c r="AV531" s="13" t="s">
        <v>82</v>
      </c>
      <c r="AW531" s="13" t="s">
        <v>34</v>
      </c>
      <c r="AX531" s="13" t="s">
        <v>80</v>
      </c>
      <c r="AY531" s="203" t="s">
        <v>128</v>
      </c>
    </row>
    <row r="532" spans="1:65" s="2" customFormat="1" ht="16.5" customHeight="1">
      <c r="A532" s="35"/>
      <c r="B532" s="36"/>
      <c r="C532" s="215" t="s">
        <v>1261</v>
      </c>
      <c r="D532" s="215" t="s">
        <v>414</v>
      </c>
      <c r="E532" s="216" t="s">
        <v>1262</v>
      </c>
      <c r="F532" s="217" t="s">
        <v>1263</v>
      </c>
      <c r="G532" s="218" t="s">
        <v>148</v>
      </c>
      <c r="H532" s="219">
        <v>1.532</v>
      </c>
      <c r="I532" s="220"/>
      <c r="J532" s="221">
        <f>ROUND(I532*H532,2)</f>
        <v>0</v>
      </c>
      <c r="K532" s="217" t="s">
        <v>134</v>
      </c>
      <c r="L532" s="222"/>
      <c r="M532" s="223" t="s">
        <v>19</v>
      </c>
      <c r="N532" s="224" t="s">
        <v>43</v>
      </c>
      <c r="O532" s="65"/>
      <c r="P532" s="183">
        <f>O532*H532</f>
        <v>0</v>
      </c>
      <c r="Q532" s="183">
        <v>0.55000000000000004</v>
      </c>
      <c r="R532" s="183">
        <f>Q532*H532</f>
        <v>0.84260000000000013</v>
      </c>
      <c r="S532" s="183">
        <v>0</v>
      </c>
      <c r="T532" s="184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85" t="s">
        <v>334</v>
      </c>
      <c r="AT532" s="185" t="s">
        <v>414</v>
      </c>
      <c r="AU532" s="185" t="s">
        <v>82</v>
      </c>
      <c r="AY532" s="18" t="s">
        <v>128</v>
      </c>
      <c r="BE532" s="186">
        <f>IF(N532="základní",J532,0)</f>
        <v>0</v>
      </c>
      <c r="BF532" s="186">
        <f>IF(N532="snížená",J532,0)</f>
        <v>0</v>
      </c>
      <c r="BG532" s="186">
        <f>IF(N532="zákl. přenesená",J532,0)</f>
        <v>0</v>
      </c>
      <c r="BH532" s="186">
        <f>IF(N532="sníž. přenesená",J532,0)</f>
        <v>0</v>
      </c>
      <c r="BI532" s="186">
        <f>IF(N532="nulová",J532,0)</f>
        <v>0</v>
      </c>
      <c r="BJ532" s="18" t="s">
        <v>80</v>
      </c>
      <c r="BK532" s="186">
        <f>ROUND(I532*H532,2)</f>
        <v>0</v>
      </c>
      <c r="BL532" s="18" t="s">
        <v>230</v>
      </c>
      <c r="BM532" s="185" t="s">
        <v>1264</v>
      </c>
    </row>
    <row r="533" spans="1:65" s="13" customFormat="1" ht="10">
      <c r="B533" s="192"/>
      <c r="C533" s="193"/>
      <c r="D533" s="194" t="s">
        <v>139</v>
      </c>
      <c r="E533" s="195" t="s">
        <v>19</v>
      </c>
      <c r="F533" s="196" t="s">
        <v>1235</v>
      </c>
      <c r="G533" s="193"/>
      <c r="H533" s="197">
        <v>1.393</v>
      </c>
      <c r="I533" s="198"/>
      <c r="J533" s="193"/>
      <c r="K533" s="193"/>
      <c r="L533" s="199"/>
      <c r="M533" s="200"/>
      <c r="N533" s="201"/>
      <c r="O533" s="201"/>
      <c r="P533" s="201"/>
      <c r="Q533" s="201"/>
      <c r="R533" s="201"/>
      <c r="S533" s="201"/>
      <c r="T533" s="202"/>
      <c r="AT533" s="203" t="s">
        <v>139</v>
      </c>
      <c r="AU533" s="203" t="s">
        <v>82</v>
      </c>
      <c r="AV533" s="13" t="s">
        <v>82</v>
      </c>
      <c r="AW533" s="13" t="s">
        <v>34</v>
      </c>
      <c r="AX533" s="13" t="s">
        <v>80</v>
      </c>
      <c r="AY533" s="203" t="s">
        <v>128</v>
      </c>
    </row>
    <row r="534" spans="1:65" s="13" customFormat="1" ht="10">
      <c r="B534" s="192"/>
      <c r="C534" s="193"/>
      <c r="D534" s="194" t="s">
        <v>139</v>
      </c>
      <c r="E534" s="193"/>
      <c r="F534" s="196" t="s">
        <v>1265</v>
      </c>
      <c r="G534" s="193"/>
      <c r="H534" s="197">
        <v>1.532</v>
      </c>
      <c r="I534" s="198"/>
      <c r="J534" s="193"/>
      <c r="K534" s="193"/>
      <c r="L534" s="199"/>
      <c r="M534" s="200"/>
      <c r="N534" s="201"/>
      <c r="O534" s="201"/>
      <c r="P534" s="201"/>
      <c r="Q534" s="201"/>
      <c r="R534" s="201"/>
      <c r="S534" s="201"/>
      <c r="T534" s="202"/>
      <c r="AT534" s="203" t="s">
        <v>139</v>
      </c>
      <c r="AU534" s="203" t="s">
        <v>82</v>
      </c>
      <c r="AV534" s="13" t="s">
        <v>82</v>
      </c>
      <c r="AW534" s="13" t="s">
        <v>4</v>
      </c>
      <c r="AX534" s="13" t="s">
        <v>80</v>
      </c>
      <c r="AY534" s="203" t="s">
        <v>128</v>
      </c>
    </row>
    <row r="535" spans="1:65" s="2" customFormat="1" ht="37.75" customHeight="1">
      <c r="A535" s="35"/>
      <c r="B535" s="36"/>
      <c r="C535" s="174" t="s">
        <v>1266</v>
      </c>
      <c r="D535" s="174" t="s">
        <v>130</v>
      </c>
      <c r="E535" s="175" t="s">
        <v>1267</v>
      </c>
      <c r="F535" s="176" t="s">
        <v>1268</v>
      </c>
      <c r="G535" s="177" t="s">
        <v>258</v>
      </c>
      <c r="H535" s="178">
        <v>128.4</v>
      </c>
      <c r="I535" s="179"/>
      <c r="J535" s="180">
        <f>ROUND(I535*H535,2)</f>
        <v>0</v>
      </c>
      <c r="K535" s="176" t="s">
        <v>134</v>
      </c>
      <c r="L535" s="40"/>
      <c r="M535" s="181" t="s">
        <v>19</v>
      </c>
      <c r="N535" s="182" t="s">
        <v>43</v>
      </c>
      <c r="O535" s="65"/>
      <c r="P535" s="183">
        <f>O535*H535</f>
        <v>0</v>
      </c>
      <c r="Q535" s="183">
        <v>0</v>
      </c>
      <c r="R535" s="183">
        <f>Q535*H535</f>
        <v>0</v>
      </c>
      <c r="S535" s="183">
        <v>0</v>
      </c>
      <c r="T535" s="184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85" t="s">
        <v>230</v>
      </c>
      <c r="AT535" s="185" t="s">
        <v>130</v>
      </c>
      <c r="AU535" s="185" t="s">
        <v>82</v>
      </c>
      <c r="AY535" s="18" t="s">
        <v>128</v>
      </c>
      <c r="BE535" s="186">
        <f>IF(N535="základní",J535,0)</f>
        <v>0</v>
      </c>
      <c r="BF535" s="186">
        <f>IF(N535="snížená",J535,0)</f>
        <v>0</v>
      </c>
      <c r="BG535" s="186">
        <f>IF(N535="zákl. přenesená",J535,0)</f>
        <v>0</v>
      </c>
      <c r="BH535" s="186">
        <f>IF(N535="sníž. přenesená",J535,0)</f>
        <v>0</v>
      </c>
      <c r="BI535" s="186">
        <f>IF(N535="nulová",J535,0)</f>
        <v>0</v>
      </c>
      <c r="BJ535" s="18" t="s">
        <v>80</v>
      </c>
      <c r="BK535" s="186">
        <f>ROUND(I535*H535,2)</f>
        <v>0</v>
      </c>
      <c r="BL535" s="18" t="s">
        <v>230</v>
      </c>
      <c r="BM535" s="185" t="s">
        <v>1269</v>
      </c>
    </row>
    <row r="536" spans="1:65" s="2" customFormat="1" ht="10">
      <c r="A536" s="35"/>
      <c r="B536" s="36"/>
      <c r="C536" s="37"/>
      <c r="D536" s="187" t="s">
        <v>137</v>
      </c>
      <c r="E536" s="37"/>
      <c r="F536" s="188" t="s">
        <v>1270</v>
      </c>
      <c r="G536" s="37"/>
      <c r="H536" s="37"/>
      <c r="I536" s="189"/>
      <c r="J536" s="37"/>
      <c r="K536" s="37"/>
      <c r="L536" s="40"/>
      <c r="M536" s="190"/>
      <c r="N536" s="191"/>
      <c r="O536" s="65"/>
      <c r="P536" s="65"/>
      <c r="Q536" s="65"/>
      <c r="R536" s="65"/>
      <c r="S536" s="65"/>
      <c r="T536" s="66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8" t="s">
        <v>137</v>
      </c>
      <c r="AU536" s="18" t="s">
        <v>82</v>
      </c>
    </row>
    <row r="537" spans="1:65" s="13" customFormat="1" ht="10">
      <c r="B537" s="192"/>
      <c r="C537" s="193"/>
      <c r="D537" s="194" t="s">
        <v>139</v>
      </c>
      <c r="E537" s="195" t="s">
        <v>19</v>
      </c>
      <c r="F537" s="196" t="s">
        <v>1271</v>
      </c>
      <c r="G537" s="193"/>
      <c r="H537" s="197">
        <v>128.4</v>
      </c>
      <c r="I537" s="198"/>
      <c r="J537" s="193"/>
      <c r="K537" s="193"/>
      <c r="L537" s="199"/>
      <c r="M537" s="200"/>
      <c r="N537" s="201"/>
      <c r="O537" s="201"/>
      <c r="P537" s="201"/>
      <c r="Q537" s="201"/>
      <c r="R537" s="201"/>
      <c r="S537" s="201"/>
      <c r="T537" s="202"/>
      <c r="AT537" s="203" t="s">
        <v>139</v>
      </c>
      <c r="AU537" s="203" t="s">
        <v>82</v>
      </c>
      <c r="AV537" s="13" t="s">
        <v>82</v>
      </c>
      <c r="AW537" s="13" t="s">
        <v>34</v>
      </c>
      <c r="AX537" s="13" t="s">
        <v>80</v>
      </c>
      <c r="AY537" s="203" t="s">
        <v>128</v>
      </c>
    </row>
    <row r="538" spans="1:65" s="2" customFormat="1" ht="16.5" customHeight="1">
      <c r="A538" s="35"/>
      <c r="B538" s="36"/>
      <c r="C538" s="215" t="s">
        <v>1272</v>
      </c>
      <c r="D538" s="215" t="s">
        <v>414</v>
      </c>
      <c r="E538" s="216" t="s">
        <v>1273</v>
      </c>
      <c r="F538" s="217" t="s">
        <v>1274</v>
      </c>
      <c r="G538" s="218" t="s">
        <v>148</v>
      </c>
      <c r="H538" s="219">
        <v>4.5199999999999996</v>
      </c>
      <c r="I538" s="220"/>
      <c r="J538" s="221">
        <f>ROUND(I538*H538,2)</f>
        <v>0</v>
      </c>
      <c r="K538" s="217" t="s">
        <v>134</v>
      </c>
      <c r="L538" s="222"/>
      <c r="M538" s="223" t="s">
        <v>19</v>
      </c>
      <c r="N538" s="224" t="s">
        <v>43</v>
      </c>
      <c r="O538" s="65"/>
      <c r="P538" s="183">
        <f>O538*H538</f>
        <v>0</v>
      </c>
      <c r="Q538" s="183">
        <v>0.55000000000000004</v>
      </c>
      <c r="R538" s="183">
        <f>Q538*H538</f>
        <v>2.4859999999999998</v>
      </c>
      <c r="S538" s="183">
        <v>0</v>
      </c>
      <c r="T538" s="184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85" t="s">
        <v>334</v>
      </c>
      <c r="AT538" s="185" t="s">
        <v>414</v>
      </c>
      <c r="AU538" s="185" t="s">
        <v>82</v>
      </c>
      <c r="AY538" s="18" t="s">
        <v>128</v>
      </c>
      <c r="BE538" s="186">
        <f>IF(N538="základní",J538,0)</f>
        <v>0</v>
      </c>
      <c r="BF538" s="186">
        <f>IF(N538="snížená",J538,0)</f>
        <v>0</v>
      </c>
      <c r="BG538" s="186">
        <f>IF(N538="zákl. přenesená",J538,0)</f>
        <v>0</v>
      </c>
      <c r="BH538" s="186">
        <f>IF(N538="sníž. přenesená",J538,0)</f>
        <v>0</v>
      </c>
      <c r="BI538" s="186">
        <f>IF(N538="nulová",J538,0)</f>
        <v>0</v>
      </c>
      <c r="BJ538" s="18" t="s">
        <v>80</v>
      </c>
      <c r="BK538" s="186">
        <f>ROUND(I538*H538,2)</f>
        <v>0</v>
      </c>
      <c r="BL538" s="18" t="s">
        <v>230</v>
      </c>
      <c r="BM538" s="185" t="s">
        <v>1275</v>
      </c>
    </row>
    <row r="539" spans="1:65" s="13" customFormat="1" ht="10">
      <c r="B539" s="192"/>
      <c r="C539" s="193"/>
      <c r="D539" s="194" t="s">
        <v>139</v>
      </c>
      <c r="E539" s="195" t="s">
        <v>19</v>
      </c>
      <c r="F539" s="196" t="s">
        <v>1236</v>
      </c>
      <c r="G539" s="193"/>
      <c r="H539" s="197">
        <v>4.109</v>
      </c>
      <c r="I539" s="198"/>
      <c r="J539" s="193"/>
      <c r="K539" s="193"/>
      <c r="L539" s="199"/>
      <c r="M539" s="200"/>
      <c r="N539" s="201"/>
      <c r="O539" s="201"/>
      <c r="P539" s="201"/>
      <c r="Q539" s="201"/>
      <c r="R539" s="201"/>
      <c r="S539" s="201"/>
      <c r="T539" s="202"/>
      <c r="AT539" s="203" t="s">
        <v>139</v>
      </c>
      <c r="AU539" s="203" t="s">
        <v>82</v>
      </c>
      <c r="AV539" s="13" t="s">
        <v>82</v>
      </c>
      <c r="AW539" s="13" t="s">
        <v>34</v>
      </c>
      <c r="AX539" s="13" t="s">
        <v>80</v>
      </c>
      <c r="AY539" s="203" t="s">
        <v>128</v>
      </c>
    </row>
    <row r="540" spans="1:65" s="13" customFormat="1" ht="10">
      <c r="B540" s="192"/>
      <c r="C540" s="193"/>
      <c r="D540" s="194" t="s">
        <v>139</v>
      </c>
      <c r="E540" s="193"/>
      <c r="F540" s="196" t="s">
        <v>1276</v>
      </c>
      <c r="G540" s="193"/>
      <c r="H540" s="197">
        <v>4.5199999999999996</v>
      </c>
      <c r="I540" s="198"/>
      <c r="J540" s="193"/>
      <c r="K540" s="193"/>
      <c r="L540" s="199"/>
      <c r="M540" s="200"/>
      <c r="N540" s="201"/>
      <c r="O540" s="201"/>
      <c r="P540" s="201"/>
      <c r="Q540" s="201"/>
      <c r="R540" s="201"/>
      <c r="S540" s="201"/>
      <c r="T540" s="202"/>
      <c r="AT540" s="203" t="s">
        <v>139</v>
      </c>
      <c r="AU540" s="203" t="s">
        <v>82</v>
      </c>
      <c r="AV540" s="13" t="s">
        <v>82</v>
      </c>
      <c r="AW540" s="13" t="s">
        <v>4</v>
      </c>
      <c r="AX540" s="13" t="s">
        <v>80</v>
      </c>
      <c r="AY540" s="203" t="s">
        <v>128</v>
      </c>
    </row>
    <row r="541" spans="1:65" s="2" customFormat="1" ht="37.75" customHeight="1">
      <c r="A541" s="35"/>
      <c r="B541" s="36"/>
      <c r="C541" s="174" t="s">
        <v>1277</v>
      </c>
      <c r="D541" s="174" t="s">
        <v>130</v>
      </c>
      <c r="E541" s="175" t="s">
        <v>1278</v>
      </c>
      <c r="F541" s="176" t="s">
        <v>1279</v>
      </c>
      <c r="G541" s="177" t="s">
        <v>258</v>
      </c>
      <c r="H541" s="178">
        <v>740</v>
      </c>
      <c r="I541" s="179"/>
      <c r="J541" s="180">
        <f>ROUND(I541*H541,2)</f>
        <v>0</v>
      </c>
      <c r="K541" s="176" t="s">
        <v>134</v>
      </c>
      <c r="L541" s="40"/>
      <c r="M541" s="181" t="s">
        <v>19</v>
      </c>
      <c r="N541" s="182" t="s">
        <v>43</v>
      </c>
      <c r="O541" s="65"/>
      <c r="P541" s="183">
        <f>O541*H541</f>
        <v>0</v>
      </c>
      <c r="Q541" s="183">
        <v>0</v>
      </c>
      <c r="R541" s="183">
        <f>Q541*H541</f>
        <v>0</v>
      </c>
      <c r="S541" s="183">
        <v>0</v>
      </c>
      <c r="T541" s="184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185" t="s">
        <v>230</v>
      </c>
      <c r="AT541" s="185" t="s">
        <v>130</v>
      </c>
      <c r="AU541" s="185" t="s">
        <v>82</v>
      </c>
      <c r="AY541" s="18" t="s">
        <v>128</v>
      </c>
      <c r="BE541" s="186">
        <f>IF(N541="základní",J541,0)</f>
        <v>0</v>
      </c>
      <c r="BF541" s="186">
        <f>IF(N541="snížená",J541,0)</f>
        <v>0</v>
      </c>
      <c r="BG541" s="186">
        <f>IF(N541="zákl. přenesená",J541,0)</f>
        <v>0</v>
      </c>
      <c r="BH541" s="186">
        <f>IF(N541="sníž. přenesená",J541,0)</f>
        <v>0</v>
      </c>
      <c r="BI541" s="186">
        <f>IF(N541="nulová",J541,0)</f>
        <v>0</v>
      </c>
      <c r="BJ541" s="18" t="s">
        <v>80</v>
      </c>
      <c r="BK541" s="186">
        <f>ROUND(I541*H541,2)</f>
        <v>0</v>
      </c>
      <c r="BL541" s="18" t="s">
        <v>230</v>
      </c>
      <c r="BM541" s="185" t="s">
        <v>1280</v>
      </c>
    </row>
    <row r="542" spans="1:65" s="2" customFormat="1" ht="10">
      <c r="A542" s="35"/>
      <c r="B542" s="36"/>
      <c r="C542" s="37"/>
      <c r="D542" s="187" t="s">
        <v>137</v>
      </c>
      <c r="E542" s="37"/>
      <c r="F542" s="188" t="s">
        <v>1281</v>
      </c>
      <c r="G542" s="37"/>
      <c r="H542" s="37"/>
      <c r="I542" s="189"/>
      <c r="J542" s="37"/>
      <c r="K542" s="37"/>
      <c r="L542" s="40"/>
      <c r="M542" s="190"/>
      <c r="N542" s="191"/>
      <c r="O542" s="65"/>
      <c r="P542" s="65"/>
      <c r="Q542" s="65"/>
      <c r="R542" s="65"/>
      <c r="S542" s="65"/>
      <c r="T542" s="66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T542" s="18" t="s">
        <v>137</v>
      </c>
      <c r="AU542" s="18" t="s">
        <v>82</v>
      </c>
    </row>
    <row r="543" spans="1:65" s="13" customFormat="1" ht="10">
      <c r="B543" s="192"/>
      <c r="C543" s="193"/>
      <c r="D543" s="194" t="s">
        <v>139</v>
      </c>
      <c r="E543" s="195" t="s">
        <v>19</v>
      </c>
      <c r="F543" s="196" t="s">
        <v>1282</v>
      </c>
      <c r="G543" s="193"/>
      <c r="H543" s="197">
        <v>740</v>
      </c>
      <c r="I543" s="198"/>
      <c r="J543" s="193"/>
      <c r="K543" s="193"/>
      <c r="L543" s="199"/>
      <c r="M543" s="200"/>
      <c r="N543" s="201"/>
      <c r="O543" s="201"/>
      <c r="P543" s="201"/>
      <c r="Q543" s="201"/>
      <c r="R543" s="201"/>
      <c r="S543" s="201"/>
      <c r="T543" s="202"/>
      <c r="AT543" s="203" t="s">
        <v>139</v>
      </c>
      <c r="AU543" s="203" t="s">
        <v>82</v>
      </c>
      <c r="AV543" s="13" t="s">
        <v>82</v>
      </c>
      <c r="AW543" s="13" t="s">
        <v>34</v>
      </c>
      <c r="AX543" s="13" t="s">
        <v>80</v>
      </c>
      <c r="AY543" s="203" t="s">
        <v>128</v>
      </c>
    </row>
    <row r="544" spans="1:65" s="2" customFormat="1" ht="16.5" customHeight="1">
      <c r="A544" s="35"/>
      <c r="B544" s="36"/>
      <c r="C544" s="215" t="s">
        <v>1283</v>
      </c>
      <c r="D544" s="215" t="s">
        <v>414</v>
      </c>
      <c r="E544" s="216" t="s">
        <v>1284</v>
      </c>
      <c r="F544" s="217" t="s">
        <v>1285</v>
      </c>
      <c r="G544" s="218" t="s">
        <v>148</v>
      </c>
      <c r="H544" s="219">
        <v>4.5579999999999998</v>
      </c>
      <c r="I544" s="220"/>
      <c r="J544" s="221">
        <f>ROUND(I544*H544,2)</f>
        <v>0</v>
      </c>
      <c r="K544" s="217" t="s">
        <v>134</v>
      </c>
      <c r="L544" s="222"/>
      <c r="M544" s="223" t="s">
        <v>19</v>
      </c>
      <c r="N544" s="224" t="s">
        <v>43</v>
      </c>
      <c r="O544" s="65"/>
      <c r="P544" s="183">
        <f>O544*H544</f>
        <v>0</v>
      </c>
      <c r="Q544" s="183">
        <v>0.44</v>
      </c>
      <c r="R544" s="183">
        <f>Q544*H544</f>
        <v>2.0055199999999997</v>
      </c>
      <c r="S544" s="183">
        <v>0</v>
      </c>
      <c r="T544" s="184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185" t="s">
        <v>334</v>
      </c>
      <c r="AT544" s="185" t="s">
        <v>414</v>
      </c>
      <c r="AU544" s="185" t="s">
        <v>82</v>
      </c>
      <c r="AY544" s="18" t="s">
        <v>128</v>
      </c>
      <c r="BE544" s="186">
        <f>IF(N544="základní",J544,0)</f>
        <v>0</v>
      </c>
      <c r="BF544" s="186">
        <f>IF(N544="snížená",J544,0)</f>
        <v>0</v>
      </c>
      <c r="BG544" s="186">
        <f>IF(N544="zákl. přenesená",J544,0)</f>
        <v>0</v>
      </c>
      <c r="BH544" s="186">
        <f>IF(N544="sníž. přenesená",J544,0)</f>
        <v>0</v>
      </c>
      <c r="BI544" s="186">
        <f>IF(N544="nulová",J544,0)</f>
        <v>0</v>
      </c>
      <c r="BJ544" s="18" t="s">
        <v>80</v>
      </c>
      <c r="BK544" s="186">
        <f>ROUND(I544*H544,2)</f>
        <v>0</v>
      </c>
      <c r="BL544" s="18" t="s">
        <v>230</v>
      </c>
      <c r="BM544" s="185" t="s">
        <v>1286</v>
      </c>
    </row>
    <row r="545" spans="1:65" s="13" customFormat="1" ht="10">
      <c r="B545" s="192"/>
      <c r="C545" s="193"/>
      <c r="D545" s="194" t="s">
        <v>139</v>
      </c>
      <c r="E545" s="195" t="s">
        <v>19</v>
      </c>
      <c r="F545" s="196" t="s">
        <v>1242</v>
      </c>
      <c r="G545" s="193"/>
      <c r="H545" s="197">
        <v>4.1440000000000001</v>
      </c>
      <c r="I545" s="198"/>
      <c r="J545" s="193"/>
      <c r="K545" s="193"/>
      <c r="L545" s="199"/>
      <c r="M545" s="200"/>
      <c r="N545" s="201"/>
      <c r="O545" s="201"/>
      <c r="P545" s="201"/>
      <c r="Q545" s="201"/>
      <c r="R545" s="201"/>
      <c r="S545" s="201"/>
      <c r="T545" s="202"/>
      <c r="AT545" s="203" t="s">
        <v>139</v>
      </c>
      <c r="AU545" s="203" t="s">
        <v>82</v>
      </c>
      <c r="AV545" s="13" t="s">
        <v>82</v>
      </c>
      <c r="AW545" s="13" t="s">
        <v>34</v>
      </c>
      <c r="AX545" s="13" t="s">
        <v>80</v>
      </c>
      <c r="AY545" s="203" t="s">
        <v>128</v>
      </c>
    </row>
    <row r="546" spans="1:65" s="13" customFormat="1" ht="10">
      <c r="B546" s="192"/>
      <c r="C546" s="193"/>
      <c r="D546" s="194" t="s">
        <v>139</v>
      </c>
      <c r="E546" s="193"/>
      <c r="F546" s="196" t="s">
        <v>1287</v>
      </c>
      <c r="G546" s="193"/>
      <c r="H546" s="197">
        <v>4.5579999999999998</v>
      </c>
      <c r="I546" s="198"/>
      <c r="J546" s="193"/>
      <c r="K546" s="193"/>
      <c r="L546" s="199"/>
      <c r="M546" s="200"/>
      <c r="N546" s="201"/>
      <c r="O546" s="201"/>
      <c r="P546" s="201"/>
      <c r="Q546" s="201"/>
      <c r="R546" s="201"/>
      <c r="S546" s="201"/>
      <c r="T546" s="202"/>
      <c r="AT546" s="203" t="s">
        <v>139</v>
      </c>
      <c r="AU546" s="203" t="s">
        <v>82</v>
      </c>
      <c r="AV546" s="13" t="s">
        <v>82</v>
      </c>
      <c r="AW546" s="13" t="s">
        <v>4</v>
      </c>
      <c r="AX546" s="13" t="s">
        <v>80</v>
      </c>
      <c r="AY546" s="203" t="s">
        <v>128</v>
      </c>
    </row>
    <row r="547" spans="1:65" s="2" customFormat="1" ht="37.75" customHeight="1">
      <c r="A547" s="35"/>
      <c r="B547" s="36"/>
      <c r="C547" s="174" t="s">
        <v>1288</v>
      </c>
      <c r="D547" s="174" t="s">
        <v>130</v>
      </c>
      <c r="E547" s="175" t="s">
        <v>1289</v>
      </c>
      <c r="F547" s="176" t="s">
        <v>1290</v>
      </c>
      <c r="G547" s="177" t="s">
        <v>258</v>
      </c>
      <c r="H547" s="178">
        <v>650</v>
      </c>
      <c r="I547" s="179"/>
      <c r="J547" s="180">
        <f>ROUND(I547*H547,2)</f>
        <v>0</v>
      </c>
      <c r="K547" s="176" t="s">
        <v>134</v>
      </c>
      <c r="L547" s="40"/>
      <c r="M547" s="181" t="s">
        <v>19</v>
      </c>
      <c r="N547" s="182" t="s">
        <v>43</v>
      </c>
      <c r="O547" s="65"/>
      <c r="P547" s="183">
        <f>O547*H547</f>
        <v>0</v>
      </c>
      <c r="Q547" s="183">
        <v>0</v>
      </c>
      <c r="R547" s="183">
        <f>Q547*H547</f>
        <v>0</v>
      </c>
      <c r="S547" s="183">
        <v>0</v>
      </c>
      <c r="T547" s="184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185" t="s">
        <v>230</v>
      </c>
      <c r="AT547" s="185" t="s">
        <v>130</v>
      </c>
      <c r="AU547" s="185" t="s">
        <v>82</v>
      </c>
      <c r="AY547" s="18" t="s">
        <v>128</v>
      </c>
      <c r="BE547" s="186">
        <f>IF(N547="základní",J547,0)</f>
        <v>0</v>
      </c>
      <c r="BF547" s="186">
        <f>IF(N547="snížená",J547,0)</f>
        <v>0</v>
      </c>
      <c r="BG547" s="186">
        <f>IF(N547="zákl. přenesená",J547,0)</f>
        <v>0</v>
      </c>
      <c r="BH547" s="186">
        <f>IF(N547="sníž. přenesená",J547,0)</f>
        <v>0</v>
      </c>
      <c r="BI547" s="186">
        <f>IF(N547="nulová",J547,0)</f>
        <v>0</v>
      </c>
      <c r="BJ547" s="18" t="s">
        <v>80</v>
      </c>
      <c r="BK547" s="186">
        <f>ROUND(I547*H547,2)</f>
        <v>0</v>
      </c>
      <c r="BL547" s="18" t="s">
        <v>230</v>
      </c>
      <c r="BM547" s="185" t="s">
        <v>1291</v>
      </c>
    </row>
    <row r="548" spans="1:65" s="2" customFormat="1" ht="10">
      <c r="A548" s="35"/>
      <c r="B548" s="36"/>
      <c r="C548" s="37"/>
      <c r="D548" s="187" t="s">
        <v>137</v>
      </c>
      <c r="E548" s="37"/>
      <c r="F548" s="188" t="s">
        <v>1292</v>
      </c>
      <c r="G548" s="37"/>
      <c r="H548" s="37"/>
      <c r="I548" s="189"/>
      <c r="J548" s="37"/>
      <c r="K548" s="37"/>
      <c r="L548" s="40"/>
      <c r="M548" s="190"/>
      <c r="N548" s="191"/>
      <c r="O548" s="65"/>
      <c r="P548" s="65"/>
      <c r="Q548" s="65"/>
      <c r="R548" s="65"/>
      <c r="S548" s="65"/>
      <c r="T548" s="66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T548" s="18" t="s">
        <v>137</v>
      </c>
      <c r="AU548" s="18" t="s">
        <v>82</v>
      </c>
    </row>
    <row r="549" spans="1:65" s="13" customFormat="1" ht="10">
      <c r="B549" s="192"/>
      <c r="C549" s="193"/>
      <c r="D549" s="194" t="s">
        <v>139</v>
      </c>
      <c r="E549" s="195" t="s">
        <v>19</v>
      </c>
      <c r="F549" s="196" t="s">
        <v>1293</v>
      </c>
      <c r="G549" s="193"/>
      <c r="H549" s="197">
        <v>650</v>
      </c>
      <c r="I549" s="198"/>
      <c r="J549" s="193"/>
      <c r="K549" s="193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139</v>
      </c>
      <c r="AU549" s="203" t="s">
        <v>82</v>
      </c>
      <c r="AV549" s="13" t="s">
        <v>82</v>
      </c>
      <c r="AW549" s="13" t="s">
        <v>34</v>
      </c>
      <c r="AX549" s="13" t="s">
        <v>80</v>
      </c>
      <c r="AY549" s="203" t="s">
        <v>128</v>
      </c>
    </row>
    <row r="550" spans="1:65" s="2" customFormat="1" ht="16.5" customHeight="1">
      <c r="A550" s="35"/>
      <c r="B550" s="36"/>
      <c r="C550" s="215" t="s">
        <v>1294</v>
      </c>
      <c r="D550" s="215" t="s">
        <v>414</v>
      </c>
      <c r="E550" s="216" t="s">
        <v>1295</v>
      </c>
      <c r="F550" s="217" t="s">
        <v>1296</v>
      </c>
      <c r="G550" s="218" t="s">
        <v>148</v>
      </c>
      <c r="H550" s="219">
        <v>4.0039999999999996</v>
      </c>
      <c r="I550" s="220"/>
      <c r="J550" s="221">
        <f>ROUND(I550*H550,2)</f>
        <v>0</v>
      </c>
      <c r="K550" s="217" t="s">
        <v>134</v>
      </c>
      <c r="L550" s="222"/>
      <c r="M550" s="223" t="s">
        <v>19</v>
      </c>
      <c r="N550" s="224" t="s">
        <v>43</v>
      </c>
      <c r="O550" s="65"/>
      <c r="P550" s="183">
        <f>O550*H550</f>
        <v>0</v>
      </c>
      <c r="Q550" s="183">
        <v>0.44</v>
      </c>
      <c r="R550" s="183">
        <f>Q550*H550</f>
        <v>1.7617599999999998</v>
      </c>
      <c r="S550" s="183">
        <v>0</v>
      </c>
      <c r="T550" s="184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85" t="s">
        <v>334</v>
      </c>
      <c r="AT550" s="185" t="s">
        <v>414</v>
      </c>
      <c r="AU550" s="185" t="s">
        <v>82</v>
      </c>
      <c r="AY550" s="18" t="s">
        <v>128</v>
      </c>
      <c r="BE550" s="186">
        <f>IF(N550="základní",J550,0)</f>
        <v>0</v>
      </c>
      <c r="BF550" s="186">
        <f>IF(N550="snížená",J550,0)</f>
        <v>0</v>
      </c>
      <c r="BG550" s="186">
        <f>IF(N550="zákl. přenesená",J550,0)</f>
        <v>0</v>
      </c>
      <c r="BH550" s="186">
        <f>IF(N550="sníž. přenesená",J550,0)</f>
        <v>0</v>
      </c>
      <c r="BI550" s="186">
        <f>IF(N550="nulová",J550,0)</f>
        <v>0</v>
      </c>
      <c r="BJ550" s="18" t="s">
        <v>80</v>
      </c>
      <c r="BK550" s="186">
        <f>ROUND(I550*H550,2)</f>
        <v>0</v>
      </c>
      <c r="BL550" s="18" t="s">
        <v>230</v>
      </c>
      <c r="BM550" s="185" t="s">
        <v>1297</v>
      </c>
    </row>
    <row r="551" spans="1:65" s="13" customFormat="1" ht="10">
      <c r="B551" s="192"/>
      <c r="C551" s="193"/>
      <c r="D551" s="194" t="s">
        <v>139</v>
      </c>
      <c r="E551" s="195" t="s">
        <v>19</v>
      </c>
      <c r="F551" s="196" t="s">
        <v>1298</v>
      </c>
      <c r="G551" s="193"/>
      <c r="H551" s="197">
        <v>3.64</v>
      </c>
      <c r="I551" s="198"/>
      <c r="J551" s="193"/>
      <c r="K551" s="193"/>
      <c r="L551" s="199"/>
      <c r="M551" s="200"/>
      <c r="N551" s="201"/>
      <c r="O551" s="201"/>
      <c r="P551" s="201"/>
      <c r="Q551" s="201"/>
      <c r="R551" s="201"/>
      <c r="S551" s="201"/>
      <c r="T551" s="202"/>
      <c r="AT551" s="203" t="s">
        <v>139</v>
      </c>
      <c r="AU551" s="203" t="s">
        <v>82</v>
      </c>
      <c r="AV551" s="13" t="s">
        <v>82</v>
      </c>
      <c r="AW551" s="13" t="s">
        <v>34</v>
      </c>
      <c r="AX551" s="13" t="s">
        <v>80</v>
      </c>
      <c r="AY551" s="203" t="s">
        <v>128</v>
      </c>
    </row>
    <row r="552" spans="1:65" s="13" customFormat="1" ht="10">
      <c r="B552" s="192"/>
      <c r="C552" s="193"/>
      <c r="D552" s="194" t="s">
        <v>139</v>
      </c>
      <c r="E552" s="193"/>
      <c r="F552" s="196" t="s">
        <v>1299</v>
      </c>
      <c r="G552" s="193"/>
      <c r="H552" s="197">
        <v>4.0039999999999996</v>
      </c>
      <c r="I552" s="198"/>
      <c r="J552" s="193"/>
      <c r="K552" s="193"/>
      <c r="L552" s="199"/>
      <c r="M552" s="200"/>
      <c r="N552" s="201"/>
      <c r="O552" s="201"/>
      <c r="P552" s="201"/>
      <c r="Q552" s="201"/>
      <c r="R552" s="201"/>
      <c r="S552" s="201"/>
      <c r="T552" s="202"/>
      <c r="AT552" s="203" t="s">
        <v>139</v>
      </c>
      <c r="AU552" s="203" t="s">
        <v>82</v>
      </c>
      <c r="AV552" s="13" t="s">
        <v>82</v>
      </c>
      <c r="AW552" s="13" t="s">
        <v>4</v>
      </c>
      <c r="AX552" s="13" t="s">
        <v>80</v>
      </c>
      <c r="AY552" s="203" t="s">
        <v>128</v>
      </c>
    </row>
    <row r="553" spans="1:65" s="2" customFormat="1" ht="24.15" customHeight="1">
      <c r="A553" s="35"/>
      <c r="B553" s="36"/>
      <c r="C553" s="174" t="s">
        <v>1300</v>
      </c>
      <c r="D553" s="174" t="s">
        <v>130</v>
      </c>
      <c r="E553" s="175" t="s">
        <v>1301</v>
      </c>
      <c r="F553" s="176" t="s">
        <v>1302</v>
      </c>
      <c r="G553" s="177" t="s">
        <v>133</v>
      </c>
      <c r="H553" s="178">
        <v>290.39999999999998</v>
      </c>
      <c r="I553" s="179"/>
      <c r="J553" s="180">
        <f>ROUND(I553*H553,2)</f>
        <v>0</v>
      </c>
      <c r="K553" s="176" t="s">
        <v>134</v>
      </c>
      <c r="L553" s="40"/>
      <c r="M553" s="181" t="s">
        <v>19</v>
      </c>
      <c r="N553" s="182" t="s">
        <v>43</v>
      </c>
      <c r="O553" s="65"/>
      <c r="P553" s="183">
        <f>O553*H553</f>
        <v>0</v>
      </c>
      <c r="Q553" s="183">
        <v>8.0000000000000002E-3</v>
      </c>
      <c r="R553" s="183">
        <f>Q553*H553</f>
        <v>2.3231999999999999</v>
      </c>
      <c r="S553" s="183">
        <v>0</v>
      </c>
      <c r="T553" s="184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85" t="s">
        <v>230</v>
      </c>
      <c r="AT553" s="185" t="s">
        <v>130</v>
      </c>
      <c r="AU553" s="185" t="s">
        <v>82</v>
      </c>
      <c r="AY553" s="18" t="s">
        <v>128</v>
      </c>
      <c r="BE553" s="186">
        <f>IF(N553="základní",J553,0)</f>
        <v>0</v>
      </c>
      <c r="BF553" s="186">
        <f>IF(N553="snížená",J553,0)</f>
        <v>0</v>
      </c>
      <c r="BG553" s="186">
        <f>IF(N553="zákl. přenesená",J553,0)</f>
        <v>0</v>
      </c>
      <c r="BH553" s="186">
        <f>IF(N553="sníž. přenesená",J553,0)</f>
        <v>0</v>
      </c>
      <c r="BI553" s="186">
        <f>IF(N553="nulová",J553,0)</f>
        <v>0</v>
      </c>
      <c r="BJ553" s="18" t="s">
        <v>80</v>
      </c>
      <c r="BK553" s="186">
        <f>ROUND(I553*H553,2)</f>
        <v>0</v>
      </c>
      <c r="BL553" s="18" t="s">
        <v>230</v>
      </c>
      <c r="BM553" s="185" t="s">
        <v>1303</v>
      </c>
    </row>
    <row r="554" spans="1:65" s="2" customFormat="1" ht="10">
      <c r="A554" s="35"/>
      <c r="B554" s="36"/>
      <c r="C554" s="37"/>
      <c r="D554" s="187" t="s">
        <v>137</v>
      </c>
      <c r="E554" s="37"/>
      <c r="F554" s="188" t="s">
        <v>1304</v>
      </c>
      <c r="G554" s="37"/>
      <c r="H554" s="37"/>
      <c r="I554" s="189"/>
      <c r="J554" s="37"/>
      <c r="K554" s="37"/>
      <c r="L554" s="40"/>
      <c r="M554" s="190"/>
      <c r="N554" s="191"/>
      <c r="O554" s="65"/>
      <c r="P554" s="65"/>
      <c r="Q554" s="65"/>
      <c r="R554" s="65"/>
      <c r="S554" s="65"/>
      <c r="T554" s="66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T554" s="18" t="s">
        <v>137</v>
      </c>
      <c r="AU554" s="18" t="s">
        <v>82</v>
      </c>
    </row>
    <row r="555" spans="1:65" s="13" customFormat="1" ht="10">
      <c r="B555" s="192"/>
      <c r="C555" s="193"/>
      <c r="D555" s="194" t="s">
        <v>139</v>
      </c>
      <c r="E555" s="195" t="s">
        <v>19</v>
      </c>
      <c r="F555" s="196" t="s">
        <v>1305</v>
      </c>
      <c r="G555" s="193"/>
      <c r="H555" s="197">
        <v>290.39999999999998</v>
      </c>
      <c r="I555" s="198"/>
      <c r="J555" s="193"/>
      <c r="K555" s="193"/>
      <c r="L555" s="199"/>
      <c r="M555" s="200"/>
      <c r="N555" s="201"/>
      <c r="O555" s="201"/>
      <c r="P555" s="201"/>
      <c r="Q555" s="201"/>
      <c r="R555" s="201"/>
      <c r="S555" s="201"/>
      <c r="T555" s="202"/>
      <c r="AT555" s="203" t="s">
        <v>139</v>
      </c>
      <c r="AU555" s="203" t="s">
        <v>82</v>
      </c>
      <c r="AV555" s="13" t="s">
        <v>82</v>
      </c>
      <c r="AW555" s="13" t="s">
        <v>34</v>
      </c>
      <c r="AX555" s="13" t="s">
        <v>80</v>
      </c>
      <c r="AY555" s="203" t="s">
        <v>128</v>
      </c>
    </row>
    <row r="556" spans="1:65" s="2" customFormat="1" ht="24.15" customHeight="1">
      <c r="A556" s="35"/>
      <c r="B556" s="36"/>
      <c r="C556" s="174" t="s">
        <v>1306</v>
      </c>
      <c r="D556" s="174" t="s">
        <v>130</v>
      </c>
      <c r="E556" s="175" t="s">
        <v>1307</v>
      </c>
      <c r="F556" s="176" t="s">
        <v>1308</v>
      </c>
      <c r="G556" s="177" t="s">
        <v>133</v>
      </c>
      <c r="H556" s="178">
        <v>76</v>
      </c>
      <c r="I556" s="179"/>
      <c r="J556" s="180">
        <f>ROUND(I556*H556,2)</f>
        <v>0</v>
      </c>
      <c r="K556" s="176" t="s">
        <v>134</v>
      </c>
      <c r="L556" s="40"/>
      <c r="M556" s="181" t="s">
        <v>19</v>
      </c>
      <c r="N556" s="182" t="s">
        <v>43</v>
      </c>
      <c r="O556" s="65"/>
      <c r="P556" s="183">
        <f>O556*H556</f>
        <v>0</v>
      </c>
      <c r="Q556" s="183">
        <v>0</v>
      </c>
      <c r="R556" s="183">
        <f>Q556*H556</f>
        <v>0</v>
      </c>
      <c r="S556" s="183">
        <v>0</v>
      </c>
      <c r="T556" s="184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85" t="s">
        <v>230</v>
      </c>
      <c r="AT556" s="185" t="s">
        <v>130</v>
      </c>
      <c r="AU556" s="185" t="s">
        <v>82</v>
      </c>
      <c r="AY556" s="18" t="s">
        <v>128</v>
      </c>
      <c r="BE556" s="186">
        <f>IF(N556="základní",J556,0)</f>
        <v>0</v>
      </c>
      <c r="BF556" s="186">
        <f>IF(N556="snížená",J556,0)</f>
        <v>0</v>
      </c>
      <c r="BG556" s="186">
        <f>IF(N556="zákl. přenesená",J556,0)</f>
        <v>0</v>
      </c>
      <c r="BH556" s="186">
        <f>IF(N556="sníž. přenesená",J556,0)</f>
        <v>0</v>
      </c>
      <c r="BI556" s="186">
        <f>IF(N556="nulová",J556,0)</f>
        <v>0</v>
      </c>
      <c r="BJ556" s="18" t="s">
        <v>80</v>
      </c>
      <c r="BK556" s="186">
        <f>ROUND(I556*H556,2)</f>
        <v>0</v>
      </c>
      <c r="BL556" s="18" t="s">
        <v>230</v>
      </c>
      <c r="BM556" s="185" t="s">
        <v>1309</v>
      </c>
    </row>
    <row r="557" spans="1:65" s="2" customFormat="1" ht="10">
      <c r="A557" s="35"/>
      <c r="B557" s="36"/>
      <c r="C557" s="37"/>
      <c r="D557" s="187" t="s">
        <v>137</v>
      </c>
      <c r="E557" s="37"/>
      <c r="F557" s="188" t="s">
        <v>1310</v>
      </c>
      <c r="G557" s="37"/>
      <c r="H557" s="37"/>
      <c r="I557" s="189"/>
      <c r="J557" s="37"/>
      <c r="K557" s="37"/>
      <c r="L557" s="40"/>
      <c r="M557" s="190"/>
      <c r="N557" s="191"/>
      <c r="O557" s="65"/>
      <c r="P557" s="65"/>
      <c r="Q557" s="65"/>
      <c r="R557" s="65"/>
      <c r="S557" s="65"/>
      <c r="T557" s="66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T557" s="18" t="s">
        <v>137</v>
      </c>
      <c r="AU557" s="18" t="s">
        <v>82</v>
      </c>
    </row>
    <row r="558" spans="1:65" s="13" customFormat="1" ht="10">
      <c r="B558" s="192"/>
      <c r="C558" s="193"/>
      <c r="D558" s="194" t="s">
        <v>139</v>
      </c>
      <c r="E558" s="195" t="s">
        <v>19</v>
      </c>
      <c r="F558" s="196" t="s">
        <v>1311</v>
      </c>
      <c r="G558" s="193"/>
      <c r="H558" s="197">
        <v>47</v>
      </c>
      <c r="I558" s="198"/>
      <c r="J558" s="193"/>
      <c r="K558" s="193"/>
      <c r="L558" s="199"/>
      <c r="M558" s="200"/>
      <c r="N558" s="201"/>
      <c r="O558" s="201"/>
      <c r="P558" s="201"/>
      <c r="Q558" s="201"/>
      <c r="R558" s="201"/>
      <c r="S558" s="201"/>
      <c r="T558" s="202"/>
      <c r="AT558" s="203" t="s">
        <v>139</v>
      </c>
      <c r="AU558" s="203" t="s">
        <v>82</v>
      </c>
      <c r="AV558" s="13" t="s">
        <v>82</v>
      </c>
      <c r="AW558" s="13" t="s">
        <v>34</v>
      </c>
      <c r="AX558" s="13" t="s">
        <v>72</v>
      </c>
      <c r="AY558" s="203" t="s">
        <v>128</v>
      </c>
    </row>
    <row r="559" spans="1:65" s="13" customFormat="1" ht="10">
      <c r="B559" s="192"/>
      <c r="C559" s="193"/>
      <c r="D559" s="194" t="s">
        <v>139</v>
      </c>
      <c r="E559" s="195" t="s">
        <v>19</v>
      </c>
      <c r="F559" s="196" t="s">
        <v>1312</v>
      </c>
      <c r="G559" s="193"/>
      <c r="H559" s="197">
        <v>29</v>
      </c>
      <c r="I559" s="198"/>
      <c r="J559" s="193"/>
      <c r="K559" s="193"/>
      <c r="L559" s="199"/>
      <c r="M559" s="200"/>
      <c r="N559" s="201"/>
      <c r="O559" s="201"/>
      <c r="P559" s="201"/>
      <c r="Q559" s="201"/>
      <c r="R559" s="201"/>
      <c r="S559" s="201"/>
      <c r="T559" s="202"/>
      <c r="AT559" s="203" t="s">
        <v>139</v>
      </c>
      <c r="AU559" s="203" t="s">
        <v>82</v>
      </c>
      <c r="AV559" s="13" t="s">
        <v>82</v>
      </c>
      <c r="AW559" s="13" t="s">
        <v>34</v>
      </c>
      <c r="AX559" s="13" t="s">
        <v>72</v>
      </c>
      <c r="AY559" s="203" t="s">
        <v>128</v>
      </c>
    </row>
    <row r="560" spans="1:65" s="14" customFormat="1" ht="10">
      <c r="B560" s="204"/>
      <c r="C560" s="205"/>
      <c r="D560" s="194" t="s">
        <v>139</v>
      </c>
      <c r="E560" s="206" t="s">
        <v>19</v>
      </c>
      <c r="F560" s="207" t="s">
        <v>153</v>
      </c>
      <c r="G560" s="205"/>
      <c r="H560" s="208">
        <v>76</v>
      </c>
      <c r="I560" s="209"/>
      <c r="J560" s="205"/>
      <c r="K560" s="205"/>
      <c r="L560" s="210"/>
      <c r="M560" s="211"/>
      <c r="N560" s="212"/>
      <c r="O560" s="212"/>
      <c r="P560" s="212"/>
      <c r="Q560" s="212"/>
      <c r="R560" s="212"/>
      <c r="S560" s="212"/>
      <c r="T560" s="213"/>
      <c r="AT560" s="214" t="s">
        <v>139</v>
      </c>
      <c r="AU560" s="214" t="s">
        <v>82</v>
      </c>
      <c r="AV560" s="14" t="s">
        <v>135</v>
      </c>
      <c r="AW560" s="14" t="s">
        <v>34</v>
      </c>
      <c r="AX560" s="14" t="s">
        <v>80</v>
      </c>
      <c r="AY560" s="214" t="s">
        <v>128</v>
      </c>
    </row>
    <row r="561" spans="1:65" s="2" customFormat="1" ht="16.5" customHeight="1">
      <c r="A561" s="35"/>
      <c r="B561" s="36"/>
      <c r="C561" s="215" t="s">
        <v>1313</v>
      </c>
      <c r="D561" s="215" t="s">
        <v>414</v>
      </c>
      <c r="E561" s="216" t="s">
        <v>1314</v>
      </c>
      <c r="F561" s="217" t="s">
        <v>1315</v>
      </c>
      <c r="G561" s="218" t="s">
        <v>133</v>
      </c>
      <c r="H561" s="219">
        <v>83.6</v>
      </c>
      <c r="I561" s="220"/>
      <c r="J561" s="221">
        <f>ROUND(I561*H561,2)</f>
        <v>0</v>
      </c>
      <c r="K561" s="217" t="s">
        <v>134</v>
      </c>
      <c r="L561" s="222"/>
      <c r="M561" s="223" t="s">
        <v>19</v>
      </c>
      <c r="N561" s="224" t="s">
        <v>43</v>
      </c>
      <c r="O561" s="65"/>
      <c r="P561" s="183">
        <f>O561*H561</f>
        <v>0</v>
      </c>
      <c r="Q561" s="183">
        <v>1.49E-2</v>
      </c>
      <c r="R561" s="183">
        <f>Q561*H561</f>
        <v>1.2456399999999999</v>
      </c>
      <c r="S561" s="183">
        <v>0</v>
      </c>
      <c r="T561" s="184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85" t="s">
        <v>334</v>
      </c>
      <c r="AT561" s="185" t="s">
        <v>414</v>
      </c>
      <c r="AU561" s="185" t="s">
        <v>82</v>
      </c>
      <c r="AY561" s="18" t="s">
        <v>128</v>
      </c>
      <c r="BE561" s="186">
        <f>IF(N561="základní",J561,0)</f>
        <v>0</v>
      </c>
      <c r="BF561" s="186">
        <f>IF(N561="snížená",J561,0)</f>
        <v>0</v>
      </c>
      <c r="BG561" s="186">
        <f>IF(N561="zákl. přenesená",J561,0)</f>
        <v>0</v>
      </c>
      <c r="BH561" s="186">
        <f>IF(N561="sníž. přenesená",J561,0)</f>
        <v>0</v>
      </c>
      <c r="BI561" s="186">
        <f>IF(N561="nulová",J561,0)</f>
        <v>0</v>
      </c>
      <c r="BJ561" s="18" t="s">
        <v>80</v>
      </c>
      <c r="BK561" s="186">
        <f>ROUND(I561*H561,2)</f>
        <v>0</v>
      </c>
      <c r="BL561" s="18" t="s">
        <v>230</v>
      </c>
      <c r="BM561" s="185" t="s">
        <v>1316</v>
      </c>
    </row>
    <row r="562" spans="1:65" s="13" customFormat="1" ht="10">
      <c r="B562" s="192"/>
      <c r="C562" s="193"/>
      <c r="D562" s="194" t="s">
        <v>139</v>
      </c>
      <c r="E562" s="193"/>
      <c r="F562" s="196" t="s">
        <v>1317</v>
      </c>
      <c r="G562" s="193"/>
      <c r="H562" s="197">
        <v>83.6</v>
      </c>
      <c r="I562" s="198"/>
      <c r="J562" s="193"/>
      <c r="K562" s="193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139</v>
      </c>
      <c r="AU562" s="203" t="s">
        <v>82</v>
      </c>
      <c r="AV562" s="13" t="s">
        <v>82</v>
      </c>
      <c r="AW562" s="13" t="s">
        <v>4</v>
      </c>
      <c r="AX562" s="13" t="s">
        <v>80</v>
      </c>
      <c r="AY562" s="203" t="s">
        <v>128</v>
      </c>
    </row>
    <row r="563" spans="1:65" s="2" customFormat="1" ht="21.75" customHeight="1">
      <c r="A563" s="35"/>
      <c r="B563" s="36"/>
      <c r="C563" s="174" t="s">
        <v>1318</v>
      </c>
      <c r="D563" s="174" t="s">
        <v>130</v>
      </c>
      <c r="E563" s="175" t="s">
        <v>1319</v>
      </c>
      <c r="F563" s="176" t="s">
        <v>1320</v>
      </c>
      <c r="G563" s="177" t="s">
        <v>133</v>
      </c>
      <c r="H563" s="178">
        <v>790</v>
      </c>
      <c r="I563" s="179"/>
      <c r="J563" s="180">
        <f>ROUND(I563*H563,2)</f>
        <v>0</v>
      </c>
      <c r="K563" s="176" t="s">
        <v>134</v>
      </c>
      <c r="L563" s="40"/>
      <c r="M563" s="181" t="s">
        <v>19</v>
      </c>
      <c r="N563" s="182" t="s">
        <v>43</v>
      </c>
      <c r="O563" s="65"/>
      <c r="P563" s="183">
        <f>O563*H563</f>
        <v>0</v>
      </c>
      <c r="Q563" s="183">
        <v>0</v>
      </c>
      <c r="R563" s="183">
        <f>Q563*H563</f>
        <v>0</v>
      </c>
      <c r="S563" s="183">
        <v>0</v>
      </c>
      <c r="T563" s="184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85" t="s">
        <v>230</v>
      </c>
      <c r="AT563" s="185" t="s">
        <v>130</v>
      </c>
      <c r="AU563" s="185" t="s">
        <v>82</v>
      </c>
      <c r="AY563" s="18" t="s">
        <v>128</v>
      </c>
      <c r="BE563" s="186">
        <f>IF(N563="základní",J563,0)</f>
        <v>0</v>
      </c>
      <c r="BF563" s="186">
        <f>IF(N563="snížená",J563,0)</f>
        <v>0</v>
      </c>
      <c r="BG563" s="186">
        <f>IF(N563="zákl. přenesená",J563,0)</f>
        <v>0</v>
      </c>
      <c r="BH563" s="186">
        <f>IF(N563="sníž. přenesená",J563,0)</f>
        <v>0</v>
      </c>
      <c r="BI563" s="186">
        <f>IF(N563="nulová",J563,0)</f>
        <v>0</v>
      </c>
      <c r="BJ563" s="18" t="s">
        <v>80</v>
      </c>
      <c r="BK563" s="186">
        <f>ROUND(I563*H563,2)</f>
        <v>0</v>
      </c>
      <c r="BL563" s="18" t="s">
        <v>230</v>
      </c>
      <c r="BM563" s="185" t="s">
        <v>1321</v>
      </c>
    </row>
    <row r="564" spans="1:65" s="2" customFormat="1" ht="10">
      <c r="A564" s="35"/>
      <c r="B564" s="36"/>
      <c r="C564" s="37"/>
      <c r="D564" s="187" t="s">
        <v>137</v>
      </c>
      <c r="E564" s="37"/>
      <c r="F564" s="188" t="s">
        <v>1322</v>
      </c>
      <c r="G564" s="37"/>
      <c r="H564" s="37"/>
      <c r="I564" s="189"/>
      <c r="J564" s="37"/>
      <c r="K564" s="37"/>
      <c r="L564" s="40"/>
      <c r="M564" s="190"/>
      <c r="N564" s="191"/>
      <c r="O564" s="65"/>
      <c r="P564" s="65"/>
      <c r="Q564" s="65"/>
      <c r="R564" s="65"/>
      <c r="S564" s="65"/>
      <c r="T564" s="66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T564" s="18" t="s">
        <v>137</v>
      </c>
      <c r="AU564" s="18" t="s">
        <v>82</v>
      </c>
    </row>
    <row r="565" spans="1:65" s="13" customFormat="1" ht="10">
      <c r="B565" s="192"/>
      <c r="C565" s="193"/>
      <c r="D565" s="194" t="s">
        <v>139</v>
      </c>
      <c r="E565" s="195" t="s">
        <v>19</v>
      </c>
      <c r="F565" s="196" t="s">
        <v>1323</v>
      </c>
      <c r="G565" s="193"/>
      <c r="H565" s="197">
        <v>790</v>
      </c>
      <c r="I565" s="198"/>
      <c r="J565" s="193"/>
      <c r="K565" s="193"/>
      <c r="L565" s="199"/>
      <c r="M565" s="200"/>
      <c r="N565" s="201"/>
      <c r="O565" s="201"/>
      <c r="P565" s="201"/>
      <c r="Q565" s="201"/>
      <c r="R565" s="201"/>
      <c r="S565" s="201"/>
      <c r="T565" s="202"/>
      <c r="AT565" s="203" t="s">
        <v>139</v>
      </c>
      <c r="AU565" s="203" t="s">
        <v>82</v>
      </c>
      <c r="AV565" s="13" t="s">
        <v>82</v>
      </c>
      <c r="AW565" s="13" t="s">
        <v>34</v>
      </c>
      <c r="AX565" s="13" t="s">
        <v>80</v>
      </c>
      <c r="AY565" s="203" t="s">
        <v>128</v>
      </c>
    </row>
    <row r="566" spans="1:65" s="2" customFormat="1" ht="16.5" customHeight="1">
      <c r="A566" s="35"/>
      <c r="B566" s="36"/>
      <c r="C566" s="215" t="s">
        <v>1324</v>
      </c>
      <c r="D566" s="215" t="s">
        <v>414</v>
      </c>
      <c r="E566" s="216" t="s">
        <v>1325</v>
      </c>
      <c r="F566" s="217" t="s">
        <v>1326</v>
      </c>
      <c r="G566" s="218" t="s">
        <v>148</v>
      </c>
      <c r="H566" s="219">
        <v>8.3420000000000005</v>
      </c>
      <c r="I566" s="220"/>
      <c r="J566" s="221">
        <f>ROUND(I566*H566,2)</f>
        <v>0</v>
      </c>
      <c r="K566" s="217" t="s">
        <v>134</v>
      </c>
      <c r="L566" s="222"/>
      <c r="M566" s="223" t="s">
        <v>19</v>
      </c>
      <c r="N566" s="224" t="s">
        <v>43</v>
      </c>
      <c r="O566" s="65"/>
      <c r="P566" s="183">
        <f>O566*H566</f>
        <v>0</v>
      </c>
      <c r="Q566" s="183">
        <v>0.55000000000000004</v>
      </c>
      <c r="R566" s="183">
        <f>Q566*H566</f>
        <v>4.5881000000000007</v>
      </c>
      <c r="S566" s="183">
        <v>0</v>
      </c>
      <c r="T566" s="184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185" t="s">
        <v>334</v>
      </c>
      <c r="AT566" s="185" t="s">
        <v>414</v>
      </c>
      <c r="AU566" s="185" t="s">
        <v>82</v>
      </c>
      <c r="AY566" s="18" t="s">
        <v>128</v>
      </c>
      <c r="BE566" s="186">
        <f>IF(N566="základní",J566,0)</f>
        <v>0</v>
      </c>
      <c r="BF566" s="186">
        <f>IF(N566="snížená",J566,0)</f>
        <v>0</v>
      </c>
      <c r="BG566" s="186">
        <f>IF(N566="zákl. přenesená",J566,0)</f>
        <v>0</v>
      </c>
      <c r="BH566" s="186">
        <f>IF(N566="sníž. přenesená",J566,0)</f>
        <v>0</v>
      </c>
      <c r="BI566" s="186">
        <f>IF(N566="nulová",J566,0)</f>
        <v>0</v>
      </c>
      <c r="BJ566" s="18" t="s">
        <v>80</v>
      </c>
      <c r="BK566" s="186">
        <f>ROUND(I566*H566,2)</f>
        <v>0</v>
      </c>
      <c r="BL566" s="18" t="s">
        <v>230</v>
      </c>
      <c r="BM566" s="185" t="s">
        <v>1327</v>
      </c>
    </row>
    <row r="567" spans="1:65" s="13" customFormat="1" ht="10">
      <c r="B567" s="192"/>
      <c r="C567" s="193"/>
      <c r="D567" s="194" t="s">
        <v>139</v>
      </c>
      <c r="E567" s="195" t="s">
        <v>19</v>
      </c>
      <c r="F567" s="196" t="s">
        <v>1328</v>
      </c>
      <c r="G567" s="193"/>
      <c r="H567" s="197">
        <v>7.5839999999999996</v>
      </c>
      <c r="I567" s="198"/>
      <c r="J567" s="193"/>
      <c r="K567" s="193"/>
      <c r="L567" s="199"/>
      <c r="M567" s="200"/>
      <c r="N567" s="201"/>
      <c r="O567" s="201"/>
      <c r="P567" s="201"/>
      <c r="Q567" s="201"/>
      <c r="R567" s="201"/>
      <c r="S567" s="201"/>
      <c r="T567" s="202"/>
      <c r="AT567" s="203" t="s">
        <v>139</v>
      </c>
      <c r="AU567" s="203" t="s">
        <v>82</v>
      </c>
      <c r="AV567" s="13" t="s">
        <v>82</v>
      </c>
      <c r="AW567" s="13" t="s">
        <v>34</v>
      </c>
      <c r="AX567" s="13" t="s">
        <v>80</v>
      </c>
      <c r="AY567" s="203" t="s">
        <v>128</v>
      </c>
    </row>
    <row r="568" spans="1:65" s="13" customFormat="1" ht="10">
      <c r="B568" s="192"/>
      <c r="C568" s="193"/>
      <c r="D568" s="194" t="s">
        <v>139</v>
      </c>
      <c r="E568" s="193"/>
      <c r="F568" s="196" t="s">
        <v>1329</v>
      </c>
      <c r="G568" s="193"/>
      <c r="H568" s="197">
        <v>8.3420000000000005</v>
      </c>
      <c r="I568" s="198"/>
      <c r="J568" s="193"/>
      <c r="K568" s="193"/>
      <c r="L568" s="199"/>
      <c r="M568" s="200"/>
      <c r="N568" s="201"/>
      <c r="O568" s="201"/>
      <c r="P568" s="201"/>
      <c r="Q568" s="201"/>
      <c r="R568" s="201"/>
      <c r="S568" s="201"/>
      <c r="T568" s="202"/>
      <c r="AT568" s="203" t="s">
        <v>139</v>
      </c>
      <c r="AU568" s="203" t="s">
        <v>82</v>
      </c>
      <c r="AV568" s="13" t="s">
        <v>82</v>
      </c>
      <c r="AW568" s="13" t="s">
        <v>4</v>
      </c>
      <c r="AX568" s="13" t="s">
        <v>80</v>
      </c>
      <c r="AY568" s="203" t="s">
        <v>128</v>
      </c>
    </row>
    <row r="569" spans="1:65" s="2" customFormat="1" ht="16.5" customHeight="1">
      <c r="A569" s="35"/>
      <c r="B569" s="36"/>
      <c r="C569" s="174" t="s">
        <v>1330</v>
      </c>
      <c r="D569" s="174" t="s">
        <v>130</v>
      </c>
      <c r="E569" s="175" t="s">
        <v>1331</v>
      </c>
      <c r="F569" s="176" t="s">
        <v>1332</v>
      </c>
      <c r="G569" s="177" t="s">
        <v>258</v>
      </c>
      <c r="H569" s="178">
        <v>924.2</v>
      </c>
      <c r="I569" s="179"/>
      <c r="J569" s="180">
        <f>ROUND(I569*H569,2)</f>
        <v>0</v>
      </c>
      <c r="K569" s="176" t="s">
        <v>134</v>
      </c>
      <c r="L569" s="40"/>
      <c r="M569" s="181" t="s">
        <v>19</v>
      </c>
      <c r="N569" s="182" t="s">
        <v>43</v>
      </c>
      <c r="O569" s="65"/>
      <c r="P569" s="183">
        <f>O569*H569</f>
        <v>0</v>
      </c>
      <c r="Q569" s="183">
        <v>2.0000000000000002E-5</v>
      </c>
      <c r="R569" s="183">
        <f>Q569*H569</f>
        <v>1.8484000000000004E-2</v>
      </c>
      <c r="S569" s="183">
        <v>0</v>
      </c>
      <c r="T569" s="184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85" t="s">
        <v>230</v>
      </c>
      <c r="AT569" s="185" t="s">
        <v>130</v>
      </c>
      <c r="AU569" s="185" t="s">
        <v>82</v>
      </c>
      <c r="AY569" s="18" t="s">
        <v>128</v>
      </c>
      <c r="BE569" s="186">
        <f>IF(N569="základní",J569,0)</f>
        <v>0</v>
      </c>
      <c r="BF569" s="186">
        <f>IF(N569="snížená",J569,0)</f>
        <v>0</v>
      </c>
      <c r="BG569" s="186">
        <f>IF(N569="zákl. přenesená",J569,0)</f>
        <v>0</v>
      </c>
      <c r="BH569" s="186">
        <f>IF(N569="sníž. přenesená",J569,0)</f>
        <v>0</v>
      </c>
      <c r="BI569" s="186">
        <f>IF(N569="nulová",J569,0)</f>
        <v>0</v>
      </c>
      <c r="BJ569" s="18" t="s">
        <v>80</v>
      </c>
      <c r="BK569" s="186">
        <f>ROUND(I569*H569,2)</f>
        <v>0</v>
      </c>
      <c r="BL569" s="18" t="s">
        <v>230</v>
      </c>
      <c r="BM569" s="185" t="s">
        <v>1333</v>
      </c>
    </row>
    <row r="570" spans="1:65" s="2" customFormat="1" ht="10">
      <c r="A570" s="35"/>
      <c r="B570" s="36"/>
      <c r="C570" s="37"/>
      <c r="D570" s="187" t="s">
        <v>137</v>
      </c>
      <c r="E570" s="37"/>
      <c r="F570" s="188" t="s">
        <v>1334</v>
      </c>
      <c r="G570" s="37"/>
      <c r="H570" s="37"/>
      <c r="I570" s="189"/>
      <c r="J570" s="37"/>
      <c r="K570" s="37"/>
      <c r="L570" s="40"/>
      <c r="M570" s="190"/>
      <c r="N570" s="191"/>
      <c r="O570" s="65"/>
      <c r="P570" s="65"/>
      <c r="Q570" s="65"/>
      <c r="R570" s="65"/>
      <c r="S570" s="65"/>
      <c r="T570" s="66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8" t="s">
        <v>137</v>
      </c>
      <c r="AU570" s="18" t="s">
        <v>82</v>
      </c>
    </row>
    <row r="571" spans="1:65" s="2" customFormat="1" ht="16.5" customHeight="1">
      <c r="A571" s="35"/>
      <c r="B571" s="36"/>
      <c r="C571" s="215" t="s">
        <v>1335</v>
      </c>
      <c r="D571" s="215" t="s">
        <v>414</v>
      </c>
      <c r="E571" s="216" t="s">
        <v>1325</v>
      </c>
      <c r="F571" s="217" t="s">
        <v>1326</v>
      </c>
      <c r="G571" s="218" t="s">
        <v>148</v>
      </c>
      <c r="H571" s="219">
        <v>2.44</v>
      </c>
      <c r="I571" s="220"/>
      <c r="J571" s="221">
        <f>ROUND(I571*H571,2)</f>
        <v>0</v>
      </c>
      <c r="K571" s="217" t="s">
        <v>134</v>
      </c>
      <c r="L571" s="222"/>
      <c r="M571" s="223" t="s">
        <v>19</v>
      </c>
      <c r="N571" s="224" t="s">
        <v>43</v>
      </c>
      <c r="O571" s="65"/>
      <c r="P571" s="183">
        <f>O571*H571</f>
        <v>0</v>
      </c>
      <c r="Q571" s="183">
        <v>0.55000000000000004</v>
      </c>
      <c r="R571" s="183">
        <f>Q571*H571</f>
        <v>1.3420000000000001</v>
      </c>
      <c r="S571" s="183">
        <v>0</v>
      </c>
      <c r="T571" s="184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85" t="s">
        <v>334</v>
      </c>
      <c r="AT571" s="185" t="s">
        <v>414</v>
      </c>
      <c r="AU571" s="185" t="s">
        <v>82</v>
      </c>
      <c r="AY571" s="18" t="s">
        <v>128</v>
      </c>
      <c r="BE571" s="186">
        <f>IF(N571="základní",J571,0)</f>
        <v>0</v>
      </c>
      <c r="BF571" s="186">
        <f>IF(N571="snížená",J571,0)</f>
        <v>0</v>
      </c>
      <c r="BG571" s="186">
        <f>IF(N571="zákl. přenesená",J571,0)</f>
        <v>0</v>
      </c>
      <c r="BH571" s="186">
        <f>IF(N571="sníž. přenesená",J571,0)</f>
        <v>0</v>
      </c>
      <c r="BI571" s="186">
        <f>IF(N571="nulová",J571,0)</f>
        <v>0</v>
      </c>
      <c r="BJ571" s="18" t="s">
        <v>80</v>
      </c>
      <c r="BK571" s="186">
        <f>ROUND(I571*H571,2)</f>
        <v>0</v>
      </c>
      <c r="BL571" s="18" t="s">
        <v>230</v>
      </c>
      <c r="BM571" s="185" t="s">
        <v>1336</v>
      </c>
    </row>
    <row r="572" spans="1:65" s="13" customFormat="1" ht="10">
      <c r="B572" s="192"/>
      <c r="C572" s="193"/>
      <c r="D572" s="194" t="s">
        <v>139</v>
      </c>
      <c r="E572" s="195" t="s">
        <v>19</v>
      </c>
      <c r="F572" s="196" t="s">
        <v>1337</v>
      </c>
      <c r="G572" s="193"/>
      <c r="H572" s="197">
        <v>2.218</v>
      </c>
      <c r="I572" s="198"/>
      <c r="J572" s="193"/>
      <c r="K572" s="193"/>
      <c r="L572" s="199"/>
      <c r="M572" s="200"/>
      <c r="N572" s="201"/>
      <c r="O572" s="201"/>
      <c r="P572" s="201"/>
      <c r="Q572" s="201"/>
      <c r="R572" s="201"/>
      <c r="S572" s="201"/>
      <c r="T572" s="202"/>
      <c r="AT572" s="203" t="s">
        <v>139</v>
      </c>
      <c r="AU572" s="203" t="s">
        <v>82</v>
      </c>
      <c r="AV572" s="13" t="s">
        <v>82</v>
      </c>
      <c r="AW572" s="13" t="s">
        <v>34</v>
      </c>
      <c r="AX572" s="13" t="s">
        <v>80</v>
      </c>
      <c r="AY572" s="203" t="s">
        <v>128</v>
      </c>
    </row>
    <row r="573" spans="1:65" s="13" customFormat="1" ht="10">
      <c r="B573" s="192"/>
      <c r="C573" s="193"/>
      <c r="D573" s="194" t="s">
        <v>139</v>
      </c>
      <c r="E573" s="193"/>
      <c r="F573" s="196" t="s">
        <v>1338</v>
      </c>
      <c r="G573" s="193"/>
      <c r="H573" s="197">
        <v>2.44</v>
      </c>
      <c r="I573" s="198"/>
      <c r="J573" s="193"/>
      <c r="K573" s="193"/>
      <c r="L573" s="199"/>
      <c r="M573" s="200"/>
      <c r="N573" s="201"/>
      <c r="O573" s="201"/>
      <c r="P573" s="201"/>
      <c r="Q573" s="201"/>
      <c r="R573" s="201"/>
      <c r="S573" s="201"/>
      <c r="T573" s="202"/>
      <c r="AT573" s="203" t="s">
        <v>139</v>
      </c>
      <c r="AU573" s="203" t="s">
        <v>82</v>
      </c>
      <c r="AV573" s="13" t="s">
        <v>82</v>
      </c>
      <c r="AW573" s="13" t="s">
        <v>4</v>
      </c>
      <c r="AX573" s="13" t="s">
        <v>80</v>
      </c>
      <c r="AY573" s="203" t="s">
        <v>128</v>
      </c>
    </row>
    <row r="574" spans="1:65" s="2" customFormat="1" ht="21.75" customHeight="1">
      <c r="A574" s="35"/>
      <c r="B574" s="36"/>
      <c r="C574" s="174" t="s">
        <v>1339</v>
      </c>
      <c r="D574" s="174" t="s">
        <v>130</v>
      </c>
      <c r="E574" s="175" t="s">
        <v>1340</v>
      </c>
      <c r="F574" s="176" t="s">
        <v>1341</v>
      </c>
      <c r="G574" s="177" t="s">
        <v>148</v>
      </c>
      <c r="H574" s="178">
        <v>47.095999999999997</v>
      </c>
      <c r="I574" s="179"/>
      <c r="J574" s="180">
        <f>ROUND(I574*H574,2)</f>
        <v>0</v>
      </c>
      <c r="K574" s="176" t="s">
        <v>134</v>
      </c>
      <c r="L574" s="40"/>
      <c r="M574" s="181" t="s">
        <v>19</v>
      </c>
      <c r="N574" s="182" t="s">
        <v>43</v>
      </c>
      <c r="O574" s="65"/>
      <c r="P574" s="183">
        <f>O574*H574</f>
        <v>0</v>
      </c>
      <c r="Q574" s="183">
        <v>2.3369999999999998E-2</v>
      </c>
      <c r="R574" s="183">
        <f>Q574*H574</f>
        <v>1.1006335199999999</v>
      </c>
      <c r="S574" s="183">
        <v>0</v>
      </c>
      <c r="T574" s="184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85" t="s">
        <v>230</v>
      </c>
      <c r="AT574" s="185" t="s">
        <v>130</v>
      </c>
      <c r="AU574" s="185" t="s">
        <v>82</v>
      </c>
      <c r="AY574" s="18" t="s">
        <v>128</v>
      </c>
      <c r="BE574" s="186">
        <f>IF(N574="základní",J574,0)</f>
        <v>0</v>
      </c>
      <c r="BF574" s="186">
        <f>IF(N574="snížená",J574,0)</f>
        <v>0</v>
      </c>
      <c r="BG574" s="186">
        <f>IF(N574="zákl. přenesená",J574,0)</f>
        <v>0</v>
      </c>
      <c r="BH574" s="186">
        <f>IF(N574="sníž. přenesená",J574,0)</f>
        <v>0</v>
      </c>
      <c r="BI574" s="186">
        <f>IF(N574="nulová",J574,0)</f>
        <v>0</v>
      </c>
      <c r="BJ574" s="18" t="s">
        <v>80</v>
      </c>
      <c r="BK574" s="186">
        <f>ROUND(I574*H574,2)</f>
        <v>0</v>
      </c>
      <c r="BL574" s="18" t="s">
        <v>230</v>
      </c>
      <c r="BM574" s="185" t="s">
        <v>1342</v>
      </c>
    </row>
    <row r="575" spans="1:65" s="2" customFormat="1" ht="10">
      <c r="A575" s="35"/>
      <c r="B575" s="36"/>
      <c r="C575" s="37"/>
      <c r="D575" s="187" t="s">
        <v>137</v>
      </c>
      <c r="E575" s="37"/>
      <c r="F575" s="188" t="s">
        <v>1343</v>
      </c>
      <c r="G575" s="37"/>
      <c r="H575" s="37"/>
      <c r="I575" s="189"/>
      <c r="J575" s="37"/>
      <c r="K575" s="37"/>
      <c r="L575" s="40"/>
      <c r="M575" s="190"/>
      <c r="N575" s="191"/>
      <c r="O575" s="65"/>
      <c r="P575" s="65"/>
      <c r="Q575" s="65"/>
      <c r="R575" s="65"/>
      <c r="S575" s="65"/>
      <c r="T575" s="66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T575" s="18" t="s">
        <v>137</v>
      </c>
      <c r="AU575" s="18" t="s">
        <v>82</v>
      </c>
    </row>
    <row r="576" spans="1:65" s="13" customFormat="1" ht="10">
      <c r="B576" s="192"/>
      <c r="C576" s="193"/>
      <c r="D576" s="194" t="s">
        <v>139</v>
      </c>
      <c r="E576" s="195" t="s">
        <v>19</v>
      </c>
      <c r="F576" s="196" t="s">
        <v>1233</v>
      </c>
      <c r="G576" s="193"/>
      <c r="H576" s="197">
        <v>17.745000000000001</v>
      </c>
      <c r="I576" s="198"/>
      <c r="J576" s="193"/>
      <c r="K576" s="193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139</v>
      </c>
      <c r="AU576" s="203" t="s">
        <v>82</v>
      </c>
      <c r="AV576" s="13" t="s">
        <v>82</v>
      </c>
      <c r="AW576" s="13" t="s">
        <v>34</v>
      </c>
      <c r="AX576" s="13" t="s">
        <v>72</v>
      </c>
      <c r="AY576" s="203" t="s">
        <v>128</v>
      </c>
    </row>
    <row r="577" spans="1:65" s="13" customFormat="1" ht="10">
      <c r="B577" s="192"/>
      <c r="C577" s="193"/>
      <c r="D577" s="194" t="s">
        <v>139</v>
      </c>
      <c r="E577" s="195" t="s">
        <v>19</v>
      </c>
      <c r="F577" s="196" t="s">
        <v>1234</v>
      </c>
      <c r="G577" s="193"/>
      <c r="H577" s="197">
        <v>4.8220000000000001</v>
      </c>
      <c r="I577" s="198"/>
      <c r="J577" s="193"/>
      <c r="K577" s="193"/>
      <c r="L577" s="199"/>
      <c r="M577" s="200"/>
      <c r="N577" s="201"/>
      <c r="O577" s="201"/>
      <c r="P577" s="201"/>
      <c r="Q577" s="201"/>
      <c r="R577" s="201"/>
      <c r="S577" s="201"/>
      <c r="T577" s="202"/>
      <c r="AT577" s="203" t="s">
        <v>139</v>
      </c>
      <c r="AU577" s="203" t="s">
        <v>82</v>
      </c>
      <c r="AV577" s="13" t="s">
        <v>82</v>
      </c>
      <c r="AW577" s="13" t="s">
        <v>34</v>
      </c>
      <c r="AX577" s="13" t="s">
        <v>72</v>
      </c>
      <c r="AY577" s="203" t="s">
        <v>128</v>
      </c>
    </row>
    <row r="578" spans="1:65" s="13" customFormat="1" ht="10">
      <c r="B578" s="192"/>
      <c r="C578" s="193"/>
      <c r="D578" s="194" t="s">
        <v>139</v>
      </c>
      <c r="E578" s="195" t="s">
        <v>19</v>
      </c>
      <c r="F578" s="196" t="s">
        <v>1235</v>
      </c>
      <c r="G578" s="193"/>
      <c r="H578" s="197">
        <v>1.393</v>
      </c>
      <c r="I578" s="198"/>
      <c r="J578" s="193"/>
      <c r="K578" s="193"/>
      <c r="L578" s="199"/>
      <c r="M578" s="200"/>
      <c r="N578" s="201"/>
      <c r="O578" s="201"/>
      <c r="P578" s="201"/>
      <c r="Q578" s="201"/>
      <c r="R578" s="201"/>
      <c r="S578" s="201"/>
      <c r="T578" s="202"/>
      <c r="AT578" s="203" t="s">
        <v>139</v>
      </c>
      <c r="AU578" s="203" t="s">
        <v>82</v>
      </c>
      <c r="AV578" s="13" t="s">
        <v>82</v>
      </c>
      <c r="AW578" s="13" t="s">
        <v>34</v>
      </c>
      <c r="AX578" s="13" t="s">
        <v>72</v>
      </c>
      <c r="AY578" s="203" t="s">
        <v>128</v>
      </c>
    </row>
    <row r="579" spans="1:65" s="13" customFormat="1" ht="10">
      <c r="B579" s="192"/>
      <c r="C579" s="193"/>
      <c r="D579" s="194" t="s">
        <v>139</v>
      </c>
      <c r="E579" s="195" t="s">
        <v>19</v>
      </c>
      <c r="F579" s="196" t="s">
        <v>1236</v>
      </c>
      <c r="G579" s="193"/>
      <c r="H579" s="197">
        <v>4.109</v>
      </c>
      <c r="I579" s="198"/>
      <c r="J579" s="193"/>
      <c r="K579" s="193"/>
      <c r="L579" s="199"/>
      <c r="M579" s="200"/>
      <c r="N579" s="201"/>
      <c r="O579" s="201"/>
      <c r="P579" s="201"/>
      <c r="Q579" s="201"/>
      <c r="R579" s="201"/>
      <c r="S579" s="201"/>
      <c r="T579" s="202"/>
      <c r="AT579" s="203" t="s">
        <v>139</v>
      </c>
      <c r="AU579" s="203" t="s">
        <v>82</v>
      </c>
      <c r="AV579" s="13" t="s">
        <v>82</v>
      </c>
      <c r="AW579" s="13" t="s">
        <v>34</v>
      </c>
      <c r="AX579" s="13" t="s">
        <v>72</v>
      </c>
      <c r="AY579" s="203" t="s">
        <v>128</v>
      </c>
    </row>
    <row r="580" spans="1:65" s="13" customFormat="1" ht="10">
      <c r="B580" s="192"/>
      <c r="C580" s="193"/>
      <c r="D580" s="194" t="s">
        <v>139</v>
      </c>
      <c r="E580" s="195" t="s">
        <v>19</v>
      </c>
      <c r="F580" s="196" t="s">
        <v>1242</v>
      </c>
      <c r="G580" s="193"/>
      <c r="H580" s="197">
        <v>4.1440000000000001</v>
      </c>
      <c r="I580" s="198"/>
      <c r="J580" s="193"/>
      <c r="K580" s="193"/>
      <c r="L580" s="199"/>
      <c r="M580" s="200"/>
      <c r="N580" s="201"/>
      <c r="O580" s="201"/>
      <c r="P580" s="201"/>
      <c r="Q580" s="201"/>
      <c r="R580" s="201"/>
      <c r="S580" s="201"/>
      <c r="T580" s="202"/>
      <c r="AT580" s="203" t="s">
        <v>139</v>
      </c>
      <c r="AU580" s="203" t="s">
        <v>82</v>
      </c>
      <c r="AV580" s="13" t="s">
        <v>82</v>
      </c>
      <c r="AW580" s="13" t="s">
        <v>34</v>
      </c>
      <c r="AX580" s="13" t="s">
        <v>72</v>
      </c>
      <c r="AY580" s="203" t="s">
        <v>128</v>
      </c>
    </row>
    <row r="581" spans="1:65" s="13" customFormat="1" ht="10">
      <c r="B581" s="192"/>
      <c r="C581" s="193"/>
      <c r="D581" s="194" t="s">
        <v>139</v>
      </c>
      <c r="E581" s="195" t="s">
        <v>19</v>
      </c>
      <c r="F581" s="196" t="s">
        <v>1344</v>
      </c>
      <c r="G581" s="193"/>
      <c r="H581" s="197">
        <v>7.5839999999999996</v>
      </c>
      <c r="I581" s="198"/>
      <c r="J581" s="193"/>
      <c r="K581" s="193"/>
      <c r="L581" s="199"/>
      <c r="M581" s="200"/>
      <c r="N581" s="201"/>
      <c r="O581" s="201"/>
      <c r="P581" s="201"/>
      <c r="Q581" s="201"/>
      <c r="R581" s="201"/>
      <c r="S581" s="201"/>
      <c r="T581" s="202"/>
      <c r="AT581" s="203" t="s">
        <v>139</v>
      </c>
      <c r="AU581" s="203" t="s">
        <v>82</v>
      </c>
      <c r="AV581" s="13" t="s">
        <v>82</v>
      </c>
      <c r="AW581" s="13" t="s">
        <v>34</v>
      </c>
      <c r="AX581" s="13" t="s">
        <v>72</v>
      </c>
      <c r="AY581" s="203" t="s">
        <v>128</v>
      </c>
    </row>
    <row r="582" spans="1:65" s="13" customFormat="1" ht="10">
      <c r="B582" s="192"/>
      <c r="C582" s="193"/>
      <c r="D582" s="194" t="s">
        <v>139</v>
      </c>
      <c r="E582" s="195" t="s">
        <v>19</v>
      </c>
      <c r="F582" s="196" t="s">
        <v>1337</v>
      </c>
      <c r="G582" s="193"/>
      <c r="H582" s="197">
        <v>2.218</v>
      </c>
      <c r="I582" s="198"/>
      <c r="J582" s="193"/>
      <c r="K582" s="193"/>
      <c r="L582" s="199"/>
      <c r="M582" s="200"/>
      <c r="N582" s="201"/>
      <c r="O582" s="201"/>
      <c r="P582" s="201"/>
      <c r="Q582" s="201"/>
      <c r="R582" s="201"/>
      <c r="S582" s="201"/>
      <c r="T582" s="202"/>
      <c r="AT582" s="203" t="s">
        <v>139</v>
      </c>
      <c r="AU582" s="203" t="s">
        <v>82</v>
      </c>
      <c r="AV582" s="13" t="s">
        <v>82</v>
      </c>
      <c r="AW582" s="13" t="s">
        <v>34</v>
      </c>
      <c r="AX582" s="13" t="s">
        <v>72</v>
      </c>
      <c r="AY582" s="203" t="s">
        <v>128</v>
      </c>
    </row>
    <row r="583" spans="1:65" s="13" customFormat="1" ht="10">
      <c r="B583" s="192"/>
      <c r="C583" s="193"/>
      <c r="D583" s="194" t="s">
        <v>139</v>
      </c>
      <c r="E583" s="195" t="s">
        <v>19</v>
      </c>
      <c r="F583" s="196" t="s">
        <v>1345</v>
      </c>
      <c r="G583" s="193"/>
      <c r="H583" s="197">
        <v>0.98699999999999999</v>
      </c>
      <c r="I583" s="198"/>
      <c r="J583" s="193"/>
      <c r="K583" s="193"/>
      <c r="L583" s="199"/>
      <c r="M583" s="200"/>
      <c r="N583" s="201"/>
      <c r="O583" s="201"/>
      <c r="P583" s="201"/>
      <c r="Q583" s="201"/>
      <c r="R583" s="201"/>
      <c r="S583" s="201"/>
      <c r="T583" s="202"/>
      <c r="AT583" s="203" t="s">
        <v>139</v>
      </c>
      <c r="AU583" s="203" t="s">
        <v>82</v>
      </c>
      <c r="AV583" s="13" t="s">
        <v>82</v>
      </c>
      <c r="AW583" s="13" t="s">
        <v>34</v>
      </c>
      <c r="AX583" s="13" t="s">
        <v>72</v>
      </c>
      <c r="AY583" s="203" t="s">
        <v>128</v>
      </c>
    </row>
    <row r="584" spans="1:65" s="13" customFormat="1" ht="10">
      <c r="B584" s="192"/>
      <c r="C584" s="193"/>
      <c r="D584" s="194" t="s">
        <v>139</v>
      </c>
      <c r="E584" s="195" t="s">
        <v>19</v>
      </c>
      <c r="F584" s="196" t="s">
        <v>1346</v>
      </c>
      <c r="G584" s="193"/>
      <c r="H584" s="197">
        <v>0.60899999999999999</v>
      </c>
      <c r="I584" s="198"/>
      <c r="J584" s="193"/>
      <c r="K584" s="193"/>
      <c r="L584" s="199"/>
      <c r="M584" s="200"/>
      <c r="N584" s="201"/>
      <c r="O584" s="201"/>
      <c r="P584" s="201"/>
      <c r="Q584" s="201"/>
      <c r="R584" s="201"/>
      <c r="S584" s="201"/>
      <c r="T584" s="202"/>
      <c r="AT584" s="203" t="s">
        <v>139</v>
      </c>
      <c r="AU584" s="203" t="s">
        <v>82</v>
      </c>
      <c r="AV584" s="13" t="s">
        <v>82</v>
      </c>
      <c r="AW584" s="13" t="s">
        <v>34</v>
      </c>
      <c r="AX584" s="13" t="s">
        <v>72</v>
      </c>
      <c r="AY584" s="203" t="s">
        <v>128</v>
      </c>
    </row>
    <row r="585" spans="1:65" s="13" customFormat="1" ht="10">
      <c r="B585" s="192"/>
      <c r="C585" s="193"/>
      <c r="D585" s="194" t="s">
        <v>139</v>
      </c>
      <c r="E585" s="195" t="s">
        <v>19</v>
      </c>
      <c r="F585" s="196" t="s">
        <v>1347</v>
      </c>
      <c r="G585" s="193"/>
      <c r="H585" s="197">
        <v>3.4849999999999999</v>
      </c>
      <c r="I585" s="198"/>
      <c r="J585" s="193"/>
      <c r="K585" s="193"/>
      <c r="L585" s="199"/>
      <c r="M585" s="200"/>
      <c r="N585" s="201"/>
      <c r="O585" s="201"/>
      <c r="P585" s="201"/>
      <c r="Q585" s="201"/>
      <c r="R585" s="201"/>
      <c r="S585" s="201"/>
      <c r="T585" s="202"/>
      <c r="AT585" s="203" t="s">
        <v>139</v>
      </c>
      <c r="AU585" s="203" t="s">
        <v>82</v>
      </c>
      <c r="AV585" s="13" t="s">
        <v>82</v>
      </c>
      <c r="AW585" s="13" t="s">
        <v>34</v>
      </c>
      <c r="AX585" s="13" t="s">
        <v>72</v>
      </c>
      <c r="AY585" s="203" t="s">
        <v>128</v>
      </c>
    </row>
    <row r="586" spans="1:65" s="14" customFormat="1" ht="10">
      <c r="B586" s="204"/>
      <c r="C586" s="205"/>
      <c r="D586" s="194" t="s">
        <v>139</v>
      </c>
      <c r="E586" s="206" t="s">
        <v>19</v>
      </c>
      <c r="F586" s="207" t="s">
        <v>153</v>
      </c>
      <c r="G586" s="205"/>
      <c r="H586" s="208">
        <v>47.096000000000004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139</v>
      </c>
      <c r="AU586" s="214" t="s">
        <v>82</v>
      </c>
      <c r="AV586" s="14" t="s">
        <v>135</v>
      </c>
      <c r="AW586" s="14" t="s">
        <v>34</v>
      </c>
      <c r="AX586" s="14" t="s">
        <v>80</v>
      </c>
      <c r="AY586" s="214" t="s">
        <v>128</v>
      </c>
    </row>
    <row r="587" spans="1:65" s="2" customFormat="1" ht="21.75" customHeight="1">
      <c r="A587" s="35"/>
      <c r="B587" s="36"/>
      <c r="C587" s="174" t="s">
        <v>1348</v>
      </c>
      <c r="D587" s="174" t="s">
        <v>130</v>
      </c>
      <c r="E587" s="175" t="s">
        <v>1349</v>
      </c>
      <c r="F587" s="176" t="s">
        <v>1350</v>
      </c>
      <c r="G587" s="177" t="s">
        <v>133</v>
      </c>
      <c r="H587" s="178">
        <v>1086.8</v>
      </c>
      <c r="I587" s="179"/>
      <c r="J587" s="180">
        <f>ROUND(I587*H587,2)</f>
        <v>0</v>
      </c>
      <c r="K587" s="176" t="s">
        <v>134</v>
      </c>
      <c r="L587" s="40"/>
      <c r="M587" s="181" t="s">
        <v>19</v>
      </c>
      <c r="N587" s="182" t="s">
        <v>43</v>
      </c>
      <c r="O587" s="65"/>
      <c r="P587" s="183">
        <f>O587*H587</f>
        <v>0</v>
      </c>
      <c r="Q587" s="183">
        <v>3.0720000000000001E-2</v>
      </c>
      <c r="R587" s="183">
        <f>Q587*H587</f>
        <v>33.386496000000001</v>
      </c>
      <c r="S587" s="183">
        <v>0</v>
      </c>
      <c r="T587" s="184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185" t="s">
        <v>230</v>
      </c>
      <c r="AT587" s="185" t="s">
        <v>130</v>
      </c>
      <c r="AU587" s="185" t="s">
        <v>82</v>
      </c>
      <c r="AY587" s="18" t="s">
        <v>128</v>
      </c>
      <c r="BE587" s="186">
        <f>IF(N587="základní",J587,0)</f>
        <v>0</v>
      </c>
      <c r="BF587" s="186">
        <f>IF(N587="snížená",J587,0)</f>
        <v>0</v>
      </c>
      <c r="BG587" s="186">
        <f>IF(N587="zákl. přenesená",J587,0)</f>
        <v>0</v>
      </c>
      <c r="BH587" s="186">
        <f>IF(N587="sníž. přenesená",J587,0)</f>
        <v>0</v>
      </c>
      <c r="BI587" s="186">
        <f>IF(N587="nulová",J587,0)</f>
        <v>0</v>
      </c>
      <c r="BJ587" s="18" t="s">
        <v>80</v>
      </c>
      <c r="BK587" s="186">
        <f>ROUND(I587*H587,2)</f>
        <v>0</v>
      </c>
      <c r="BL587" s="18" t="s">
        <v>230</v>
      </c>
      <c r="BM587" s="185" t="s">
        <v>1351</v>
      </c>
    </row>
    <row r="588" spans="1:65" s="2" customFormat="1" ht="10">
      <c r="A588" s="35"/>
      <c r="B588" s="36"/>
      <c r="C588" s="37"/>
      <c r="D588" s="187" t="s">
        <v>137</v>
      </c>
      <c r="E588" s="37"/>
      <c r="F588" s="188" t="s">
        <v>1352</v>
      </c>
      <c r="G588" s="37"/>
      <c r="H588" s="37"/>
      <c r="I588" s="189"/>
      <c r="J588" s="37"/>
      <c r="K588" s="37"/>
      <c r="L588" s="40"/>
      <c r="M588" s="190"/>
      <c r="N588" s="191"/>
      <c r="O588" s="65"/>
      <c r="P588" s="65"/>
      <c r="Q588" s="65"/>
      <c r="R588" s="65"/>
      <c r="S588" s="65"/>
      <c r="T588" s="66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T588" s="18" t="s">
        <v>137</v>
      </c>
      <c r="AU588" s="18" t="s">
        <v>82</v>
      </c>
    </row>
    <row r="589" spans="1:65" s="13" customFormat="1" ht="10">
      <c r="B589" s="192"/>
      <c r="C589" s="193"/>
      <c r="D589" s="194" t="s">
        <v>139</v>
      </c>
      <c r="E589" s="195" t="s">
        <v>19</v>
      </c>
      <c r="F589" s="196" t="s">
        <v>1175</v>
      </c>
      <c r="G589" s="193"/>
      <c r="H589" s="197">
        <v>1086.8</v>
      </c>
      <c r="I589" s="198"/>
      <c r="J589" s="193"/>
      <c r="K589" s="193"/>
      <c r="L589" s="199"/>
      <c r="M589" s="200"/>
      <c r="N589" s="201"/>
      <c r="O589" s="201"/>
      <c r="P589" s="201"/>
      <c r="Q589" s="201"/>
      <c r="R589" s="201"/>
      <c r="S589" s="201"/>
      <c r="T589" s="202"/>
      <c r="AT589" s="203" t="s">
        <v>139</v>
      </c>
      <c r="AU589" s="203" t="s">
        <v>82</v>
      </c>
      <c r="AV589" s="13" t="s">
        <v>82</v>
      </c>
      <c r="AW589" s="13" t="s">
        <v>34</v>
      </c>
      <c r="AX589" s="13" t="s">
        <v>80</v>
      </c>
      <c r="AY589" s="203" t="s">
        <v>128</v>
      </c>
    </row>
    <row r="590" spans="1:65" s="2" customFormat="1" ht="24.15" customHeight="1">
      <c r="A590" s="35"/>
      <c r="B590" s="36"/>
      <c r="C590" s="174" t="s">
        <v>1353</v>
      </c>
      <c r="D590" s="174" t="s">
        <v>130</v>
      </c>
      <c r="E590" s="175" t="s">
        <v>1354</v>
      </c>
      <c r="F590" s="176" t="s">
        <v>1355</v>
      </c>
      <c r="G590" s="177" t="s">
        <v>133</v>
      </c>
      <c r="H590" s="178">
        <v>543.4</v>
      </c>
      <c r="I590" s="179"/>
      <c r="J590" s="180">
        <f>ROUND(I590*H590,2)</f>
        <v>0</v>
      </c>
      <c r="K590" s="176" t="s">
        <v>134</v>
      </c>
      <c r="L590" s="40"/>
      <c r="M590" s="181" t="s">
        <v>19</v>
      </c>
      <c r="N590" s="182" t="s">
        <v>43</v>
      </c>
      <c r="O590" s="65"/>
      <c r="P590" s="183">
        <f>O590*H590</f>
        <v>0</v>
      </c>
      <c r="Q590" s="183">
        <v>1.5740000000000001E-2</v>
      </c>
      <c r="R590" s="183">
        <f>Q590*H590</f>
        <v>8.5531159999999993</v>
      </c>
      <c r="S590" s="183">
        <v>0</v>
      </c>
      <c r="T590" s="184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85" t="s">
        <v>230</v>
      </c>
      <c r="AT590" s="185" t="s">
        <v>130</v>
      </c>
      <c r="AU590" s="185" t="s">
        <v>82</v>
      </c>
      <c r="AY590" s="18" t="s">
        <v>128</v>
      </c>
      <c r="BE590" s="186">
        <f>IF(N590="základní",J590,0)</f>
        <v>0</v>
      </c>
      <c r="BF590" s="186">
        <f>IF(N590="snížená",J590,0)</f>
        <v>0</v>
      </c>
      <c r="BG590" s="186">
        <f>IF(N590="zákl. přenesená",J590,0)</f>
        <v>0</v>
      </c>
      <c r="BH590" s="186">
        <f>IF(N590="sníž. přenesená",J590,0)</f>
        <v>0</v>
      </c>
      <c r="BI590" s="186">
        <f>IF(N590="nulová",J590,0)</f>
        <v>0</v>
      </c>
      <c r="BJ590" s="18" t="s">
        <v>80</v>
      </c>
      <c r="BK590" s="186">
        <f>ROUND(I590*H590,2)</f>
        <v>0</v>
      </c>
      <c r="BL590" s="18" t="s">
        <v>230</v>
      </c>
      <c r="BM590" s="185" t="s">
        <v>1356</v>
      </c>
    </row>
    <row r="591" spans="1:65" s="2" customFormat="1" ht="10">
      <c r="A591" s="35"/>
      <c r="B591" s="36"/>
      <c r="C591" s="37"/>
      <c r="D591" s="187" t="s">
        <v>137</v>
      </c>
      <c r="E591" s="37"/>
      <c r="F591" s="188" t="s">
        <v>1357</v>
      </c>
      <c r="G591" s="37"/>
      <c r="H591" s="37"/>
      <c r="I591" s="189"/>
      <c r="J591" s="37"/>
      <c r="K591" s="37"/>
      <c r="L591" s="40"/>
      <c r="M591" s="190"/>
      <c r="N591" s="191"/>
      <c r="O591" s="65"/>
      <c r="P591" s="65"/>
      <c r="Q591" s="65"/>
      <c r="R591" s="65"/>
      <c r="S591" s="65"/>
      <c r="T591" s="66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T591" s="18" t="s">
        <v>137</v>
      </c>
      <c r="AU591" s="18" t="s">
        <v>82</v>
      </c>
    </row>
    <row r="592" spans="1:65" s="13" customFormat="1" ht="10">
      <c r="B592" s="192"/>
      <c r="C592" s="193"/>
      <c r="D592" s="194" t="s">
        <v>139</v>
      </c>
      <c r="E592" s="195" t="s">
        <v>19</v>
      </c>
      <c r="F592" s="196" t="s">
        <v>1117</v>
      </c>
      <c r="G592" s="193"/>
      <c r="H592" s="197">
        <v>543.4</v>
      </c>
      <c r="I592" s="198"/>
      <c r="J592" s="193"/>
      <c r="K592" s="193"/>
      <c r="L592" s="199"/>
      <c r="M592" s="200"/>
      <c r="N592" s="201"/>
      <c r="O592" s="201"/>
      <c r="P592" s="201"/>
      <c r="Q592" s="201"/>
      <c r="R592" s="201"/>
      <c r="S592" s="201"/>
      <c r="T592" s="202"/>
      <c r="AT592" s="203" t="s">
        <v>139</v>
      </c>
      <c r="AU592" s="203" t="s">
        <v>82</v>
      </c>
      <c r="AV592" s="13" t="s">
        <v>82</v>
      </c>
      <c r="AW592" s="13" t="s">
        <v>34</v>
      </c>
      <c r="AX592" s="13" t="s">
        <v>80</v>
      </c>
      <c r="AY592" s="203" t="s">
        <v>128</v>
      </c>
    </row>
    <row r="593" spans="1:65" s="2" customFormat="1" ht="24.15" customHeight="1">
      <c r="A593" s="35"/>
      <c r="B593" s="36"/>
      <c r="C593" s="174" t="s">
        <v>1358</v>
      </c>
      <c r="D593" s="174" t="s">
        <v>130</v>
      </c>
      <c r="E593" s="175" t="s">
        <v>1359</v>
      </c>
      <c r="F593" s="176" t="s">
        <v>1360</v>
      </c>
      <c r="G593" s="177" t="s">
        <v>133</v>
      </c>
      <c r="H593" s="178">
        <v>178.2</v>
      </c>
      <c r="I593" s="179"/>
      <c r="J593" s="180">
        <f>ROUND(I593*H593,2)</f>
        <v>0</v>
      </c>
      <c r="K593" s="176" t="s">
        <v>134</v>
      </c>
      <c r="L593" s="40"/>
      <c r="M593" s="181" t="s">
        <v>19</v>
      </c>
      <c r="N593" s="182" t="s">
        <v>43</v>
      </c>
      <c r="O593" s="65"/>
      <c r="P593" s="183">
        <f>O593*H593</f>
        <v>0</v>
      </c>
      <c r="Q593" s="183">
        <v>1.1310000000000001E-2</v>
      </c>
      <c r="R593" s="183">
        <f>Q593*H593</f>
        <v>2.0154420000000002</v>
      </c>
      <c r="S593" s="183">
        <v>0</v>
      </c>
      <c r="T593" s="184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85" t="s">
        <v>230</v>
      </c>
      <c r="AT593" s="185" t="s">
        <v>130</v>
      </c>
      <c r="AU593" s="185" t="s">
        <v>82</v>
      </c>
      <c r="AY593" s="18" t="s">
        <v>128</v>
      </c>
      <c r="BE593" s="186">
        <f>IF(N593="základní",J593,0)</f>
        <v>0</v>
      </c>
      <c r="BF593" s="186">
        <f>IF(N593="snížená",J593,0)</f>
        <v>0</v>
      </c>
      <c r="BG593" s="186">
        <f>IF(N593="zákl. přenesená",J593,0)</f>
        <v>0</v>
      </c>
      <c r="BH593" s="186">
        <f>IF(N593="sníž. přenesená",J593,0)</f>
        <v>0</v>
      </c>
      <c r="BI593" s="186">
        <f>IF(N593="nulová",J593,0)</f>
        <v>0</v>
      </c>
      <c r="BJ593" s="18" t="s">
        <v>80</v>
      </c>
      <c r="BK593" s="186">
        <f>ROUND(I593*H593,2)</f>
        <v>0</v>
      </c>
      <c r="BL593" s="18" t="s">
        <v>230</v>
      </c>
      <c r="BM593" s="185" t="s">
        <v>1361</v>
      </c>
    </row>
    <row r="594" spans="1:65" s="2" customFormat="1" ht="10">
      <c r="A594" s="35"/>
      <c r="B594" s="36"/>
      <c r="C594" s="37"/>
      <c r="D594" s="187" t="s">
        <v>137</v>
      </c>
      <c r="E594" s="37"/>
      <c r="F594" s="188" t="s">
        <v>1362</v>
      </c>
      <c r="G594" s="37"/>
      <c r="H594" s="37"/>
      <c r="I594" s="189"/>
      <c r="J594" s="37"/>
      <c r="K594" s="37"/>
      <c r="L594" s="40"/>
      <c r="M594" s="190"/>
      <c r="N594" s="191"/>
      <c r="O594" s="65"/>
      <c r="P594" s="65"/>
      <c r="Q594" s="65"/>
      <c r="R594" s="65"/>
      <c r="S594" s="65"/>
      <c r="T594" s="66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T594" s="18" t="s">
        <v>137</v>
      </c>
      <c r="AU594" s="18" t="s">
        <v>82</v>
      </c>
    </row>
    <row r="595" spans="1:65" s="13" customFormat="1" ht="10">
      <c r="B595" s="192"/>
      <c r="C595" s="193"/>
      <c r="D595" s="194" t="s">
        <v>139</v>
      </c>
      <c r="E595" s="195" t="s">
        <v>19</v>
      </c>
      <c r="F595" s="196" t="s">
        <v>1363</v>
      </c>
      <c r="G595" s="193"/>
      <c r="H595" s="197">
        <v>178.2</v>
      </c>
      <c r="I595" s="198"/>
      <c r="J595" s="193"/>
      <c r="K595" s="193"/>
      <c r="L595" s="199"/>
      <c r="M595" s="200"/>
      <c r="N595" s="201"/>
      <c r="O595" s="201"/>
      <c r="P595" s="201"/>
      <c r="Q595" s="201"/>
      <c r="R595" s="201"/>
      <c r="S595" s="201"/>
      <c r="T595" s="202"/>
      <c r="AT595" s="203" t="s">
        <v>139</v>
      </c>
      <c r="AU595" s="203" t="s">
        <v>82</v>
      </c>
      <c r="AV595" s="13" t="s">
        <v>82</v>
      </c>
      <c r="AW595" s="13" t="s">
        <v>34</v>
      </c>
      <c r="AX595" s="13" t="s">
        <v>80</v>
      </c>
      <c r="AY595" s="203" t="s">
        <v>128</v>
      </c>
    </row>
    <row r="596" spans="1:65" s="2" customFormat="1" ht="16.5" customHeight="1">
      <c r="A596" s="35"/>
      <c r="B596" s="36"/>
      <c r="C596" s="174" t="s">
        <v>1364</v>
      </c>
      <c r="D596" s="174" t="s">
        <v>130</v>
      </c>
      <c r="E596" s="175" t="s">
        <v>1365</v>
      </c>
      <c r="F596" s="176" t="s">
        <v>1366</v>
      </c>
      <c r="G596" s="177" t="s">
        <v>258</v>
      </c>
      <c r="H596" s="178">
        <v>1404.04</v>
      </c>
      <c r="I596" s="179"/>
      <c r="J596" s="180">
        <f>ROUND(I596*H596,2)</f>
        <v>0</v>
      </c>
      <c r="K596" s="176" t="s">
        <v>134</v>
      </c>
      <c r="L596" s="40"/>
      <c r="M596" s="181" t="s">
        <v>19</v>
      </c>
      <c r="N596" s="182" t="s">
        <v>43</v>
      </c>
      <c r="O596" s="65"/>
      <c r="P596" s="183">
        <f>O596*H596</f>
        <v>0</v>
      </c>
      <c r="Q596" s="183">
        <v>1.0000000000000001E-5</v>
      </c>
      <c r="R596" s="183">
        <f>Q596*H596</f>
        <v>1.4040400000000001E-2</v>
      </c>
      <c r="S596" s="183">
        <v>0</v>
      </c>
      <c r="T596" s="184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85" t="s">
        <v>230</v>
      </c>
      <c r="AT596" s="185" t="s">
        <v>130</v>
      </c>
      <c r="AU596" s="185" t="s">
        <v>82</v>
      </c>
      <c r="AY596" s="18" t="s">
        <v>128</v>
      </c>
      <c r="BE596" s="186">
        <f>IF(N596="základní",J596,0)</f>
        <v>0</v>
      </c>
      <c r="BF596" s="186">
        <f>IF(N596="snížená",J596,0)</f>
        <v>0</v>
      </c>
      <c r="BG596" s="186">
        <f>IF(N596="zákl. přenesená",J596,0)</f>
        <v>0</v>
      </c>
      <c r="BH596" s="186">
        <f>IF(N596="sníž. přenesená",J596,0)</f>
        <v>0</v>
      </c>
      <c r="BI596" s="186">
        <f>IF(N596="nulová",J596,0)</f>
        <v>0</v>
      </c>
      <c r="BJ596" s="18" t="s">
        <v>80</v>
      </c>
      <c r="BK596" s="186">
        <f>ROUND(I596*H596,2)</f>
        <v>0</v>
      </c>
      <c r="BL596" s="18" t="s">
        <v>230</v>
      </c>
      <c r="BM596" s="185" t="s">
        <v>1367</v>
      </c>
    </row>
    <row r="597" spans="1:65" s="2" customFormat="1" ht="10">
      <c r="A597" s="35"/>
      <c r="B597" s="36"/>
      <c r="C597" s="37"/>
      <c r="D597" s="187" t="s">
        <v>137</v>
      </c>
      <c r="E597" s="37"/>
      <c r="F597" s="188" t="s">
        <v>1368</v>
      </c>
      <c r="G597" s="37"/>
      <c r="H597" s="37"/>
      <c r="I597" s="189"/>
      <c r="J597" s="37"/>
      <c r="K597" s="37"/>
      <c r="L597" s="40"/>
      <c r="M597" s="190"/>
      <c r="N597" s="191"/>
      <c r="O597" s="65"/>
      <c r="P597" s="65"/>
      <c r="Q597" s="65"/>
      <c r="R597" s="65"/>
      <c r="S597" s="65"/>
      <c r="T597" s="66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8" t="s">
        <v>137</v>
      </c>
      <c r="AU597" s="18" t="s">
        <v>82</v>
      </c>
    </row>
    <row r="598" spans="1:65" s="13" customFormat="1" ht="10">
      <c r="B598" s="192"/>
      <c r="C598" s="193"/>
      <c r="D598" s="194" t="s">
        <v>139</v>
      </c>
      <c r="E598" s="195" t="s">
        <v>19</v>
      </c>
      <c r="F598" s="196" t="s">
        <v>1369</v>
      </c>
      <c r="G598" s="193"/>
      <c r="H598" s="197">
        <v>869.44</v>
      </c>
      <c r="I598" s="198"/>
      <c r="J598" s="193"/>
      <c r="K598" s="193"/>
      <c r="L598" s="199"/>
      <c r="M598" s="200"/>
      <c r="N598" s="201"/>
      <c r="O598" s="201"/>
      <c r="P598" s="201"/>
      <c r="Q598" s="201"/>
      <c r="R598" s="201"/>
      <c r="S598" s="201"/>
      <c r="T598" s="202"/>
      <c r="AT598" s="203" t="s">
        <v>139</v>
      </c>
      <c r="AU598" s="203" t="s">
        <v>82</v>
      </c>
      <c r="AV598" s="13" t="s">
        <v>82</v>
      </c>
      <c r="AW598" s="13" t="s">
        <v>34</v>
      </c>
      <c r="AX598" s="13" t="s">
        <v>72</v>
      </c>
      <c r="AY598" s="203" t="s">
        <v>128</v>
      </c>
    </row>
    <row r="599" spans="1:65" s="13" customFormat="1" ht="10">
      <c r="B599" s="192"/>
      <c r="C599" s="193"/>
      <c r="D599" s="194" t="s">
        <v>139</v>
      </c>
      <c r="E599" s="195" t="s">
        <v>19</v>
      </c>
      <c r="F599" s="196" t="s">
        <v>1370</v>
      </c>
      <c r="G599" s="193"/>
      <c r="H599" s="197">
        <v>534.6</v>
      </c>
      <c r="I599" s="198"/>
      <c r="J599" s="193"/>
      <c r="K599" s="193"/>
      <c r="L599" s="199"/>
      <c r="M599" s="200"/>
      <c r="N599" s="201"/>
      <c r="O599" s="201"/>
      <c r="P599" s="201"/>
      <c r="Q599" s="201"/>
      <c r="R599" s="201"/>
      <c r="S599" s="201"/>
      <c r="T599" s="202"/>
      <c r="AT599" s="203" t="s">
        <v>139</v>
      </c>
      <c r="AU599" s="203" t="s">
        <v>82</v>
      </c>
      <c r="AV599" s="13" t="s">
        <v>82</v>
      </c>
      <c r="AW599" s="13" t="s">
        <v>34</v>
      </c>
      <c r="AX599" s="13" t="s">
        <v>72</v>
      </c>
      <c r="AY599" s="203" t="s">
        <v>128</v>
      </c>
    </row>
    <row r="600" spans="1:65" s="14" customFormat="1" ht="10">
      <c r="B600" s="204"/>
      <c r="C600" s="205"/>
      <c r="D600" s="194" t="s">
        <v>139</v>
      </c>
      <c r="E600" s="206" t="s">
        <v>19</v>
      </c>
      <c r="F600" s="207" t="s">
        <v>153</v>
      </c>
      <c r="G600" s="205"/>
      <c r="H600" s="208">
        <v>1404.04</v>
      </c>
      <c r="I600" s="209"/>
      <c r="J600" s="205"/>
      <c r="K600" s="205"/>
      <c r="L600" s="210"/>
      <c r="M600" s="211"/>
      <c r="N600" s="212"/>
      <c r="O600" s="212"/>
      <c r="P600" s="212"/>
      <c r="Q600" s="212"/>
      <c r="R600" s="212"/>
      <c r="S600" s="212"/>
      <c r="T600" s="213"/>
      <c r="AT600" s="214" t="s">
        <v>139</v>
      </c>
      <c r="AU600" s="214" t="s">
        <v>82</v>
      </c>
      <c r="AV600" s="14" t="s">
        <v>135</v>
      </c>
      <c r="AW600" s="14" t="s">
        <v>34</v>
      </c>
      <c r="AX600" s="14" t="s">
        <v>80</v>
      </c>
      <c r="AY600" s="214" t="s">
        <v>128</v>
      </c>
    </row>
    <row r="601" spans="1:65" s="2" customFormat="1" ht="16.5" customHeight="1">
      <c r="A601" s="35"/>
      <c r="B601" s="36"/>
      <c r="C601" s="215" t="s">
        <v>1371</v>
      </c>
      <c r="D601" s="215" t="s">
        <v>414</v>
      </c>
      <c r="E601" s="216" t="s">
        <v>1372</v>
      </c>
      <c r="F601" s="217" t="s">
        <v>1373</v>
      </c>
      <c r="G601" s="218" t="s">
        <v>148</v>
      </c>
      <c r="H601" s="219">
        <v>6.12</v>
      </c>
      <c r="I601" s="220"/>
      <c r="J601" s="221">
        <f>ROUND(I601*H601,2)</f>
        <v>0</v>
      </c>
      <c r="K601" s="217" t="s">
        <v>134</v>
      </c>
      <c r="L601" s="222"/>
      <c r="M601" s="223" t="s">
        <v>19</v>
      </c>
      <c r="N601" s="224" t="s">
        <v>43</v>
      </c>
      <c r="O601" s="65"/>
      <c r="P601" s="183">
        <f>O601*H601</f>
        <v>0</v>
      </c>
      <c r="Q601" s="183">
        <v>0.55000000000000004</v>
      </c>
      <c r="R601" s="183">
        <f>Q601*H601</f>
        <v>3.3660000000000005</v>
      </c>
      <c r="S601" s="183">
        <v>0</v>
      </c>
      <c r="T601" s="184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85" t="s">
        <v>334</v>
      </c>
      <c r="AT601" s="185" t="s">
        <v>414</v>
      </c>
      <c r="AU601" s="185" t="s">
        <v>82</v>
      </c>
      <c r="AY601" s="18" t="s">
        <v>128</v>
      </c>
      <c r="BE601" s="186">
        <f>IF(N601="základní",J601,0)</f>
        <v>0</v>
      </c>
      <c r="BF601" s="186">
        <f>IF(N601="snížená",J601,0)</f>
        <v>0</v>
      </c>
      <c r="BG601" s="186">
        <f>IF(N601="zákl. přenesená",J601,0)</f>
        <v>0</v>
      </c>
      <c r="BH601" s="186">
        <f>IF(N601="sníž. přenesená",J601,0)</f>
        <v>0</v>
      </c>
      <c r="BI601" s="186">
        <f>IF(N601="nulová",J601,0)</f>
        <v>0</v>
      </c>
      <c r="BJ601" s="18" t="s">
        <v>80</v>
      </c>
      <c r="BK601" s="186">
        <f>ROUND(I601*H601,2)</f>
        <v>0</v>
      </c>
      <c r="BL601" s="18" t="s">
        <v>230</v>
      </c>
      <c r="BM601" s="185" t="s">
        <v>1374</v>
      </c>
    </row>
    <row r="602" spans="1:65" s="13" customFormat="1" ht="10">
      <c r="B602" s="192"/>
      <c r="C602" s="193"/>
      <c r="D602" s="194" t="s">
        <v>139</v>
      </c>
      <c r="E602" s="195" t="s">
        <v>19</v>
      </c>
      <c r="F602" s="196" t="s">
        <v>1375</v>
      </c>
      <c r="G602" s="193"/>
      <c r="H602" s="197">
        <v>5.5640000000000001</v>
      </c>
      <c r="I602" s="198"/>
      <c r="J602" s="193"/>
      <c r="K602" s="193"/>
      <c r="L602" s="199"/>
      <c r="M602" s="200"/>
      <c r="N602" s="201"/>
      <c r="O602" s="201"/>
      <c r="P602" s="201"/>
      <c r="Q602" s="201"/>
      <c r="R602" s="201"/>
      <c r="S602" s="201"/>
      <c r="T602" s="202"/>
      <c r="AT602" s="203" t="s">
        <v>139</v>
      </c>
      <c r="AU602" s="203" t="s">
        <v>82</v>
      </c>
      <c r="AV602" s="13" t="s">
        <v>82</v>
      </c>
      <c r="AW602" s="13" t="s">
        <v>34</v>
      </c>
      <c r="AX602" s="13" t="s">
        <v>80</v>
      </c>
      <c r="AY602" s="203" t="s">
        <v>128</v>
      </c>
    </row>
    <row r="603" spans="1:65" s="13" customFormat="1" ht="10">
      <c r="B603" s="192"/>
      <c r="C603" s="193"/>
      <c r="D603" s="194" t="s">
        <v>139</v>
      </c>
      <c r="E603" s="193"/>
      <c r="F603" s="196" t="s">
        <v>1376</v>
      </c>
      <c r="G603" s="193"/>
      <c r="H603" s="197">
        <v>6.12</v>
      </c>
      <c r="I603" s="198"/>
      <c r="J603" s="193"/>
      <c r="K603" s="193"/>
      <c r="L603" s="199"/>
      <c r="M603" s="200"/>
      <c r="N603" s="201"/>
      <c r="O603" s="201"/>
      <c r="P603" s="201"/>
      <c r="Q603" s="201"/>
      <c r="R603" s="201"/>
      <c r="S603" s="201"/>
      <c r="T603" s="202"/>
      <c r="AT603" s="203" t="s">
        <v>139</v>
      </c>
      <c r="AU603" s="203" t="s">
        <v>82</v>
      </c>
      <c r="AV603" s="13" t="s">
        <v>82</v>
      </c>
      <c r="AW603" s="13" t="s">
        <v>4</v>
      </c>
      <c r="AX603" s="13" t="s">
        <v>80</v>
      </c>
      <c r="AY603" s="203" t="s">
        <v>128</v>
      </c>
    </row>
    <row r="604" spans="1:65" s="2" customFormat="1" ht="16.5" customHeight="1">
      <c r="A604" s="35"/>
      <c r="B604" s="36"/>
      <c r="C604" s="215" t="s">
        <v>1377</v>
      </c>
      <c r="D604" s="215" t="s">
        <v>414</v>
      </c>
      <c r="E604" s="216" t="s">
        <v>1295</v>
      </c>
      <c r="F604" s="217" t="s">
        <v>1296</v>
      </c>
      <c r="G604" s="218" t="s">
        <v>148</v>
      </c>
      <c r="H604" s="219">
        <v>3.593</v>
      </c>
      <c r="I604" s="220"/>
      <c r="J604" s="221">
        <f>ROUND(I604*H604,2)</f>
        <v>0</v>
      </c>
      <c r="K604" s="217" t="s">
        <v>134</v>
      </c>
      <c r="L604" s="222"/>
      <c r="M604" s="223" t="s">
        <v>19</v>
      </c>
      <c r="N604" s="224" t="s">
        <v>43</v>
      </c>
      <c r="O604" s="65"/>
      <c r="P604" s="183">
        <f>O604*H604</f>
        <v>0</v>
      </c>
      <c r="Q604" s="183">
        <v>0.44</v>
      </c>
      <c r="R604" s="183">
        <f>Q604*H604</f>
        <v>1.5809200000000001</v>
      </c>
      <c r="S604" s="183">
        <v>0</v>
      </c>
      <c r="T604" s="184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85" t="s">
        <v>334</v>
      </c>
      <c r="AT604" s="185" t="s">
        <v>414</v>
      </c>
      <c r="AU604" s="185" t="s">
        <v>82</v>
      </c>
      <c r="AY604" s="18" t="s">
        <v>128</v>
      </c>
      <c r="BE604" s="186">
        <f>IF(N604="základní",J604,0)</f>
        <v>0</v>
      </c>
      <c r="BF604" s="186">
        <f>IF(N604="snížená",J604,0)</f>
        <v>0</v>
      </c>
      <c r="BG604" s="186">
        <f>IF(N604="zákl. přenesená",J604,0)</f>
        <v>0</v>
      </c>
      <c r="BH604" s="186">
        <f>IF(N604="sníž. přenesená",J604,0)</f>
        <v>0</v>
      </c>
      <c r="BI604" s="186">
        <f>IF(N604="nulová",J604,0)</f>
        <v>0</v>
      </c>
      <c r="BJ604" s="18" t="s">
        <v>80</v>
      </c>
      <c r="BK604" s="186">
        <f>ROUND(I604*H604,2)</f>
        <v>0</v>
      </c>
      <c r="BL604" s="18" t="s">
        <v>230</v>
      </c>
      <c r="BM604" s="185" t="s">
        <v>1378</v>
      </c>
    </row>
    <row r="605" spans="1:65" s="13" customFormat="1" ht="10">
      <c r="B605" s="192"/>
      <c r="C605" s="193"/>
      <c r="D605" s="194" t="s">
        <v>139</v>
      </c>
      <c r="E605" s="195" t="s">
        <v>19</v>
      </c>
      <c r="F605" s="196" t="s">
        <v>1379</v>
      </c>
      <c r="G605" s="193"/>
      <c r="H605" s="197">
        <v>2.9940000000000002</v>
      </c>
      <c r="I605" s="198"/>
      <c r="J605" s="193"/>
      <c r="K605" s="193"/>
      <c r="L605" s="199"/>
      <c r="M605" s="200"/>
      <c r="N605" s="201"/>
      <c r="O605" s="201"/>
      <c r="P605" s="201"/>
      <c r="Q605" s="201"/>
      <c r="R605" s="201"/>
      <c r="S605" s="201"/>
      <c r="T605" s="202"/>
      <c r="AT605" s="203" t="s">
        <v>139</v>
      </c>
      <c r="AU605" s="203" t="s">
        <v>82</v>
      </c>
      <c r="AV605" s="13" t="s">
        <v>82</v>
      </c>
      <c r="AW605" s="13" t="s">
        <v>34</v>
      </c>
      <c r="AX605" s="13" t="s">
        <v>80</v>
      </c>
      <c r="AY605" s="203" t="s">
        <v>128</v>
      </c>
    </row>
    <row r="606" spans="1:65" s="13" customFormat="1" ht="10">
      <c r="B606" s="192"/>
      <c r="C606" s="193"/>
      <c r="D606" s="194" t="s">
        <v>139</v>
      </c>
      <c r="E606" s="193"/>
      <c r="F606" s="196" t="s">
        <v>1380</v>
      </c>
      <c r="G606" s="193"/>
      <c r="H606" s="197">
        <v>3.593</v>
      </c>
      <c r="I606" s="198"/>
      <c r="J606" s="193"/>
      <c r="K606" s="193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139</v>
      </c>
      <c r="AU606" s="203" t="s">
        <v>82</v>
      </c>
      <c r="AV606" s="13" t="s">
        <v>82</v>
      </c>
      <c r="AW606" s="13" t="s">
        <v>4</v>
      </c>
      <c r="AX606" s="13" t="s">
        <v>80</v>
      </c>
      <c r="AY606" s="203" t="s">
        <v>128</v>
      </c>
    </row>
    <row r="607" spans="1:65" s="2" customFormat="1" ht="16.5" customHeight="1">
      <c r="A607" s="35"/>
      <c r="B607" s="36"/>
      <c r="C607" s="174" t="s">
        <v>1381</v>
      </c>
      <c r="D607" s="174" t="s">
        <v>130</v>
      </c>
      <c r="E607" s="175" t="s">
        <v>1382</v>
      </c>
      <c r="F607" s="176" t="s">
        <v>1383</v>
      </c>
      <c r="G607" s="177" t="s">
        <v>133</v>
      </c>
      <c r="H607" s="178">
        <v>1808.4</v>
      </c>
      <c r="I607" s="179"/>
      <c r="J607" s="180">
        <f>ROUND(I607*H607,2)</f>
        <v>0</v>
      </c>
      <c r="K607" s="176" t="s">
        <v>134</v>
      </c>
      <c r="L607" s="40"/>
      <c r="M607" s="181" t="s">
        <v>19</v>
      </c>
      <c r="N607" s="182" t="s">
        <v>43</v>
      </c>
      <c r="O607" s="65"/>
      <c r="P607" s="183">
        <f>O607*H607</f>
        <v>0</v>
      </c>
      <c r="Q607" s="183">
        <v>1.8000000000000001E-4</v>
      </c>
      <c r="R607" s="183">
        <f>Q607*H607</f>
        <v>0.32551200000000002</v>
      </c>
      <c r="S607" s="183">
        <v>0</v>
      </c>
      <c r="T607" s="184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185" t="s">
        <v>230</v>
      </c>
      <c r="AT607" s="185" t="s">
        <v>130</v>
      </c>
      <c r="AU607" s="185" t="s">
        <v>82</v>
      </c>
      <c r="AY607" s="18" t="s">
        <v>128</v>
      </c>
      <c r="BE607" s="186">
        <f>IF(N607="základní",J607,0)</f>
        <v>0</v>
      </c>
      <c r="BF607" s="186">
        <f>IF(N607="snížená",J607,0)</f>
        <v>0</v>
      </c>
      <c r="BG607" s="186">
        <f>IF(N607="zákl. přenesená",J607,0)</f>
        <v>0</v>
      </c>
      <c r="BH607" s="186">
        <f>IF(N607="sníž. přenesená",J607,0)</f>
        <v>0</v>
      </c>
      <c r="BI607" s="186">
        <f>IF(N607="nulová",J607,0)</f>
        <v>0</v>
      </c>
      <c r="BJ607" s="18" t="s">
        <v>80</v>
      </c>
      <c r="BK607" s="186">
        <f>ROUND(I607*H607,2)</f>
        <v>0</v>
      </c>
      <c r="BL607" s="18" t="s">
        <v>230</v>
      </c>
      <c r="BM607" s="185" t="s">
        <v>1384</v>
      </c>
    </row>
    <row r="608" spans="1:65" s="2" customFormat="1" ht="10">
      <c r="A608" s="35"/>
      <c r="B608" s="36"/>
      <c r="C608" s="37"/>
      <c r="D608" s="187" t="s">
        <v>137</v>
      </c>
      <c r="E608" s="37"/>
      <c r="F608" s="188" t="s">
        <v>1385</v>
      </c>
      <c r="G608" s="37"/>
      <c r="H608" s="37"/>
      <c r="I608" s="189"/>
      <c r="J608" s="37"/>
      <c r="K608" s="37"/>
      <c r="L608" s="40"/>
      <c r="M608" s="190"/>
      <c r="N608" s="191"/>
      <c r="O608" s="65"/>
      <c r="P608" s="65"/>
      <c r="Q608" s="65"/>
      <c r="R608" s="65"/>
      <c r="S608" s="65"/>
      <c r="T608" s="66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T608" s="18" t="s">
        <v>137</v>
      </c>
      <c r="AU608" s="18" t="s">
        <v>82</v>
      </c>
    </row>
    <row r="609" spans="1:65" s="13" customFormat="1" ht="10">
      <c r="B609" s="192"/>
      <c r="C609" s="193"/>
      <c r="D609" s="194" t="s">
        <v>139</v>
      </c>
      <c r="E609" s="195" t="s">
        <v>19</v>
      </c>
      <c r="F609" s="196" t="s">
        <v>1117</v>
      </c>
      <c r="G609" s="193"/>
      <c r="H609" s="197">
        <v>543.4</v>
      </c>
      <c r="I609" s="198"/>
      <c r="J609" s="193"/>
      <c r="K609" s="193"/>
      <c r="L609" s="199"/>
      <c r="M609" s="200"/>
      <c r="N609" s="201"/>
      <c r="O609" s="201"/>
      <c r="P609" s="201"/>
      <c r="Q609" s="201"/>
      <c r="R609" s="201"/>
      <c r="S609" s="201"/>
      <c r="T609" s="202"/>
      <c r="AT609" s="203" t="s">
        <v>139</v>
      </c>
      <c r="AU609" s="203" t="s">
        <v>82</v>
      </c>
      <c r="AV609" s="13" t="s">
        <v>82</v>
      </c>
      <c r="AW609" s="13" t="s">
        <v>34</v>
      </c>
      <c r="AX609" s="13" t="s">
        <v>72</v>
      </c>
      <c r="AY609" s="203" t="s">
        <v>128</v>
      </c>
    </row>
    <row r="610" spans="1:65" s="13" customFormat="1" ht="10">
      <c r="B610" s="192"/>
      <c r="C610" s="193"/>
      <c r="D610" s="194" t="s">
        <v>139</v>
      </c>
      <c r="E610" s="195" t="s">
        <v>19</v>
      </c>
      <c r="F610" s="196" t="s">
        <v>1386</v>
      </c>
      <c r="G610" s="193"/>
      <c r="H610" s="197">
        <v>1086.8</v>
      </c>
      <c r="I610" s="198"/>
      <c r="J610" s="193"/>
      <c r="K610" s="193"/>
      <c r="L610" s="199"/>
      <c r="M610" s="200"/>
      <c r="N610" s="201"/>
      <c r="O610" s="201"/>
      <c r="P610" s="201"/>
      <c r="Q610" s="201"/>
      <c r="R610" s="201"/>
      <c r="S610" s="201"/>
      <c r="T610" s="202"/>
      <c r="AT610" s="203" t="s">
        <v>139</v>
      </c>
      <c r="AU610" s="203" t="s">
        <v>82</v>
      </c>
      <c r="AV610" s="13" t="s">
        <v>82</v>
      </c>
      <c r="AW610" s="13" t="s">
        <v>34</v>
      </c>
      <c r="AX610" s="13" t="s">
        <v>72</v>
      </c>
      <c r="AY610" s="203" t="s">
        <v>128</v>
      </c>
    </row>
    <row r="611" spans="1:65" s="13" customFormat="1" ht="10">
      <c r="B611" s="192"/>
      <c r="C611" s="193"/>
      <c r="D611" s="194" t="s">
        <v>139</v>
      </c>
      <c r="E611" s="195" t="s">
        <v>19</v>
      </c>
      <c r="F611" s="196" t="s">
        <v>1363</v>
      </c>
      <c r="G611" s="193"/>
      <c r="H611" s="197">
        <v>178.2</v>
      </c>
      <c r="I611" s="198"/>
      <c r="J611" s="193"/>
      <c r="K611" s="193"/>
      <c r="L611" s="199"/>
      <c r="M611" s="200"/>
      <c r="N611" s="201"/>
      <c r="O611" s="201"/>
      <c r="P611" s="201"/>
      <c r="Q611" s="201"/>
      <c r="R611" s="201"/>
      <c r="S611" s="201"/>
      <c r="T611" s="202"/>
      <c r="AT611" s="203" t="s">
        <v>139</v>
      </c>
      <c r="AU611" s="203" t="s">
        <v>82</v>
      </c>
      <c r="AV611" s="13" t="s">
        <v>82</v>
      </c>
      <c r="AW611" s="13" t="s">
        <v>34</v>
      </c>
      <c r="AX611" s="13" t="s">
        <v>72</v>
      </c>
      <c r="AY611" s="203" t="s">
        <v>128</v>
      </c>
    </row>
    <row r="612" spans="1:65" s="14" customFormat="1" ht="10">
      <c r="B612" s="204"/>
      <c r="C612" s="205"/>
      <c r="D612" s="194" t="s">
        <v>139</v>
      </c>
      <c r="E612" s="206" t="s">
        <v>19</v>
      </c>
      <c r="F612" s="207" t="s">
        <v>153</v>
      </c>
      <c r="G612" s="205"/>
      <c r="H612" s="208">
        <v>1808.3999999999999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139</v>
      </c>
      <c r="AU612" s="214" t="s">
        <v>82</v>
      </c>
      <c r="AV612" s="14" t="s">
        <v>135</v>
      </c>
      <c r="AW612" s="14" t="s">
        <v>34</v>
      </c>
      <c r="AX612" s="14" t="s">
        <v>80</v>
      </c>
      <c r="AY612" s="214" t="s">
        <v>128</v>
      </c>
    </row>
    <row r="613" spans="1:65" s="2" customFormat="1" ht="24.15" customHeight="1">
      <c r="A613" s="35"/>
      <c r="B613" s="36"/>
      <c r="C613" s="174" t="s">
        <v>1387</v>
      </c>
      <c r="D613" s="174" t="s">
        <v>130</v>
      </c>
      <c r="E613" s="175" t="s">
        <v>1388</v>
      </c>
      <c r="F613" s="176" t="s">
        <v>1389</v>
      </c>
      <c r="G613" s="177" t="s">
        <v>426</v>
      </c>
      <c r="H613" s="225"/>
      <c r="I613" s="179"/>
      <c r="J613" s="180">
        <f>ROUND(I613*H613,2)</f>
        <v>0</v>
      </c>
      <c r="K613" s="176" t="s">
        <v>134</v>
      </c>
      <c r="L613" s="40"/>
      <c r="M613" s="181" t="s">
        <v>19</v>
      </c>
      <c r="N613" s="182" t="s">
        <v>43</v>
      </c>
      <c r="O613" s="65"/>
      <c r="P613" s="183">
        <f>O613*H613</f>
        <v>0</v>
      </c>
      <c r="Q613" s="183">
        <v>0</v>
      </c>
      <c r="R613" s="183">
        <f>Q613*H613</f>
        <v>0</v>
      </c>
      <c r="S613" s="183">
        <v>0</v>
      </c>
      <c r="T613" s="184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185" t="s">
        <v>230</v>
      </c>
      <c r="AT613" s="185" t="s">
        <v>130</v>
      </c>
      <c r="AU613" s="185" t="s">
        <v>82</v>
      </c>
      <c r="AY613" s="18" t="s">
        <v>128</v>
      </c>
      <c r="BE613" s="186">
        <f>IF(N613="základní",J613,0)</f>
        <v>0</v>
      </c>
      <c r="BF613" s="186">
        <f>IF(N613="snížená",J613,0)</f>
        <v>0</v>
      </c>
      <c r="BG613" s="186">
        <f>IF(N613="zákl. přenesená",J613,0)</f>
        <v>0</v>
      </c>
      <c r="BH613" s="186">
        <f>IF(N613="sníž. přenesená",J613,0)</f>
        <v>0</v>
      </c>
      <c r="BI613" s="186">
        <f>IF(N613="nulová",J613,0)</f>
        <v>0</v>
      </c>
      <c r="BJ613" s="18" t="s">
        <v>80</v>
      </c>
      <c r="BK613" s="186">
        <f>ROUND(I613*H613,2)</f>
        <v>0</v>
      </c>
      <c r="BL613" s="18" t="s">
        <v>230</v>
      </c>
      <c r="BM613" s="185" t="s">
        <v>1390</v>
      </c>
    </row>
    <row r="614" spans="1:65" s="2" customFormat="1" ht="10">
      <c r="A614" s="35"/>
      <c r="B614" s="36"/>
      <c r="C614" s="37"/>
      <c r="D614" s="187" t="s">
        <v>137</v>
      </c>
      <c r="E614" s="37"/>
      <c r="F614" s="188" t="s">
        <v>1391</v>
      </c>
      <c r="G614" s="37"/>
      <c r="H614" s="37"/>
      <c r="I614" s="189"/>
      <c r="J614" s="37"/>
      <c r="K614" s="37"/>
      <c r="L614" s="40"/>
      <c r="M614" s="190"/>
      <c r="N614" s="191"/>
      <c r="O614" s="65"/>
      <c r="P614" s="65"/>
      <c r="Q614" s="65"/>
      <c r="R614" s="65"/>
      <c r="S614" s="65"/>
      <c r="T614" s="66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T614" s="18" t="s">
        <v>137</v>
      </c>
      <c r="AU614" s="18" t="s">
        <v>82</v>
      </c>
    </row>
    <row r="615" spans="1:65" s="12" customFormat="1" ht="22.75" customHeight="1">
      <c r="B615" s="158"/>
      <c r="C615" s="159"/>
      <c r="D615" s="160" t="s">
        <v>71</v>
      </c>
      <c r="E615" s="172" t="s">
        <v>1392</v>
      </c>
      <c r="F615" s="172" t="s">
        <v>1393</v>
      </c>
      <c r="G615" s="159"/>
      <c r="H615" s="159"/>
      <c r="I615" s="162"/>
      <c r="J615" s="173">
        <f>BK615</f>
        <v>0</v>
      </c>
      <c r="K615" s="159"/>
      <c r="L615" s="164"/>
      <c r="M615" s="165"/>
      <c r="N615" s="166"/>
      <c r="O615" s="166"/>
      <c r="P615" s="167">
        <f>SUM(P616:P686)</f>
        <v>0</v>
      </c>
      <c r="Q615" s="166"/>
      <c r="R615" s="167">
        <f>SUM(R616:R686)</f>
        <v>65.503849740000007</v>
      </c>
      <c r="S615" s="166"/>
      <c r="T615" s="168">
        <f>SUM(T616:T686)</f>
        <v>0</v>
      </c>
      <c r="AR615" s="169" t="s">
        <v>82</v>
      </c>
      <c r="AT615" s="170" t="s">
        <v>71</v>
      </c>
      <c r="AU615" s="170" t="s">
        <v>80</v>
      </c>
      <c r="AY615" s="169" t="s">
        <v>128</v>
      </c>
      <c r="BK615" s="171">
        <f>SUM(BK616:BK686)</f>
        <v>0</v>
      </c>
    </row>
    <row r="616" spans="1:65" s="2" customFormat="1" ht="33" customHeight="1">
      <c r="A616" s="35"/>
      <c r="B616" s="36"/>
      <c r="C616" s="174" t="s">
        <v>1394</v>
      </c>
      <c r="D616" s="174" t="s">
        <v>130</v>
      </c>
      <c r="E616" s="175" t="s">
        <v>1395</v>
      </c>
      <c r="F616" s="176" t="s">
        <v>1396</v>
      </c>
      <c r="G616" s="177" t="s">
        <v>133</v>
      </c>
      <c r="H616" s="178">
        <v>191.77600000000001</v>
      </c>
      <c r="I616" s="179"/>
      <c r="J616" s="180">
        <f>ROUND(I616*H616,2)</f>
        <v>0</v>
      </c>
      <c r="K616" s="176" t="s">
        <v>134</v>
      </c>
      <c r="L616" s="40"/>
      <c r="M616" s="181" t="s">
        <v>19</v>
      </c>
      <c r="N616" s="182" t="s">
        <v>43</v>
      </c>
      <c r="O616" s="65"/>
      <c r="P616" s="183">
        <f>O616*H616</f>
        <v>0</v>
      </c>
      <c r="Q616" s="183">
        <v>2.5510000000000001E-2</v>
      </c>
      <c r="R616" s="183">
        <f>Q616*H616</f>
        <v>4.8922057600000004</v>
      </c>
      <c r="S616" s="183">
        <v>0</v>
      </c>
      <c r="T616" s="184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185" t="s">
        <v>230</v>
      </c>
      <c r="AT616" s="185" t="s">
        <v>130</v>
      </c>
      <c r="AU616" s="185" t="s">
        <v>82</v>
      </c>
      <c r="AY616" s="18" t="s">
        <v>128</v>
      </c>
      <c r="BE616" s="186">
        <f>IF(N616="základní",J616,0)</f>
        <v>0</v>
      </c>
      <c r="BF616" s="186">
        <f>IF(N616="snížená",J616,0)</f>
        <v>0</v>
      </c>
      <c r="BG616" s="186">
        <f>IF(N616="zákl. přenesená",J616,0)</f>
        <v>0</v>
      </c>
      <c r="BH616" s="186">
        <f>IF(N616="sníž. přenesená",J616,0)</f>
        <v>0</v>
      </c>
      <c r="BI616" s="186">
        <f>IF(N616="nulová",J616,0)</f>
        <v>0</v>
      </c>
      <c r="BJ616" s="18" t="s">
        <v>80</v>
      </c>
      <c r="BK616" s="186">
        <f>ROUND(I616*H616,2)</f>
        <v>0</v>
      </c>
      <c r="BL616" s="18" t="s">
        <v>230</v>
      </c>
      <c r="BM616" s="185" t="s">
        <v>1397</v>
      </c>
    </row>
    <row r="617" spans="1:65" s="2" customFormat="1" ht="10">
      <c r="A617" s="35"/>
      <c r="B617" s="36"/>
      <c r="C617" s="37"/>
      <c r="D617" s="187" t="s">
        <v>137</v>
      </c>
      <c r="E617" s="37"/>
      <c r="F617" s="188" t="s">
        <v>1398</v>
      </c>
      <c r="G617" s="37"/>
      <c r="H617" s="37"/>
      <c r="I617" s="189"/>
      <c r="J617" s="37"/>
      <c r="K617" s="37"/>
      <c r="L617" s="40"/>
      <c r="M617" s="190"/>
      <c r="N617" s="191"/>
      <c r="O617" s="65"/>
      <c r="P617" s="65"/>
      <c r="Q617" s="65"/>
      <c r="R617" s="65"/>
      <c r="S617" s="65"/>
      <c r="T617" s="66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T617" s="18" t="s">
        <v>137</v>
      </c>
      <c r="AU617" s="18" t="s">
        <v>82</v>
      </c>
    </row>
    <row r="618" spans="1:65" s="13" customFormat="1" ht="10">
      <c r="B618" s="192"/>
      <c r="C618" s="193"/>
      <c r="D618" s="194" t="s">
        <v>139</v>
      </c>
      <c r="E618" s="195" t="s">
        <v>19</v>
      </c>
      <c r="F618" s="196" t="s">
        <v>1399</v>
      </c>
      <c r="G618" s="193"/>
      <c r="H618" s="197">
        <v>191.77600000000001</v>
      </c>
      <c r="I618" s="198"/>
      <c r="J618" s="193"/>
      <c r="K618" s="193"/>
      <c r="L618" s="199"/>
      <c r="M618" s="200"/>
      <c r="N618" s="201"/>
      <c r="O618" s="201"/>
      <c r="P618" s="201"/>
      <c r="Q618" s="201"/>
      <c r="R618" s="201"/>
      <c r="S618" s="201"/>
      <c r="T618" s="202"/>
      <c r="AT618" s="203" t="s">
        <v>139</v>
      </c>
      <c r="AU618" s="203" t="s">
        <v>82</v>
      </c>
      <c r="AV618" s="13" t="s">
        <v>82</v>
      </c>
      <c r="AW618" s="13" t="s">
        <v>34</v>
      </c>
      <c r="AX618" s="13" t="s">
        <v>80</v>
      </c>
      <c r="AY618" s="203" t="s">
        <v>128</v>
      </c>
    </row>
    <row r="619" spans="1:65" s="2" customFormat="1" ht="33" customHeight="1">
      <c r="A619" s="35"/>
      <c r="B619" s="36"/>
      <c r="C619" s="174" t="s">
        <v>1400</v>
      </c>
      <c r="D619" s="174" t="s">
        <v>130</v>
      </c>
      <c r="E619" s="175" t="s">
        <v>1401</v>
      </c>
      <c r="F619" s="176" t="s">
        <v>1402</v>
      </c>
      <c r="G619" s="177" t="s">
        <v>133</v>
      </c>
      <c r="H619" s="178">
        <v>72</v>
      </c>
      <c r="I619" s="179"/>
      <c r="J619" s="180">
        <f>ROUND(I619*H619,2)</f>
        <v>0</v>
      </c>
      <c r="K619" s="176" t="s">
        <v>134</v>
      </c>
      <c r="L619" s="40"/>
      <c r="M619" s="181" t="s">
        <v>19</v>
      </c>
      <c r="N619" s="182" t="s">
        <v>43</v>
      </c>
      <c r="O619" s="65"/>
      <c r="P619" s="183">
        <f>O619*H619</f>
        <v>0</v>
      </c>
      <c r="Q619" s="183">
        <v>2.614E-2</v>
      </c>
      <c r="R619" s="183">
        <f>Q619*H619</f>
        <v>1.88208</v>
      </c>
      <c r="S619" s="183">
        <v>0</v>
      </c>
      <c r="T619" s="184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185" t="s">
        <v>230</v>
      </c>
      <c r="AT619" s="185" t="s">
        <v>130</v>
      </c>
      <c r="AU619" s="185" t="s">
        <v>82</v>
      </c>
      <c r="AY619" s="18" t="s">
        <v>128</v>
      </c>
      <c r="BE619" s="186">
        <f>IF(N619="základní",J619,0)</f>
        <v>0</v>
      </c>
      <c r="BF619" s="186">
        <f>IF(N619="snížená",J619,0)</f>
        <v>0</v>
      </c>
      <c r="BG619" s="186">
        <f>IF(N619="zákl. přenesená",J619,0)</f>
        <v>0</v>
      </c>
      <c r="BH619" s="186">
        <f>IF(N619="sníž. přenesená",J619,0)</f>
        <v>0</v>
      </c>
      <c r="BI619" s="186">
        <f>IF(N619="nulová",J619,0)</f>
        <v>0</v>
      </c>
      <c r="BJ619" s="18" t="s">
        <v>80</v>
      </c>
      <c r="BK619" s="186">
        <f>ROUND(I619*H619,2)</f>
        <v>0</v>
      </c>
      <c r="BL619" s="18" t="s">
        <v>230</v>
      </c>
      <c r="BM619" s="185" t="s">
        <v>1403</v>
      </c>
    </row>
    <row r="620" spans="1:65" s="2" customFormat="1" ht="10">
      <c r="A620" s="35"/>
      <c r="B620" s="36"/>
      <c r="C620" s="37"/>
      <c r="D620" s="187" t="s">
        <v>137</v>
      </c>
      <c r="E620" s="37"/>
      <c r="F620" s="188" t="s">
        <v>1404</v>
      </c>
      <c r="G620" s="37"/>
      <c r="H620" s="37"/>
      <c r="I620" s="189"/>
      <c r="J620" s="37"/>
      <c r="K620" s="37"/>
      <c r="L620" s="40"/>
      <c r="M620" s="190"/>
      <c r="N620" s="191"/>
      <c r="O620" s="65"/>
      <c r="P620" s="65"/>
      <c r="Q620" s="65"/>
      <c r="R620" s="65"/>
      <c r="S620" s="65"/>
      <c r="T620" s="66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T620" s="18" t="s">
        <v>137</v>
      </c>
      <c r="AU620" s="18" t="s">
        <v>82</v>
      </c>
    </row>
    <row r="621" spans="1:65" s="13" customFormat="1" ht="10">
      <c r="B621" s="192"/>
      <c r="C621" s="193"/>
      <c r="D621" s="194" t="s">
        <v>139</v>
      </c>
      <c r="E621" s="195" t="s">
        <v>19</v>
      </c>
      <c r="F621" s="196" t="s">
        <v>1405</v>
      </c>
      <c r="G621" s="193"/>
      <c r="H621" s="197">
        <v>72</v>
      </c>
      <c r="I621" s="198"/>
      <c r="J621" s="193"/>
      <c r="K621" s="193"/>
      <c r="L621" s="199"/>
      <c r="M621" s="200"/>
      <c r="N621" s="201"/>
      <c r="O621" s="201"/>
      <c r="P621" s="201"/>
      <c r="Q621" s="201"/>
      <c r="R621" s="201"/>
      <c r="S621" s="201"/>
      <c r="T621" s="202"/>
      <c r="AT621" s="203" t="s">
        <v>139</v>
      </c>
      <c r="AU621" s="203" t="s">
        <v>82</v>
      </c>
      <c r="AV621" s="13" t="s">
        <v>82</v>
      </c>
      <c r="AW621" s="13" t="s">
        <v>34</v>
      </c>
      <c r="AX621" s="13" t="s">
        <v>80</v>
      </c>
      <c r="AY621" s="203" t="s">
        <v>128</v>
      </c>
    </row>
    <row r="622" spans="1:65" s="2" customFormat="1" ht="33" customHeight="1">
      <c r="A622" s="35"/>
      <c r="B622" s="36"/>
      <c r="C622" s="174" t="s">
        <v>1406</v>
      </c>
      <c r="D622" s="174" t="s">
        <v>130</v>
      </c>
      <c r="E622" s="175" t="s">
        <v>1407</v>
      </c>
      <c r="F622" s="176" t="s">
        <v>1408</v>
      </c>
      <c r="G622" s="177" t="s">
        <v>133</v>
      </c>
      <c r="H622" s="178">
        <v>105.52800000000001</v>
      </c>
      <c r="I622" s="179"/>
      <c r="J622" s="180">
        <f>ROUND(I622*H622,2)</f>
        <v>0</v>
      </c>
      <c r="K622" s="176" t="s">
        <v>134</v>
      </c>
      <c r="L622" s="40"/>
      <c r="M622" s="181" t="s">
        <v>19</v>
      </c>
      <c r="N622" s="182" t="s">
        <v>43</v>
      </c>
      <c r="O622" s="65"/>
      <c r="P622" s="183">
        <f>O622*H622</f>
        <v>0</v>
      </c>
      <c r="Q622" s="183">
        <v>1.1820000000000001E-2</v>
      </c>
      <c r="R622" s="183">
        <f>Q622*H622</f>
        <v>1.2473409600000001</v>
      </c>
      <c r="S622" s="183">
        <v>0</v>
      </c>
      <c r="T622" s="184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185" t="s">
        <v>230</v>
      </c>
      <c r="AT622" s="185" t="s">
        <v>130</v>
      </c>
      <c r="AU622" s="185" t="s">
        <v>82</v>
      </c>
      <c r="AY622" s="18" t="s">
        <v>128</v>
      </c>
      <c r="BE622" s="186">
        <f>IF(N622="základní",J622,0)</f>
        <v>0</v>
      </c>
      <c r="BF622" s="186">
        <f>IF(N622="snížená",J622,0)</f>
        <v>0</v>
      </c>
      <c r="BG622" s="186">
        <f>IF(N622="zákl. přenesená",J622,0)</f>
        <v>0</v>
      </c>
      <c r="BH622" s="186">
        <f>IF(N622="sníž. přenesená",J622,0)</f>
        <v>0</v>
      </c>
      <c r="BI622" s="186">
        <f>IF(N622="nulová",J622,0)</f>
        <v>0</v>
      </c>
      <c r="BJ622" s="18" t="s">
        <v>80</v>
      </c>
      <c r="BK622" s="186">
        <f>ROUND(I622*H622,2)</f>
        <v>0</v>
      </c>
      <c r="BL622" s="18" t="s">
        <v>230</v>
      </c>
      <c r="BM622" s="185" t="s">
        <v>1409</v>
      </c>
    </row>
    <row r="623" spans="1:65" s="2" customFormat="1" ht="10">
      <c r="A623" s="35"/>
      <c r="B623" s="36"/>
      <c r="C623" s="37"/>
      <c r="D623" s="187" t="s">
        <v>137</v>
      </c>
      <c r="E623" s="37"/>
      <c r="F623" s="188" t="s">
        <v>1410</v>
      </c>
      <c r="G623" s="37"/>
      <c r="H623" s="37"/>
      <c r="I623" s="189"/>
      <c r="J623" s="37"/>
      <c r="K623" s="37"/>
      <c r="L623" s="40"/>
      <c r="M623" s="190"/>
      <c r="N623" s="191"/>
      <c r="O623" s="65"/>
      <c r="P623" s="65"/>
      <c r="Q623" s="65"/>
      <c r="R623" s="65"/>
      <c r="S623" s="65"/>
      <c r="T623" s="66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T623" s="18" t="s">
        <v>137</v>
      </c>
      <c r="AU623" s="18" t="s">
        <v>82</v>
      </c>
    </row>
    <row r="624" spans="1:65" s="13" customFormat="1" ht="10">
      <c r="B624" s="192"/>
      <c r="C624" s="193"/>
      <c r="D624" s="194" t="s">
        <v>139</v>
      </c>
      <c r="E624" s="195" t="s">
        <v>19</v>
      </c>
      <c r="F624" s="196" t="s">
        <v>1411</v>
      </c>
      <c r="G624" s="193"/>
      <c r="H624" s="197">
        <v>105.52800000000001</v>
      </c>
      <c r="I624" s="198"/>
      <c r="J624" s="193"/>
      <c r="K624" s="193"/>
      <c r="L624" s="199"/>
      <c r="M624" s="200"/>
      <c r="N624" s="201"/>
      <c r="O624" s="201"/>
      <c r="P624" s="201"/>
      <c r="Q624" s="201"/>
      <c r="R624" s="201"/>
      <c r="S624" s="201"/>
      <c r="T624" s="202"/>
      <c r="AT624" s="203" t="s">
        <v>139</v>
      </c>
      <c r="AU624" s="203" t="s">
        <v>82</v>
      </c>
      <c r="AV624" s="13" t="s">
        <v>82</v>
      </c>
      <c r="AW624" s="13" t="s">
        <v>34</v>
      </c>
      <c r="AX624" s="13" t="s">
        <v>80</v>
      </c>
      <c r="AY624" s="203" t="s">
        <v>128</v>
      </c>
    </row>
    <row r="625" spans="1:65" s="2" customFormat="1" ht="33" customHeight="1">
      <c r="A625" s="35"/>
      <c r="B625" s="36"/>
      <c r="C625" s="174" t="s">
        <v>1412</v>
      </c>
      <c r="D625" s="174" t="s">
        <v>130</v>
      </c>
      <c r="E625" s="175" t="s">
        <v>1413</v>
      </c>
      <c r="F625" s="176" t="s">
        <v>1414</v>
      </c>
      <c r="G625" s="177" t="s">
        <v>133</v>
      </c>
      <c r="H625" s="178">
        <v>15.728</v>
      </c>
      <c r="I625" s="179"/>
      <c r="J625" s="180">
        <f>ROUND(I625*H625,2)</f>
        <v>0</v>
      </c>
      <c r="K625" s="176" t="s">
        <v>134</v>
      </c>
      <c r="L625" s="40"/>
      <c r="M625" s="181" t="s">
        <v>19</v>
      </c>
      <c r="N625" s="182" t="s">
        <v>43</v>
      </c>
      <c r="O625" s="65"/>
      <c r="P625" s="183">
        <f>O625*H625</f>
        <v>0</v>
      </c>
      <c r="Q625" s="183">
        <v>1.324E-2</v>
      </c>
      <c r="R625" s="183">
        <f>Q625*H625</f>
        <v>0.20823871999999999</v>
      </c>
      <c r="S625" s="183">
        <v>0</v>
      </c>
      <c r="T625" s="184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185" t="s">
        <v>230</v>
      </c>
      <c r="AT625" s="185" t="s">
        <v>130</v>
      </c>
      <c r="AU625" s="185" t="s">
        <v>82</v>
      </c>
      <c r="AY625" s="18" t="s">
        <v>128</v>
      </c>
      <c r="BE625" s="186">
        <f>IF(N625="základní",J625,0)</f>
        <v>0</v>
      </c>
      <c r="BF625" s="186">
        <f>IF(N625="snížená",J625,0)</f>
        <v>0</v>
      </c>
      <c r="BG625" s="186">
        <f>IF(N625="zákl. přenesená",J625,0)</f>
        <v>0</v>
      </c>
      <c r="BH625" s="186">
        <f>IF(N625="sníž. přenesená",J625,0)</f>
        <v>0</v>
      </c>
      <c r="BI625" s="186">
        <f>IF(N625="nulová",J625,0)</f>
        <v>0</v>
      </c>
      <c r="BJ625" s="18" t="s">
        <v>80</v>
      </c>
      <c r="BK625" s="186">
        <f>ROUND(I625*H625,2)</f>
        <v>0</v>
      </c>
      <c r="BL625" s="18" t="s">
        <v>230</v>
      </c>
      <c r="BM625" s="185" t="s">
        <v>1415</v>
      </c>
    </row>
    <row r="626" spans="1:65" s="2" customFormat="1" ht="10">
      <c r="A626" s="35"/>
      <c r="B626" s="36"/>
      <c r="C626" s="37"/>
      <c r="D626" s="187" t="s">
        <v>137</v>
      </c>
      <c r="E626" s="37"/>
      <c r="F626" s="188" t="s">
        <v>1416</v>
      </c>
      <c r="G626" s="37"/>
      <c r="H626" s="37"/>
      <c r="I626" s="189"/>
      <c r="J626" s="37"/>
      <c r="K626" s="37"/>
      <c r="L626" s="40"/>
      <c r="M626" s="190"/>
      <c r="N626" s="191"/>
      <c r="O626" s="65"/>
      <c r="P626" s="65"/>
      <c r="Q626" s="65"/>
      <c r="R626" s="65"/>
      <c r="S626" s="65"/>
      <c r="T626" s="66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T626" s="18" t="s">
        <v>137</v>
      </c>
      <c r="AU626" s="18" t="s">
        <v>82</v>
      </c>
    </row>
    <row r="627" spans="1:65" s="13" customFormat="1" ht="10">
      <c r="B627" s="192"/>
      <c r="C627" s="193"/>
      <c r="D627" s="194" t="s">
        <v>139</v>
      </c>
      <c r="E627" s="195" t="s">
        <v>19</v>
      </c>
      <c r="F627" s="196" t="s">
        <v>1417</v>
      </c>
      <c r="G627" s="193"/>
      <c r="H627" s="197">
        <v>15.728</v>
      </c>
      <c r="I627" s="198"/>
      <c r="J627" s="193"/>
      <c r="K627" s="193"/>
      <c r="L627" s="199"/>
      <c r="M627" s="200"/>
      <c r="N627" s="201"/>
      <c r="O627" s="201"/>
      <c r="P627" s="201"/>
      <c r="Q627" s="201"/>
      <c r="R627" s="201"/>
      <c r="S627" s="201"/>
      <c r="T627" s="202"/>
      <c r="AT627" s="203" t="s">
        <v>139</v>
      </c>
      <c r="AU627" s="203" t="s">
        <v>82</v>
      </c>
      <c r="AV627" s="13" t="s">
        <v>82</v>
      </c>
      <c r="AW627" s="13" t="s">
        <v>34</v>
      </c>
      <c r="AX627" s="13" t="s">
        <v>80</v>
      </c>
      <c r="AY627" s="203" t="s">
        <v>128</v>
      </c>
    </row>
    <row r="628" spans="1:65" s="2" customFormat="1" ht="33" customHeight="1">
      <c r="A628" s="35"/>
      <c r="B628" s="36"/>
      <c r="C628" s="174" t="s">
        <v>1418</v>
      </c>
      <c r="D628" s="174" t="s">
        <v>130</v>
      </c>
      <c r="E628" s="175" t="s">
        <v>1419</v>
      </c>
      <c r="F628" s="176" t="s">
        <v>1420</v>
      </c>
      <c r="G628" s="177" t="s">
        <v>133</v>
      </c>
      <c r="H628" s="178">
        <v>13.5</v>
      </c>
      <c r="I628" s="179"/>
      <c r="J628" s="180">
        <f>ROUND(I628*H628,2)</f>
        <v>0</v>
      </c>
      <c r="K628" s="176" t="s">
        <v>134</v>
      </c>
      <c r="L628" s="40"/>
      <c r="M628" s="181" t="s">
        <v>19</v>
      </c>
      <c r="N628" s="182" t="s">
        <v>43</v>
      </c>
      <c r="O628" s="65"/>
      <c r="P628" s="183">
        <f>O628*H628</f>
        <v>0</v>
      </c>
      <c r="Q628" s="183">
        <v>1.213E-2</v>
      </c>
      <c r="R628" s="183">
        <f>Q628*H628</f>
        <v>0.16375500000000001</v>
      </c>
      <c r="S628" s="183">
        <v>0</v>
      </c>
      <c r="T628" s="184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85" t="s">
        <v>230</v>
      </c>
      <c r="AT628" s="185" t="s">
        <v>130</v>
      </c>
      <c r="AU628" s="185" t="s">
        <v>82</v>
      </c>
      <c r="AY628" s="18" t="s">
        <v>128</v>
      </c>
      <c r="BE628" s="186">
        <f>IF(N628="základní",J628,0)</f>
        <v>0</v>
      </c>
      <c r="BF628" s="186">
        <f>IF(N628="snížená",J628,0)</f>
        <v>0</v>
      </c>
      <c r="BG628" s="186">
        <f>IF(N628="zákl. přenesená",J628,0)</f>
        <v>0</v>
      </c>
      <c r="BH628" s="186">
        <f>IF(N628="sníž. přenesená",J628,0)</f>
        <v>0</v>
      </c>
      <c r="BI628" s="186">
        <f>IF(N628="nulová",J628,0)</f>
        <v>0</v>
      </c>
      <c r="BJ628" s="18" t="s">
        <v>80</v>
      </c>
      <c r="BK628" s="186">
        <f>ROUND(I628*H628,2)</f>
        <v>0</v>
      </c>
      <c r="BL628" s="18" t="s">
        <v>230</v>
      </c>
      <c r="BM628" s="185" t="s">
        <v>1421</v>
      </c>
    </row>
    <row r="629" spans="1:65" s="2" customFormat="1" ht="10">
      <c r="A629" s="35"/>
      <c r="B629" s="36"/>
      <c r="C629" s="37"/>
      <c r="D629" s="187" t="s">
        <v>137</v>
      </c>
      <c r="E629" s="37"/>
      <c r="F629" s="188" t="s">
        <v>1422</v>
      </c>
      <c r="G629" s="37"/>
      <c r="H629" s="37"/>
      <c r="I629" s="189"/>
      <c r="J629" s="37"/>
      <c r="K629" s="37"/>
      <c r="L629" s="40"/>
      <c r="M629" s="190"/>
      <c r="N629" s="191"/>
      <c r="O629" s="65"/>
      <c r="P629" s="65"/>
      <c r="Q629" s="65"/>
      <c r="R629" s="65"/>
      <c r="S629" s="65"/>
      <c r="T629" s="66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T629" s="18" t="s">
        <v>137</v>
      </c>
      <c r="AU629" s="18" t="s">
        <v>82</v>
      </c>
    </row>
    <row r="630" spans="1:65" s="13" customFormat="1" ht="10">
      <c r="B630" s="192"/>
      <c r="C630" s="193"/>
      <c r="D630" s="194" t="s">
        <v>139</v>
      </c>
      <c r="E630" s="195" t="s">
        <v>19</v>
      </c>
      <c r="F630" s="196" t="s">
        <v>1423</v>
      </c>
      <c r="G630" s="193"/>
      <c r="H630" s="197">
        <v>13.5</v>
      </c>
      <c r="I630" s="198"/>
      <c r="J630" s="193"/>
      <c r="K630" s="193"/>
      <c r="L630" s="199"/>
      <c r="M630" s="200"/>
      <c r="N630" s="201"/>
      <c r="O630" s="201"/>
      <c r="P630" s="201"/>
      <c r="Q630" s="201"/>
      <c r="R630" s="201"/>
      <c r="S630" s="201"/>
      <c r="T630" s="202"/>
      <c r="AT630" s="203" t="s">
        <v>139</v>
      </c>
      <c r="AU630" s="203" t="s">
        <v>82</v>
      </c>
      <c r="AV630" s="13" t="s">
        <v>82</v>
      </c>
      <c r="AW630" s="13" t="s">
        <v>34</v>
      </c>
      <c r="AX630" s="13" t="s">
        <v>80</v>
      </c>
      <c r="AY630" s="203" t="s">
        <v>128</v>
      </c>
    </row>
    <row r="631" spans="1:65" s="2" customFormat="1" ht="21.75" customHeight="1">
      <c r="A631" s="35"/>
      <c r="B631" s="36"/>
      <c r="C631" s="174" t="s">
        <v>1424</v>
      </c>
      <c r="D631" s="174" t="s">
        <v>130</v>
      </c>
      <c r="E631" s="175" t="s">
        <v>1425</v>
      </c>
      <c r="F631" s="176" t="s">
        <v>1426</v>
      </c>
      <c r="G631" s="177" t="s">
        <v>133</v>
      </c>
      <c r="H631" s="178">
        <v>48.1</v>
      </c>
      <c r="I631" s="179"/>
      <c r="J631" s="180">
        <f>ROUND(I631*H631,2)</f>
        <v>0</v>
      </c>
      <c r="K631" s="176" t="s">
        <v>19</v>
      </c>
      <c r="L631" s="40"/>
      <c r="M631" s="181" t="s">
        <v>19</v>
      </c>
      <c r="N631" s="182" t="s">
        <v>43</v>
      </c>
      <c r="O631" s="65"/>
      <c r="P631" s="183">
        <f>O631*H631</f>
        <v>0</v>
      </c>
      <c r="Q631" s="183">
        <v>1.6400000000000001E-2</v>
      </c>
      <c r="R631" s="183">
        <f>Q631*H631</f>
        <v>0.7888400000000001</v>
      </c>
      <c r="S631" s="183">
        <v>0</v>
      </c>
      <c r="T631" s="184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185" t="s">
        <v>230</v>
      </c>
      <c r="AT631" s="185" t="s">
        <v>130</v>
      </c>
      <c r="AU631" s="185" t="s">
        <v>82</v>
      </c>
      <c r="AY631" s="18" t="s">
        <v>128</v>
      </c>
      <c r="BE631" s="186">
        <f>IF(N631="základní",J631,0)</f>
        <v>0</v>
      </c>
      <c r="BF631" s="186">
        <f>IF(N631="snížená",J631,0)</f>
        <v>0</v>
      </c>
      <c r="BG631" s="186">
        <f>IF(N631="zákl. přenesená",J631,0)</f>
        <v>0</v>
      </c>
      <c r="BH631" s="186">
        <f>IF(N631="sníž. přenesená",J631,0)</f>
        <v>0</v>
      </c>
      <c r="BI631" s="186">
        <f>IF(N631="nulová",J631,0)</f>
        <v>0</v>
      </c>
      <c r="BJ631" s="18" t="s">
        <v>80</v>
      </c>
      <c r="BK631" s="186">
        <f>ROUND(I631*H631,2)</f>
        <v>0</v>
      </c>
      <c r="BL631" s="18" t="s">
        <v>230</v>
      </c>
      <c r="BM631" s="185" t="s">
        <v>1427</v>
      </c>
    </row>
    <row r="632" spans="1:65" s="13" customFormat="1" ht="10">
      <c r="B632" s="192"/>
      <c r="C632" s="193"/>
      <c r="D632" s="194" t="s">
        <v>139</v>
      </c>
      <c r="E632" s="195" t="s">
        <v>19</v>
      </c>
      <c r="F632" s="196" t="s">
        <v>1428</v>
      </c>
      <c r="G632" s="193"/>
      <c r="H632" s="197">
        <v>48.1</v>
      </c>
      <c r="I632" s="198"/>
      <c r="J632" s="193"/>
      <c r="K632" s="193"/>
      <c r="L632" s="199"/>
      <c r="M632" s="200"/>
      <c r="N632" s="201"/>
      <c r="O632" s="201"/>
      <c r="P632" s="201"/>
      <c r="Q632" s="201"/>
      <c r="R632" s="201"/>
      <c r="S632" s="201"/>
      <c r="T632" s="202"/>
      <c r="AT632" s="203" t="s">
        <v>139</v>
      </c>
      <c r="AU632" s="203" t="s">
        <v>82</v>
      </c>
      <c r="AV632" s="13" t="s">
        <v>82</v>
      </c>
      <c r="AW632" s="13" t="s">
        <v>34</v>
      </c>
      <c r="AX632" s="13" t="s">
        <v>80</v>
      </c>
      <c r="AY632" s="203" t="s">
        <v>128</v>
      </c>
    </row>
    <row r="633" spans="1:65" s="2" customFormat="1" ht="24.15" customHeight="1">
      <c r="A633" s="35"/>
      <c r="B633" s="36"/>
      <c r="C633" s="174" t="s">
        <v>1429</v>
      </c>
      <c r="D633" s="174" t="s">
        <v>130</v>
      </c>
      <c r="E633" s="175" t="s">
        <v>1430</v>
      </c>
      <c r="F633" s="176" t="s">
        <v>1431</v>
      </c>
      <c r="G633" s="177" t="s">
        <v>133</v>
      </c>
      <c r="H633" s="178">
        <v>60.06</v>
      </c>
      <c r="I633" s="179"/>
      <c r="J633" s="180">
        <f>ROUND(I633*H633,2)</f>
        <v>0</v>
      </c>
      <c r="K633" s="176" t="s">
        <v>134</v>
      </c>
      <c r="L633" s="40"/>
      <c r="M633" s="181" t="s">
        <v>19</v>
      </c>
      <c r="N633" s="182" t="s">
        <v>43</v>
      </c>
      <c r="O633" s="65"/>
      <c r="P633" s="183">
        <f>O633*H633</f>
        <v>0</v>
      </c>
      <c r="Q633" s="183">
        <v>1.3849999999999999E-2</v>
      </c>
      <c r="R633" s="183">
        <f>Q633*H633</f>
        <v>0.83183099999999999</v>
      </c>
      <c r="S633" s="183">
        <v>0</v>
      </c>
      <c r="T633" s="184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185" t="s">
        <v>230</v>
      </c>
      <c r="AT633" s="185" t="s">
        <v>130</v>
      </c>
      <c r="AU633" s="185" t="s">
        <v>82</v>
      </c>
      <c r="AY633" s="18" t="s">
        <v>128</v>
      </c>
      <c r="BE633" s="186">
        <f>IF(N633="základní",J633,0)</f>
        <v>0</v>
      </c>
      <c r="BF633" s="186">
        <f>IF(N633="snížená",J633,0)</f>
        <v>0</v>
      </c>
      <c r="BG633" s="186">
        <f>IF(N633="zákl. přenesená",J633,0)</f>
        <v>0</v>
      </c>
      <c r="BH633" s="186">
        <f>IF(N633="sníž. přenesená",J633,0)</f>
        <v>0</v>
      </c>
      <c r="BI633" s="186">
        <f>IF(N633="nulová",J633,0)</f>
        <v>0</v>
      </c>
      <c r="BJ633" s="18" t="s">
        <v>80</v>
      </c>
      <c r="BK633" s="186">
        <f>ROUND(I633*H633,2)</f>
        <v>0</v>
      </c>
      <c r="BL633" s="18" t="s">
        <v>230</v>
      </c>
      <c r="BM633" s="185" t="s">
        <v>1432</v>
      </c>
    </row>
    <row r="634" spans="1:65" s="2" customFormat="1" ht="10">
      <c r="A634" s="35"/>
      <c r="B634" s="36"/>
      <c r="C634" s="37"/>
      <c r="D634" s="187" t="s">
        <v>137</v>
      </c>
      <c r="E634" s="37"/>
      <c r="F634" s="188" t="s">
        <v>1433</v>
      </c>
      <c r="G634" s="37"/>
      <c r="H634" s="37"/>
      <c r="I634" s="189"/>
      <c r="J634" s="37"/>
      <c r="K634" s="37"/>
      <c r="L634" s="40"/>
      <c r="M634" s="190"/>
      <c r="N634" s="191"/>
      <c r="O634" s="65"/>
      <c r="P634" s="65"/>
      <c r="Q634" s="65"/>
      <c r="R634" s="65"/>
      <c r="S634" s="65"/>
      <c r="T634" s="66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T634" s="18" t="s">
        <v>137</v>
      </c>
      <c r="AU634" s="18" t="s">
        <v>82</v>
      </c>
    </row>
    <row r="635" spans="1:65" s="13" customFormat="1" ht="10">
      <c r="B635" s="192"/>
      <c r="C635" s="193"/>
      <c r="D635" s="194" t="s">
        <v>139</v>
      </c>
      <c r="E635" s="195" t="s">
        <v>19</v>
      </c>
      <c r="F635" s="196" t="s">
        <v>1434</v>
      </c>
      <c r="G635" s="193"/>
      <c r="H635" s="197">
        <v>23.66</v>
      </c>
      <c r="I635" s="198"/>
      <c r="J635" s="193"/>
      <c r="K635" s="193"/>
      <c r="L635" s="199"/>
      <c r="M635" s="200"/>
      <c r="N635" s="201"/>
      <c r="O635" s="201"/>
      <c r="P635" s="201"/>
      <c r="Q635" s="201"/>
      <c r="R635" s="201"/>
      <c r="S635" s="201"/>
      <c r="T635" s="202"/>
      <c r="AT635" s="203" t="s">
        <v>139</v>
      </c>
      <c r="AU635" s="203" t="s">
        <v>82</v>
      </c>
      <c r="AV635" s="13" t="s">
        <v>82</v>
      </c>
      <c r="AW635" s="13" t="s">
        <v>34</v>
      </c>
      <c r="AX635" s="13" t="s">
        <v>72</v>
      </c>
      <c r="AY635" s="203" t="s">
        <v>128</v>
      </c>
    </row>
    <row r="636" spans="1:65" s="13" customFormat="1" ht="10">
      <c r="B636" s="192"/>
      <c r="C636" s="193"/>
      <c r="D636" s="194" t="s">
        <v>139</v>
      </c>
      <c r="E636" s="195" t="s">
        <v>19</v>
      </c>
      <c r="F636" s="196" t="s">
        <v>1435</v>
      </c>
      <c r="G636" s="193"/>
      <c r="H636" s="197">
        <v>36.4</v>
      </c>
      <c r="I636" s="198"/>
      <c r="J636" s="193"/>
      <c r="K636" s="193"/>
      <c r="L636" s="199"/>
      <c r="M636" s="200"/>
      <c r="N636" s="201"/>
      <c r="O636" s="201"/>
      <c r="P636" s="201"/>
      <c r="Q636" s="201"/>
      <c r="R636" s="201"/>
      <c r="S636" s="201"/>
      <c r="T636" s="202"/>
      <c r="AT636" s="203" t="s">
        <v>139</v>
      </c>
      <c r="AU636" s="203" t="s">
        <v>82</v>
      </c>
      <c r="AV636" s="13" t="s">
        <v>82</v>
      </c>
      <c r="AW636" s="13" t="s">
        <v>34</v>
      </c>
      <c r="AX636" s="13" t="s">
        <v>72</v>
      </c>
      <c r="AY636" s="203" t="s">
        <v>128</v>
      </c>
    </row>
    <row r="637" spans="1:65" s="14" customFormat="1" ht="10">
      <c r="B637" s="204"/>
      <c r="C637" s="205"/>
      <c r="D637" s="194" t="s">
        <v>139</v>
      </c>
      <c r="E637" s="206" t="s">
        <v>19</v>
      </c>
      <c r="F637" s="207" t="s">
        <v>153</v>
      </c>
      <c r="G637" s="205"/>
      <c r="H637" s="208">
        <v>60.06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139</v>
      </c>
      <c r="AU637" s="214" t="s">
        <v>82</v>
      </c>
      <c r="AV637" s="14" t="s">
        <v>135</v>
      </c>
      <c r="AW637" s="14" t="s">
        <v>34</v>
      </c>
      <c r="AX637" s="14" t="s">
        <v>80</v>
      </c>
      <c r="AY637" s="214" t="s">
        <v>128</v>
      </c>
    </row>
    <row r="638" spans="1:65" s="2" customFormat="1" ht="21.75" customHeight="1">
      <c r="A638" s="35"/>
      <c r="B638" s="36"/>
      <c r="C638" s="174" t="s">
        <v>1436</v>
      </c>
      <c r="D638" s="174" t="s">
        <v>130</v>
      </c>
      <c r="E638" s="175" t="s">
        <v>1437</v>
      </c>
      <c r="F638" s="176" t="s">
        <v>1438</v>
      </c>
      <c r="G638" s="177" t="s">
        <v>133</v>
      </c>
      <c r="H638" s="178">
        <v>178.73</v>
      </c>
      <c r="I638" s="179"/>
      <c r="J638" s="180">
        <f>ROUND(I638*H638,2)</f>
        <v>0</v>
      </c>
      <c r="K638" s="176" t="s">
        <v>19</v>
      </c>
      <c r="L638" s="40"/>
      <c r="M638" s="181" t="s">
        <v>19</v>
      </c>
      <c r="N638" s="182" t="s">
        <v>43</v>
      </c>
      <c r="O638" s="65"/>
      <c r="P638" s="183">
        <f>O638*H638</f>
        <v>0</v>
      </c>
      <c r="Q638" s="183">
        <v>1.525E-2</v>
      </c>
      <c r="R638" s="183">
        <f>Q638*H638</f>
        <v>2.7256324999999997</v>
      </c>
      <c r="S638" s="183">
        <v>0</v>
      </c>
      <c r="T638" s="184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85" t="s">
        <v>230</v>
      </c>
      <c r="AT638" s="185" t="s">
        <v>130</v>
      </c>
      <c r="AU638" s="185" t="s">
        <v>82</v>
      </c>
      <c r="AY638" s="18" t="s">
        <v>128</v>
      </c>
      <c r="BE638" s="186">
        <f>IF(N638="základní",J638,0)</f>
        <v>0</v>
      </c>
      <c r="BF638" s="186">
        <f>IF(N638="snížená",J638,0)</f>
        <v>0</v>
      </c>
      <c r="BG638" s="186">
        <f>IF(N638="zákl. přenesená",J638,0)</f>
        <v>0</v>
      </c>
      <c r="BH638" s="186">
        <f>IF(N638="sníž. přenesená",J638,0)</f>
        <v>0</v>
      </c>
      <c r="BI638" s="186">
        <f>IF(N638="nulová",J638,0)</f>
        <v>0</v>
      </c>
      <c r="BJ638" s="18" t="s">
        <v>80</v>
      </c>
      <c r="BK638" s="186">
        <f>ROUND(I638*H638,2)</f>
        <v>0</v>
      </c>
      <c r="BL638" s="18" t="s">
        <v>230</v>
      </c>
      <c r="BM638" s="185" t="s">
        <v>1439</v>
      </c>
    </row>
    <row r="639" spans="1:65" s="13" customFormat="1" ht="10">
      <c r="B639" s="192"/>
      <c r="C639" s="193"/>
      <c r="D639" s="194" t="s">
        <v>139</v>
      </c>
      <c r="E639" s="195" t="s">
        <v>19</v>
      </c>
      <c r="F639" s="196" t="s">
        <v>1440</v>
      </c>
      <c r="G639" s="193"/>
      <c r="H639" s="197">
        <v>178.73</v>
      </c>
      <c r="I639" s="198"/>
      <c r="J639" s="193"/>
      <c r="K639" s="193"/>
      <c r="L639" s="199"/>
      <c r="M639" s="200"/>
      <c r="N639" s="201"/>
      <c r="O639" s="201"/>
      <c r="P639" s="201"/>
      <c r="Q639" s="201"/>
      <c r="R639" s="201"/>
      <c r="S639" s="201"/>
      <c r="T639" s="202"/>
      <c r="AT639" s="203" t="s">
        <v>139</v>
      </c>
      <c r="AU639" s="203" t="s">
        <v>82</v>
      </c>
      <c r="AV639" s="13" t="s">
        <v>82</v>
      </c>
      <c r="AW639" s="13" t="s">
        <v>34</v>
      </c>
      <c r="AX639" s="13" t="s">
        <v>80</v>
      </c>
      <c r="AY639" s="203" t="s">
        <v>128</v>
      </c>
    </row>
    <row r="640" spans="1:65" s="2" customFormat="1" ht="24.15" customHeight="1">
      <c r="A640" s="35"/>
      <c r="B640" s="36"/>
      <c r="C640" s="174" t="s">
        <v>1441</v>
      </c>
      <c r="D640" s="174" t="s">
        <v>130</v>
      </c>
      <c r="E640" s="175" t="s">
        <v>1442</v>
      </c>
      <c r="F640" s="176" t="s">
        <v>1443</v>
      </c>
      <c r="G640" s="177" t="s">
        <v>133</v>
      </c>
      <c r="H640" s="178">
        <v>650</v>
      </c>
      <c r="I640" s="179"/>
      <c r="J640" s="180">
        <f>ROUND(I640*H640,2)</f>
        <v>0</v>
      </c>
      <c r="K640" s="176" t="s">
        <v>134</v>
      </c>
      <c r="L640" s="40"/>
      <c r="M640" s="181" t="s">
        <v>19</v>
      </c>
      <c r="N640" s="182" t="s">
        <v>43</v>
      </c>
      <c r="O640" s="65"/>
      <c r="P640" s="183">
        <f>O640*H640</f>
        <v>0</v>
      </c>
      <c r="Q640" s="183">
        <v>0</v>
      </c>
      <c r="R640" s="183">
        <f>Q640*H640</f>
        <v>0</v>
      </c>
      <c r="S640" s="183">
        <v>0</v>
      </c>
      <c r="T640" s="184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85" t="s">
        <v>230</v>
      </c>
      <c r="AT640" s="185" t="s">
        <v>130</v>
      </c>
      <c r="AU640" s="185" t="s">
        <v>82</v>
      </c>
      <c r="AY640" s="18" t="s">
        <v>128</v>
      </c>
      <c r="BE640" s="186">
        <f>IF(N640="základní",J640,0)</f>
        <v>0</v>
      </c>
      <c r="BF640" s="186">
        <f>IF(N640="snížená",J640,0)</f>
        <v>0</v>
      </c>
      <c r="BG640" s="186">
        <f>IF(N640="zákl. přenesená",J640,0)</f>
        <v>0</v>
      </c>
      <c r="BH640" s="186">
        <f>IF(N640="sníž. přenesená",J640,0)</f>
        <v>0</v>
      </c>
      <c r="BI640" s="186">
        <f>IF(N640="nulová",J640,0)</f>
        <v>0</v>
      </c>
      <c r="BJ640" s="18" t="s">
        <v>80</v>
      </c>
      <c r="BK640" s="186">
        <f>ROUND(I640*H640,2)</f>
        <v>0</v>
      </c>
      <c r="BL640" s="18" t="s">
        <v>230</v>
      </c>
      <c r="BM640" s="185" t="s">
        <v>1444</v>
      </c>
    </row>
    <row r="641" spans="1:65" s="2" customFormat="1" ht="10">
      <c r="A641" s="35"/>
      <c r="B641" s="36"/>
      <c r="C641" s="37"/>
      <c r="D641" s="187" t="s">
        <v>137</v>
      </c>
      <c r="E641" s="37"/>
      <c r="F641" s="188" t="s">
        <v>1445</v>
      </c>
      <c r="G641" s="37"/>
      <c r="H641" s="37"/>
      <c r="I641" s="189"/>
      <c r="J641" s="37"/>
      <c r="K641" s="37"/>
      <c r="L641" s="40"/>
      <c r="M641" s="190"/>
      <c r="N641" s="191"/>
      <c r="O641" s="65"/>
      <c r="P641" s="65"/>
      <c r="Q641" s="65"/>
      <c r="R641" s="65"/>
      <c r="S641" s="65"/>
      <c r="T641" s="66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T641" s="18" t="s">
        <v>137</v>
      </c>
      <c r="AU641" s="18" t="s">
        <v>82</v>
      </c>
    </row>
    <row r="642" spans="1:65" s="13" customFormat="1" ht="10">
      <c r="B642" s="192"/>
      <c r="C642" s="193"/>
      <c r="D642" s="194" t="s">
        <v>139</v>
      </c>
      <c r="E642" s="195" t="s">
        <v>19</v>
      </c>
      <c r="F642" s="196" t="s">
        <v>1446</v>
      </c>
      <c r="G642" s="193"/>
      <c r="H642" s="197">
        <v>650</v>
      </c>
      <c r="I642" s="198"/>
      <c r="J642" s="193"/>
      <c r="K642" s="193"/>
      <c r="L642" s="199"/>
      <c r="M642" s="200"/>
      <c r="N642" s="201"/>
      <c r="O642" s="201"/>
      <c r="P642" s="201"/>
      <c r="Q642" s="201"/>
      <c r="R642" s="201"/>
      <c r="S642" s="201"/>
      <c r="T642" s="202"/>
      <c r="AT642" s="203" t="s">
        <v>139</v>
      </c>
      <c r="AU642" s="203" t="s">
        <v>82</v>
      </c>
      <c r="AV642" s="13" t="s">
        <v>82</v>
      </c>
      <c r="AW642" s="13" t="s">
        <v>34</v>
      </c>
      <c r="AX642" s="13" t="s">
        <v>80</v>
      </c>
      <c r="AY642" s="203" t="s">
        <v>128</v>
      </c>
    </row>
    <row r="643" spans="1:65" s="2" customFormat="1" ht="16.5" customHeight="1">
      <c r="A643" s="35"/>
      <c r="B643" s="36"/>
      <c r="C643" s="215" t="s">
        <v>1447</v>
      </c>
      <c r="D643" s="215" t="s">
        <v>414</v>
      </c>
      <c r="E643" s="216" t="s">
        <v>1448</v>
      </c>
      <c r="F643" s="217" t="s">
        <v>1449</v>
      </c>
      <c r="G643" s="218" t="s">
        <v>133</v>
      </c>
      <c r="H643" s="219">
        <v>730.27499999999998</v>
      </c>
      <c r="I643" s="220"/>
      <c r="J643" s="221">
        <f>ROUND(I643*H643,2)</f>
        <v>0</v>
      </c>
      <c r="K643" s="217" t="s">
        <v>134</v>
      </c>
      <c r="L643" s="222"/>
      <c r="M643" s="223" t="s">
        <v>19</v>
      </c>
      <c r="N643" s="224" t="s">
        <v>43</v>
      </c>
      <c r="O643" s="65"/>
      <c r="P643" s="183">
        <f>O643*H643</f>
        <v>0</v>
      </c>
      <c r="Q643" s="183">
        <v>8.0000000000000007E-5</v>
      </c>
      <c r="R643" s="183">
        <f>Q643*H643</f>
        <v>5.8422000000000002E-2</v>
      </c>
      <c r="S643" s="183">
        <v>0</v>
      </c>
      <c r="T643" s="184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185" t="s">
        <v>334</v>
      </c>
      <c r="AT643" s="185" t="s">
        <v>414</v>
      </c>
      <c r="AU643" s="185" t="s">
        <v>82</v>
      </c>
      <c r="AY643" s="18" t="s">
        <v>128</v>
      </c>
      <c r="BE643" s="186">
        <f>IF(N643="základní",J643,0)</f>
        <v>0</v>
      </c>
      <c r="BF643" s="186">
        <f>IF(N643="snížená",J643,0)</f>
        <v>0</v>
      </c>
      <c r="BG643" s="186">
        <f>IF(N643="zákl. přenesená",J643,0)</f>
        <v>0</v>
      </c>
      <c r="BH643" s="186">
        <f>IF(N643="sníž. přenesená",J643,0)</f>
        <v>0</v>
      </c>
      <c r="BI643" s="186">
        <f>IF(N643="nulová",J643,0)</f>
        <v>0</v>
      </c>
      <c r="BJ643" s="18" t="s">
        <v>80</v>
      </c>
      <c r="BK643" s="186">
        <f>ROUND(I643*H643,2)</f>
        <v>0</v>
      </c>
      <c r="BL643" s="18" t="s">
        <v>230</v>
      </c>
      <c r="BM643" s="185" t="s">
        <v>1450</v>
      </c>
    </row>
    <row r="644" spans="1:65" s="13" customFormat="1" ht="10">
      <c r="B644" s="192"/>
      <c r="C644" s="193"/>
      <c r="D644" s="194" t="s">
        <v>139</v>
      </c>
      <c r="E644" s="193"/>
      <c r="F644" s="196" t="s">
        <v>1451</v>
      </c>
      <c r="G644" s="193"/>
      <c r="H644" s="197">
        <v>730.27499999999998</v>
      </c>
      <c r="I644" s="198"/>
      <c r="J644" s="193"/>
      <c r="K644" s="193"/>
      <c r="L644" s="199"/>
      <c r="M644" s="200"/>
      <c r="N644" s="201"/>
      <c r="O644" s="201"/>
      <c r="P644" s="201"/>
      <c r="Q644" s="201"/>
      <c r="R644" s="201"/>
      <c r="S644" s="201"/>
      <c r="T644" s="202"/>
      <c r="AT644" s="203" t="s">
        <v>139</v>
      </c>
      <c r="AU644" s="203" t="s">
        <v>82</v>
      </c>
      <c r="AV644" s="13" t="s">
        <v>82</v>
      </c>
      <c r="AW644" s="13" t="s">
        <v>4</v>
      </c>
      <c r="AX644" s="13" t="s">
        <v>80</v>
      </c>
      <c r="AY644" s="203" t="s">
        <v>128</v>
      </c>
    </row>
    <row r="645" spans="1:65" s="2" customFormat="1" ht="49" customHeight="1">
      <c r="A645" s="35"/>
      <c r="B645" s="36"/>
      <c r="C645" s="174" t="s">
        <v>1452</v>
      </c>
      <c r="D645" s="174" t="s">
        <v>130</v>
      </c>
      <c r="E645" s="175" t="s">
        <v>1453</v>
      </c>
      <c r="F645" s="176" t="s">
        <v>1454</v>
      </c>
      <c r="G645" s="177" t="s">
        <v>133</v>
      </c>
      <c r="H645" s="178">
        <v>543.4</v>
      </c>
      <c r="I645" s="179"/>
      <c r="J645" s="180">
        <f>ROUND(I645*H645,2)</f>
        <v>0</v>
      </c>
      <c r="K645" s="176" t="s">
        <v>134</v>
      </c>
      <c r="L645" s="40"/>
      <c r="M645" s="181" t="s">
        <v>19</v>
      </c>
      <c r="N645" s="182" t="s">
        <v>43</v>
      </c>
      <c r="O645" s="65"/>
      <c r="P645" s="183">
        <f>O645*H645</f>
        <v>0</v>
      </c>
      <c r="Q645" s="183">
        <v>2.7060000000000001E-2</v>
      </c>
      <c r="R645" s="183">
        <f>Q645*H645</f>
        <v>14.704404</v>
      </c>
      <c r="S645" s="183">
        <v>0</v>
      </c>
      <c r="T645" s="184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85" t="s">
        <v>230</v>
      </c>
      <c r="AT645" s="185" t="s">
        <v>130</v>
      </c>
      <c r="AU645" s="185" t="s">
        <v>82</v>
      </c>
      <c r="AY645" s="18" t="s">
        <v>128</v>
      </c>
      <c r="BE645" s="186">
        <f>IF(N645="základní",J645,0)</f>
        <v>0</v>
      </c>
      <c r="BF645" s="186">
        <f>IF(N645="snížená",J645,0)</f>
        <v>0</v>
      </c>
      <c r="BG645" s="186">
        <f>IF(N645="zákl. přenesená",J645,0)</f>
        <v>0</v>
      </c>
      <c r="BH645" s="186">
        <f>IF(N645="sníž. přenesená",J645,0)</f>
        <v>0</v>
      </c>
      <c r="BI645" s="186">
        <f>IF(N645="nulová",J645,0)</f>
        <v>0</v>
      </c>
      <c r="BJ645" s="18" t="s">
        <v>80</v>
      </c>
      <c r="BK645" s="186">
        <f>ROUND(I645*H645,2)</f>
        <v>0</v>
      </c>
      <c r="BL645" s="18" t="s">
        <v>230</v>
      </c>
      <c r="BM645" s="185" t="s">
        <v>1455</v>
      </c>
    </row>
    <row r="646" spans="1:65" s="2" customFormat="1" ht="10">
      <c r="A646" s="35"/>
      <c r="B646" s="36"/>
      <c r="C646" s="37"/>
      <c r="D646" s="187" t="s">
        <v>137</v>
      </c>
      <c r="E646" s="37"/>
      <c r="F646" s="188" t="s">
        <v>1456</v>
      </c>
      <c r="G646" s="37"/>
      <c r="H646" s="37"/>
      <c r="I646" s="189"/>
      <c r="J646" s="37"/>
      <c r="K646" s="37"/>
      <c r="L646" s="40"/>
      <c r="M646" s="190"/>
      <c r="N646" s="191"/>
      <c r="O646" s="65"/>
      <c r="P646" s="65"/>
      <c r="Q646" s="65"/>
      <c r="R646" s="65"/>
      <c r="S646" s="65"/>
      <c r="T646" s="66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T646" s="18" t="s">
        <v>137</v>
      </c>
      <c r="AU646" s="18" t="s">
        <v>82</v>
      </c>
    </row>
    <row r="647" spans="1:65" s="13" customFormat="1" ht="10">
      <c r="B647" s="192"/>
      <c r="C647" s="193"/>
      <c r="D647" s="194" t="s">
        <v>139</v>
      </c>
      <c r="E647" s="195" t="s">
        <v>19</v>
      </c>
      <c r="F647" s="196" t="s">
        <v>1457</v>
      </c>
      <c r="G647" s="193"/>
      <c r="H647" s="197">
        <v>543.4</v>
      </c>
      <c r="I647" s="198"/>
      <c r="J647" s="193"/>
      <c r="K647" s="193"/>
      <c r="L647" s="199"/>
      <c r="M647" s="200"/>
      <c r="N647" s="201"/>
      <c r="O647" s="201"/>
      <c r="P647" s="201"/>
      <c r="Q647" s="201"/>
      <c r="R647" s="201"/>
      <c r="S647" s="201"/>
      <c r="T647" s="202"/>
      <c r="AT647" s="203" t="s">
        <v>139</v>
      </c>
      <c r="AU647" s="203" t="s">
        <v>82</v>
      </c>
      <c r="AV647" s="13" t="s">
        <v>82</v>
      </c>
      <c r="AW647" s="13" t="s">
        <v>34</v>
      </c>
      <c r="AX647" s="13" t="s">
        <v>80</v>
      </c>
      <c r="AY647" s="203" t="s">
        <v>128</v>
      </c>
    </row>
    <row r="648" spans="1:65" s="2" customFormat="1" ht="16.5" customHeight="1">
      <c r="A648" s="35"/>
      <c r="B648" s="36"/>
      <c r="C648" s="174" t="s">
        <v>1458</v>
      </c>
      <c r="D648" s="174" t="s">
        <v>130</v>
      </c>
      <c r="E648" s="175" t="s">
        <v>1459</v>
      </c>
      <c r="F648" s="176" t="s">
        <v>1460</v>
      </c>
      <c r="G648" s="177" t="s">
        <v>133</v>
      </c>
      <c r="H648" s="178">
        <v>543.4</v>
      </c>
      <c r="I648" s="179"/>
      <c r="J648" s="180">
        <f>ROUND(I648*H648,2)</f>
        <v>0</v>
      </c>
      <c r="K648" s="176" t="s">
        <v>134</v>
      </c>
      <c r="L648" s="40"/>
      <c r="M648" s="181" t="s">
        <v>19</v>
      </c>
      <c r="N648" s="182" t="s">
        <v>43</v>
      </c>
      <c r="O648" s="65"/>
      <c r="P648" s="183">
        <f>O648*H648</f>
        <v>0</v>
      </c>
      <c r="Q648" s="183">
        <v>5.0000000000000001E-3</v>
      </c>
      <c r="R648" s="183">
        <f>Q648*H648</f>
        <v>2.7170000000000001</v>
      </c>
      <c r="S648" s="183">
        <v>0</v>
      </c>
      <c r="T648" s="184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85" t="s">
        <v>230</v>
      </c>
      <c r="AT648" s="185" t="s">
        <v>130</v>
      </c>
      <c r="AU648" s="185" t="s">
        <v>82</v>
      </c>
      <c r="AY648" s="18" t="s">
        <v>128</v>
      </c>
      <c r="BE648" s="186">
        <f>IF(N648="základní",J648,0)</f>
        <v>0</v>
      </c>
      <c r="BF648" s="186">
        <f>IF(N648="snížená",J648,0)</f>
        <v>0</v>
      </c>
      <c r="BG648" s="186">
        <f>IF(N648="zákl. přenesená",J648,0)</f>
        <v>0</v>
      </c>
      <c r="BH648" s="186">
        <f>IF(N648="sníž. přenesená",J648,0)</f>
        <v>0</v>
      </c>
      <c r="BI648" s="186">
        <f>IF(N648="nulová",J648,0)</f>
        <v>0</v>
      </c>
      <c r="BJ648" s="18" t="s">
        <v>80</v>
      </c>
      <c r="BK648" s="186">
        <f>ROUND(I648*H648,2)</f>
        <v>0</v>
      </c>
      <c r="BL648" s="18" t="s">
        <v>230</v>
      </c>
      <c r="BM648" s="185" t="s">
        <v>1461</v>
      </c>
    </row>
    <row r="649" spans="1:65" s="2" customFormat="1" ht="10">
      <c r="A649" s="35"/>
      <c r="B649" s="36"/>
      <c r="C649" s="37"/>
      <c r="D649" s="187" t="s">
        <v>137</v>
      </c>
      <c r="E649" s="37"/>
      <c r="F649" s="188" t="s">
        <v>1462</v>
      </c>
      <c r="G649" s="37"/>
      <c r="H649" s="37"/>
      <c r="I649" s="189"/>
      <c r="J649" s="37"/>
      <c r="K649" s="37"/>
      <c r="L649" s="40"/>
      <c r="M649" s="190"/>
      <c r="N649" s="191"/>
      <c r="O649" s="65"/>
      <c r="P649" s="65"/>
      <c r="Q649" s="65"/>
      <c r="R649" s="65"/>
      <c r="S649" s="65"/>
      <c r="T649" s="66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T649" s="18" t="s">
        <v>137</v>
      </c>
      <c r="AU649" s="18" t="s">
        <v>82</v>
      </c>
    </row>
    <row r="650" spans="1:65" s="13" customFormat="1" ht="10">
      <c r="B650" s="192"/>
      <c r="C650" s="193"/>
      <c r="D650" s="194" t="s">
        <v>139</v>
      </c>
      <c r="E650" s="195" t="s">
        <v>19</v>
      </c>
      <c r="F650" s="196" t="s">
        <v>1117</v>
      </c>
      <c r="G650" s="193"/>
      <c r="H650" s="197">
        <v>543.4</v>
      </c>
      <c r="I650" s="198"/>
      <c r="J650" s="193"/>
      <c r="K650" s="193"/>
      <c r="L650" s="199"/>
      <c r="M650" s="200"/>
      <c r="N650" s="201"/>
      <c r="O650" s="201"/>
      <c r="P650" s="201"/>
      <c r="Q650" s="201"/>
      <c r="R650" s="201"/>
      <c r="S650" s="201"/>
      <c r="T650" s="202"/>
      <c r="AT650" s="203" t="s">
        <v>139</v>
      </c>
      <c r="AU650" s="203" t="s">
        <v>82</v>
      </c>
      <c r="AV650" s="13" t="s">
        <v>82</v>
      </c>
      <c r="AW650" s="13" t="s">
        <v>34</v>
      </c>
      <c r="AX650" s="13" t="s">
        <v>80</v>
      </c>
      <c r="AY650" s="203" t="s">
        <v>128</v>
      </c>
    </row>
    <row r="651" spans="1:65" s="2" customFormat="1" ht="16.5" customHeight="1">
      <c r="A651" s="35"/>
      <c r="B651" s="36"/>
      <c r="C651" s="174" t="s">
        <v>1463</v>
      </c>
      <c r="D651" s="174" t="s">
        <v>130</v>
      </c>
      <c r="E651" s="175" t="s">
        <v>1464</v>
      </c>
      <c r="F651" s="176" t="s">
        <v>1465</v>
      </c>
      <c r="G651" s="177" t="s">
        <v>133</v>
      </c>
      <c r="H651" s="178">
        <v>543.4</v>
      </c>
      <c r="I651" s="179"/>
      <c r="J651" s="180">
        <f>ROUND(I651*H651,2)</f>
        <v>0</v>
      </c>
      <c r="K651" s="176" t="s">
        <v>134</v>
      </c>
      <c r="L651" s="40"/>
      <c r="M651" s="181" t="s">
        <v>19</v>
      </c>
      <c r="N651" s="182" t="s">
        <v>43</v>
      </c>
      <c r="O651" s="65"/>
      <c r="P651" s="183">
        <f>O651*H651</f>
        <v>0</v>
      </c>
      <c r="Q651" s="183">
        <v>5.0000000000000001E-3</v>
      </c>
      <c r="R651" s="183">
        <f>Q651*H651</f>
        <v>2.7170000000000001</v>
      </c>
      <c r="S651" s="183">
        <v>0</v>
      </c>
      <c r="T651" s="184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85" t="s">
        <v>230</v>
      </c>
      <c r="AT651" s="185" t="s">
        <v>130</v>
      </c>
      <c r="AU651" s="185" t="s">
        <v>82</v>
      </c>
      <c r="AY651" s="18" t="s">
        <v>128</v>
      </c>
      <c r="BE651" s="186">
        <f>IF(N651="základní",J651,0)</f>
        <v>0</v>
      </c>
      <c r="BF651" s="186">
        <f>IF(N651="snížená",J651,0)</f>
        <v>0</v>
      </c>
      <c r="BG651" s="186">
        <f>IF(N651="zákl. přenesená",J651,0)</f>
        <v>0</v>
      </c>
      <c r="BH651" s="186">
        <f>IF(N651="sníž. přenesená",J651,0)</f>
        <v>0</v>
      </c>
      <c r="BI651" s="186">
        <f>IF(N651="nulová",J651,0)</f>
        <v>0</v>
      </c>
      <c r="BJ651" s="18" t="s">
        <v>80</v>
      </c>
      <c r="BK651" s="186">
        <f>ROUND(I651*H651,2)</f>
        <v>0</v>
      </c>
      <c r="BL651" s="18" t="s">
        <v>230</v>
      </c>
      <c r="BM651" s="185" t="s">
        <v>1466</v>
      </c>
    </row>
    <row r="652" spans="1:65" s="2" customFormat="1" ht="10">
      <c r="A652" s="35"/>
      <c r="B652" s="36"/>
      <c r="C652" s="37"/>
      <c r="D652" s="187" t="s">
        <v>137</v>
      </c>
      <c r="E652" s="37"/>
      <c r="F652" s="188" t="s">
        <v>1467</v>
      </c>
      <c r="G652" s="37"/>
      <c r="H652" s="37"/>
      <c r="I652" s="189"/>
      <c r="J652" s="37"/>
      <c r="K652" s="37"/>
      <c r="L652" s="40"/>
      <c r="M652" s="190"/>
      <c r="N652" s="191"/>
      <c r="O652" s="65"/>
      <c r="P652" s="65"/>
      <c r="Q652" s="65"/>
      <c r="R652" s="65"/>
      <c r="S652" s="65"/>
      <c r="T652" s="66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T652" s="18" t="s">
        <v>137</v>
      </c>
      <c r="AU652" s="18" t="s">
        <v>82</v>
      </c>
    </row>
    <row r="653" spans="1:65" s="2" customFormat="1" ht="16.5" customHeight="1">
      <c r="A653" s="35"/>
      <c r="B653" s="36"/>
      <c r="C653" s="174" t="s">
        <v>1468</v>
      </c>
      <c r="D653" s="174" t="s">
        <v>130</v>
      </c>
      <c r="E653" s="175" t="s">
        <v>1469</v>
      </c>
      <c r="F653" s="176" t="s">
        <v>1470</v>
      </c>
      <c r="G653" s="177" t="s">
        <v>133</v>
      </c>
      <c r="H653" s="178">
        <v>67.3</v>
      </c>
      <c r="I653" s="179"/>
      <c r="J653" s="180">
        <f>ROUND(I653*H653,2)</f>
        <v>0</v>
      </c>
      <c r="K653" s="176" t="s">
        <v>19</v>
      </c>
      <c r="L653" s="40"/>
      <c r="M653" s="181" t="s">
        <v>19</v>
      </c>
      <c r="N653" s="182" t="s">
        <v>43</v>
      </c>
      <c r="O653" s="65"/>
      <c r="P653" s="183">
        <f>O653*H653</f>
        <v>0</v>
      </c>
      <c r="Q653" s="183">
        <v>1.66E-2</v>
      </c>
      <c r="R653" s="183">
        <f>Q653*H653</f>
        <v>1.1171800000000001</v>
      </c>
      <c r="S653" s="183">
        <v>0</v>
      </c>
      <c r="T653" s="184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185" t="s">
        <v>230</v>
      </c>
      <c r="AT653" s="185" t="s">
        <v>130</v>
      </c>
      <c r="AU653" s="185" t="s">
        <v>82</v>
      </c>
      <c r="AY653" s="18" t="s">
        <v>128</v>
      </c>
      <c r="BE653" s="186">
        <f>IF(N653="základní",J653,0)</f>
        <v>0</v>
      </c>
      <c r="BF653" s="186">
        <f>IF(N653="snížená",J653,0)</f>
        <v>0</v>
      </c>
      <c r="BG653" s="186">
        <f>IF(N653="zákl. přenesená",J653,0)</f>
        <v>0</v>
      </c>
      <c r="BH653" s="186">
        <f>IF(N653="sníž. přenesená",J653,0)</f>
        <v>0</v>
      </c>
      <c r="BI653" s="186">
        <f>IF(N653="nulová",J653,0)</f>
        <v>0</v>
      </c>
      <c r="BJ653" s="18" t="s">
        <v>80</v>
      </c>
      <c r="BK653" s="186">
        <f>ROUND(I653*H653,2)</f>
        <v>0</v>
      </c>
      <c r="BL653" s="18" t="s">
        <v>230</v>
      </c>
      <c r="BM653" s="185" t="s">
        <v>1471</v>
      </c>
    </row>
    <row r="654" spans="1:65" s="13" customFormat="1" ht="10">
      <c r="B654" s="192"/>
      <c r="C654" s="193"/>
      <c r="D654" s="194" t="s">
        <v>139</v>
      </c>
      <c r="E654" s="195" t="s">
        <v>19</v>
      </c>
      <c r="F654" s="196" t="s">
        <v>1472</v>
      </c>
      <c r="G654" s="193"/>
      <c r="H654" s="197">
        <v>67.3</v>
      </c>
      <c r="I654" s="198"/>
      <c r="J654" s="193"/>
      <c r="K654" s="193"/>
      <c r="L654" s="199"/>
      <c r="M654" s="200"/>
      <c r="N654" s="201"/>
      <c r="O654" s="201"/>
      <c r="P654" s="201"/>
      <c r="Q654" s="201"/>
      <c r="R654" s="201"/>
      <c r="S654" s="201"/>
      <c r="T654" s="202"/>
      <c r="AT654" s="203" t="s">
        <v>139</v>
      </c>
      <c r="AU654" s="203" t="s">
        <v>82</v>
      </c>
      <c r="AV654" s="13" t="s">
        <v>82</v>
      </c>
      <c r="AW654" s="13" t="s">
        <v>34</v>
      </c>
      <c r="AX654" s="13" t="s">
        <v>80</v>
      </c>
      <c r="AY654" s="203" t="s">
        <v>128</v>
      </c>
    </row>
    <row r="655" spans="1:65" s="2" customFormat="1" ht="33" customHeight="1">
      <c r="A655" s="35"/>
      <c r="B655" s="36"/>
      <c r="C655" s="174" t="s">
        <v>1473</v>
      </c>
      <c r="D655" s="174" t="s">
        <v>130</v>
      </c>
      <c r="E655" s="175" t="s">
        <v>1474</v>
      </c>
      <c r="F655" s="176" t="s">
        <v>1475</v>
      </c>
      <c r="G655" s="177" t="s">
        <v>133</v>
      </c>
      <c r="H655" s="178">
        <v>650</v>
      </c>
      <c r="I655" s="179"/>
      <c r="J655" s="180">
        <f>ROUND(I655*H655,2)</f>
        <v>0</v>
      </c>
      <c r="K655" s="176" t="s">
        <v>134</v>
      </c>
      <c r="L655" s="40"/>
      <c r="M655" s="181" t="s">
        <v>19</v>
      </c>
      <c r="N655" s="182" t="s">
        <v>43</v>
      </c>
      <c r="O655" s="65"/>
      <c r="P655" s="183">
        <f>O655*H655</f>
        <v>0</v>
      </c>
      <c r="Q655" s="183">
        <v>2.8459999999999999E-2</v>
      </c>
      <c r="R655" s="183">
        <f>Q655*H655</f>
        <v>18.498999999999999</v>
      </c>
      <c r="S655" s="183">
        <v>0</v>
      </c>
      <c r="T655" s="184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185" t="s">
        <v>230</v>
      </c>
      <c r="AT655" s="185" t="s">
        <v>130</v>
      </c>
      <c r="AU655" s="185" t="s">
        <v>82</v>
      </c>
      <c r="AY655" s="18" t="s">
        <v>128</v>
      </c>
      <c r="BE655" s="186">
        <f>IF(N655="základní",J655,0)</f>
        <v>0</v>
      </c>
      <c r="BF655" s="186">
        <f>IF(N655="snížená",J655,0)</f>
        <v>0</v>
      </c>
      <c r="BG655" s="186">
        <f>IF(N655="zákl. přenesená",J655,0)</f>
        <v>0</v>
      </c>
      <c r="BH655" s="186">
        <f>IF(N655="sníž. přenesená",J655,0)</f>
        <v>0</v>
      </c>
      <c r="BI655" s="186">
        <f>IF(N655="nulová",J655,0)</f>
        <v>0</v>
      </c>
      <c r="BJ655" s="18" t="s">
        <v>80</v>
      </c>
      <c r="BK655" s="186">
        <f>ROUND(I655*H655,2)</f>
        <v>0</v>
      </c>
      <c r="BL655" s="18" t="s">
        <v>230</v>
      </c>
      <c r="BM655" s="185" t="s">
        <v>1476</v>
      </c>
    </row>
    <row r="656" spans="1:65" s="2" customFormat="1" ht="10">
      <c r="A656" s="35"/>
      <c r="B656" s="36"/>
      <c r="C656" s="37"/>
      <c r="D656" s="187" t="s">
        <v>137</v>
      </c>
      <c r="E656" s="37"/>
      <c r="F656" s="188" t="s">
        <v>1477</v>
      </c>
      <c r="G656" s="37"/>
      <c r="H656" s="37"/>
      <c r="I656" s="189"/>
      <c r="J656" s="37"/>
      <c r="K656" s="37"/>
      <c r="L656" s="40"/>
      <c r="M656" s="190"/>
      <c r="N656" s="191"/>
      <c r="O656" s="65"/>
      <c r="P656" s="65"/>
      <c r="Q656" s="65"/>
      <c r="R656" s="65"/>
      <c r="S656" s="65"/>
      <c r="T656" s="66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T656" s="18" t="s">
        <v>137</v>
      </c>
      <c r="AU656" s="18" t="s">
        <v>82</v>
      </c>
    </row>
    <row r="657" spans="1:65" s="13" customFormat="1" ht="10">
      <c r="B657" s="192"/>
      <c r="C657" s="193"/>
      <c r="D657" s="194" t="s">
        <v>139</v>
      </c>
      <c r="E657" s="195" t="s">
        <v>19</v>
      </c>
      <c r="F657" s="196" t="s">
        <v>1446</v>
      </c>
      <c r="G657" s="193"/>
      <c r="H657" s="197">
        <v>650</v>
      </c>
      <c r="I657" s="198"/>
      <c r="J657" s="193"/>
      <c r="K657" s="193"/>
      <c r="L657" s="199"/>
      <c r="M657" s="200"/>
      <c r="N657" s="201"/>
      <c r="O657" s="201"/>
      <c r="P657" s="201"/>
      <c r="Q657" s="201"/>
      <c r="R657" s="201"/>
      <c r="S657" s="201"/>
      <c r="T657" s="202"/>
      <c r="AT657" s="203" t="s">
        <v>139</v>
      </c>
      <c r="AU657" s="203" t="s">
        <v>82</v>
      </c>
      <c r="AV657" s="13" t="s">
        <v>82</v>
      </c>
      <c r="AW657" s="13" t="s">
        <v>34</v>
      </c>
      <c r="AX657" s="13" t="s">
        <v>80</v>
      </c>
      <c r="AY657" s="203" t="s">
        <v>128</v>
      </c>
    </row>
    <row r="658" spans="1:65" s="2" customFormat="1" ht="21.75" customHeight="1">
      <c r="A658" s="35"/>
      <c r="B658" s="36"/>
      <c r="C658" s="174" t="s">
        <v>1478</v>
      </c>
      <c r="D658" s="174" t="s">
        <v>130</v>
      </c>
      <c r="E658" s="175" t="s">
        <v>1479</v>
      </c>
      <c r="F658" s="176" t="s">
        <v>1480</v>
      </c>
      <c r="G658" s="177" t="s">
        <v>305</v>
      </c>
      <c r="H658" s="178">
        <v>8</v>
      </c>
      <c r="I658" s="179"/>
      <c r="J658" s="180">
        <f>ROUND(I658*H658,2)</f>
        <v>0</v>
      </c>
      <c r="K658" s="176" t="s">
        <v>134</v>
      </c>
      <c r="L658" s="40"/>
      <c r="M658" s="181" t="s">
        <v>19</v>
      </c>
      <c r="N658" s="182" t="s">
        <v>43</v>
      </c>
      <c r="O658" s="65"/>
      <c r="P658" s="183">
        <f>O658*H658</f>
        <v>0</v>
      </c>
      <c r="Q658" s="183">
        <v>2.2000000000000001E-4</v>
      </c>
      <c r="R658" s="183">
        <f>Q658*H658</f>
        <v>1.7600000000000001E-3</v>
      </c>
      <c r="S658" s="183">
        <v>0</v>
      </c>
      <c r="T658" s="184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85" t="s">
        <v>230</v>
      </c>
      <c r="AT658" s="185" t="s">
        <v>130</v>
      </c>
      <c r="AU658" s="185" t="s">
        <v>82</v>
      </c>
      <c r="AY658" s="18" t="s">
        <v>128</v>
      </c>
      <c r="BE658" s="186">
        <f>IF(N658="základní",J658,0)</f>
        <v>0</v>
      </c>
      <c r="BF658" s="186">
        <f>IF(N658="snížená",J658,0)</f>
        <v>0</v>
      </c>
      <c r="BG658" s="186">
        <f>IF(N658="zákl. přenesená",J658,0)</f>
        <v>0</v>
      </c>
      <c r="BH658" s="186">
        <f>IF(N658="sníž. přenesená",J658,0)</f>
        <v>0</v>
      </c>
      <c r="BI658" s="186">
        <f>IF(N658="nulová",J658,0)</f>
        <v>0</v>
      </c>
      <c r="BJ658" s="18" t="s">
        <v>80</v>
      </c>
      <c r="BK658" s="186">
        <f>ROUND(I658*H658,2)</f>
        <v>0</v>
      </c>
      <c r="BL658" s="18" t="s">
        <v>230</v>
      </c>
      <c r="BM658" s="185" t="s">
        <v>1481</v>
      </c>
    </row>
    <row r="659" spans="1:65" s="2" customFormat="1" ht="10">
      <c r="A659" s="35"/>
      <c r="B659" s="36"/>
      <c r="C659" s="37"/>
      <c r="D659" s="187" t="s">
        <v>137</v>
      </c>
      <c r="E659" s="37"/>
      <c r="F659" s="188" t="s">
        <v>1482</v>
      </c>
      <c r="G659" s="37"/>
      <c r="H659" s="37"/>
      <c r="I659" s="189"/>
      <c r="J659" s="37"/>
      <c r="K659" s="37"/>
      <c r="L659" s="40"/>
      <c r="M659" s="190"/>
      <c r="N659" s="191"/>
      <c r="O659" s="65"/>
      <c r="P659" s="65"/>
      <c r="Q659" s="65"/>
      <c r="R659" s="65"/>
      <c r="S659" s="65"/>
      <c r="T659" s="66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T659" s="18" t="s">
        <v>137</v>
      </c>
      <c r="AU659" s="18" t="s">
        <v>82</v>
      </c>
    </row>
    <row r="660" spans="1:65" s="13" customFormat="1" ht="10">
      <c r="B660" s="192"/>
      <c r="C660" s="193"/>
      <c r="D660" s="194" t="s">
        <v>139</v>
      </c>
      <c r="E660" s="195" t="s">
        <v>19</v>
      </c>
      <c r="F660" s="196" t="s">
        <v>1483</v>
      </c>
      <c r="G660" s="193"/>
      <c r="H660" s="197">
        <v>6</v>
      </c>
      <c r="I660" s="198"/>
      <c r="J660" s="193"/>
      <c r="K660" s="193"/>
      <c r="L660" s="199"/>
      <c r="M660" s="200"/>
      <c r="N660" s="201"/>
      <c r="O660" s="201"/>
      <c r="P660" s="201"/>
      <c r="Q660" s="201"/>
      <c r="R660" s="201"/>
      <c r="S660" s="201"/>
      <c r="T660" s="202"/>
      <c r="AT660" s="203" t="s">
        <v>139</v>
      </c>
      <c r="AU660" s="203" t="s">
        <v>82</v>
      </c>
      <c r="AV660" s="13" t="s">
        <v>82</v>
      </c>
      <c r="AW660" s="13" t="s">
        <v>34</v>
      </c>
      <c r="AX660" s="13" t="s">
        <v>72</v>
      </c>
      <c r="AY660" s="203" t="s">
        <v>128</v>
      </c>
    </row>
    <row r="661" spans="1:65" s="13" customFormat="1" ht="10">
      <c r="B661" s="192"/>
      <c r="C661" s="193"/>
      <c r="D661" s="194" t="s">
        <v>139</v>
      </c>
      <c r="E661" s="195" t="s">
        <v>19</v>
      </c>
      <c r="F661" s="196" t="s">
        <v>1484</v>
      </c>
      <c r="G661" s="193"/>
      <c r="H661" s="197">
        <v>2</v>
      </c>
      <c r="I661" s="198"/>
      <c r="J661" s="193"/>
      <c r="K661" s="193"/>
      <c r="L661" s="199"/>
      <c r="M661" s="200"/>
      <c r="N661" s="201"/>
      <c r="O661" s="201"/>
      <c r="P661" s="201"/>
      <c r="Q661" s="201"/>
      <c r="R661" s="201"/>
      <c r="S661" s="201"/>
      <c r="T661" s="202"/>
      <c r="AT661" s="203" t="s">
        <v>139</v>
      </c>
      <c r="AU661" s="203" t="s">
        <v>82</v>
      </c>
      <c r="AV661" s="13" t="s">
        <v>82</v>
      </c>
      <c r="AW661" s="13" t="s">
        <v>34</v>
      </c>
      <c r="AX661" s="13" t="s">
        <v>72</v>
      </c>
      <c r="AY661" s="203" t="s">
        <v>128</v>
      </c>
    </row>
    <row r="662" spans="1:65" s="14" customFormat="1" ht="10">
      <c r="B662" s="204"/>
      <c r="C662" s="205"/>
      <c r="D662" s="194" t="s">
        <v>139</v>
      </c>
      <c r="E662" s="206" t="s">
        <v>19</v>
      </c>
      <c r="F662" s="207" t="s">
        <v>153</v>
      </c>
      <c r="G662" s="205"/>
      <c r="H662" s="208">
        <v>8</v>
      </c>
      <c r="I662" s="209"/>
      <c r="J662" s="205"/>
      <c r="K662" s="205"/>
      <c r="L662" s="210"/>
      <c r="M662" s="211"/>
      <c r="N662" s="212"/>
      <c r="O662" s="212"/>
      <c r="P662" s="212"/>
      <c r="Q662" s="212"/>
      <c r="R662" s="212"/>
      <c r="S662" s="212"/>
      <c r="T662" s="213"/>
      <c r="AT662" s="214" t="s">
        <v>139</v>
      </c>
      <c r="AU662" s="214" t="s">
        <v>82</v>
      </c>
      <c r="AV662" s="14" t="s">
        <v>135</v>
      </c>
      <c r="AW662" s="14" t="s">
        <v>34</v>
      </c>
      <c r="AX662" s="14" t="s">
        <v>80</v>
      </c>
      <c r="AY662" s="214" t="s">
        <v>128</v>
      </c>
    </row>
    <row r="663" spans="1:65" s="2" customFormat="1" ht="21.75" customHeight="1">
      <c r="A663" s="35"/>
      <c r="B663" s="36"/>
      <c r="C663" s="215" t="s">
        <v>1485</v>
      </c>
      <c r="D663" s="215" t="s">
        <v>414</v>
      </c>
      <c r="E663" s="216" t="s">
        <v>1486</v>
      </c>
      <c r="F663" s="217" t="s">
        <v>1487</v>
      </c>
      <c r="G663" s="218" t="s">
        <v>305</v>
      </c>
      <c r="H663" s="219">
        <v>6</v>
      </c>
      <c r="I663" s="220"/>
      <c r="J663" s="221">
        <f>ROUND(I663*H663,2)</f>
        <v>0</v>
      </c>
      <c r="K663" s="217" t="s">
        <v>134</v>
      </c>
      <c r="L663" s="222"/>
      <c r="M663" s="223" t="s">
        <v>19</v>
      </c>
      <c r="N663" s="224" t="s">
        <v>43</v>
      </c>
      <c r="O663" s="65"/>
      <c r="P663" s="183">
        <f>O663*H663</f>
        <v>0</v>
      </c>
      <c r="Q663" s="183">
        <v>1.225E-2</v>
      </c>
      <c r="R663" s="183">
        <f>Q663*H663</f>
        <v>7.350000000000001E-2</v>
      </c>
      <c r="S663" s="183">
        <v>0</v>
      </c>
      <c r="T663" s="184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85" t="s">
        <v>334</v>
      </c>
      <c r="AT663" s="185" t="s">
        <v>414</v>
      </c>
      <c r="AU663" s="185" t="s">
        <v>82</v>
      </c>
      <c r="AY663" s="18" t="s">
        <v>128</v>
      </c>
      <c r="BE663" s="186">
        <f>IF(N663="základní",J663,0)</f>
        <v>0</v>
      </c>
      <c r="BF663" s="186">
        <f>IF(N663="snížená",J663,0)</f>
        <v>0</v>
      </c>
      <c r="BG663" s="186">
        <f>IF(N663="zákl. přenesená",J663,0)</f>
        <v>0</v>
      </c>
      <c r="BH663" s="186">
        <f>IF(N663="sníž. přenesená",J663,0)</f>
        <v>0</v>
      </c>
      <c r="BI663" s="186">
        <f>IF(N663="nulová",J663,0)</f>
        <v>0</v>
      </c>
      <c r="BJ663" s="18" t="s">
        <v>80</v>
      </c>
      <c r="BK663" s="186">
        <f>ROUND(I663*H663,2)</f>
        <v>0</v>
      </c>
      <c r="BL663" s="18" t="s">
        <v>230</v>
      </c>
      <c r="BM663" s="185" t="s">
        <v>1488</v>
      </c>
    </row>
    <row r="664" spans="1:65" s="2" customFormat="1" ht="21.75" customHeight="1">
      <c r="A664" s="35"/>
      <c r="B664" s="36"/>
      <c r="C664" s="215" t="s">
        <v>1489</v>
      </c>
      <c r="D664" s="215" t="s">
        <v>414</v>
      </c>
      <c r="E664" s="216" t="s">
        <v>1490</v>
      </c>
      <c r="F664" s="217" t="s">
        <v>1491</v>
      </c>
      <c r="G664" s="218" t="s">
        <v>305</v>
      </c>
      <c r="H664" s="219">
        <v>2</v>
      </c>
      <c r="I664" s="220"/>
      <c r="J664" s="221">
        <f>ROUND(I664*H664,2)</f>
        <v>0</v>
      </c>
      <c r="K664" s="217" t="s">
        <v>134</v>
      </c>
      <c r="L664" s="222"/>
      <c r="M664" s="223" t="s">
        <v>19</v>
      </c>
      <c r="N664" s="224" t="s">
        <v>43</v>
      </c>
      <c r="O664" s="65"/>
      <c r="P664" s="183">
        <f>O664*H664</f>
        <v>0</v>
      </c>
      <c r="Q664" s="183">
        <v>1.272E-2</v>
      </c>
      <c r="R664" s="183">
        <f>Q664*H664</f>
        <v>2.5440000000000001E-2</v>
      </c>
      <c r="S664" s="183">
        <v>0</v>
      </c>
      <c r="T664" s="184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185" t="s">
        <v>334</v>
      </c>
      <c r="AT664" s="185" t="s">
        <v>414</v>
      </c>
      <c r="AU664" s="185" t="s">
        <v>82</v>
      </c>
      <c r="AY664" s="18" t="s">
        <v>128</v>
      </c>
      <c r="BE664" s="186">
        <f>IF(N664="základní",J664,0)</f>
        <v>0</v>
      </c>
      <c r="BF664" s="186">
        <f>IF(N664="snížená",J664,0)</f>
        <v>0</v>
      </c>
      <c r="BG664" s="186">
        <f>IF(N664="zákl. přenesená",J664,0)</f>
        <v>0</v>
      </c>
      <c r="BH664" s="186">
        <f>IF(N664="sníž. přenesená",J664,0)</f>
        <v>0</v>
      </c>
      <c r="BI664" s="186">
        <f>IF(N664="nulová",J664,0)</f>
        <v>0</v>
      </c>
      <c r="BJ664" s="18" t="s">
        <v>80</v>
      </c>
      <c r="BK664" s="186">
        <f>ROUND(I664*H664,2)</f>
        <v>0</v>
      </c>
      <c r="BL664" s="18" t="s">
        <v>230</v>
      </c>
      <c r="BM664" s="185" t="s">
        <v>1492</v>
      </c>
    </row>
    <row r="665" spans="1:65" s="2" customFormat="1" ht="24.15" customHeight="1">
      <c r="A665" s="35"/>
      <c r="B665" s="36"/>
      <c r="C665" s="174" t="s">
        <v>1493</v>
      </c>
      <c r="D665" s="174" t="s">
        <v>130</v>
      </c>
      <c r="E665" s="175" t="s">
        <v>1494</v>
      </c>
      <c r="F665" s="176" t="s">
        <v>1495</v>
      </c>
      <c r="G665" s="177" t="s">
        <v>258</v>
      </c>
      <c r="H665" s="178">
        <v>147.12</v>
      </c>
      <c r="I665" s="179"/>
      <c r="J665" s="180">
        <f>ROUND(I665*H665,2)</f>
        <v>0</v>
      </c>
      <c r="K665" s="176" t="s">
        <v>134</v>
      </c>
      <c r="L665" s="40"/>
      <c r="M665" s="181" t="s">
        <v>19</v>
      </c>
      <c r="N665" s="182" t="s">
        <v>43</v>
      </c>
      <c r="O665" s="65"/>
      <c r="P665" s="183">
        <f>O665*H665</f>
        <v>0</v>
      </c>
      <c r="Q665" s="183">
        <v>5.5399999999999998E-3</v>
      </c>
      <c r="R665" s="183">
        <f>Q665*H665</f>
        <v>0.81504480000000001</v>
      </c>
      <c r="S665" s="183">
        <v>0</v>
      </c>
      <c r="T665" s="184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185" t="s">
        <v>230</v>
      </c>
      <c r="AT665" s="185" t="s">
        <v>130</v>
      </c>
      <c r="AU665" s="185" t="s">
        <v>82</v>
      </c>
      <c r="AY665" s="18" t="s">
        <v>128</v>
      </c>
      <c r="BE665" s="186">
        <f>IF(N665="základní",J665,0)</f>
        <v>0</v>
      </c>
      <c r="BF665" s="186">
        <f>IF(N665="snížená",J665,0)</f>
        <v>0</v>
      </c>
      <c r="BG665" s="186">
        <f>IF(N665="zákl. přenesená",J665,0)</f>
        <v>0</v>
      </c>
      <c r="BH665" s="186">
        <f>IF(N665="sníž. přenesená",J665,0)</f>
        <v>0</v>
      </c>
      <c r="BI665" s="186">
        <f>IF(N665="nulová",J665,0)</f>
        <v>0</v>
      </c>
      <c r="BJ665" s="18" t="s">
        <v>80</v>
      </c>
      <c r="BK665" s="186">
        <f>ROUND(I665*H665,2)</f>
        <v>0</v>
      </c>
      <c r="BL665" s="18" t="s">
        <v>230</v>
      </c>
      <c r="BM665" s="185" t="s">
        <v>1496</v>
      </c>
    </row>
    <row r="666" spans="1:65" s="2" customFormat="1" ht="10">
      <c r="A666" s="35"/>
      <c r="B666" s="36"/>
      <c r="C666" s="37"/>
      <c r="D666" s="187" t="s">
        <v>137</v>
      </c>
      <c r="E666" s="37"/>
      <c r="F666" s="188" t="s">
        <v>1497</v>
      </c>
      <c r="G666" s="37"/>
      <c r="H666" s="37"/>
      <c r="I666" s="189"/>
      <c r="J666" s="37"/>
      <c r="K666" s="37"/>
      <c r="L666" s="40"/>
      <c r="M666" s="190"/>
      <c r="N666" s="191"/>
      <c r="O666" s="65"/>
      <c r="P666" s="65"/>
      <c r="Q666" s="65"/>
      <c r="R666" s="65"/>
      <c r="S666" s="65"/>
      <c r="T666" s="66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T666" s="18" t="s">
        <v>137</v>
      </c>
      <c r="AU666" s="18" t="s">
        <v>82</v>
      </c>
    </row>
    <row r="667" spans="1:65" s="13" customFormat="1" ht="10">
      <c r="B667" s="192"/>
      <c r="C667" s="193"/>
      <c r="D667" s="194" t="s">
        <v>139</v>
      </c>
      <c r="E667" s="195" t="s">
        <v>19</v>
      </c>
      <c r="F667" s="196" t="s">
        <v>1498</v>
      </c>
      <c r="G667" s="193"/>
      <c r="H667" s="197">
        <v>137.12</v>
      </c>
      <c r="I667" s="198"/>
      <c r="J667" s="193"/>
      <c r="K667" s="193"/>
      <c r="L667" s="199"/>
      <c r="M667" s="200"/>
      <c r="N667" s="201"/>
      <c r="O667" s="201"/>
      <c r="P667" s="201"/>
      <c r="Q667" s="201"/>
      <c r="R667" s="201"/>
      <c r="S667" s="201"/>
      <c r="T667" s="202"/>
      <c r="AT667" s="203" t="s">
        <v>139</v>
      </c>
      <c r="AU667" s="203" t="s">
        <v>82</v>
      </c>
      <c r="AV667" s="13" t="s">
        <v>82</v>
      </c>
      <c r="AW667" s="13" t="s">
        <v>34</v>
      </c>
      <c r="AX667" s="13" t="s">
        <v>72</v>
      </c>
      <c r="AY667" s="203" t="s">
        <v>128</v>
      </c>
    </row>
    <row r="668" spans="1:65" s="13" customFormat="1" ht="10">
      <c r="B668" s="192"/>
      <c r="C668" s="193"/>
      <c r="D668" s="194" t="s">
        <v>139</v>
      </c>
      <c r="E668" s="195" t="s">
        <v>19</v>
      </c>
      <c r="F668" s="196" t="s">
        <v>1499</v>
      </c>
      <c r="G668" s="193"/>
      <c r="H668" s="197">
        <v>10</v>
      </c>
      <c r="I668" s="198"/>
      <c r="J668" s="193"/>
      <c r="K668" s="193"/>
      <c r="L668" s="199"/>
      <c r="M668" s="200"/>
      <c r="N668" s="201"/>
      <c r="O668" s="201"/>
      <c r="P668" s="201"/>
      <c r="Q668" s="201"/>
      <c r="R668" s="201"/>
      <c r="S668" s="201"/>
      <c r="T668" s="202"/>
      <c r="AT668" s="203" t="s">
        <v>139</v>
      </c>
      <c r="AU668" s="203" t="s">
        <v>82</v>
      </c>
      <c r="AV668" s="13" t="s">
        <v>82</v>
      </c>
      <c r="AW668" s="13" t="s">
        <v>34</v>
      </c>
      <c r="AX668" s="13" t="s">
        <v>72</v>
      </c>
      <c r="AY668" s="203" t="s">
        <v>128</v>
      </c>
    </row>
    <row r="669" spans="1:65" s="14" customFormat="1" ht="10">
      <c r="B669" s="204"/>
      <c r="C669" s="205"/>
      <c r="D669" s="194" t="s">
        <v>139</v>
      </c>
      <c r="E669" s="206" t="s">
        <v>19</v>
      </c>
      <c r="F669" s="207" t="s">
        <v>153</v>
      </c>
      <c r="G669" s="205"/>
      <c r="H669" s="208">
        <v>147.12</v>
      </c>
      <c r="I669" s="209"/>
      <c r="J669" s="205"/>
      <c r="K669" s="205"/>
      <c r="L669" s="210"/>
      <c r="M669" s="211"/>
      <c r="N669" s="212"/>
      <c r="O669" s="212"/>
      <c r="P669" s="212"/>
      <c r="Q669" s="212"/>
      <c r="R669" s="212"/>
      <c r="S669" s="212"/>
      <c r="T669" s="213"/>
      <c r="AT669" s="214" t="s">
        <v>139</v>
      </c>
      <c r="AU669" s="214" t="s">
        <v>82</v>
      </c>
      <c r="AV669" s="14" t="s">
        <v>135</v>
      </c>
      <c r="AW669" s="14" t="s">
        <v>34</v>
      </c>
      <c r="AX669" s="14" t="s">
        <v>80</v>
      </c>
      <c r="AY669" s="214" t="s">
        <v>128</v>
      </c>
    </row>
    <row r="670" spans="1:65" s="2" customFormat="1" ht="24.15" customHeight="1">
      <c r="A670" s="35"/>
      <c r="B670" s="36"/>
      <c r="C670" s="174" t="s">
        <v>1500</v>
      </c>
      <c r="D670" s="174" t="s">
        <v>130</v>
      </c>
      <c r="E670" s="175" t="s">
        <v>1501</v>
      </c>
      <c r="F670" s="176" t="s">
        <v>1502</v>
      </c>
      <c r="G670" s="177" t="s">
        <v>258</v>
      </c>
      <c r="H670" s="178">
        <v>10.5</v>
      </c>
      <c r="I670" s="179"/>
      <c r="J670" s="180">
        <f>ROUND(I670*H670,2)</f>
        <v>0</v>
      </c>
      <c r="K670" s="176" t="s">
        <v>134</v>
      </c>
      <c r="L670" s="40"/>
      <c r="M670" s="181" t="s">
        <v>19</v>
      </c>
      <c r="N670" s="182" t="s">
        <v>43</v>
      </c>
      <c r="O670" s="65"/>
      <c r="P670" s="183">
        <f>O670*H670</f>
        <v>0</v>
      </c>
      <c r="Q670" s="183">
        <v>2.9989999999999999E-2</v>
      </c>
      <c r="R670" s="183">
        <f>Q670*H670</f>
        <v>0.31489499999999998</v>
      </c>
      <c r="S670" s="183">
        <v>0</v>
      </c>
      <c r="T670" s="184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185" t="s">
        <v>230</v>
      </c>
      <c r="AT670" s="185" t="s">
        <v>130</v>
      </c>
      <c r="AU670" s="185" t="s">
        <v>82</v>
      </c>
      <c r="AY670" s="18" t="s">
        <v>128</v>
      </c>
      <c r="BE670" s="186">
        <f>IF(N670="základní",J670,0)</f>
        <v>0</v>
      </c>
      <c r="BF670" s="186">
        <f>IF(N670="snížená",J670,0)</f>
        <v>0</v>
      </c>
      <c r="BG670" s="186">
        <f>IF(N670="zákl. přenesená",J670,0)</f>
        <v>0</v>
      </c>
      <c r="BH670" s="186">
        <f>IF(N670="sníž. přenesená",J670,0)</f>
        <v>0</v>
      </c>
      <c r="BI670" s="186">
        <f>IF(N670="nulová",J670,0)</f>
        <v>0</v>
      </c>
      <c r="BJ670" s="18" t="s">
        <v>80</v>
      </c>
      <c r="BK670" s="186">
        <f>ROUND(I670*H670,2)</f>
        <v>0</v>
      </c>
      <c r="BL670" s="18" t="s">
        <v>230</v>
      </c>
      <c r="BM670" s="185" t="s">
        <v>1503</v>
      </c>
    </row>
    <row r="671" spans="1:65" s="2" customFormat="1" ht="10">
      <c r="A671" s="35"/>
      <c r="B671" s="36"/>
      <c r="C671" s="37"/>
      <c r="D671" s="187" t="s">
        <v>137</v>
      </c>
      <c r="E671" s="37"/>
      <c r="F671" s="188" t="s">
        <v>1504</v>
      </c>
      <c r="G671" s="37"/>
      <c r="H671" s="37"/>
      <c r="I671" s="189"/>
      <c r="J671" s="37"/>
      <c r="K671" s="37"/>
      <c r="L671" s="40"/>
      <c r="M671" s="190"/>
      <c r="N671" s="191"/>
      <c r="O671" s="65"/>
      <c r="P671" s="65"/>
      <c r="Q671" s="65"/>
      <c r="R671" s="65"/>
      <c r="S671" s="65"/>
      <c r="T671" s="66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T671" s="18" t="s">
        <v>137</v>
      </c>
      <c r="AU671" s="18" t="s">
        <v>82</v>
      </c>
    </row>
    <row r="672" spans="1:65" s="13" customFormat="1" ht="10">
      <c r="B672" s="192"/>
      <c r="C672" s="193"/>
      <c r="D672" s="194" t="s">
        <v>139</v>
      </c>
      <c r="E672" s="195" t="s">
        <v>19</v>
      </c>
      <c r="F672" s="196" t="s">
        <v>1505</v>
      </c>
      <c r="G672" s="193"/>
      <c r="H672" s="197">
        <v>10.5</v>
      </c>
      <c r="I672" s="198"/>
      <c r="J672" s="193"/>
      <c r="K672" s="193"/>
      <c r="L672" s="199"/>
      <c r="M672" s="200"/>
      <c r="N672" s="201"/>
      <c r="O672" s="201"/>
      <c r="P672" s="201"/>
      <c r="Q672" s="201"/>
      <c r="R672" s="201"/>
      <c r="S672" s="201"/>
      <c r="T672" s="202"/>
      <c r="AT672" s="203" t="s">
        <v>139</v>
      </c>
      <c r="AU672" s="203" t="s">
        <v>82</v>
      </c>
      <c r="AV672" s="13" t="s">
        <v>82</v>
      </c>
      <c r="AW672" s="13" t="s">
        <v>34</v>
      </c>
      <c r="AX672" s="13" t="s">
        <v>80</v>
      </c>
      <c r="AY672" s="203" t="s">
        <v>128</v>
      </c>
    </row>
    <row r="673" spans="1:65" s="2" customFormat="1" ht="24.15" customHeight="1">
      <c r="A673" s="35"/>
      <c r="B673" s="36"/>
      <c r="C673" s="174" t="s">
        <v>1506</v>
      </c>
      <c r="D673" s="174" t="s">
        <v>130</v>
      </c>
      <c r="E673" s="175" t="s">
        <v>1507</v>
      </c>
      <c r="F673" s="176" t="s">
        <v>1508</v>
      </c>
      <c r="G673" s="177" t="s">
        <v>258</v>
      </c>
      <c r="H673" s="178">
        <v>1121.0640000000001</v>
      </c>
      <c r="I673" s="179"/>
      <c r="J673" s="180">
        <f>ROUND(I673*H673,2)</f>
        <v>0</v>
      </c>
      <c r="K673" s="176" t="s">
        <v>134</v>
      </c>
      <c r="L673" s="40"/>
      <c r="M673" s="181" t="s">
        <v>19</v>
      </c>
      <c r="N673" s="182" t="s">
        <v>43</v>
      </c>
      <c r="O673" s="65"/>
      <c r="P673" s="183">
        <f>O673*H673</f>
        <v>0</v>
      </c>
      <c r="Q673" s="183">
        <v>0</v>
      </c>
      <c r="R673" s="183">
        <f>Q673*H673</f>
        <v>0</v>
      </c>
      <c r="S673" s="183">
        <v>0</v>
      </c>
      <c r="T673" s="184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185" t="s">
        <v>230</v>
      </c>
      <c r="AT673" s="185" t="s">
        <v>130</v>
      </c>
      <c r="AU673" s="185" t="s">
        <v>82</v>
      </c>
      <c r="AY673" s="18" t="s">
        <v>128</v>
      </c>
      <c r="BE673" s="186">
        <f>IF(N673="základní",J673,0)</f>
        <v>0</v>
      </c>
      <c r="BF673" s="186">
        <f>IF(N673="snížená",J673,0)</f>
        <v>0</v>
      </c>
      <c r="BG673" s="186">
        <f>IF(N673="zákl. přenesená",J673,0)</f>
        <v>0</v>
      </c>
      <c r="BH673" s="186">
        <f>IF(N673="sníž. přenesená",J673,0)</f>
        <v>0</v>
      </c>
      <c r="BI673" s="186">
        <f>IF(N673="nulová",J673,0)</f>
        <v>0</v>
      </c>
      <c r="BJ673" s="18" t="s">
        <v>80</v>
      </c>
      <c r="BK673" s="186">
        <f>ROUND(I673*H673,2)</f>
        <v>0</v>
      </c>
      <c r="BL673" s="18" t="s">
        <v>230</v>
      </c>
      <c r="BM673" s="185" t="s">
        <v>1509</v>
      </c>
    </row>
    <row r="674" spans="1:65" s="2" customFormat="1" ht="10">
      <c r="A674" s="35"/>
      <c r="B674" s="36"/>
      <c r="C674" s="37"/>
      <c r="D674" s="187" t="s">
        <v>137</v>
      </c>
      <c r="E674" s="37"/>
      <c r="F674" s="188" t="s">
        <v>1510</v>
      </c>
      <c r="G674" s="37"/>
      <c r="H674" s="37"/>
      <c r="I674" s="189"/>
      <c r="J674" s="37"/>
      <c r="K674" s="37"/>
      <c r="L674" s="40"/>
      <c r="M674" s="190"/>
      <c r="N674" s="191"/>
      <c r="O674" s="65"/>
      <c r="P674" s="65"/>
      <c r="Q674" s="65"/>
      <c r="R674" s="65"/>
      <c r="S674" s="65"/>
      <c r="T674" s="66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T674" s="18" t="s">
        <v>137</v>
      </c>
      <c r="AU674" s="18" t="s">
        <v>82</v>
      </c>
    </row>
    <row r="675" spans="1:65" s="13" customFormat="1" ht="10">
      <c r="B675" s="192"/>
      <c r="C675" s="193"/>
      <c r="D675" s="194" t="s">
        <v>139</v>
      </c>
      <c r="E675" s="195" t="s">
        <v>19</v>
      </c>
      <c r="F675" s="196" t="s">
        <v>1511</v>
      </c>
      <c r="G675" s="193"/>
      <c r="H675" s="197">
        <v>560.53200000000004</v>
      </c>
      <c r="I675" s="198"/>
      <c r="J675" s="193"/>
      <c r="K675" s="193"/>
      <c r="L675" s="199"/>
      <c r="M675" s="200"/>
      <c r="N675" s="201"/>
      <c r="O675" s="201"/>
      <c r="P675" s="201"/>
      <c r="Q675" s="201"/>
      <c r="R675" s="201"/>
      <c r="S675" s="201"/>
      <c r="T675" s="202"/>
      <c r="AT675" s="203" t="s">
        <v>139</v>
      </c>
      <c r="AU675" s="203" t="s">
        <v>82</v>
      </c>
      <c r="AV675" s="13" t="s">
        <v>82</v>
      </c>
      <c r="AW675" s="13" t="s">
        <v>34</v>
      </c>
      <c r="AX675" s="13" t="s">
        <v>72</v>
      </c>
      <c r="AY675" s="203" t="s">
        <v>128</v>
      </c>
    </row>
    <row r="676" spans="1:65" s="13" customFormat="1" ht="10">
      <c r="B676" s="192"/>
      <c r="C676" s="193"/>
      <c r="D676" s="194" t="s">
        <v>139</v>
      </c>
      <c r="E676" s="195" t="s">
        <v>19</v>
      </c>
      <c r="F676" s="196" t="s">
        <v>1512</v>
      </c>
      <c r="G676" s="193"/>
      <c r="H676" s="197">
        <v>560.53200000000004</v>
      </c>
      <c r="I676" s="198"/>
      <c r="J676" s="193"/>
      <c r="K676" s="193"/>
      <c r="L676" s="199"/>
      <c r="M676" s="200"/>
      <c r="N676" s="201"/>
      <c r="O676" s="201"/>
      <c r="P676" s="201"/>
      <c r="Q676" s="201"/>
      <c r="R676" s="201"/>
      <c r="S676" s="201"/>
      <c r="T676" s="202"/>
      <c r="AT676" s="203" t="s">
        <v>139</v>
      </c>
      <c r="AU676" s="203" t="s">
        <v>82</v>
      </c>
      <c r="AV676" s="13" t="s">
        <v>82</v>
      </c>
      <c r="AW676" s="13" t="s">
        <v>34</v>
      </c>
      <c r="AX676" s="13" t="s">
        <v>72</v>
      </c>
      <c r="AY676" s="203" t="s">
        <v>128</v>
      </c>
    </row>
    <row r="677" spans="1:65" s="14" customFormat="1" ht="10">
      <c r="B677" s="204"/>
      <c r="C677" s="205"/>
      <c r="D677" s="194" t="s">
        <v>139</v>
      </c>
      <c r="E677" s="206" t="s">
        <v>19</v>
      </c>
      <c r="F677" s="207" t="s">
        <v>153</v>
      </c>
      <c r="G677" s="205"/>
      <c r="H677" s="208">
        <v>1121.0640000000001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139</v>
      </c>
      <c r="AU677" s="214" t="s">
        <v>82</v>
      </c>
      <c r="AV677" s="14" t="s">
        <v>135</v>
      </c>
      <c r="AW677" s="14" t="s">
        <v>34</v>
      </c>
      <c r="AX677" s="14" t="s">
        <v>80</v>
      </c>
      <c r="AY677" s="214" t="s">
        <v>128</v>
      </c>
    </row>
    <row r="678" spans="1:65" s="2" customFormat="1" ht="16.5" customHeight="1">
      <c r="A678" s="35"/>
      <c r="B678" s="36"/>
      <c r="C678" s="215" t="s">
        <v>1513</v>
      </c>
      <c r="D678" s="215" t="s">
        <v>414</v>
      </c>
      <c r="E678" s="216" t="s">
        <v>1514</v>
      </c>
      <c r="F678" s="217" t="s">
        <v>1515</v>
      </c>
      <c r="G678" s="218" t="s">
        <v>148</v>
      </c>
      <c r="H678" s="219">
        <v>26.637</v>
      </c>
      <c r="I678" s="220"/>
      <c r="J678" s="221">
        <f>ROUND(I678*H678,2)</f>
        <v>0</v>
      </c>
      <c r="K678" s="217" t="s">
        <v>19</v>
      </c>
      <c r="L678" s="222"/>
      <c r="M678" s="223" t="s">
        <v>19</v>
      </c>
      <c r="N678" s="224" t="s">
        <v>43</v>
      </c>
      <c r="O678" s="65"/>
      <c r="P678" s="183">
        <f>O678*H678</f>
        <v>0</v>
      </c>
      <c r="Q678" s="183">
        <v>0.44</v>
      </c>
      <c r="R678" s="183">
        <f>Q678*H678</f>
        <v>11.720280000000001</v>
      </c>
      <c r="S678" s="183">
        <v>0</v>
      </c>
      <c r="T678" s="184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85" t="s">
        <v>334</v>
      </c>
      <c r="AT678" s="185" t="s">
        <v>414</v>
      </c>
      <c r="AU678" s="185" t="s">
        <v>82</v>
      </c>
      <c r="AY678" s="18" t="s">
        <v>128</v>
      </c>
      <c r="BE678" s="186">
        <f>IF(N678="základní",J678,0)</f>
        <v>0</v>
      </c>
      <c r="BF678" s="186">
        <f>IF(N678="snížená",J678,0)</f>
        <v>0</v>
      </c>
      <c r="BG678" s="186">
        <f>IF(N678="zákl. přenesená",J678,0)</f>
        <v>0</v>
      </c>
      <c r="BH678" s="186">
        <f>IF(N678="sníž. přenesená",J678,0)</f>
        <v>0</v>
      </c>
      <c r="BI678" s="186">
        <f>IF(N678="nulová",J678,0)</f>
        <v>0</v>
      </c>
      <c r="BJ678" s="18" t="s">
        <v>80</v>
      </c>
      <c r="BK678" s="186">
        <f>ROUND(I678*H678,2)</f>
        <v>0</v>
      </c>
      <c r="BL678" s="18" t="s">
        <v>230</v>
      </c>
      <c r="BM678" s="185" t="s">
        <v>1516</v>
      </c>
    </row>
    <row r="679" spans="1:65" s="13" customFormat="1" ht="10">
      <c r="B679" s="192"/>
      <c r="C679" s="193"/>
      <c r="D679" s="194" t="s">
        <v>139</v>
      </c>
      <c r="E679" s="195" t="s">
        <v>19</v>
      </c>
      <c r="F679" s="196" t="s">
        <v>1517</v>
      </c>
      <c r="G679" s="193"/>
      <c r="H679" s="197">
        <v>15.134</v>
      </c>
      <c r="I679" s="198"/>
      <c r="J679" s="193"/>
      <c r="K679" s="193"/>
      <c r="L679" s="199"/>
      <c r="M679" s="200"/>
      <c r="N679" s="201"/>
      <c r="O679" s="201"/>
      <c r="P679" s="201"/>
      <c r="Q679" s="201"/>
      <c r="R679" s="201"/>
      <c r="S679" s="201"/>
      <c r="T679" s="202"/>
      <c r="AT679" s="203" t="s">
        <v>139</v>
      </c>
      <c r="AU679" s="203" t="s">
        <v>82</v>
      </c>
      <c r="AV679" s="13" t="s">
        <v>82</v>
      </c>
      <c r="AW679" s="13" t="s">
        <v>34</v>
      </c>
      <c r="AX679" s="13" t="s">
        <v>72</v>
      </c>
      <c r="AY679" s="203" t="s">
        <v>128</v>
      </c>
    </row>
    <row r="680" spans="1:65" s="13" customFormat="1" ht="10">
      <c r="B680" s="192"/>
      <c r="C680" s="193"/>
      <c r="D680" s="194" t="s">
        <v>139</v>
      </c>
      <c r="E680" s="195" t="s">
        <v>19</v>
      </c>
      <c r="F680" s="196" t="s">
        <v>1518</v>
      </c>
      <c r="G680" s="193"/>
      <c r="H680" s="197">
        <v>9.0809999999999995</v>
      </c>
      <c r="I680" s="198"/>
      <c r="J680" s="193"/>
      <c r="K680" s="193"/>
      <c r="L680" s="199"/>
      <c r="M680" s="200"/>
      <c r="N680" s="201"/>
      <c r="O680" s="201"/>
      <c r="P680" s="201"/>
      <c r="Q680" s="201"/>
      <c r="R680" s="201"/>
      <c r="S680" s="201"/>
      <c r="T680" s="202"/>
      <c r="AT680" s="203" t="s">
        <v>139</v>
      </c>
      <c r="AU680" s="203" t="s">
        <v>82</v>
      </c>
      <c r="AV680" s="13" t="s">
        <v>82</v>
      </c>
      <c r="AW680" s="13" t="s">
        <v>34</v>
      </c>
      <c r="AX680" s="13" t="s">
        <v>72</v>
      </c>
      <c r="AY680" s="203" t="s">
        <v>128</v>
      </c>
    </row>
    <row r="681" spans="1:65" s="14" customFormat="1" ht="10">
      <c r="B681" s="204"/>
      <c r="C681" s="205"/>
      <c r="D681" s="194" t="s">
        <v>139</v>
      </c>
      <c r="E681" s="206" t="s">
        <v>19</v>
      </c>
      <c r="F681" s="207" t="s">
        <v>153</v>
      </c>
      <c r="G681" s="205"/>
      <c r="H681" s="208">
        <v>24.215</v>
      </c>
      <c r="I681" s="209"/>
      <c r="J681" s="205"/>
      <c r="K681" s="205"/>
      <c r="L681" s="210"/>
      <c r="M681" s="211"/>
      <c r="N681" s="212"/>
      <c r="O681" s="212"/>
      <c r="P681" s="212"/>
      <c r="Q681" s="212"/>
      <c r="R681" s="212"/>
      <c r="S681" s="212"/>
      <c r="T681" s="213"/>
      <c r="AT681" s="214" t="s">
        <v>139</v>
      </c>
      <c r="AU681" s="214" t="s">
        <v>82</v>
      </c>
      <c r="AV681" s="14" t="s">
        <v>135</v>
      </c>
      <c r="AW681" s="14" t="s">
        <v>34</v>
      </c>
      <c r="AX681" s="14" t="s">
        <v>80</v>
      </c>
      <c r="AY681" s="214" t="s">
        <v>128</v>
      </c>
    </row>
    <row r="682" spans="1:65" s="13" customFormat="1" ht="10">
      <c r="B682" s="192"/>
      <c r="C682" s="193"/>
      <c r="D682" s="194" t="s">
        <v>139</v>
      </c>
      <c r="E682" s="193"/>
      <c r="F682" s="196" t="s">
        <v>1519</v>
      </c>
      <c r="G682" s="193"/>
      <c r="H682" s="197">
        <v>26.637</v>
      </c>
      <c r="I682" s="198"/>
      <c r="J682" s="193"/>
      <c r="K682" s="193"/>
      <c r="L682" s="199"/>
      <c r="M682" s="200"/>
      <c r="N682" s="201"/>
      <c r="O682" s="201"/>
      <c r="P682" s="201"/>
      <c r="Q682" s="201"/>
      <c r="R682" s="201"/>
      <c r="S682" s="201"/>
      <c r="T682" s="202"/>
      <c r="AT682" s="203" t="s">
        <v>139</v>
      </c>
      <c r="AU682" s="203" t="s">
        <v>82</v>
      </c>
      <c r="AV682" s="13" t="s">
        <v>82</v>
      </c>
      <c r="AW682" s="13" t="s">
        <v>4</v>
      </c>
      <c r="AX682" s="13" t="s">
        <v>80</v>
      </c>
      <c r="AY682" s="203" t="s">
        <v>128</v>
      </c>
    </row>
    <row r="683" spans="1:65" s="2" customFormat="1" ht="16.5" customHeight="1">
      <c r="A683" s="35"/>
      <c r="B683" s="36"/>
      <c r="C683" s="174" t="s">
        <v>1520</v>
      </c>
      <c r="D683" s="174" t="s">
        <v>130</v>
      </c>
      <c r="E683" s="175" t="s">
        <v>1521</v>
      </c>
      <c r="F683" s="176" t="s">
        <v>1522</v>
      </c>
      <c r="G683" s="177" t="s">
        <v>192</v>
      </c>
      <c r="H683" s="178">
        <v>8</v>
      </c>
      <c r="I683" s="179"/>
      <c r="J683" s="180">
        <f>ROUND(I683*H683,2)</f>
        <v>0</v>
      </c>
      <c r="K683" s="176" t="s">
        <v>19</v>
      </c>
      <c r="L683" s="40"/>
      <c r="M683" s="181" t="s">
        <v>19</v>
      </c>
      <c r="N683" s="182" t="s">
        <v>43</v>
      </c>
      <c r="O683" s="65"/>
      <c r="P683" s="183">
        <f>O683*H683</f>
        <v>0</v>
      </c>
      <c r="Q683" s="183">
        <v>0</v>
      </c>
      <c r="R683" s="183">
        <f>Q683*H683</f>
        <v>0</v>
      </c>
      <c r="S683" s="183">
        <v>0</v>
      </c>
      <c r="T683" s="184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185" t="s">
        <v>230</v>
      </c>
      <c r="AT683" s="185" t="s">
        <v>130</v>
      </c>
      <c r="AU683" s="185" t="s">
        <v>82</v>
      </c>
      <c r="AY683" s="18" t="s">
        <v>128</v>
      </c>
      <c r="BE683" s="186">
        <f>IF(N683="základní",J683,0)</f>
        <v>0</v>
      </c>
      <c r="BF683" s="186">
        <f>IF(N683="snížená",J683,0)</f>
        <v>0</v>
      </c>
      <c r="BG683" s="186">
        <f>IF(N683="zákl. přenesená",J683,0)</f>
        <v>0</v>
      </c>
      <c r="BH683" s="186">
        <f>IF(N683="sníž. přenesená",J683,0)</f>
        <v>0</v>
      </c>
      <c r="BI683" s="186">
        <f>IF(N683="nulová",J683,0)</f>
        <v>0</v>
      </c>
      <c r="BJ683" s="18" t="s">
        <v>80</v>
      </c>
      <c r="BK683" s="186">
        <f>ROUND(I683*H683,2)</f>
        <v>0</v>
      </c>
      <c r="BL683" s="18" t="s">
        <v>230</v>
      </c>
      <c r="BM683" s="185" t="s">
        <v>1523</v>
      </c>
    </row>
    <row r="684" spans="1:65" s="2" customFormat="1" ht="16.5" customHeight="1">
      <c r="A684" s="35"/>
      <c r="B684" s="36"/>
      <c r="C684" s="174" t="s">
        <v>1524</v>
      </c>
      <c r="D684" s="174" t="s">
        <v>130</v>
      </c>
      <c r="E684" s="175" t="s">
        <v>1525</v>
      </c>
      <c r="F684" s="176" t="s">
        <v>1526</v>
      </c>
      <c r="G684" s="177" t="s">
        <v>192</v>
      </c>
      <c r="H684" s="178">
        <v>4</v>
      </c>
      <c r="I684" s="179"/>
      <c r="J684" s="180">
        <f>ROUND(I684*H684,2)</f>
        <v>0</v>
      </c>
      <c r="K684" s="176" t="s">
        <v>19</v>
      </c>
      <c r="L684" s="40"/>
      <c r="M684" s="181" t="s">
        <v>19</v>
      </c>
      <c r="N684" s="182" t="s">
        <v>43</v>
      </c>
      <c r="O684" s="65"/>
      <c r="P684" s="183">
        <f>O684*H684</f>
        <v>0</v>
      </c>
      <c r="Q684" s="183">
        <v>0</v>
      </c>
      <c r="R684" s="183">
        <f>Q684*H684</f>
        <v>0</v>
      </c>
      <c r="S684" s="183">
        <v>0</v>
      </c>
      <c r="T684" s="184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85" t="s">
        <v>230</v>
      </c>
      <c r="AT684" s="185" t="s">
        <v>130</v>
      </c>
      <c r="AU684" s="185" t="s">
        <v>82</v>
      </c>
      <c r="AY684" s="18" t="s">
        <v>128</v>
      </c>
      <c r="BE684" s="186">
        <f>IF(N684="základní",J684,0)</f>
        <v>0</v>
      </c>
      <c r="BF684" s="186">
        <f>IF(N684="snížená",J684,0)</f>
        <v>0</v>
      </c>
      <c r="BG684" s="186">
        <f>IF(N684="zákl. přenesená",J684,0)</f>
        <v>0</v>
      </c>
      <c r="BH684" s="186">
        <f>IF(N684="sníž. přenesená",J684,0)</f>
        <v>0</v>
      </c>
      <c r="BI684" s="186">
        <f>IF(N684="nulová",J684,0)</f>
        <v>0</v>
      </c>
      <c r="BJ684" s="18" t="s">
        <v>80</v>
      </c>
      <c r="BK684" s="186">
        <f>ROUND(I684*H684,2)</f>
        <v>0</v>
      </c>
      <c r="BL684" s="18" t="s">
        <v>230</v>
      </c>
      <c r="BM684" s="185" t="s">
        <v>1527</v>
      </c>
    </row>
    <row r="685" spans="1:65" s="2" customFormat="1" ht="24.15" customHeight="1">
      <c r="A685" s="35"/>
      <c r="B685" s="36"/>
      <c r="C685" s="174" t="s">
        <v>1528</v>
      </c>
      <c r="D685" s="174" t="s">
        <v>130</v>
      </c>
      <c r="E685" s="175" t="s">
        <v>1529</v>
      </c>
      <c r="F685" s="176" t="s">
        <v>1530</v>
      </c>
      <c r="G685" s="177" t="s">
        <v>426</v>
      </c>
      <c r="H685" s="225"/>
      <c r="I685" s="179"/>
      <c r="J685" s="180">
        <f>ROUND(I685*H685,2)</f>
        <v>0</v>
      </c>
      <c r="K685" s="176" t="s">
        <v>134</v>
      </c>
      <c r="L685" s="40"/>
      <c r="M685" s="181" t="s">
        <v>19</v>
      </c>
      <c r="N685" s="182" t="s">
        <v>43</v>
      </c>
      <c r="O685" s="65"/>
      <c r="P685" s="183">
        <f>O685*H685</f>
        <v>0</v>
      </c>
      <c r="Q685" s="183">
        <v>0</v>
      </c>
      <c r="R685" s="183">
        <f>Q685*H685</f>
        <v>0</v>
      </c>
      <c r="S685" s="183">
        <v>0</v>
      </c>
      <c r="T685" s="184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85" t="s">
        <v>230</v>
      </c>
      <c r="AT685" s="185" t="s">
        <v>130</v>
      </c>
      <c r="AU685" s="185" t="s">
        <v>82</v>
      </c>
      <c r="AY685" s="18" t="s">
        <v>128</v>
      </c>
      <c r="BE685" s="186">
        <f>IF(N685="základní",J685,0)</f>
        <v>0</v>
      </c>
      <c r="BF685" s="186">
        <f>IF(N685="snížená",J685,0)</f>
        <v>0</v>
      </c>
      <c r="BG685" s="186">
        <f>IF(N685="zákl. přenesená",J685,0)</f>
        <v>0</v>
      </c>
      <c r="BH685" s="186">
        <f>IF(N685="sníž. přenesená",J685,0)</f>
        <v>0</v>
      </c>
      <c r="BI685" s="186">
        <f>IF(N685="nulová",J685,0)</f>
        <v>0</v>
      </c>
      <c r="BJ685" s="18" t="s">
        <v>80</v>
      </c>
      <c r="BK685" s="186">
        <f>ROUND(I685*H685,2)</f>
        <v>0</v>
      </c>
      <c r="BL685" s="18" t="s">
        <v>230</v>
      </c>
      <c r="BM685" s="185" t="s">
        <v>1531</v>
      </c>
    </row>
    <row r="686" spans="1:65" s="2" customFormat="1" ht="10">
      <c r="A686" s="35"/>
      <c r="B686" s="36"/>
      <c r="C686" s="37"/>
      <c r="D686" s="187" t="s">
        <v>137</v>
      </c>
      <c r="E686" s="37"/>
      <c r="F686" s="188" t="s">
        <v>1532</v>
      </c>
      <c r="G686" s="37"/>
      <c r="H686" s="37"/>
      <c r="I686" s="189"/>
      <c r="J686" s="37"/>
      <c r="K686" s="37"/>
      <c r="L686" s="40"/>
      <c r="M686" s="190"/>
      <c r="N686" s="191"/>
      <c r="O686" s="65"/>
      <c r="P686" s="65"/>
      <c r="Q686" s="65"/>
      <c r="R686" s="65"/>
      <c r="S686" s="65"/>
      <c r="T686" s="66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T686" s="18" t="s">
        <v>137</v>
      </c>
      <c r="AU686" s="18" t="s">
        <v>82</v>
      </c>
    </row>
    <row r="687" spans="1:65" s="12" customFormat="1" ht="22.75" customHeight="1">
      <c r="B687" s="158"/>
      <c r="C687" s="159"/>
      <c r="D687" s="160" t="s">
        <v>71</v>
      </c>
      <c r="E687" s="172" t="s">
        <v>500</v>
      </c>
      <c r="F687" s="172" t="s">
        <v>501</v>
      </c>
      <c r="G687" s="159"/>
      <c r="H687" s="159"/>
      <c r="I687" s="162"/>
      <c r="J687" s="173">
        <f>BK687</f>
        <v>0</v>
      </c>
      <c r="K687" s="159"/>
      <c r="L687" s="164"/>
      <c r="M687" s="165"/>
      <c r="N687" s="166"/>
      <c r="O687" s="166"/>
      <c r="P687" s="167">
        <f>SUM(P688:P749)</f>
        <v>0</v>
      </c>
      <c r="Q687" s="166"/>
      <c r="R687" s="167">
        <f>SUM(R688:R749)</f>
        <v>2.9389479999999999</v>
      </c>
      <c r="S687" s="166"/>
      <c r="T687" s="168">
        <f>SUM(T688:T749)</f>
        <v>0</v>
      </c>
      <c r="AR687" s="169" t="s">
        <v>82</v>
      </c>
      <c r="AT687" s="170" t="s">
        <v>71</v>
      </c>
      <c r="AU687" s="170" t="s">
        <v>80</v>
      </c>
      <c r="AY687" s="169" t="s">
        <v>128</v>
      </c>
      <c r="BK687" s="171">
        <f>SUM(BK688:BK749)</f>
        <v>0</v>
      </c>
    </row>
    <row r="688" spans="1:65" s="2" customFormat="1" ht="16.5" customHeight="1">
      <c r="A688" s="35"/>
      <c r="B688" s="36"/>
      <c r="C688" s="174" t="s">
        <v>1533</v>
      </c>
      <c r="D688" s="174" t="s">
        <v>130</v>
      </c>
      <c r="E688" s="175" t="s">
        <v>1534</v>
      </c>
      <c r="F688" s="176" t="s">
        <v>1535</v>
      </c>
      <c r="G688" s="177" t="s">
        <v>133</v>
      </c>
      <c r="H688" s="178">
        <v>76</v>
      </c>
      <c r="I688" s="179"/>
      <c r="J688" s="180">
        <f>ROUND(I688*H688,2)</f>
        <v>0</v>
      </c>
      <c r="K688" s="176" t="s">
        <v>134</v>
      </c>
      <c r="L688" s="40"/>
      <c r="M688" s="181" t="s">
        <v>19</v>
      </c>
      <c r="N688" s="182" t="s">
        <v>43</v>
      </c>
      <c r="O688" s="65"/>
      <c r="P688" s="183">
        <f>O688*H688</f>
        <v>0</v>
      </c>
      <c r="Q688" s="183">
        <v>0</v>
      </c>
      <c r="R688" s="183">
        <f>Q688*H688</f>
        <v>0</v>
      </c>
      <c r="S688" s="183">
        <v>0</v>
      </c>
      <c r="T688" s="184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85" t="s">
        <v>230</v>
      </c>
      <c r="AT688" s="185" t="s">
        <v>130</v>
      </c>
      <c r="AU688" s="185" t="s">
        <v>82</v>
      </c>
      <c r="AY688" s="18" t="s">
        <v>128</v>
      </c>
      <c r="BE688" s="186">
        <f>IF(N688="základní",J688,0)</f>
        <v>0</v>
      </c>
      <c r="BF688" s="186">
        <f>IF(N688="snížená",J688,0)</f>
        <v>0</v>
      </c>
      <c r="BG688" s="186">
        <f>IF(N688="zákl. přenesená",J688,0)</f>
        <v>0</v>
      </c>
      <c r="BH688" s="186">
        <f>IF(N688="sníž. přenesená",J688,0)</f>
        <v>0</v>
      </c>
      <c r="BI688" s="186">
        <f>IF(N688="nulová",J688,0)</f>
        <v>0</v>
      </c>
      <c r="BJ688" s="18" t="s">
        <v>80</v>
      </c>
      <c r="BK688" s="186">
        <f>ROUND(I688*H688,2)</f>
        <v>0</v>
      </c>
      <c r="BL688" s="18" t="s">
        <v>230</v>
      </c>
      <c r="BM688" s="185" t="s">
        <v>1536</v>
      </c>
    </row>
    <row r="689" spans="1:65" s="2" customFormat="1" ht="10">
      <c r="A689" s="35"/>
      <c r="B689" s="36"/>
      <c r="C689" s="37"/>
      <c r="D689" s="187" t="s">
        <v>137</v>
      </c>
      <c r="E689" s="37"/>
      <c r="F689" s="188" t="s">
        <v>1537</v>
      </c>
      <c r="G689" s="37"/>
      <c r="H689" s="37"/>
      <c r="I689" s="189"/>
      <c r="J689" s="37"/>
      <c r="K689" s="37"/>
      <c r="L689" s="40"/>
      <c r="M689" s="190"/>
      <c r="N689" s="191"/>
      <c r="O689" s="65"/>
      <c r="P689" s="65"/>
      <c r="Q689" s="65"/>
      <c r="R689" s="65"/>
      <c r="S689" s="65"/>
      <c r="T689" s="66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T689" s="18" t="s">
        <v>137</v>
      </c>
      <c r="AU689" s="18" t="s">
        <v>82</v>
      </c>
    </row>
    <row r="690" spans="1:65" s="13" customFormat="1" ht="10">
      <c r="B690" s="192"/>
      <c r="C690" s="193"/>
      <c r="D690" s="194" t="s">
        <v>139</v>
      </c>
      <c r="E690" s="195" t="s">
        <v>19</v>
      </c>
      <c r="F690" s="196" t="s">
        <v>1311</v>
      </c>
      <c r="G690" s="193"/>
      <c r="H690" s="197">
        <v>47</v>
      </c>
      <c r="I690" s="198"/>
      <c r="J690" s="193"/>
      <c r="K690" s="193"/>
      <c r="L690" s="199"/>
      <c r="M690" s="200"/>
      <c r="N690" s="201"/>
      <c r="O690" s="201"/>
      <c r="P690" s="201"/>
      <c r="Q690" s="201"/>
      <c r="R690" s="201"/>
      <c r="S690" s="201"/>
      <c r="T690" s="202"/>
      <c r="AT690" s="203" t="s">
        <v>139</v>
      </c>
      <c r="AU690" s="203" t="s">
        <v>82</v>
      </c>
      <c r="AV690" s="13" t="s">
        <v>82</v>
      </c>
      <c r="AW690" s="13" t="s">
        <v>34</v>
      </c>
      <c r="AX690" s="13" t="s">
        <v>72</v>
      </c>
      <c r="AY690" s="203" t="s">
        <v>128</v>
      </c>
    </row>
    <row r="691" spans="1:65" s="13" customFormat="1" ht="10">
      <c r="B691" s="192"/>
      <c r="C691" s="193"/>
      <c r="D691" s="194" t="s">
        <v>139</v>
      </c>
      <c r="E691" s="195" t="s">
        <v>19</v>
      </c>
      <c r="F691" s="196" t="s">
        <v>1312</v>
      </c>
      <c r="G691" s="193"/>
      <c r="H691" s="197">
        <v>29</v>
      </c>
      <c r="I691" s="198"/>
      <c r="J691" s="193"/>
      <c r="K691" s="193"/>
      <c r="L691" s="199"/>
      <c r="M691" s="200"/>
      <c r="N691" s="201"/>
      <c r="O691" s="201"/>
      <c r="P691" s="201"/>
      <c r="Q691" s="201"/>
      <c r="R691" s="201"/>
      <c r="S691" s="201"/>
      <c r="T691" s="202"/>
      <c r="AT691" s="203" t="s">
        <v>139</v>
      </c>
      <c r="AU691" s="203" t="s">
        <v>82</v>
      </c>
      <c r="AV691" s="13" t="s">
        <v>82</v>
      </c>
      <c r="AW691" s="13" t="s">
        <v>34</v>
      </c>
      <c r="AX691" s="13" t="s">
        <v>72</v>
      </c>
      <c r="AY691" s="203" t="s">
        <v>128</v>
      </c>
    </row>
    <row r="692" spans="1:65" s="14" customFormat="1" ht="10">
      <c r="B692" s="204"/>
      <c r="C692" s="205"/>
      <c r="D692" s="194" t="s">
        <v>139</v>
      </c>
      <c r="E692" s="206" t="s">
        <v>19</v>
      </c>
      <c r="F692" s="207" t="s">
        <v>153</v>
      </c>
      <c r="G692" s="205"/>
      <c r="H692" s="208">
        <v>76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139</v>
      </c>
      <c r="AU692" s="214" t="s">
        <v>82</v>
      </c>
      <c r="AV692" s="14" t="s">
        <v>135</v>
      </c>
      <c r="AW692" s="14" t="s">
        <v>34</v>
      </c>
      <c r="AX692" s="14" t="s">
        <v>80</v>
      </c>
      <c r="AY692" s="214" t="s">
        <v>128</v>
      </c>
    </row>
    <row r="693" spans="1:65" s="2" customFormat="1" ht="16.5" customHeight="1">
      <c r="A693" s="35"/>
      <c r="B693" s="36"/>
      <c r="C693" s="215" t="s">
        <v>1538</v>
      </c>
      <c r="D693" s="215" t="s">
        <v>414</v>
      </c>
      <c r="E693" s="216" t="s">
        <v>1539</v>
      </c>
      <c r="F693" s="217" t="s">
        <v>1540</v>
      </c>
      <c r="G693" s="218" t="s">
        <v>133</v>
      </c>
      <c r="H693" s="219">
        <v>87.4</v>
      </c>
      <c r="I693" s="220"/>
      <c r="J693" s="221">
        <f>ROUND(I693*H693,2)</f>
        <v>0</v>
      </c>
      <c r="K693" s="217" t="s">
        <v>134</v>
      </c>
      <c r="L693" s="222"/>
      <c r="M693" s="223" t="s">
        <v>19</v>
      </c>
      <c r="N693" s="224" t="s">
        <v>43</v>
      </c>
      <c r="O693" s="65"/>
      <c r="P693" s="183">
        <f>O693*H693</f>
        <v>0</v>
      </c>
      <c r="Q693" s="183">
        <v>5.0000000000000001E-4</v>
      </c>
      <c r="R693" s="183">
        <f>Q693*H693</f>
        <v>4.3700000000000003E-2</v>
      </c>
      <c r="S693" s="183">
        <v>0</v>
      </c>
      <c r="T693" s="184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85" t="s">
        <v>334</v>
      </c>
      <c r="AT693" s="185" t="s">
        <v>414</v>
      </c>
      <c r="AU693" s="185" t="s">
        <v>82</v>
      </c>
      <c r="AY693" s="18" t="s">
        <v>128</v>
      </c>
      <c r="BE693" s="186">
        <f>IF(N693="základní",J693,0)</f>
        <v>0</v>
      </c>
      <c r="BF693" s="186">
        <f>IF(N693="snížená",J693,0)</f>
        <v>0</v>
      </c>
      <c r="BG693" s="186">
        <f>IF(N693="zákl. přenesená",J693,0)</f>
        <v>0</v>
      </c>
      <c r="BH693" s="186">
        <f>IF(N693="sníž. přenesená",J693,0)</f>
        <v>0</v>
      </c>
      <c r="BI693" s="186">
        <f>IF(N693="nulová",J693,0)</f>
        <v>0</v>
      </c>
      <c r="BJ693" s="18" t="s">
        <v>80</v>
      </c>
      <c r="BK693" s="186">
        <f>ROUND(I693*H693,2)</f>
        <v>0</v>
      </c>
      <c r="BL693" s="18" t="s">
        <v>230</v>
      </c>
      <c r="BM693" s="185" t="s">
        <v>1541</v>
      </c>
    </row>
    <row r="694" spans="1:65" s="13" customFormat="1" ht="10">
      <c r="B694" s="192"/>
      <c r="C694" s="193"/>
      <c r="D694" s="194" t="s">
        <v>139</v>
      </c>
      <c r="E694" s="193"/>
      <c r="F694" s="196" t="s">
        <v>1542</v>
      </c>
      <c r="G694" s="193"/>
      <c r="H694" s="197">
        <v>87.4</v>
      </c>
      <c r="I694" s="198"/>
      <c r="J694" s="193"/>
      <c r="K694" s="193"/>
      <c r="L694" s="199"/>
      <c r="M694" s="200"/>
      <c r="N694" s="201"/>
      <c r="O694" s="201"/>
      <c r="P694" s="201"/>
      <c r="Q694" s="201"/>
      <c r="R694" s="201"/>
      <c r="S694" s="201"/>
      <c r="T694" s="202"/>
      <c r="AT694" s="203" t="s">
        <v>139</v>
      </c>
      <c r="AU694" s="203" t="s">
        <v>82</v>
      </c>
      <c r="AV694" s="13" t="s">
        <v>82</v>
      </c>
      <c r="AW694" s="13" t="s">
        <v>4</v>
      </c>
      <c r="AX694" s="13" t="s">
        <v>80</v>
      </c>
      <c r="AY694" s="203" t="s">
        <v>128</v>
      </c>
    </row>
    <row r="695" spans="1:65" s="2" customFormat="1" ht="24.15" customHeight="1">
      <c r="A695" s="35"/>
      <c r="B695" s="36"/>
      <c r="C695" s="174" t="s">
        <v>1543</v>
      </c>
      <c r="D695" s="174" t="s">
        <v>130</v>
      </c>
      <c r="E695" s="175" t="s">
        <v>1544</v>
      </c>
      <c r="F695" s="176" t="s">
        <v>1545</v>
      </c>
      <c r="G695" s="177" t="s">
        <v>133</v>
      </c>
      <c r="H695" s="178">
        <v>76</v>
      </c>
      <c r="I695" s="179"/>
      <c r="J695" s="180">
        <f>ROUND(I695*H695,2)</f>
        <v>0</v>
      </c>
      <c r="K695" s="176" t="s">
        <v>134</v>
      </c>
      <c r="L695" s="40"/>
      <c r="M695" s="181" t="s">
        <v>19</v>
      </c>
      <c r="N695" s="182" t="s">
        <v>43</v>
      </c>
      <c r="O695" s="65"/>
      <c r="P695" s="183">
        <f>O695*H695</f>
        <v>0</v>
      </c>
      <c r="Q695" s="183">
        <v>6.7000000000000002E-3</v>
      </c>
      <c r="R695" s="183">
        <f>Q695*H695</f>
        <v>0.50919999999999999</v>
      </c>
      <c r="S695" s="183">
        <v>0</v>
      </c>
      <c r="T695" s="184">
        <f>S695*H695</f>
        <v>0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185" t="s">
        <v>230</v>
      </c>
      <c r="AT695" s="185" t="s">
        <v>130</v>
      </c>
      <c r="AU695" s="185" t="s">
        <v>82</v>
      </c>
      <c r="AY695" s="18" t="s">
        <v>128</v>
      </c>
      <c r="BE695" s="186">
        <f>IF(N695="základní",J695,0)</f>
        <v>0</v>
      </c>
      <c r="BF695" s="186">
        <f>IF(N695="snížená",J695,0)</f>
        <v>0</v>
      </c>
      <c r="BG695" s="186">
        <f>IF(N695="zákl. přenesená",J695,0)</f>
        <v>0</v>
      </c>
      <c r="BH695" s="186">
        <f>IF(N695="sníž. přenesená",J695,0)</f>
        <v>0</v>
      </c>
      <c r="BI695" s="186">
        <f>IF(N695="nulová",J695,0)</f>
        <v>0</v>
      </c>
      <c r="BJ695" s="18" t="s">
        <v>80</v>
      </c>
      <c r="BK695" s="186">
        <f>ROUND(I695*H695,2)</f>
        <v>0</v>
      </c>
      <c r="BL695" s="18" t="s">
        <v>230</v>
      </c>
      <c r="BM695" s="185" t="s">
        <v>1546</v>
      </c>
    </row>
    <row r="696" spans="1:65" s="2" customFormat="1" ht="10">
      <c r="A696" s="35"/>
      <c r="B696" s="36"/>
      <c r="C696" s="37"/>
      <c r="D696" s="187" t="s">
        <v>137</v>
      </c>
      <c r="E696" s="37"/>
      <c r="F696" s="188" t="s">
        <v>1547</v>
      </c>
      <c r="G696" s="37"/>
      <c r="H696" s="37"/>
      <c r="I696" s="189"/>
      <c r="J696" s="37"/>
      <c r="K696" s="37"/>
      <c r="L696" s="40"/>
      <c r="M696" s="190"/>
      <c r="N696" s="191"/>
      <c r="O696" s="65"/>
      <c r="P696" s="65"/>
      <c r="Q696" s="65"/>
      <c r="R696" s="65"/>
      <c r="S696" s="65"/>
      <c r="T696" s="66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T696" s="18" t="s">
        <v>137</v>
      </c>
      <c r="AU696" s="18" t="s">
        <v>82</v>
      </c>
    </row>
    <row r="697" spans="1:65" s="13" customFormat="1" ht="10">
      <c r="B697" s="192"/>
      <c r="C697" s="193"/>
      <c r="D697" s="194" t="s">
        <v>139</v>
      </c>
      <c r="E697" s="195" t="s">
        <v>19</v>
      </c>
      <c r="F697" s="196" t="s">
        <v>1311</v>
      </c>
      <c r="G697" s="193"/>
      <c r="H697" s="197">
        <v>47</v>
      </c>
      <c r="I697" s="198"/>
      <c r="J697" s="193"/>
      <c r="K697" s="193"/>
      <c r="L697" s="199"/>
      <c r="M697" s="200"/>
      <c r="N697" s="201"/>
      <c r="O697" s="201"/>
      <c r="P697" s="201"/>
      <c r="Q697" s="201"/>
      <c r="R697" s="201"/>
      <c r="S697" s="201"/>
      <c r="T697" s="202"/>
      <c r="AT697" s="203" t="s">
        <v>139</v>
      </c>
      <c r="AU697" s="203" t="s">
        <v>82</v>
      </c>
      <c r="AV697" s="13" t="s">
        <v>82</v>
      </c>
      <c r="AW697" s="13" t="s">
        <v>34</v>
      </c>
      <c r="AX697" s="13" t="s">
        <v>72</v>
      </c>
      <c r="AY697" s="203" t="s">
        <v>128</v>
      </c>
    </row>
    <row r="698" spans="1:65" s="13" customFormat="1" ht="10">
      <c r="B698" s="192"/>
      <c r="C698" s="193"/>
      <c r="D698" s="194" t="s">
        <v>139</v>
      </c>
      <c r="E698" s="195" t="s">
        <v>19</v>
      </c>
      <c r="F698" s="196" t="s">
        <v>1312</v>
      </c>
      <c r="G698" s="193"/>
      <c r="H698" s="197">
        <v>29</v>
      </c>
      <c r="I698" s="198"/>
      <c r="J698" s="193"/>
      <c r="K698" s="193"/>
      <c r="L698" s="199"/>
      <c r="M698" s="200"/>
      <c r="N698" s="201"/>
      <c r="O698" s="201"/>
      <c r="P698" s="201"/>
      <c r="Q698" s="201"/>
      <c r="R698" s="201"/>
      <c r="S698" s="201"/>
      <c r="T698" s="202"/>
      <c r="AT698" s="203" t="s">
        <v>139</v>
      </c>
      <c r="AU698" s="203" t="s">
        <v>82</v>
      </c>
      <c r="AV698" s="13" t="s">
        <v>82</v>
      </c>
      <c r="AW698" s="13" t="s">
        <v>34</v>
      </c>
      <c r="AX698" s="13" t="s">
        <v>72</v>
      </c>
      <c r="AY698" s="203" t="s">
        <v>128</v>
      </c>
    </row>
    <row r="699" spans="1:65" s="14" customFormat="1" ht="10">
      <c r="B699" s="204"/>
      <c r="C699" s="205"/>
      <c r="D699" s="194" t="s">
        <v>139</v>
      </c>
      <c r="E699" s="206" t="s">
        <v>19</v>
      </c>
      <c r="F699" s="207" t="s">
        <v>153</v>
      </c>
      <c r="G699" s="205"/>
      <c r="H699" s="208">
        <v>76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139</v>
      </c>
      <c r="AU699" s="214" t="s">
        <v>82</v>
      </c>
      <c r="AV699" s="14" t="s">
        <v>135</v>
      </c>
      <c r="AW699" s="14" t="s">
        <v>34</v>
      </c>
      <c r="AX699" s="14" t="s">
        <v>80</v>
      </c>
      <c r="AY699" s="214" t="s">
        <v>128</v>
      </c>
    </row>
    <row r="700" spans="1:65" s="2" customFormat="1" ht="24.15" customHeight="1">
      <c r="A700" s="35"/>
      <c r="B700" s="36"/>
      <c r="C700" s="174" t="s">
        <v>1548</v>
      </c>
      <c r="D700" s="174" t="s">
        <v>130</v>
      </c>
      <c r="E700" s="175" t="s">
        <v>1549</v>
      </c>
      <c r="F700" s="176" t="s">
        <v>1550</v>
      </c>
      <c r="G700" s="177" t="s">
        <v>133</v>
      </c>
      <c r="H700" s="178">
        <v>76</v>
      </c>
      <c r="I700" s="179"/>
      <c r="J700" s="180">
        <f>ROUND(I700*H700,2)</f>
        <v>0</v>
      </c>
      <c r="K700" s="176" t="s">
        <v>134</v>
      </c>
      <c r="L700" s="40"/>
      <c r="M700" s="181" t="s">
        <v>19</v>
      </c>
      <c r="N700" s="182" t="s">
        <v>43</v>
      </c>
      <c r="O700" s="65"/>
      <c r="P700" s="183">
        <f>O700*H700</f>
        <v>0</v>
      </c>
      <c r="Q700" s="183">
        <v>3.4000000000000002E-4</v>
      </c>
      <c r="R700" s="183">
        <f>Q700*H700</f>
        <v>2.5840000000000002E-2</v>
      </c>
      <c r="S700" s="183">
        <v>0</v>
      </c>
      <c r="T700" s="184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85" t="s">
        <v>230</v>
      </c>
      <c r="AT700" s="185" t="s">
        <v>130</v>
      </c>
      <c r="AU700" s="185" t="s">
        <v>82</v>
      </c>
      <c r="AY700" s="18" t="s">
        <v>128</v>
      </c>
      <c r="BE700" s="186">
        <f>IF(N700="základní",J700,0)</f>
        <v>0</v>
      </c>
      <c r="BF700" s="186">
        <f>IF(N700="snížená",J700,0)</f>
        <v>0</v>
      </c>
      <c r="BG700" s="186">
        <f>IF(N700="zákl. přenesená",J700,0)</f>
        <v>0</v>
      </c>
      <c r="BH700" s="186">
        <f>IF(N700="sníž. přenesená",J700,0)</f>
        <v>0</v>
      </c>
      <c r="BI700" s="186">
        <f>IF(N700="nulová",J700,0)</f>
        <v>0</v>
      </c>
      <c r="BJ700" s="18" t="s">
        <v>80</v>
      </c>
      <c r="BK700" s="186">
        <f>ROUND(I700*H700,2)</f>
        <v>0</v>
      </c>
      <c r="BL700" s="18" t="s">
        <v>230</v>
      </c>
      <c r="BM700" s="185" t="s">
        <v>1551</v>
      </c>
    </row>
    <row r="701" spans="1:65" s="2" customFormat="1" ht="10">
      <c r="A701" s="35"/>
      <c r="B701" s="36"/>
      <c r="C701" s="37"/>
      <c r="D701" s="187" t="s">
        <v>137</v>
      </c>
      <c r="E701" s="37"/>
      <c r="F701" s="188" t="s">
        <v>1552</v>
      </c>
      <c r="G701" s="37"/>
      <c r="H701" s="37"/>
      <c r="I701" s="189"/>
      <c r="J701" s="37"/>
      <c r="K701" s="37"/>
      <c r="L701" s="40"/>
      <c r="M701" s="190"/>
      <c r="N701" s="191"/>
      <c r="O701" s="65"/>
      <c r="P701" s="65"/>
      <c r="Q701" s="65"/>
      <c r="R701" s="65"/>
      <c r="S701" s="65"/>
      <c r="T701" s="66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T701" s="18" t="s">
        <v>137</v>
      </c>
      <c r="AU701" s="18" t="s">
        <v>82</v>
      </c>
    </row>
    <row r="702" spans="1:65" s="13" customFormat="1" ht="10">
      <c r="B702" s="192"/>
      <c r="C702" s="193"/>
      <c r="D702" s="194" t="s">
        <v>139</v>
      </c>
      <c r="E702" s="195" t="s">
        <v>19</v>
      </c>
      <c r="F702" s="196" t="s">
        <v>1311</v>
      </c>
      <c r="G702" s="193"/>
      <c r="H702" s="197">
        <v>47</v>
      </c>
      <c r="I702" s="198"/>
      <c r="J702" s="193"/>
      <c r="K702" s="193"/>
      <c r="L702" s="199"/>
      <c r="M702" s="200"/>
      <c r="N702" s="201"/>
      <c r="O702" s="201"/>
      <c r="P702" s="201"/>
      <c r="Q702" s="201"/>
      <c r="R702" s="201"/>
      <c r="S702" s="201"/>
      <c r="T702" s="202"/>
      <c r="AT702" s="203" t="s">
        <v>139</v>
      </c>
      <c r="AU702" s="203" t="s">
        <v>82</v>
      </c>
      <c r="AV702" s="13" t="s">
        <v>82</v>
      </c>
      <c r="AW702" s="13" t="s">
        <v>34</v>
      </c>
      <c r="AX702" s="13" t="s">
        <v>72</v>
      </c>
      <c r="AY702" s="203" t="s">
        <v>128</v>
      </c>
    </row>
    <row r="703" spans="1:65" s="13" customFormat="1" ht="10">
      <c r="B703" s="192"/>
      <c r="C703" s="193"/>
      <c r="D703" s="194" t="s">
        <v>139</v>
      </c>
      <c r="E703" s="195" t="s">
        <v>19</v>
      </c>
      <c r="F703" s="196" t="s">
        <v>1312</v>
      </c>
      <c r="G703" s="193"/>
      <c r="H703" s="197">
        <v>29</v>
      </c>
      <c r="I703" s="198"/>
      <c r="J703" s="193"/>
      <c r="K703" s="193"/>
      <c r="L703" s="199"/>
      <c r="M703" s="200"/>
      <c r="N703" s="201"/>
      <c r="O703" s="201"/>
      <c r="P703" s="201"/>
      <c r="Q703" s="201"/>
      <c r="R703" s="201"/>
      <c r="S703" s="201"/>
      <c r="T703" s="202"/>
      <c r="AT703" s="203" t="s">
        <v>139</v>
      </c>
      <c r="AU703" s="203" t="s">
        <v>82</v>
      </c>
      <c r="AV703" s="13" t="s">
        <v>82</v>
      </c>
      <c r="AW703" s="13" t="s">
        <v>34</v>
      </c>
      <c r="AX703" s="13" t="s">
        <v>72</v>
      </c>
      <c r="AY703" s="203" t="s">
        <v>128</v>
      </c>
    </row>
    <row r="704" spans="1:65" s="14" customFormat="1" ht="10">
      <c r="B704" s="204"/>
      <c r="C704" s="205"/>
      <c r="D704" s="194" t="s">
        <v>139</v>
      </c>
      <c r="E704" s="206" t="s">
        <v>19</v>
      </c>
      <c r="F704" s="207" t="s">
        <v>153</v>
      </c>
      <c r="G704" s="205"/>
      <c r="H704" s="208">
        <v>76</v>
      </c>
      <c r="I704" s="209"/>
      <c r="J704" s="205"/>
      <c r="K704" s="205"/>
      <c r="L704" s="210"/>
      <c r="M704" s="211"/>
      <c r="N704" s="212"/>
      <c r="O704" s="212"/>
      <c r="P704" s="212"/>
      <c r="Q704" s="212"/>
      <c r="R704" s="212"/>
      <c r="S704" s="212"/>
      <c r="T704" s="213"/>
      <c r="AT704" s="214" t="s">
        <v>139</v>
      </c>
      <c r="AU704" s="214" t="s">
        <v>82</v>
      </c>
      <c r="AV704" s="14" t="s">
        <v>135</v>
      </c>
      <c r="AW704" s="14" t="s">
        <v>34</v>
      </c>
      <c r="AX704" s="14" t="s">
        <v>80</v>
      </c>
      <c r="AY704" s="214" t="s">
        <v>128</v>
      </c>
    </row>
    <row r="705" spans="1:65" s="2" customFormat="1" ht="16.5" customHeight="1">
      <c r="A705" s="35"/>
      <c r="B705" s="36"/>
      <c r="C705" s="174" t="s">
        <v>1553</v>
      </c>
      <c r="D705" s="174" t="s">
        <v>130</v>
      </c>
      <c r="E705" s="175" t="s">
        <v>1554</v>
      </c>
      <c r="F705" s="176" t="s">
        <v>1555</v>
      </c>
      <c r="G705" s="177" t="s">
        <v>258</v>
      </c>
      <c r="H705" s="178">
        <v>30.7</v>
      </c>
      <c r="I705" s="179"/>
      <c r="J705" s="180">
        <f>ROUND(I705*H705,2)</f>
        <v>0</v>
      </c>
      <c r="K705" s="176" t="s">
        <v>134</v>
      </c>
      <c r="L705" s="40"/>
      <c r="M705" s="181" t="s">
        <v>19</v>
      </c>
      <c r="N705" s="182" t="s">
        <v>43</v>
      </c>
      <c r="O705" s="65"/>
      <c r="P705" s="183">
        <f>O705*H705</f>
        <v>0</v>
      </c>
      <c r="Q705" s="183">
        <v>2.82E-3</v>
      </c>
      <c r="R705" s="183">
        <f>Q705*H705</f>
        <v>8.6573999999999998E-2</v>
      </c>
      <c r="S705" s="183">
        <v>0</v>
      </c>
      <c r="T705" s="184">
        <f>S705*H705</f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185" t="s">
        <v>230</v>
      </c>
      <c r="AT705" s="185" t="s">
        <v>130</v>
      </c>
      <c r="AU705" s="185" t="s">
        <v>82</v>
      </c>
      <c r="AY705" s="18" t="s">
        <v>128</v>
      </c>
      <c r="BE705" s="186">
        <f>IF(N705="základní",J705,0)</f>
        <v>0</v>
      </c>
      <c r="BF705" s="186">
        <f>IF(N705="snížená",J705,0)</f>
        <v>0</v>
      </c>
      <c r="BG705" s="186">
        <f>IF(N705="zákl. přenesená",J705,0)</f>
        <v>0</v>
      </c>
      <c r="BH705" s="186">
        <f>IF(N705="sníž. přenesená",J705,0)</f>
        <v>0</v>
      </c>
      <c r="BI705" s="186">
        <f>IF(N705="nulová",J705,0)</f>
        <v>0</v>
      </c>
      <c r="BJ705" s="18" t="s">
        <v>80</v>
      </c>
      <c r="BK705" s="186">
        <f>ROUND(I705*H705,2)</f>
        <v>0</v>
      </c>
      <c r="BL705" s="18" t="s">
        <v>230</v>
      </c>
      <c r="BM705" s="185" t="s">
        <v>1556</v>
      </c>
    </row>
    <row r="706" spans="1:65" s="2" customFormat="1" ht="10">
      <c r="A706" s="35"/>
      <c r="B706" s="36"/>
      <c r="C706" s="37"/>
      <c r="D706" s="187" t="s">
        <v>137</v>
      </c>
      <c r="E706" s="37"/>
      <c r="F706" s="188" t="s">
        <v>1557</v>
      </c>
      <c r="G706" s="37"/>
      <c r="H706" s="37"/>
      <c r="I706" s="189"/>
      <c r="J706" s="37"/>
      <c r="K706" s="37"/>
      <c r="L706" s="40"/>
      <c r="M706" s="190"/>
      <c r="N706" s="191"/>
      <c r="O706" s="65"/>
      <c r="P706" s="65"/>
      <c r="Q706" s="65"/>
      <c r="R706" s="65"/>
      <c r="S706" s="65"/>
      <c r="T706" s="66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T706" s="18" t="s">
        <v>137</v>
      </c>
      <c r="AU706" s="18" t="s">
        <v>82</v>
      </c>
    </row>
    <row r="707" spans="1:65" s="13" customFormat="1" ht="10">
      <c r="B707" s="192"/>
      <c r="C707" s="193"/>
      <c r="D707" s="194" t="s">
        <v>139</v>
      </c>
      <c r="E707" s="195" t="s">
        <v>19</v>
      </c>
      <c r="F707" s="196" t="s">
        <v>1558</v>
      </c>
      <c r="G707" s="193"/>
      <c r="H707" s="197">
        <v>30.7</v>
      </c>
      <c r="I707" s="198"/>
      <c r="J707" s="193"/>
      <c r="K707" s="193"/>
      <c r="L707" s="199"/>
      <c r="M707" s="200"/>
      <c r="N707" s="201"/>
      <c r="O707" s="201"/>
      <c r="P707" s="201"/>
      <c r="Q707" s="201"/>
      <c r="R707" s="201"/>
      <c r="S707" s="201"/>
      <c r="T707" s="202"/>
      <c r="AT707" s="203" t="s">
        <v>139</v>
      </c>
      <c r="AU707" s="203" t="s">
        <v>82</v>
      </c>
      <c r="AV707" s="13" t="s">
        <v>82</v>
      </c>
      <c r="AW707" s="13" t="s">
        <v>34</v>
      </c>
      <c r="AX707" s="13" t="s">
        <v>80</v>
      </c>
      <c r="AY707" s="203" t="s">
        <v>128</v>
      </c>
    </row>
    <row r="708" spans="1:65" s="2" customFormat="1" ht="16.5" customHeight="1">
      <c r="A708" s="35"/>
      <c r="B708" s="36"/>
      <c r="C708" s="174" t="s">
        <v>1559</v>
      </c>
      <c r="D708" s="174" t="s">
        <v>130</v>
      </c>
      <c r="E708" s="175" t="s">
        <v>1560</v>
      </c>
      <c r="F708" s="176" t="s">
        <v>1561</v>
      </c>
      <c r="G708" s="177" t="s">
        <v>258</v>
      </c>
      <c r="H708" s="178">
        <v>14.2</v>
      </c>
      <c r="I708" s="179"/>
      <c r="J708" s="180">
        <f>ROUND(I708*H708,2)</f>
        <v>0</v>
      </c>
      <c r="K708" s="176" t="s">
        <v>19</v>
      </c>
      <c r="L708" s="40"/>
      <c r="M708" s="181" t="s">
        <v>19</v>
      </c>
      <c r="N708" s="182" t="s">
        <v>43</v>
      </c>
      <c r="O708" s="65"/>
      <c r="P708" s="183">
        <f>O708*H708</f>
        <v>0</v>
      </c>
      <c r="Q708" s="183">
        <v>2.82E-3</v>
      </c>
      <c r="R708" s="183">
        <f>Q708*H708</f>
        <v>4.0043999999999996E-2</v>
      </c>
      <c r="S708" s="183">
        <v>0</v>
      </c>
      <c r="T708" s="184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185" t="s">
        <v>230</v>
      </c>
      <c r="AT708" s="185" t="s">
        <v>130</v>
      </c>
      <c r="AU708" s="185" t="s">
        <v>82</v>
      </c>
      <c r="AY708" s="18" t="s">
        <v>128</v>
      </c>
      <c r="BE708" s="186">
        <f>IF(N708="základní",J708,0)</f>
        <v>0</v>
      </c>
      <c r="BF708" s="186">
        <f>IF(N708="snížená",J708,0)</f>
        <v>0</v>
      </c>
      <c r="BG708" s="186">
        <f>IF(N708="zákl. přenesená",J708,0)</f>
        <v>0</v>
      </c>
      <c r="BH708" s="186">
        <f>IF(N708="sníž. přenesená",J708,0)</f>
        <v>0</v>
      </c>
      <c r="BI708" s="186">
        <f>IF(N708="nulová",J708,0)</f>
        <v>0</v>
      </c>
      <c r="BJ708" s="18" t="s">
        <v>80</v>
      </c>
      <c r="BK708" s="186">
        <f>ROUND(I708*H708,2)</f>
        <v>0</v>
      </c>
      <c r="BL708" s="18" t="s">
        <v>230</v>
      </c>
      <c r="BM708" s="185" t="s">
        <v>1562</v>
      </c>
    </row>
    <row r="709" spans="1:65" s="13" customFormat="1" ht="10">
      <c r="B709" s="192"/>
      <c r="C709" s="193"/>
      <c r="D709" s="194" t="s">
        <v>139</v>
      </c>
      <c r="E709" s="195" t="s">
        <v>19</v>
      </c>
      <c r="F709" s="196" t="s">
        <v>1563</v>
      </c>
      <c r="G709" s="193"/>
      <c r="H709" s="197">
        <v>14.2</v>
      </c>
      <c r="I709" s="198"/>
      <c r="J709" s="193"/>
      <c r="K709" s="193"/>
      <c r="L709" s="199"/>
      <c r="M709" s="200"/>
      <c r="N709" s="201"/>
      <c r="O709" s="201"/>
      <c r="P709" s="201"/>
      <c r="Q709" s="201"/>
      <c r="R709" s="201"/>
      <c r="S709" s="201"/>
      <c r="T709" s="202"/>
      <c r="AT709" s="203" t="s">
        <v>139</v>
      </c>
      <c r="AU709" s="203" t="s">
        <v>82</v>
      </c>
      <c r="AV709" s="13" t="s">
        <v>82</v>
      </c>
      <c r="AW709" s="13" t="s">
        <v>34</v>
      </c>
      <c r="AX709" s="13" t="s">
        <v>80</v>
      </c>
      <c r="AY709" s="203" t="s">
        <v>128</v>
      </c>
    </row>
    <row r="710" spans="1:65" s="2" customFormat="1" ht="16.5" customHeight="1">
      <c r="A710" s="35"/>
      <c r="B710" s="36"/>
      <c r="C710" s="174" t="s">
        <v>1564</v>
      </c>
      <c r="D710" s="174" t="s">
        <v>130</v>
      </c>
      <c r="E710" s="175" t="s">
        <v>1565</v>
      </c>
      <c r="F710" s="176" t="s">
        <v>1566</v>
      </c>
      <c r="G710" s="177" t="s">
        <v>258</v>
      </c>
      <c r="H710" s="178">
        <v>22.4</v>
      </c>
      <c r="I710" s="179"/>
      <c r="J710" s="180">
        <f>ROUND(I710*H710,2)</f>
        <v>0</v>
      </c>
      <c r="K710" s="176" t="s">
        <v>134</v>
      </c>
      <c r="L710" s="40"/>
      <c r="M710" s="181" t="s">
        <v>19</v>
      </c>
      <c r="N710" s="182" t="s">
        <v>43</v>
      </c>
      <c r="O710" s="65"/>
      <c r="P710" s="183">
        <f>O710*H710</f>
        <v>0</v>
      </c>
      <c r="Q710" s="183">
        <v>1.4300000000000001E-3</v>
      </c>
      <c r="R710" s="183">
        <f>Q710*H710</f>
        <v>3.2031999999999998E-2</v>
      </c>
      <c r="S710" s="183">
        <v>0</v>
      </c>
      <c r="T710" s="184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185" t="s">
        <v>230</v>
      </c>
      <c r="AT710" s="185" t="s">
        <v>130</v>
      </c>
      <c r="AU710" s="185" t="s">
        <v>82</v>
      </c>
      <c r="AY710" s="18" t="s">
        <v>128</v>
      </c>
      <c r="BE710" s="186">
        <f>IF(N710="základní",J710,0)</f>
        <v>0</v>
      </c>
      <c r="BF710" s="186">
        <f>IF(N710="snížená",J710,0)</f>
        <v>0</v>
      </c>
      <c r="BG710" s="186">
        <f>IF(N710="zákl. přenesená",J710,0)</f>
        <v>0</v>
      </c>
      <c r="BH710" s="186">
        <f>IF(N710="sníž. přenesená",J710,0)</f>
        <v>0</v>
      </c>
      <c r="BI710" s="186">
        <f>IF(N710="nulová",J710,0)</f>
        <v>0</v>
      </c>
      <c r="BJ710" s="18" t="s">
        <v>80</v>
      </c>
      <c r="BK710" s="186">
        <f>ROUND(I710*H710,2)</f>
        <v>0</v>
      </c>
      <c r="BL710" s="18" t="s">
        <v>230</v>
      </c>
      <c r="BM710" s="185" t="s">
        <v>1567</v>
      </c>
    </row>
    <row r="711" spans="1:65" s="2" customFormat="1" ht="10">
      <c r="A711" s="35"/>
      <c r="B711" s="36"/>
      <c r="C711" s="37"/>
      <c r="D711" s="187" t="s">
        <v>137</v>
      </c>
      <c r="E711" s="37"/>
      <c r="F711" s="188" t="s">
        <v>1568</v>
      </c>
      <c r="G711" s="37"/>
      <c r="H711" s="37"/>
      <c r="I711" s="189"/>
      <c r="J711" s="37"/>
      <c r="K711" s="37"/>
      <c r="L711" s="40"/>
      <c r="M711" s="190"/>
      <c r="N711" s="191"/>
      <c r="O711" s="65"/>
      <c r="P711" s="65"/>
      <c r="Q711" s="65"/>
      <c r="R711" s="65"/>
      <c r="S711" s="65"/>
      <c r="T711" s="66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T711" s="18" t="s">
        <v>137</v>
      </c>
      <c r="AU711" s="18" t="s">
        <v>82</v>
      </c>
    </row>
    <row r="712" spans="1:65" s="13" customFormat="1" ht="10">
      <c r="B712" s="192"/>
      <c r="C712" s="193"/>
      <c r="D712" s="194" t="s">
        <v>139</v>
      </c>
      <c r="E712" s="195" t="s">
        <v>19</v>
      </c>
      <c r="F712" s="196" t="s">
        <v>1569</v>
      </c>
      <c r="G712" s="193"/>
      <c r="H712" s="197">
        <v>22.4</v>
      </c>
      <c r="I712" s="198"/>
      <c r="J712" s="193"/>
      <c r="K712" s="193"/>
      <c r="L712" s="199"/>
      <c r="M712" s="200"/>
      <c r="N712" s="201"/>
      <c r="O712" s="201"/>
      <c r="P712" s="201"/>
      <c r="Q712" s="201"/>
      <c r="R712" s="201"/>
      <c r="S712" s="201"/>
      <c r="T712" s="202"/>
      <c r="AT712" s="203" t="s">
        <v>139</v>
      </c>
      <c r="AU712" s="203" t="s">
        <v>82</v>
      </c>
      <c r="AV712" s="13" t="s">
        <v>82</v>
      </c>
      <c r="AW712" s="13" t="s">
        <v>34</v>
      </c>
      <c r="AX712" s="13" t="s">
        <v>80</v>
      </c>
      <c r="AY712" s="203" t="s">
        <v>128</v>
      </c>
    </row>
    <row r="713" spans="1:65" s="2" customFormat="1" ht="21.75" customHeight="1">
      <c r="A713" s="35"/>
      <c r="B713" s="36"/>
      <c r="C713" s="174" t="s">
        <v>1570</v>
      </c>
      <c r="D713" s="174" t="s">
        <v>130</v>
      </c>
      <c r="E713" s="175" t="s">
        <v>1571</v>
      </c>
      <c r="F713" s="176" t="s">
        <v>1572</v>
      </c>
      <c r="G713" s="177" t="s">
        <v>258</v>
      </c>
      <c r="H713" s="178">
        <v>122</v>
      </c>
      <c r="I713" s="179"/>
      <c r="J713" s="180">
        <f>ROUND(I713*H713,2)</f>
        <v>0</v>
      </c>
      <c r="K713" s="176" t="s">
        <v>134</v>
      </c>
      <c r="L713" s="40"/>
      <c r="M713" s="181" t="s">
        <v>19</v>
      </c>
      <c r="N713" s="182" t="s">
        <v>43</v>
      </c>
      <c r="O713" s="65"/>
      <c r="P713" s="183">
        <f>O713*H713</f>
        <v>0</v>
      </c>
      <c r="Q713" s="183">
        <v>3.8700000000000002E-3</v>
      </c>
      <c r="R713" s="183">
        <f>Q713*H713</f>
        <v>0.47214</v>
      </c>
      <c r="S713" s="183">
        <v>0</v>
      </c>
      <c r="T713" s="184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85" t="s">
        <v>230</v>
      </c>
      <c r="AT713" s="185" t="s">
        <v>130</v>
      </c>
      <c r="AU713" s="185" t="s">
        <v>82</v>
      </c>
      <c r="AY713" s="18" t="s">
        <v>128</v>
      </c>
      <c r="BE713" s="186">
        <f>IF(N713="základní",J713,0)</f>
        <v>0</v>
      </c>
      <c r="BF713" s="186">
        <f>IF(N713="snížená",J713,0)</f>
        <v>0</v>
      </c>
      <c r="BG713" s="186">
        <f>IF(N713="zákl. přenesená",J713,0)</f>
        <v>0</v>
      </c>
      <c r="BH713" s="186">
        <f>IF(N713="sníž. přenesená",J713,0)</f>
        <v>0</v>
      </c>
      <c r="BI713" s="186">
        <f>IF(N713="nulová",J713,0)</f>
        <v>0</v>
      </c>
      <c r="BJ713" s="18" t="s">
        <v>80</v>
      </c>
      <c r="BK713" s="186">
        <f>ROUND(I713*H713,2)</f>
        <v>0</v>
      </c>
      <c r="BL713" s="18" t="s">
        <v>230</v>
      </c>
      <c r="BM713" s="185" t="s">
        <v>1573</v>
      </c>
    </row>
    <row r="714" spans="1:65" s="2" customFormat="1" ht="10">
      <c r="A714" s="35"/>
      <c r="B714" s="36"/>
      <c r="C714" s="37"/>
      <c r="D714" s="187" t="s">
        <v>137</v>
      </c>
      <c r="E714" s="37"/>
      <c r="F714" s="188" t="s">
        <v>1574</v>
      </c>
      <c r="G714" s="37"/>
      <c r="H714" s="37"/>
      <c r="I714" s="189"/>
      <c r="J714" s="37"/>
      <c r="K714" s="37"/>
      <c r="L714" s="40"/>
      <c r="M714" s="190"/>
      <c r="N714" s="191"/>
      <c r="O714" s="65"/>
      <c r="P714" s="65"/>
      <c r="Q714" s="65"/>
      <c r="R714" s="65"/>
      <c r="S714" s="65"/>
      <c r="T714" s="66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T714" s="18" t="s">
        <v>137</v>
      </c>
      <c r="AU714" s="18" t="s">
        <v>82</v>
      </c>
    </row>
    <row r="715" spans="1:65" s="13" customFormat="1" ht="10">
      <c r="B715" s="192"/>
      <c r="C715" s="193"/>
      <c r="D715" s="194" t="s">
        <v>139</v>
      </c>
      <c r="E715" s="195" t="s">
        <v>19</v>
      </c>
      <c r="F715" s="196" t="s">
        <v>1575</v>
      </c>
      <c r="G715" s="193"/>
      <c r="H715" s="197">
        <v>122</v>
      </c>
      <c r="I715" s="198"/>
      <c r="J715" s="193"/>
      <c r="K715" s="193"/>
      <c r="L715" s="199"/>
      <c r="M715" s="200"/>
      <c r="N715" s="201"/>
      <c r="O715" s="201"/>
      <c r="P715" s="201"/>
      <c r="Q715" s="201"/>
      <c r="R715" s="201"/>
      <c r="S715" s="201"/>
      <c r="T715" s="202"/>
      <c r="AT715" s="203" t="s">
        <v>139</v>
      </c>
      <c r="AU715" s="203" t="s">
        <v>82</v>
      </c>
      <c r="AV715" s="13" t="s">
        <v>82</v>
      </c>
      <c r="AW715" s="13" t="s">
        <v>34</v>
      </c>
      <c r="AX715" s="13" t="s">
        <v>80</v>
      </c>
      <c r="AY715" s="203" t="s">
        <v>128</v>
      </c>
    </row>
    <row r="716" spans="1:65" s="2" customFormat="1" ht="21.75" customHeight="1">
      <c r="A716" s="35"/>
      <c r="B716" s="36"/>
      <c r="C716" s="174" t="s">
        <v>1576</v>
      </c>
      <c r="D716" s="174" t="s">
        <v>130</v>
      </c>
      <c r="E716" s="175" t="s">
        <v>1577</v>
      </c>
      <c r="F716" s="176" t="s">
        <v>1578</v>
      </c>
      <c r="G716" s="177" t="s">
        <v>258</v>
      </c>
      <c r="H716" s="178">
        <v>14.2</v>
      </c>
      <c r="I716" s="179"/>
      <c r="J716" s="180">
        <f>ROUND(I716*H716,2)</f>
        <v>0</v>
      </c>
      <c r="K716" s="176" t="s">
        <v>134</v>
      </c>
      <c r="L716" s="40"/>
      <c r="M716" s="181" t="s">
        <v>19</v>
      </c>
      <c r="N716" s="182" t="s">
        <v>43</v>
      </c>
      <c r="O716" s="65"/>
      <c r="P716" s="183">
        <f>O716*H716</f>
        <v>0</v>
      </c>
      <c r="Q716" s="183">
        <v>4.0699999999999998E-3</v>
      </c>
      <c r="R716" s="183">
        <f>Q716*H716</f>
        <v>5.7793999999999998E-2</v>
      </c>
      <c r="S716" s="183">
        <v>0</v>
      </c>
      <c r="T716" s="184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185" t="s">
        <v>230</v>
      </c>
      <c r="AT716" s="185" t="s">
        <v>130</v>
      </c>
      <c r="AU716" s="185" t="s">
        <v>82</v>
      </c>
      <c r="AY716" s="18" t="s">
        <v>128</v>
      </c>
      <c r="BE716" s="186">
        <f>IF(N716="základní",J716,0)</f>
        <v>0</v>
      </c>
      <c r="BF716" s="186">
        <f>IF(N716="snížená",J716,0)</f>
        <v>0</v>
      </c>
      <c r="BG716" s="186">
        <f>IF(N716="zákl. přenesená",J716,0)</f>
        <v>0</v>
      </c>
      <c r="BH716" s="186">
        <f>IF(N716="sníž. přenesená",J716,0)</f>
        <v>0</v>
      </c>
      <c r="BI716" s="186">
        <f>IF(N716="nulová",J716,0)</f>
        <v>0</v>
      </c>
      <c r="BJ716" s="18" t="s">
        <v>80</v>
      </c>
      <c r="BK716" s="186">
        <f>ROUND(I716*H716,2)</f>
        <v>0</v>
      </c>
      <c r="BL716" s="18" t="s">
        <v>230</v>
      </c>
      <c r="BM716" s="185" t="s">
        <v>1579</v>
      </c>
    </row>
    <row r="717" spans="1:65" s="2" customFormat="1" ht="10">
      <c r="A717" s="35"/>
      <c r="B717" s="36"/>
      <c r="C717" s="37"/>
      <c r="D717" s="187" t="s">
        <v>137</v>
      </c>
      <c r="E717" s="37"/>
      <c r="F717" s="188" t="s">
        <v>1580</v>
      </c>
      <c r="G717" s="37"/>
      <c r="H717" s="37"/>
      <c r="I717" s="189"/>
      <c r="J717" s="37"/>
      <c r="K717" s="37"/>
      <c r="L717" s="40"/>
      <c r="M717" s="190"/>
      <c r="N717" s="191"/>
      <c r="O717" s="65"/>
      <c r="P717" s="65"/>
      <c r="Q717" s="65"/>
      <c r="R717" s="65"/>
      <c r="S717" s="65"/>
      <c r="T717" s="66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T717" s="18" t="s">
        <v>137</v>
      </c>
      <c r="AU717" s="18" t="s">
        <v>82</v>
      </c>
    </row>
    <row r="718" spans="1:65" s="13" customFormat="1" ht="10">
      <c r="B718" s="192"/>
      <c r="C718" s="193"/>
      <c r="D718" s="194" t="s">
        <v>139</v>
      </c>
      <c r="E718" s="195" t="s">
        <v>19</v>
      </c>
      <c r="F718" s="196" t="s">
        <v>1581</v>
      </c>
      <c r="G718" s="193"/>
      <c r="H718" s="197">
        <v>14.2</v>
      </c>
      <c r="I718" s="198"/>
      <c r="J718" s="193"/>
      <c r="K718" s="193"/>
      <c r="L718" s="199"/>
      <c r="M718" s="200"/>
      <c r="N718" s="201"/>
      <c r="O718" s="201"/>
      <c r="P718" s="201"/>
      <c r="Q718" s="201"/>
      <c r="R718" s="201"/>
      <c r="S718" s="201"/>
      <c r="T718" s="202"/>
      <c r="AT718" s="203" t="s">
        <v>139</v>
      </c>
      <c r="AU718" s="203" t="s">
        <v>82</v>
      </c>
      <c r="AV718" s="13" t="s">
        <v>82</v>
      </c>
      <c r="AW718" s="13" t="s">
        <v>34</v>
      </c>
      <c r="AX718" s="13" t="s">
        <v>80</v>
      </c>
      <c r="AY718" s="203" t="s">
        <v>128</v>
      </c>
    </row>
    <row r="719" spans="1:65" s="2" customFormat="1" ht="21.75" customHeight="1">
      <c r="A719" s="35"/>
      <c r="B719" s="36"/>
      <c r="C719" s="174" t="s">
        <v>1582</v>
      </c>
      <c r="D719" s="174" t="s">
        <v>130</v>
      </c>
      <c r="E719" s="175" t="s">
        <v>1583</v>
      </c>
      <c r="F719" s="176" t="s">
        <v>1584</v>
      </c>
      <c r="G719" s="177" t="s">
        <v>258</v>
      </c>
      <c r="H719" s="178">
        <v>121.95</v>
      </c>
      <c r="I719" s="179"/>
      <c r="J719" s="180">
        <f>ROUND(I719*H719,2)</f>
        <v>0</v>
      </c>
      <c r="K719" s="176" t="s">
        <v>19</v>
      </c>
      <c r="L719" s="40"/>
      <c r="M719" s="181" t="s">
        <v>19</v>
      </c>
      <c r="N719" s="182" t="s">
        <v>43</v>
      </c>
      <c r="O719" s="65"/>
      <c r="P719" s="183">
        <f>O719*H719</f>
        <v>0</v>
      </c>
      <c r="Q719" s="183">
        <v>2.4099999999999998E-3</v>
      </c>
      <c r="R719" s="183">
        <f>Q719*H719</f>
        <v>0.29389949999999998</v>
      </c>
      <c r="S719" s="183">
        <v>0</v>
      </c>
      <c r="T719" s="184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185" t="s">
        <v>230</v>
      </c>
      <c r="AT719" s="185" t="s">
        <v>130</v>
      </c>
      <c r="AU719" s="185" t="s">
        <v>82</v>
      </c>
      <c r="AY719" s="18" t="s">
        <v>128</v>
      </c>
      <c r="BE719" s="186">
        <f>IF(N719="základní",J719,0)</f>
        <v>0</v>
      </c>
      <c r="BF719" s="186">
        <f>IF(N719="snížená",J719,0)</f>
        <v>0</v>
      </c>
      <c r="BG719" s="186">
        <f>IF(N719="zákl. přenesená",J719,0)</f>
        <v>0</v>
      </c>
      <c r="BH719" s="186">
        <f>IF(N719="sníž. přenesená",J719,0)</f>
        <v>0</v>
      </c>
      <c r="BI719" s="186">
        <f>IF(N719="nulová",J719,0)</f>
        <v>0</v>
      </c>
      <c r="BJ719" s="18" t="s">
        <v>80</v>
      </c>
      <c r="BK719" s="186">
        <f>ROUND(I719*H719,2)</f>
        <v>0</v>
      </c>
      <c r="BL719" s="18" t="s">
        <v>230</v>
      </c>
      <c r="BM719" s="185" t="s">
        <v>1585</v>
      </c>
    </row>
    <row r="720" spans="1:65" s="13" customFormat="1" ht="10">
      <c r="B720" s="192"/>
      <c r="C720" s="193"/>
      <c r="D720" s="194" t="s">
        <v>139</v>
      </c>
      <c r="E720" s="195" t="s">
        <v>19</v>
      </c>
      <c r="F720" s="196" t="s">
        <v>1586</v>
      </c>
      <c r="G720" s="193"/>
      <c r="H720" s="197">
        <v>121.95</v>
      </c>
      <c r="I720" s="198"/>
      <c r="J720" s="193"/>
      <c r="K720" s="193"/>
      <c r="L720" s="199"/>
      <c r="M720" s="200"/>
      <c r="N720" s="201"/>
      <c r="O720" s="201"/>
      <c r="P720" s="201"/>
      <c r="Q720" s="201"/>
      <c r="R720" s="201"/>
      <c r="S720" s="201"/>
      <c r="T720" s="202"/>
      <c r="AT720" s="203" t="s">
        <v>139</v>
      </c>
      <c r="AU720" s="203" t="s">
        <v>82</v>
      </c>
      <c r="AV720" s="13" t="s">
        <v>82</v>
      </c>
      <c r="AW720" s="13" t="s">
        <v>34</v>
      </c>
      <c r="AX720" s="13" t="s">
        <v>80</v>
      </c>
      <c r="AY720" s="203" t="s">
        <v>128</v>
      </c>
    </row>
    <row r="721" spans="1:65" s="2" customFormat="1" ht="21.75" customHeight="1">
      <c r="A721" s="35"/>
      <c r="B721" s="36"/>
      <c r="C721" s="174" t="s">
        <v>1587</v>
      </c>
      <c r="D721" s="174" t="s">
        <v>130</v>
      </c>
      <c r="E721" s="175" t="s">
        <v>1588</v>
      </c>
      <c r="F721" s="176" t="s">
        <v>1589</v>
      </c>
      <c r="G721" s="177" t="s">
        <v>133</v>
      </c>
      <c r="H721" s="178">
        <v>1.5</v>
      </c>
      <c r="I721" s="179"/>
      <c r="J721" s="180">
        <f>ROUND(I721*H721,2)</f>
        <v>0</v>
      </c>
      <c r="K721" s="176" t="s">
        <v>134</v>
      </c>
      <c r="L721" s="40"/>
      <c r="M721" s="181" t="s">
        <v>19</v>
      </c>
      <c r="N721" s="182" t="s">
        <v>43</v>
      </c>
      <c r="O721" s="65"/>
      <c r="P721" s="183">
        <f>O721*H721</f>
        <v>0</v>
      </c>
      <c r="Q721" s="183">
        <v>7.3499999999999998E-3</v>
      </c>
      <c r="R721" s="183">
        <f>Q721*H721</f>
        <v>1.1025E-2</v>
      </c>
      <c r="S721" s="183">
        <v>0</v>
      </c>
      <c r="T721" s="184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85" t="s">
        <v>230</v>
      </c>
      <c r="AT721" s="185" t="s">
        <v>130</v>
      </c>
      <c r="AU721" s="185" t="s">
        <v>82</v>
      </c>
      <c r="AY721" s="18" t="s">
        <v>128</v>
      </c>
      <c r="BE721" s="186">
        <f>IF(N721="základní",J721,0)</f>
        <v>0</v>
      </c>
      <c r="BF721" s="186">
        <f>IF(N721="snížená",J721,0)</f>
        <v>0</v>
      </c>
      <c r="BG721" s="186">
        <f>IF(N721="zákl. přenesená",J721,0)</f>
        <v>0</v>
      </c>
      <c r="BH721" s="186">
        <f>IF(N721="sníž. přenesená",J721,0)</f>
        <v>0</v>
      </c>
      <c r="BI721" s="186">
        <f>IF(N721="nulová",J721,0)</f>
        <v>0</v>
      </c>
      <c r="BJ721" s="18" t="s">
        <v>80</v>
      </c>
      <c r="BK721" s="186">
        <f>ROUND(I721*H721,2)</f>
        <v>0</v>
      </c>
      <c r="BL721" s="18" t="s">
        <v>230</v>
      </c>
      <c r="BM721" s="185" t="s">
        <v>1590</v>
      </c>
    </row>
    <row r="722" spans="1:65" s="2" customFormat="1" ht="10">
      <c r="A722" s="35"/>
      <c r="B722" s="36"/>
      <c r="C722" s="37"/>
      <c r="D722" s="187" t="s">
        <v>137</v>
      </c>
      <c r="E722" s="37"/>
      <c r="F722" s="188" t="s">
        <v>1591</v>
      </c>
      <c r="G722" s="37"/>
      <c r="H722" s="37"/>
      <c r="I722" s="189"/>
      <c r="J722" s="37"/>
      <c r="K722" s="37"/>
      <c r="L722" s="40"/>
      <c r="M722" s="190"/>
      <c r="N722" s="191"/>
      <c r="O722" s="65"/>
      <c r="P722" s="65"/>
      <c r="Q722" s="65"/>
      <c r="R722" s="65"/>
      <c r="S722" s="65"/>
      <c r="T722" s="66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T722" s="18" t="s">
        <v>137</v>
      </c>
      <c r="AU722" s="18" t="s">
        <v>82</v>
      </c>
    </row>
    <row r="723" spans="1:65" s="13" customFormat="1" ht="10">
      <c r="B723" s="192"/>
      <c r="C723" s="193"/>
      <c r="D723" s="194" t="s">
        <v>139</v>
      </c>
      <c r="E723" s="195" t="s">
        <v>19</v>
      </c>
      <c r="F723" s="196" t="s">
        <v>1592</v>
      </c>
      <c r="G723" s="193"/>
      <c r="H723" s="197">
        <v>1.5</v>
      </c>
      <c r="I723" s="198"/>
      <c r="J723" s="193"/>
      <c r="K723" s="193"/>
      <c r="L723" s="199"/>
      <c r="M723" s="200"/>
      <c r="N723" s="201"/>
      <c r="O723" s="201"/>
      <c r="P723" s="201"/>
      <c r="Q723" s="201"/>
      <c r="R723" s="201"/>
      <c r="S723" s="201"/>
      <c r="T723" s="202"/>
      <c r="AT723" s="203" t="s">
        <v>139</v>
      </c>
      <c r="AU723" s="203" t="s">
        <v>82</v>
      </c>
      <c r="AV723" s="13" t="s">
        <v>82</v>
      </c>
      <c r="AW723" s="13" t="s">
        <v>34</v>
      </c>
      <c r="AX723" s="13" t="s">
        <v>80</v>
      </c>
      <c r="AY723" s="203" t="s">
        <v>128</v>
      </c>
    </row>
    <row r="724" spans="1:65" s="2" customFormat="1" ht="24.15" customHeight="1">
      <c r="A724" s="35"/>
      <c r="B724" s="36"/>
      <c r="C724" s="174" t="s">
        <v>1593</v>
      </c>
      <c r="D724" s="174" t="s">
        <v>130</v>
      </c>
      <c r="E724" s="175" t="s">
        <v>1594</v>
      </c>
      <c r="F724" s="176" t="s">
        <v>1595</v>
      </c>
      <c r="G724" s="177" t="s">
        <v>258</v>
      </c>
      <c r="H724" s="178">
        <v>5.45</v>
      </c>
      <c r="I724" s="179"/>
      <c r="J724" s="180">
        <f>ROUND(I724*H724,2)</f>
        <v>0</v>
      </c>
      <c r="K724" s="176" t="s">
        <v>134</v>
      </c>
      <c r="L724" s="40"/>
      <c r="M724" s="181" t="s">
        <v>19</v>
      </c>
      <c r="N724" s="182" t="s">
        <v>43</v>
      </c>
      <c r="O724" s="65"/>
      <c r="P724" s="183">
        <f>O724*H724</f>
        <v>0</v>
      </c>
      <c r="Q724" s="183">
        <v>1.97E-3</v>
      </c>
      <c r="R724" s="183">
        <f>Q724*H724</f>
        <v>1.07365E-2</v>
      </c>
      <c r="S724" s="183">
        <v>0</v>
      </c>
      <c r="T724" s="184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185" t="s">
        <v>230</v>
      </c>
      <c r="AT724" s="185" t="s">
        <v>130</v>
      </c>
      <c r="AU724" s="185" t="s">
        <v>82</v>
      </c>
      <c r="AY724" s="18" t="s">
        <v>128</v>
      </c>
      <c r="BE724" s="186">
        <f>IF(N724="základní",J724,0)</f>
        <v>0</v>
      </c>
      <c r="BF724" s="186">
        <f>IF(N724="snížená",J724,0)</f>
        <v>0</v>
      </c>
      <c r="BG724" s="186">
        <f>IF(N724="zákl. přenesená",J724,0)</f>
        <v>0</v>
      </c>
      <c r="BH724" s="186">
        <f>IF(N724="sníž. přenesená",J724,0)</f>
        <v>0</v>
      </c>
      <c r="BI724" s="186">
        <f>IF(N724="nulová",J724,0)</f>
        <v>0</v>
      </c>
      <c r="BJ724" s="18" t="s">
        <v>80</v>
      </c>
      <c r="BK724" s="186">
        <f>ROUND(I724*H724,2)</f>
        <v>0</v>
      </c>
      <c r="BL724" s="18" t="s">
        <v>230</v>
      </c>
      <c r="BM724" s="185" t="s">
        <v>1596</v>
      </c>
    </row>
    <row r="725" spans="1:65" s="2" customFormat="1" ht="10">
      <c r="A725" s="35"/>
      <c r="B725" s="36"/>
      <c r="C725" s="37"/>
      <c r="D725" s="187" t="s">
        <v>137</v>
      </c>
      <c r="E725" s="37"/>
      <c r="F725" s="188" t="s">
        <v>1597</v>
      </c>
      <c r="G725" s="37"/>
      <c r="H725" s="37"/>
      <c r="I725" s="189"/>
      <c r="J725" s="37"/>
      <c r="K725" s="37"/>
      <c r="L725" s="40"/>
      <c r="M725" s="190"/>
      <c r="N725" s="191"/>
      <c r="O725" s="65"/>
      <c r="P725" s="65"/>
      <c r="Q725" s="65"/>
      <c r="R725" s="65"/>
      <c r="S725" s="65"/>
      <c r="T725" s="66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T725" s="18" t="s">
        <v>137</v>
      </c>
      <c r="AU725" s="18" t="s">
        <v>82</v>
      </c>
    </row>
    <row r="726" spans="1:65" s="13" customFormat="1" ht="10">
      <c r="B726" s="192"/>
      <c r="C726" s="193"/>
      <c r="D726" s="194" t="s">
        <v>139</v>
      </c>
      <c r="E726" s="195" t="s">
        <v>19</v>
      </c>
      <c r="F726" s="196" t="s">
        <v>1598</v>
      </c>
      <c r="G726" s="193"/>
      <c r="H726" s="197">
        <v>3.6</v>
      </c>
      <c r="I726" s="198"/>
      <c r="J726" s="193"/>
      <c r="K726" s="193"/>
      <c r="L726" s="199"/>
      <c r="M726" s="200"/>
      <c r="N726" s="201"/>
      <c r="O726" s="201"/>
      <c r="P726" s="201"/>
      <c r="Q726" s="201"/>
      <c r="R726" s="201"/>
      <c r="S726" s="201"/>
      <c r="T726" s="202"/>
      <c r="AT726" s="203" t="s">
        <v>139</v>
      </c>
      <c r="AU726" s="203" t="s">
        <v>82</v>
      </c>
      <c r="AV726" s="13" t="s">
        <v>82</v>
      </c>
      <c r="AW726" s="13" t="s">
        <v>34</v>
      </c>
      <c r="AX726" s="13" t="s">
        <v>72</v>
      </c>
      <c r="AY726" s="203" t="s">
        <v>128</v>
      </c>
    </row>
    <row r="727" spans="1:65" s="13" customFormat="1" ht="10">
      <c r="B727" s="192"/>
      <c r="C727" s="193"/>
      <c r="D727" s="194" t="s">
        <v>139</v>
      </c>
      <c r="E727" s="195" t="s">
        <v>19</v>
      </c>
      <c r="F727" s="196" t="s">
        <v>1599</v>
      </c>
      <c r="G727" s="193"/>
      <c r="H727" s="197">
        <v>1.85</v>
      </c>
      <c r="I727" s="198"/>
      <c r="J727" s="193"/>
      <c r="K727" s="193"/>
      <c r="L727" s="199"/>
      <c r="M727" s="200"/>
      <c r="N727" s="201"/>
      <c r="O727" s="201"/>
      <c r="P727" s="201"/>
      <c r="Q727" s="201"/>
      <c r="R727" s="201"/>
      <c r="S727" s="201"/>
      <c r="T727" s="202"/>
      <c r="AT727" s="203" t="s">
        <v>139</v>
      </c>
      <c r="AU727" s="203" t="s">
        <v>82</v>
      </c>
      <c r="AV727" s="13" t="s">
        <v>82</v>
      </c>
      <c r="AW727" s="13" t="s">
        <v>34</v>
      </c>
      <c r="AX727" s="13" t="s">
        <v>72</v>
      </c>
      <c r="AY727" s="203" t="s">
        <v>128</v>
      </c>
    </row>
    <row r="728" spans="1:65" s="14" customFormat="1" ht="10">
      <c r="B728" s="204"/>
      <c r="C728" s="205"/>
      <c r="D728" s="194" t="s">
        <v>139</v>
      </c>
      <c r="E728" s="206" t="s">
        <v>19</v>
      </c>
      <c r="F728" s="207" t="s">
        <v>153</v>
      </c>
      <c r="G728" s="205"/>
      <c r="H728" s="208">
        <v>5.45</v>
      </c>
      <c r="I728" s="209"/>
      <c r="J728" s="205"/>
      <c r="K728" s="205"/>
      <c r="L728" s="210"/>
      <c r="M728" s="211"/>
      <c r="N728" s="212"/>
      <c r="O728" s="212"/>
      <c r="P728" s="212"/>
      <c r="Q728" s="212"/>
      <c r="R728" s="212"/>
      <c r="S728" s="212"/>
      <c r="T728" s="213"/>
      <c r="AT728" s="214" t="s">
        <v>139</v>
      </c>
      <c r="AU728" s="214" t="s">
        <v>82</v>
      </c>
      <c r="AV728" s="14" t="s">
        <v>135</v>
      </c>
      <c r="AW728" s="14" t="s">
        <v>34</v>
      </c>
      <c r="AX728" s="14" t="s">
        <v>80</v>
      </c>
      <c r="AY728" s="214" t="s">
        <v>128</v>
      </c>
    </row>
    <row r="729" spans="1:65" s="2" customFormat="1" ht="24.15" customHeight="1">
      <c r="A729" s="35"/>
      <c r="B729" s="36"/>
      <c r="C729" s="174" t="s">
        <v>1600</v>
      </c>
      <c r="D729" s="174" t="s">
        <v>130</v>
      </c>
      <c r="E729" s="175" t="s">
        <v>1601</v>
      </c>
      <c r="F729" s="176" t="s">
        <v>1602</v>
      </c>
      <c r="G729" s="177" t="s">
        <v>258</v>
      </c>
      <c r="H729" s="178">
        <v>7.3</v>
      </c>
      <c r="I729" s="179"/>
      <c r="J729" s="180">
        <f>ROUND(I729*H729,2)</f>
        <v>0</v>
      </c>
      <c r="K729" s="176" t="s">
        <v>134</v>
      </c>
      <c r="L729" s="40"/>
      <c r="M729" s="181" t="s">
        <v>19</v>
      </c>
      <c r="N729" s="182" t="s">
        <v>43</v>
      </c>
      <c r="O729" s="65"/>
      <c r="P729" s="183">
        <f>O729*H729</f>
        <v>0</v>
      </c>
      <c r="Q729" s="183">
        <v>1.47E-3</v>
      </c>
      <c r="R729" s="183">
        <f>Q729*H729</f>
        <v>1.0730999999999999E-2</v>
      </c>
      <c r="S729" s="183">
        <v>0</v>
      </c>
      <c r="T729" s="184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185" t="s">
        <v>230</v>
      </c>
      <c r="AT729" s="185" t="s">
        <v>130</v>
      </c>
      <c r="AU729" s="185" t="s">
        <v>82</v>
      </c>
      <c r="AY729" s="18" t="s">
        <v>128</v>
      </c>
      <c r="BE729" s="186">
        <f>IF(N729="základní",J729,0)</f>
        <v>0</v>
      </c>
      <c r="BF729" s="186">
        <f>IF(N729="snížená",J729,0)</f>
        <v>0</v>
      </c>
      <c r="BG729" s="186">
        <f>IF(N729="zákl. přenesená",J729,0)</f>
        <v>0</v>
      </c>
      <c r="BH729" s="186">
        <f>IF(N729="sníž. přenesená",J729,0)</f>
        <v>0</v>
      </c>
      <c r="BI729" s="186">
        <f>IF(N729="nulová",J729,0)</f>
        <v>0</v>
      </c>
      <c r="BJ729" s="18" t="s">
        <v>80</v>
      </c>
      <c r="BK729" s="186">
        <f>ROUND(I729*H729,2)</f>
        <v>0</v>
      </c>
      <c r="BL729" s="18" t="s">
        <v>230</v>
      </c>
      <c r="BM729" s="185" t="s">
        <v>1603</v>
      </c>
    </row>
    <row r="730" spans="1:65" s="2" customFormat="1" ht="10">
      <c r="A730" s="35"/>
      <c r="B730" s="36"/>
      <c r="C730" s="37"/>
      <c r="D730" s="187" t="s">
        <v>137</v>
      </c>
      <c r="E730" s="37"/>
      <c r="F730" s="188" t="s">
        <v>1604</v>
      </c>
      <c r="G730" s="37"/>
      <c r="H730" s="37"/>
      <c r="I730" s="189"/>
      <c r="J730" s="37"/>
      <c r="K730" s="37"/>
      <c r="L730" s="40"/>
      <c r="M730" s="190"/>
      <c r="N730" s="191"/>
      <c r="O730" s="65"/>
      <c r="P730" s="65"/>
      <c r="Q730" s="65"/>
      <c r="R730" s="65"/>
      <c r="S730" s="65"/>
      <c r="T730" s="66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T730" s="18" t="s">
        <v>137</v>
      </c>
      <c r="AU730" s="18" t="s">
        <v>82</v>
      </c>
    </row>
    <row r="731" spans="1:65" s="13" customFormat="1" ht="10">
      <c r="B731" s="192"/>
      <c r="C731" s="193"/>
      <c r="D731" s="194" t="s">
        <v>139</v>
      </c>
      <c r="E731" s="195" t="s">
        <v>19</v>
      </c>
      <c r="F731" s="196" t="s">
        <v>1605</v>
      </c>
      <c r="G731" s="193"/>
      <c r="H731" s="197">
        <v>7.3</v>
      </c>
      <c r="I731" s="198"/>
      <c r="J731" s="193"/>
      <c r="K731" s="193"/>
      <c r="L731" s="199"/>
      <c r="M731" s="200"/>
      <c r="N731" s="201"/>
      <c r="O731" s="201"/>
      <c r="P731" s="201"/>
      <c r="Q731" s="201"/>
      <c r="R731" s="201"/>
      <c r="S731" s="201"/>
      <c r="T731" s="202"/>
      <c r="AT731" s="203" t="s">
        <v>139</v>
      </c>
      <c r="AU731" s="203" t="s">
        <v>82</v>
      </c>
      <c r="AV731" s="13" t="s">
        <v>82</v>
      </c>
      <c r="AW731" s="13" t="s">
        <v>34</v>
      </c>
      <c r="AX731" s="13" t="s">
        <v>80</v>
      </c>
      <c r="AY731" s="203" t="s">
        <v>128</v>
      </c>
    </row>
    <row r="732" spans="1:65" s="2" customFormat="1" ht="16.5" customHeight="1">
      <c r="A732" s="35"/>
      <c r="B732" s="36"/>
      <c r="C732" s="174" t="s">
        <v>1606</v>
      </c>
      <c r="D732" s="174" t="s">
        <v>130</v>
      </c>
      <c r="E732" s="175" t="s">
        <v>1607</v>
      </c>
      <c r="F732" s="176" t="s">
        <v>1608</v>
      </c>
      <c r="G732" s="177" t="s">
        <v>305</v>
      </c>
      <c r="H732" s="178">
        <v>11</v>
      </c>
      <c r="I732" s="179"/>
      <c r="J732" s="180">
        <f>ROUND(I732*H732,2)</f>
        <v>0</v>
      </c>
      <c r="K732" s="176" t="s">
        <v>19</v>
      </c>
      <c r="L732" s="40"/>
      <c r="M732" s="181" t="s">
        <v>19</v>
      </c>
      <c r="N732" s="182" t="s">
        <v>43</v>
      </c>
      <c r="O732" s="65"/>
      <c r="P732" s="183">
        <f>O732*H732</f>
        <v>0</v>
      </c>
      <c r="Q732" s="183">
        <v>1.16E-3</v>
      </c>
      <c r="R732" s="183">
        <f>Q732*H732</f>
        <v>1.2760000000000001E-2</v>
      </c>
      <c r="S732" s="183">
        <v>0</v>
      </c>
      <c r="T732" s="184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185" t="s">
        <v>230</v>
      </c>
      <c r="AT732" s="185" t="s">
        <v>130</v>
      </c>
      <c r="AU732" s="185" t="s">
        <v>82</v>
      </c>
      <c r="AY732" s="18" t="s">
        <v>128</v>
      </c>
      <c r="BE732" s="186">
        <f>IF(N732="základní",J732,0)</f>
        <v>0</v>
      </c>
      <c r="BF732" s="186">
        <f>IF(N732="snížená",J732,0)</f>
        <v>0</v>
      </c>
      <c r="BG732" s="186">
        <f>IF(N732="zákl. přenesená",J732,0)</f>
        <v>0</v>
      </c>
      <c r="BH732" s="186">
        <f>IF(N732="sníž. přenesená",J732,0)</f>
        <v>0</v>
      </c>
      <c r="BI732" s="186">
        <f>IF(N732="nulová",J732,0)</f>
        <v>0</v>
      </c>
      <c r="BJ732" s="18" t="s">
        <v>80</v>
      </c>
      <c r="BK732" s="186">
        <f>ROUND(I732*H732,2)</f>
        <v>0</v>
      </c>
      <c r="BL732" s="18" t="s">
        <v>230</v>
      </c>
      <c r="BM732" s="185" t="s">
        <v>1609</v>
      </c>
    </row>
    <row r="733" spans="1:65" s="13" customFormat="1" ht="10">
      <c r="B733" s="192"/>
      <c r="C733" s="193"/>
      <c r="D733" s="194" t="s">
        <v>139</v>
      </c>
      <c r="E733" s="195" t="s">
        <v>19</v>
      </c>
      <c r="F733" s="196" t="s">
        <v>1610</v>
      </c>
      <c r="G733" s="193"/>
      <c r="H733" s="197">
        <v>11</v>
      </c>
      <c r="I733" s="198"/>
      <c r="J733" s="193"/>
      <c r="K733" s="193"/>
      <c r="L733" s="199"/>
      <c r="M733" s="200"/>
      <c r="N733" s="201"/>
      <c r="O733" s="201"/>
      <c r="P733" s="201"/>
      <c r="Q733" s="201"/>
      <c r="R733" s="201"/>
      <c r="S733" s="201"/>
      <c r="T733" s="202"/>
      <c r="AT733" s="203" t="s">
        <v>139</v>
      </c>
      <c r="AU733" s="203" t="s">
        <v>82</v>
      </c>
      <c r="AV733" s="13" t="s">
        <v>82</v>
      </c>
      <c r="AW733" s="13" t="s">
        <v>34</v>
      </c>
      <c r="AX733" s="13" t="s">
        <v>80</v>
      </c>
      <c r="AY733" s="203" t="s">
        <v>128</v>
      </c>
    </row>
    <row r="734" spans="1:65" s="2" customFormat="1" ht="16.5" customHeight="1">
      <c r="A734" s="35"/>
      <c r="B734" s="36"/>
      <c r="C734" s="174" t="s">
        <v>1611</v>
      </c>
      <c r="D734" s="174" t="s">
        <v>130</v>
      </c>
      <c r="E734" s="175" t="s">
        <v>1612</v>
      </c>
      <c r="F734" s="176" t="s">
        <v>1613</v>
      </c>
      <c r="G734" s="177" t="s">
        <v>258</v>
      </c>
      <c r="H734" s="178">
        <v>4.2</v>
      </c>
      <c r="I734" s="179"/>
      <c r="J734" s="180">
        <f>ROUND(I734*H734,2)</f>
        <v>0</v>
      </c>
      <c r="K734" s="176" t="s">
        <v>134</v>
      </c>
      <c r="L734" s="40"/>
      <c r="M734" s="181" t="s">
        <v>19</v>
      </c>
      <c r="N734" s="182" t="s">
        <v>43</v>
      </c>
      <c r="O734" s="65"/>
      <c r="P734" s="183">
        <f>O734*H734</f>
        <v>0</v>
      </c>
      <c r="Q734" s="183">
        <v>2.5899999999999999E-3</v>
      </c>
      <c r="R734" s="183">
        <f>Q734*H734</f>
        <v>1.0878000000000001E-2</v>
      </c>
      <c r="S734" s="183">
        <v>0</v>
      </c>
      <c r="T734" s="184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85" t="s">
        <v>230</v>
      </c>
      <c r="AT734" s="185" t="s">
        <v>130</v>
      </c>
      <c r="AU734" s="185" t="s">
        <v>82</v>
      </c>
      <c r="AY734" s="18" t="s">
        <v>128</v>
      </c>
      <c r="BE734" s="186">
        <f>IF(N734="základní",J734,0)</f>
        <v>0</v>
      </c>
      <c r="BF734" s="186">
        <f>IF(N734="snížená",J734,0)</f>
        <v>0</v>
      </c>
      <c r="BG734" s="186">
        <f>IF(N734="zákl. přenesená",J734,0)</f>
        <v>0</v>
      </c>
      <c r="BH734" s="186">
        <f>IF(N734="sníž. přenesená",J734,0)</f>
        <v>0</v>
      </c>
      <c r="BI734" s="186">
        <f>IF(N734="nulová",J734,0)</f>
        <v>0</v>
      </c>
      <c r="BJ734" s="18" t="s">
        <v>80</v>
      </c>
      <c r="BK734" s="186">
        <f>ROUND(I734*H734,2)</f>
        <v>0</v>
      </c>
      <c r="BL734" s="18" t="s">
        <v>230</v>
      </c>
      <c r="BM734" s="185" t="s">
        <v>1614</v>
      </c>
    </row>
    <row r="735" spans="1:65" s="2" customFormat="1" ht="10">
      <c r="A735" s="35"/>
      <c r="B735" s="36"/>
      <c r="C735" s="37"/>
      <c r="D735" s="187" t="s">
        <v>137</v>
      </c>
      <c r="E735" s="37"/>
      <c r="F735" s="188" t="s">
        <v>1615</v>
      </c>
      <c r="G735" s="37"/>
      <c r="H735" s="37"/>
      <c r="I735" s="189"/>
      <c r="J735" s="37"/>
      <c r="K735" s="37"/>
      <c r="L735" s="40"/>
      <c r="M735" s="190"/>
      <c r="N735" s="191"/>
      <c r="O735" s="65"/>
      <c r="P735" s="65"/>
      <c r="Q735" s="65"/>
      <c r="R735" s="65"/>
      <c r="S735" s="65"/>
      <c r="T735" s="66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T735" s="18" t="s">
        <v>137</v>
      </c>
      <c r="AU735" s="18" t="s">
        <v>82</v>
      </c>
    </row>
    <row r="736" spans="1:65" s="13" customFormat="1" ht="10">
      <c r="B736" s="192"/>
      <c r="C736" s="193"/>
      <c r="D736" s="194" t="s">
        <v>139</v>
      </c>
      <c r="E736" s="195" t="s">
        <v>19</v>
      </c>
      <c r="F736" s="196" t="s">
        <v>1616</v>
      </c>
      <c r="G736" s="193"/>
      <c r="H736" s="197">
        <v>4.2</v>
      </c>
      <c r="I736" s="198"/>
      <c r="J736" s="193"/>
      <c r="K736" s="193"/>
      <c r="L736" s="199"/>
      <c r="M736" s="200"/>
      <c r="N736" s="201"/>
      <c r="O736" s="201"/>
      <c r="P736" s="201"/>
      <c r="Q736" s="201"/>
      <c r="R736" s="201"/>
      <c r="S736" s="201"/>
      <c r="T736" s="202"/>
      <c r="AT736" s="203" t="s">
        <v>139</v>
      </c>
      <c r="AU736" s="203" t="s">
        <v>82</v>
      </c>
      <c r="AV736" s="13" t="s">
        <v>82</v>
      </c>
      <c r="AW736" s="13" t="s">
        <v>34</v>
      </c>
      <c r="AX736" s="13" t="s">
        <v>80</v>
      </c>
      <c r="AY736" s="203" t="s">
        <v>128</v>
      </c>
    </row>
    <row r="737" spans="1:65" s="2" customFormat="1" ht="24.15" customHeight="1">
      <c r="A737" s="35"/>
      <c r="B737" s="36"/>
      <c r="C737" s="174" t="s">
        <v>1617</v>
      </c>
      <c r="D737" s="174" t="s">
        <v>130</v>
      </c>
      <c r="E737" s="175" t="s">
        <v>1618</v>
      </c>
      <c r="F737" s="176" t="s">
        <v>1619</v>
      </c>
      <c r="G737" s="177" t="s">
        <v>305</v>
      </c>
      <c r="H737" s="178">
        <v>5</v>
      </c>
      <c r="I737" s="179"/>
      <c r="J737" s="180">
        <f>ROUND(I737*H737,2)</f>
        <v>0</v>
      </c>
      <c r="K737" s="176" t="s">
        <v>134</v>
      </c>
      <c r="L737" s="40"/>
      <c r="M737" s="181" t="s">
        <v>19</v>
      </c>
      <c r="N737" s="182" t="s">
        <v>43</v>
      </c>
      <c r="O737" s="65"/>
      <c r="P737" s="183">
        <f>O737*H737</f>
        <v>0</v>
      </c>
      <c r="Q737" s="183">
        <v>3.8899999999999998E-3</v>
      </c>
      <c r="R737" s="183">
        <f>Q737*H737</f>
        <v>1.9449999999999999E-2</v>
      </c>
      <c r="S737" s="183">
        <v>0</v>
      </c>
      <c r="T737" s="184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185" t="s">
        <v>230</v>
      </c>
      <c r="AT737" s="185" t="s">
        <v>130</v>
      </c>
      <c r="AU737" s="185" t="s">
        <v>82</v>
      </c>
      <c r="AY737" s="18" t="s">
        <v>128</v>
      </c>
      <c r="BE737" s="186">
        <f>IF(N737="základní",J737,0)</f>
        <v>0</v>
      </c>
      <c r="BF737" s="186">
        <f>IF(N737="snížená",J737,0)</f>
        <v>0</v>
      </c>
      <c r="BG737" s="186">
        <f>IF(N737="zákl. přenesená",J737,0)</f>
        <v>0</v>
      </c>
      <c r="BH737" s="186">
        <f>IF(N737="sníž. přenesená",J737,0)</f>
        <v>0</v>
      </c>
      <c r="BI737" s="186">
        <f>IF(N737="nulová",J737,0)</f>
        <v>0</v>
      </c>
      <c r="BJ737" s="18" t="s">
        <v>80</v>
      </c>
      <c r="BK737" s="186">
        <f>ROUND(I737*H737,2)</f>
        <v>0</v>
      </c>
      <c r="BL737" s="18" t="s">
        <v>230</v>
      </c>
      <c r="BM737" s="185" t="s">
        <v>1620</v>
      </c>
    </row>
    <row r="738" spans="1:65" s="2" customFormat="1" ht="10">
      <c r="A738" s="35"/>
      <c r="B738" s="36"/>
      <c r="C738" s="37"/>
      <c r="D738" s="187" t="s">
        <v>137</v>
      </c>
      <c r="E738" s="37"/>
      <c r="F738" s="188" t="s">
        <v>1621</v>
      </c>
      <c r="G738" s="37"/>
      <c r="H738" s="37"/>
      <c r="I738" s="189"/>
      <c r="J738" s="37"/>
      <c r="K738" s="37"/>
      <c r="L738" s="40"/>
      <c r="M738" s="190"/>
      <c r="N738" s="191"/>
      <c r="O738" s="65"/>
      <c r="P738" s="65"/>
      <c r="Q738" s="65"/>
      <c r="R738" s="65"/>
      <c r="S738" s="65"/>
      <c r="T738" s="66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T738" s="18" t="s">
        <v>137</v>
      </c>
      <c r="AU738" s="18" t="s">
        <v>82</v>
      </c>
    </row>
    <row r="739" spans="1:65" s="13" customFormat="1" ht="10">
      <c r="B739" s="192"/>
      <c r="C739" s="193"/>
      <c r="D739" s="194" t="s">
        <v>139</v>
      </c>
      <c r="E739" s="195" t="s">
        <v>19</v>
      </c>
      <c r="F739" s="196" t="s">
        <v>1622</v>
      </c>
      <c r="G739" s="193"/>
      <c r="H739" s="197">
        <v>5</v>
      </c>
      <c r="I739" s="198"/>
      <c r="J739" s="193"/>
      <c r="K739" s="193"/>
      <c r="L739" s="199"/>
      <c r="M739" s="200"/>
      <c r="N739" s="201"/>
      <c r="O739" s="201"/>
      <c r="P739" s="201"/>
      <c r="Q739" s="201"/>
      <c r="R739" s="201"/>
      <c r="S739" s="201"/>
      <c r="T739" s="202"/>
      <c r="AT739" s="203" t="s">
        <v>139</v>
      </c>
      <c r="AU739" s="203" t="s">
        <v>82</v>
      </c>
      <c r="AV739" s="13" t="s">
        <v>82</v>
      </c>
      <c r="AW739" s="13" t="s">
        <v>34</v>
      </c>
      <c r="AX739" s="13" t="s">
        <v>80</v>
      </c>
      <c r="AY739" s="203" t="s">
        <v>128</v>
      </c>
    </row>
    <row r="740" spans="1:65" s="2" customFormat="1" ht="21.75" customHeight="1">
      <c r="A740" s="35"/>
      <c r="B740" s="36"/>
      <c r="C740" s="174" t="s">
        <v>1623</v>
      </c>
      <c r="D740" s="174" t="s">
        <v>130</v>
      </c>
      <c r="E740" s="175" t="s">
        <v>1624</v>
      </c>
      <c r="F740" s="176" t="s">
        <v>1625</v>
      </c>
      <c r="G740" s="177" t="s">
        <v>258</v>
      </c>
      <c r="H740" s="178">
        <v>122</v>
      </c>
      <c r="I740" s="179"/>
      <c r="J740" s="180">
        <f>ROUND(I740*H740,2)</f>
        <v>0</v>
      </c>
      <c r="K740" s="176" t="s">
        <v>134</v>
      </c>
      <c r="L740" s="40"/>
      <c r="M740" s="181" t="s">
        <v>19</v>
      </c>
      <c r="N740" s="182" t="s">
        <v>43</v>
      </c>
      <c r="O740" s="65"/>
      <c r="P740" s="183">
        <f>O740*H740</f>
        <v>0</v>
      </c>
      <c r="Q740" s="183">
        <v>6.96E-3</v>
      </c>
      <c r="R740" s="183">
        <f>Q740*H740</f>
        <v>0.84911999999999999</v>
      </c>
      <c r="S740" s="183">
        <v>0</v>
      </c>
      <c r="T740" s="184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85" t="s">
        <v>230</v>
      </c>
      <c r="AT740" s="185" t="s">
        <v>130</v>
      </c>
      <c r="AU740" s="185" t="s">
        <v>82</v>
      </c>
      <c r="AY740" s="18" t="s">
        <v>128</v>
      </c>
      <c r="BE740" s="186">
        <f>IF(N740="základní",J740,0)</f>
        <v>0</v>
      </c>
      <c r="BF740" s="186">
        <f>IF(N740="snížená",J740,0)</f>
        <v>0</v>
      </c>
      <c r="BG740" s="186">
        <f>IF(N740="zákl. přenesená",J740,0)</f>
        <v>0</v>
      </c>
      <c r="BH740" s="186">
        <f>IF(N740="sníž. přenesená",J740,0)</f>
        <v>0</v>
      </c>
      <c r="BI740" s="186">
        <f>IF(N740="nulová",J740,0)</f>
        <v>0</v>
      </c>
      <c r="BJ740" s="18" t="s">
        <v>80</v>
      </c>
      <c r="BK740" s="186">
        <f>ROUND(I740*H740,2)</f>
        <v>0</v>
      </c>
      <c r="BL740" s="18" t="s">
        <v>230</v>
      </c>
      <c r="BM740" s="185" t="s">
        <v>1626</v>
      </c>
    </row>
    <row r="741" spans="1:65" s="2" customFormat="1" ht="10">
      <c r="A741" s="35"/>
      <c r="B741" s="36"/>
      <c r="C741" s="37"/>
      <c r="D741" s="187" t="s">
        <v>137</v>
      </c>
      <c r="E741" s="37"/>
      <c r="F741" s="188" t="s">
        <v>1627</v>
      </c>
      <c r="G741" s="37"/>
      <c r="H741" s="37"/>
      <c r="I741" s="189"/>
      <c r="J741" s="37"/>
      <c r="K741" s="37"/>
      <c r="L741" s="40"/>
      <c r="M741" s="190"/>
      <c r="N741" s="191"/>
      <c r="O741" s="65"/>
      <c r="P741" s="65"/>
      <c r="Q741" s="65"/>
      <c r="R741" s="65"/>
      <c r="S741" s="65"/>
      <c r="T741" s="66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T741" s="18" t="s">
        <v>137</v>
      </c>
      <c r="AU741" s="18" t="s">
        <v>82</v>
      </c>
    </row>
    <row r="742" spans="1:65" s="13" customFormat="1" ht="10">
      <c r="B742" s="192"/>
      <c r="C742" s="193"/>
      <c r="D742" s="194" t="s">
        <v>139</v>
      </c>
      <c r="E742" s="195" t="s">
        <v>19</v>
      </c>
      <c r="F742" s="196" t="s">
        <v>1575</v>
      </c>
      <c r="G742" s="193"/>
      <c r="H742" s="197">
        <v>122</v>
      </c>
      <c r="I742" s="198"/>
      <c r="J742" s="193"/>
      <c r="K742" s="193"/>
      <c r="L742" s="199"/>
      <c r="M742" s="200"/>
      <c r="N742" s="201"/>
      <c r="O742" s="201"/>
      <c r="P742" s="201"/>
      <c r="Q742" s="201"/>
      <c r="R742" s="201"/>
      <c r="S742" s="201"/>
      <c r="T742" s="202"/>
      <c r="AT742" s="203" t="s">
        <v>139</v>
      </c>
      <c r="AU742" s="203" t="s">
        <v>82</v>
      </c>
      <c r="AV742" s="13" t="s">
        <v>82</v>
      </c>
      <c r="AW742" s="13" t="s">
        <v>34</v>
      </c>
      <c r="AX742" s="13" t="s">
        <v>80</v>
      </c>
      <c r="AY742" s="203" t="s">
        <v>128</v>
      </c>
    </row>
    <row r="743" spans="1:65" s="2" customFormat="1" ht="16.5" customHeight="1">
      <c r="A743" s="35"/>
      <c r="B743" s="36"/>
      <c r="C743" s="174" t="s">
        <v>1628</v>
      </c>
      <c r="D743" s="174" t="s">
        <v>130</v>
      </c>
      <c r="E743" s="175" t="s">
        <v>1629</v>
      </c>
      <c r="F743" s="176" t="s">
        <v>1630</v>
      </c>
      <c r="G743" s="177" t="s">
        <v>258</v>
      </c>
      <c r="H743" s="178">
        <v>93.6</v>
      </c>
      <c r="I743" s="179"/>
      <c r="J743" s="180">
        <f>ROUND(I743*H743,2)</f>
        <v>0</v>
      </c>
      <c r="K743" s="176" t="s">
        <v>134</v>
      </c>
      <c r="L743" s="40"/>
      <c r="M743" s="181" t="s">
        <v>19</v>
      </c>
      <c r="N743" s="182" t="s">
        <v>43</v>
      </c>
      <c r="O743" s="65"/>
      <c r="P743" s="183">
        <f>O743*H743</f>
        <v>0</v>
      </c>
      <c r="Q743" s="183">
        <v>4.8399999999999997E-3</v>
      </c>
      <c r="R743" s="183">
        <f>Q743*H743</f>
        <v>0.45302399999999993</v>
      </c>
      <c r="S743" s="183">
        <v>0</v>
      </c>
      <c r="T743" s="184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185" t="s">
        <v>230</v>
      </c>
      <c r="AT743" s="185" t="s">
        <v>130</v>
      </c>
      <c r="AU743" s="185" t="s">
        <v>82</v>
      </c>
      <c r="AY743" s="18" t="s">
        <v>128</v>
      </c>
      <c r="BE743" s="186">
        <f>IF(N743="základní",J743,0)</f>
        <v>0</v>
      </c>
      <c r="BF743" s="186">
        <f>IF(N743="snížená",J743,0)</f>
        <v>0</v>
      </c>
      <c r="BG743" s="186">
        <f>IF(N743="zákl. přenesená",J743,0)</f>
        <v>0</v>
      </c>
      <c r="BH743" s="186">
        <f>IF(N743="sníž. přenesená",J743,0)</f>
        <v>0</v>
      </c>
      <c r="BI743" s="186">
        <f>IF(N743="nulová",J743,0)</f>
        <v>0</v>
      </c>
      <c r="BJ743" s="18" t="s">
        <v>80</v>
      </c>
      <c r="BK743" s="186">
        <f>ROUND(I743*H743,2)</f>
        <v>0</v>
      </c>
      <c r="BL743" s="18" t="s">
        <v>230</v>
      </c>
      <c r="BM743" s="185" t="s">
        <v>1631</v>
      </c>
    </row>
    <row r="744" spans="1:65" s="2" customFormat="1" ht="10">
      <c r="A744" s="35"/>
      <c r="B744" s="36"/>
      <c r="C744" s="37"/>
      <c r="D744" s="187" t="s">
        <v>137</v>
      </c>
      <c r="E744" s="37"/>
      <c r="F744" s="188" t="s">
        <v>1632</v>
      </c>
      <c r="G744" s="37"/>
      <c r="H744" s="37"/>
      <c r="I744" s="189"/>
      <c r="J744" s="37"/>
      <c r="K744" s="37"/>
      <c r="L744" s="40"/>
      <c r="M744" s="190"/>
      <c r="N744" s="191"/>
      <c r="O744" s="65"/>
      <c r="P744" s="65"/>
      <c r="Q744" s="65"/>
      <c r="R744" s="65"/>
      <c r="S744" s="65"/>
      <c r="T744" s="66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T744" s="18" t="s">
        <v>137</v>
      </c>
      <c r="AU744" s="18" t="s">
        <v>82</v>
      </c>
    </row>
    <row r="745" spans="1:65" s="13" customFormat="1" ht="10">
      <c r="B745" s="192"/>
      <c r="C745" s="193"/>
      <c r="D745" s="194" t="s">
        <v>139</v>
      </c>
      <c r="E745" s="195" t="s">
        <v>19</v>
      </c>
      <c r="F745" s="196" t="s">
        <v>1633</v>
      </c>
      <c r="G745" s="193"/>
      <c r="H745" s="197">
        <v>93.6</v>
      </c>
      <c r="I745" s="198"/>
      <c r="J745" s="193"/>
      <c r="K745" s="193"/>
      <c r="L745" s="199"/>
      <c r="M745" s="200"/>
      <c r="N745" s="201"/>
      <c r="O745" s="201"/>
      <c r="P745" s="201"/>
      <c r="Q745" s="201"/>
      <c r="R745" s="201"/>
      <c r="S745" s="201"/>
      <c r="T745" s="202"/>
      <c r="AT745" s="203" t="s">
        <v>139</v>
      </c>
      <c r="AU745" s="203" t="s">
        <v>82</v>
      </c>
      <c r="AV745" s="13" t="s">
        <v>82</v>
      </c>
      <c r="AW745" s="13" t="s">
        <v>34</v>
      </c>
      <c r="AX745" s="13" t="s">
        <v>80</v>
      </c>
      <c r="AY745" s="203" t="s">
        <v>128</v>
      </c>
    </row>
    <row r="746" spans="1:65" s="2" customFormat="1" ht="16.5" customHeight="1">
      <c r="A746" s="35"/>
      <c r="B746" s="36"/>
      <c r="C746" s="174" t="s">
        <v>1634</v>
      </c>
      <c r="D746" s="174" t="s">
        <v>130</v>
      </c>
      <c r="E746" s="175" t="s">
        <v>1635</v>
      </c>
      <c r="F746" s="176" t="s">
        <v>1636</v>
      </c>
      <c r="G746" s="177" t="s">
        <v>192</v>
      </c>
      <c r="H746" s="178">
        <v>1</v>
      </c>
      <c r="I746" s="179"/>
      <c r="J746" s="180">
        <f>ROUND(I746*H746,2)</f>
        <v>0</v>
      </c>
      <c r="K746" s="176" t="s">
        <v>19</v>
      </c>
      <c r="L746" s="40"/>
      <c r="M746" s="181" t="s">
        <v>19</v>
      </c>
      <c r="N746" s="182" t="s">
        <v>43</v>
      </c>
      <c r="O746" s="65"/>
      <c r="P746" s="183">
        <f>O746*H746</f>
        <v>0</v>
      </c>
      <c r="Q746" s="183">
        <v>0</v>
      </c>
      <c r="R746" s="183">
        <f>Q746*H746</f>
        <v>0</v>
      </c>
      <c r="S746" s="183">
        <v>0</v>
      </c>
      <c r="T746" s="184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185" t="s">
        <v>230</v>
      </c>
      <c r="AT746" s="185" t="s">
        <v>130</v>
      </c>
      <c r="AU746" s="185" t="s">
        <v>82</v>
      </c>
      <c r="AY746" s="18" t="s">
        <v>128</v>
      </c>
      <c r="BE746" s="186">
        <f>IF(N746="základní",J746,0)</f>
        <v>0</v>
      </c>
      <c r="BF746" s="186">
        <f>IF(N746="snížená",J746,0)</f>
        <v>0</v>
      </c>
      <c r="BG746" s="186">
        <f>IF(N746="zákl. přenesená",J746,0)</f>
        <v>0</v>
      </c>
      <c r="BH746" s="186">
        <f>IF(N746="sníž. přenesená",J746,0)</f>
        <v>0</v>
      </c>
      <c r="BI746" s="186">
        <f>IF(N746="nulová",J746,0)</f>
        <v>0</v>
      </c>
      <c r="BJ746" s="18" t="s">
        <v>80</v>
      </c>
      <c r="BK746" s="186">
        <f>ROUND(I746*H746,2)</f>
        <v>0</v>
      </c>
      <c r="BL746" s="18" t="s">
        <v>230</v>
      </c>
      <c r="BM746" s="185" t="s">
        <v>1637</v>
      </c>
    </row>
    <row r="747" spans="1:65" s="13" customFormat="1" ht="10">
      <c r="B747" s="192"/>
      <c r="C747" s="193"/>
      <c r="D747" s="194" t="s">
        <v>139</v>
      </c>
      <c r="E747" s="195" t="s">
        <v>19</v>
      </c>
      <c r="F747" s="196" t="s">
        <v>1638</v>
      </c>
      <c r="G747" s="193"/>
      <c r="H747" s="197">
        <v>1</v>
      </c>
      <c r="I747" s="198"/>
      <c r="J747" s="193"/>
      <c r="K747" s="193"/>
      <c r="L747" s="199"/>
      <c r="M747" s="200"/>
      <c r="N747" s="201"/>
      <c r="O747" s="201"/>
      <c r="P747" s="201"/>
      <c r="Q747" s="201"/>
      <c r="R747" s="201"/>
      <c r="S747" s="201"/>
      <c r="T747" s="202"/>
      <c r="AT747" s="203" t="s">
        <v>139</v>
      </c>
      <c r="AU747" s="203" t="s">
        <v>82</v>
      </c>
      <c r="AV747" s="13" t="s">
        <v>82</v>
      </c>
      <c r="AW747" s="13" t="s">
        <v>34</v>
      </c>
      <c r="AX747" s="13" t="s">
        <v>80</v>
      </c>
      <c r="AY747" s="203" t="s">
        <v>128</v>
      </c>
    </row>
    <row r="748" spans="1:65" s="2" customFormat="1" ht="24.15" customHeight="1">
      <c r="A748" s="35"/>
      <c r="B748" s="36"/>
      <c r="C748" s="174" t="s">
        <v>1639</v>
      </c>
      <c r="D748" s="174" t="s">
        <v>130</v>
      </c>
      <c r="E748" s="175" t="s">
        <v>1640</v>
      </c>
      <c r="F748" s="176" t="s">
        <v>1641</v>
      </c>
      <c r="G748" s="177" t="s">
        <v>426</v>
      </c>
      <c r="H748" s="225"/>
      <c r="I748" s="179"/>
      <c r="J748" s="180">
        <f>ROUND(I748*H748,2)</f>
        <v>0</v>
      </c>
      <c r="K748" s="176" t="s">
        <v>134</v>
      </c>
      <c r="L748" s="40"/>
      <c r="M748" s="181" t="s">
        <v>19</v>
      </c>
      <c r="N748" s="182" t="s">
        <v>43</v>
      </c>
      <c r="O748" s="65"/>
      <c r="P748" s="183">
        <f>O748*H748</f>
        <v>0</v>
      </c>
      <c r="Q748" s="183">
        <v>0</v>
      </c>
      <c r="R748" s="183">
        <f>Q748*H748</f>
        <v>0</v>
      </c>
      <c r="S748" s="183">
        <v>0</v>
      </c>
      <c r="T748" s="184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185" t="s">
        <v>230</v>
      </c>
      <c r="AT748" s="185" t="s">
        <v>130</v>
      </c>
      <c r="AU748" s="185" t="s">
        <v>82</v>
      </c>
      <c r="AY748" s="18" t="s">
        <v>128</v>
      </c>
      <c r="BE748" s="186">
        <f>IF(N748="základní",J748,0)</f>
        <v>0</v>
      </c>
      <c r="BF748" s="186">
        <f>IF(N748="snížená",J748,0)</f>
        <v>0</v>
      </c>
      <c r="BG748" s="186">
        <f>IF(N748="zákl. přenesená",J748,0)</f>
        <v>0</v>
      </c>
      <c r="BH748" s="186">
        <f>IF(N748="sníž. přenesená",J748,0)</f>
        <v>0</v>
      </c>
      <c r="BI748" s="186">
        <f>IF(N748="nulová",J748,0)</f>
        <v>0</v>
      </c>
      <c r="BJ748" s="18" t="s">
        <v>80</v>
      </c>
      <c r="BK748" s="186">
        <f>ROUND(I748*H748,2)</f>
        <v>0</v>
      </c>
      <c r="BL748" s="18" t="s">
        <v>230</v>
      </c>
      <c r="BM748" s="185" t="s">
        <v>1642</v>
      </c>
    </row>
    <row r="749" spans="1:65" s="2" customFormat="1" ht="10">
      <c r="A749" s="35"/>
      <c r="B749" s="36"/>
      <c r="C749" s="37"/>
      <c r="D749" s="187" t="s">
        <v>137</v>
      </c>
      <c r="E749" s="37"/>
      <c r="F749" s="188" t="s">
        <v>1643</v>
      </c>
      <c r="G749" s="37"/>
      <c r="H749" s="37"/>
      <c r="I749" s="189"/>
      <c r="J749" s="37"/>
      <c r="K749" s="37"/>
      <c r="L749" s="40"/>
      <c r="M749" s="190"/>
      <c r="N749" s="191"/>
      <c r="O749" s="65"/>
      <c r="P749" s="65"/>
      <c r="Q749" s="65"/>
      <c r="R749" s="65"/>
      <c r="S749" s="65"/>
      <c r="T749" s="66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T749" s="18" t="s">
        <v>137</v>
      </c>
      <c r="AU749" s="18" t="s">
        <v>82</v>
      </c>
    </row>
    <row r="750" spans="1:65" s="12" customFormat="1" ht="22.75" customHeight="1">
      <c r="B750" s="158"/>
      <c r="C750" s="159"/>
      <c r="D750" s="160" t="s">
        <v>71</v>
      </c>
      <c r="E750" s="172" t="s">
        <v>563</v>
      </c>
      <c r="F750" s="172" t="s">
        <v>564</v>
      </c>
      <c r="G750" s="159"/>
      <c r="H750" s="159"/>
      <c r="I750" s="162"/>
      <c r="J750" s="173">
        <f>BK750</f>
        <v>0</v>
      </c>
      <c r="K750" s="159"/>
      <c r="L750" s="164"/>
      <c r="M750" s="165"/>
      <c r="N750" s="166"/>
      <c r="O750" s="166"/>
      <c r="P750" s="167">
        <f>SUM(P751:P832)</f>
        <v>0</v>
      </c>
      <c r="Q750" s="166"/>
      <c r="R750" s="167">
        <f>SUM(R751:R832)</f>
        <v>41.705561599999996</v>
      </c>
      <c r="S750" s="166"/>
      <c r="T750" s="168">
        <f>SUM(T751:T832)</f>
        <v>0</v>
      </c>
      <c r="AR750" s="169" t="s">
        <v>82</v>
      </c>
      <c r="AT750" s="170" t="s">
        <v>71</v>
      </c>
      <c r="AU750" s="170" t="s">
        <v>80</v>
      </c>
      <c r="AY750" s="169" t="s">
        <v>128</v>
      </c>
      <c r="BK750" s="171">
        <f>SUM(BK751:BK832)</f>
        <v>0</v>
      </c>
    </row>
    <row r="751" spans="1:65" s="2" customFormat="1" ht="16.5" customHeight="1">
      <c r="A751" s="35"/>
      <c r="B751" s="36"/>
      <c r="C751" s="174" t="s">
        <v>1644</v>
      </c>
      <c r="D751" s="174" t="s">
        <v>130</v>
      </c>
      <c r="E751" s="175" t="s">
        <v>1645</v>
      </c>
      <c r="F751" s="176" t="s">
        <v>1646</v>
      </c>
      <c r="G751" s="177" t="s">
        <v>133</v>
      </c>
      <c r="H751" s="178">
        <v>790</v>
      </c>
      <c r="I751" s="179"/>
      <c r="J751" s="180">
        <f>ROUND(I751*H751,2)</f>
        <v>0</v>
      </c>
      <c r="K751" s="176" t="s">
        <v>134</v>
      </c>
      <c r="L751" s="40"/>
      <c r="M751" s="181" t="s">
        <v>19</v>
      </c>
      <c r="N751" s="182" t="s">
        <v>43</v>
      </c>
      <c r="O751" s="65"/>
      <c r="P751" s="183">
        <f>O751*H751</f>
        <v>0</v>
      </c>
      <c r="Q751" s="183">
        <v>0</v>
      </c>
      <c r="R751" s="183">
        <f>Q751*H751</f>
        <v>0</v>
      </c>
      <c r="S751" s="183">
        <v>0</v>
      </c>
      <c r="T751" s="184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185" t="s">
        <v>230</v>
      </c>
      <c r="AT751" s="185" t="s">
        <v>130</v>
      </c>
      <c r="AU751" s="185" t="s">
        <v>82</v>
      </c>
      <c r="AY751" s="18" t="s">
        <v>128</v>
      </c>
      <c r="BE751" s="186">
        <f>IF(N751="základní",J751,0)</f>
        <v>0</v>
      </c>
      <c r="BF751" s="186">
        <f>IF(N751="snížená",J751,0)</f>
        <v>0</v>
      </c>
      <c r="BG751" s="186">
        <f>IF(N751="zákl. přenesená",J751,0)</f>
        <v>0</v>
      </c>
      <c r="BH751" s="186">
        <f>IF(N751="sníž. přenesená",J751,0)</f>
        <v>0</v>
      </c>
      <c r="BI751" s="186">
        <f>IF(N751="nulová",J751,0)</f>
        <v>0</v>
      </c>
      <c r="BJ751" s="18" t="s">
        <v>80</v>
      </c>
      <c r="BK751" s="186">
        <f>ROUND(I751*H751,2)</f>
        <v>0</v>
      </c>
      <c r="BL751" s="18" t="s">
        <v>230</v>
      </c>
      <c r="BM751" s="185" t="s">
        <v>1647</v>
      </c>
    </row>
    <row r="752" spans="1:65" s="2" customFormat="1" ht="10">
      <c r="A752" s="35"/>
      <c r="B752" s="36"/>
      <c r="C752" s="37"/>
      <c r="D752" s="187" t="s">
        <v>137</v>
      </c>
      <c r="E752" s="37"/>
      <c r="F752" s="188" t="s">
        <v>1648</v>
      </c>
      <c r="G752" s="37"/>
      <c r="H752" s="37"/>
      <c r="I752" s="189"/>
      <c r="J752" s="37"/>
      <c r="K752" s="37"/>
      <c r="L752" s="40"/>
      <c r="M752" s="190"/>
      <c r="N752" s="191"/>
      <c r="O752" s="65"/>
      <c r="P752" s="65"/>
      <c r="Q752" s="65"/>
      <c r="R752" s="65"/>
      <c r="S752" s="65"/>
      <c r="T752" s="66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T752" s="18" t="s">
        <v>137</v>
      </c>
      <c r="AU752" s="18" t="s">
        <v>82</v>
      </c>
    </row>
    <row r="753" spans="1:65" s="13" customFormat="1" ht="10">
      <c r="B753" s="192"/>
      <c r="C753" s="193"/>
      <c r="D753" s="194" t="s">
        <v>139</v>
      </c>
      <c r="E753" s="195" t="s">
        <v>19</v>
      </c>
      <c r="F753" s="196" t="s">
        <v>1323</v>
      </c>
      <c r="G753" s="193"/>
      <c r="H753" s="197">
        <v>790</v>
      </c>
      <c r="I753" s="198"/>
      <c r="J753" s="193"/>
      <c r="K753" s="193"/>
      <c r="L753" s="199"/>
      <c r="M753" s="200"/>
      <c r="N753" s="201"/>
      <c r="O753" s="201"/>
      <c r="P753" s="201"/>
      <c r="Q753" s="201"/>
      <c r="R753" s="201"/>
      <c r="S753" s="201"/>
      <c r="T753" s="202"/>
      <c r="AT753" s="203" t="s">
        <v>139</v>
      </c>
      <c r="AU753" s="203" t="s">
        <v>82</v>
      </c>
      <c r="AV753" s="13" t="s">
        <v>82</v>
      </c>
      <c r="AW753" s="13" t="s">
        <v>34</v>
      </c>
      <c r="AX753" s="13" t="s">
        <v>80</v>
      </c>
      <c r="AY753" s="203" t="s">
        <v>128</v>
      </c>
    </row>
    <row r="754" spans="1:65" s="2" customFormat="1" ht="16.5" customHeight="1">
      <c r="A754" s="35"/>
      <c r="B754" s="36"/>
      <c r="C754" s="215" t="s">
        <v>1649</v>
      </c>
      <c r="D754" s="215" t="s">
        <v>414</v>
      </c>
      <c r="E754" s="216" t="s">
        <v>1650</v>
      </c>
      <c r="F754" s="217" t="s">
        <v>1651</v>
      </c>
      <c r="G754" s="218" t="s">
        <v>305</v>
      </c>
      <c r="H754" s="219">
        <v>9480</v>
      </c>
      <c r="I754" s="220"/>
      <c r="J754" s="221">
        <f>ROUND(I754*H754,2)</f>
        <v>0</v>
      </c>
      <c r="K754" s="217" t="s">
        <v>134</v>
      </c>
      <c r="L754" s="222"/>
      <c r="M754" s="223" t="s">
        <v>19</v>
      </c>
      <c r="N754" s="224" t="s">
        <v>43</v>
      </c>
      <c r="O754" s="65"/>
      <c r="P754" s="183">
        <f>O754*H754</f>
        <v>0</v>
      </c>
      <c r="Q754" s="183">
        <v>3.5999999999999999E-3</v>
      </c>
      <c r="R754" s="183">
        <f>Q754*H754</f>
        <v>34.128</v>
      </c>
      <c r="S754" s="183">
        <v>0</v>
      </c>
      <c r="T754" s="184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185" t="s">
        <v>334</v>
      </c>
      <c r="AT754" s="185" t="s">
        <v>414</v>
      </c>
      <c r="AU754" s="185" t="s">
        <v>82</v>
      </c>
      <c r="AY754" s="18" t="s">
        <v>128</v>
      </c>
      <c r="BE754" s="186">
        <f>IF(N754="základní",J754,0)</f>
        <v>0</v>
      </c>
      <c r="BF754" s="186">
        <f>IF(N754="snížená",J754,0)</f>
        <v>0</v>
      </c>
      <c r="BG754" s="186">
        <f>IF(N754="zákl. přenesená",J754,0)</f>
        <v>0</v>
      </c>
      <c r="BH754" s="186">
        <f>IF(N754="sníž. přenesená",J754,0)</f>
        <v>0</v>
      </c>
      <c r="BI754" s="186">
        <f>IF(N754="nulová",J754,0)</f>
        <v>0</v>
      </c>
      <c r="BJ754" s="18" t="s">
        <v>80</v>
      </c>
      <c r="BK754" s="186">
        <f>ROUND(I754*H754,2)</f>
        <v>0</v>
      </c>
      <c r="BL754" s="18" t="s">
        <v>230</v>
      </c>
      <c r="BM754" s="185" t="s">
        <v>1652</v>
      </c>
    </row>
    <row r="755" spans="1:65" s="13" customFormat="1" ht="10">
      <c r="B755" s="192"/>
      <c r="C755" s="193"/>
      <c r="D755" s="194" t="s">
        <v>139</v>
      </c>
      <c r="E755" s="193"/>
      <c r="F755" s="196" t="s">
        <v>1653</v>
      </c>
      <c r="G755" s="193"/>
      <c r="H755" s="197">
        <v>9480</v>
      </c>
      <c r="I755" s="198"/>
      <c r="J755" s="193"/>
      <c r="K755" s="193"/>
      <c r="L755" s="199"/>
      <c r="M755" s="200"/>
      <c r="N755" s="201"/>
      <c r="O755" s="201"/>
      <c r="P755" s="201"/>
      <c r="Q755" s="201"/>
      <c r="R755" s="201"/>
      <c r="S755" s="201"/>
      <c r="T755" s="202"/>
      <c r="AT755" s="203" t="s">
        <v>139</v>
      </c>
      <c r="AU755" s="203" t="s">
        <v>82</v>
      </c>
      <c r="AV755" s="13" t="s">
        <v>82</v>
      </c>
      <c r="AW755" s="13" t="s">
        <v>4</v>
      </c>
      <c r="AX755" s="13" t="s">
        <v>80</v>
      </c>
      <c r="AY755" s="203" t="s">
        <v>128</v>
      </c>
    </row>
    <row r="756" spans="1:65" s="2" customFormat="1" ht="16.5" customHeight="1">
      <c r="A756" s="35"/>
      <c r="B756" s="36"/>
      <c r="C756" s="215" t="s">
        <v>1654</v>
      </c>
      <c r="D756" s="215" t="s">
        <v>414</v>
      </c>
      <c r="E756" s="216" t="s">
        <v>1655</v>
      </c>
      <c r="F756" s="217" t="s">
        <v>1656</v>
      </c>
      <c r="G756" s="218" t="s">
        <v>305</v>
      </c>
      <c r="H756" s="219">
        <v>948</v>
      </c>
      <c r="I756" s="220"/>
      <c r="J756" s="221">
        <f>ROUND(I756*H756,2)</f>
        <v>0</v>
      </c>
      <c r="K756" s="217" t="s">
        <v>134</v>
      </c>
      <c r="L756" s="222"/>
      <c r="M756" s="223" t="s">
        <v>19</v>
      </c>
      <c r="N756" s="224" t="s">
        <v>43</v>
      </c>
      <c r="O756" s="65"/>
      <c r="P756" s="183">
        <f>O756*H756</f>
        <v>0</v>
      </c>
      <c r="Q756" s="183">
        <v>2.2000000000000001E-3</v>
      </c>
      <c r="R756" s="183">
        <f>Q756*H756</f>
        <v>2.0856000000000003</v>
      </c>
      <c r="S756" s="183">
        <v>0</v>
      </c>
      <c r="T756" s="184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85" t="s">
        <v>334</v>
      </c>
      <c r="AT756" s="185" t="s">
        <v>414</v>
      </c>
      <c r="AU756" s="185" t="s">
        <v>82</v>
      </c>
      <c r="AY756" s="18" t="s">
        <v>128</v>
      </c>
      <c r="BE756" s="186">
        <f>IF(N756="základní",J756,0)</f>
        <v>0</v>
      </c>
      <c r="BF756" s="186">
        <f>IF(N756="snížená",J756,0)</f>
        <v>0</v>
      </c>
      <c r="BG756" s="186">
        <f>IF(N756="zákl. přenesená",J756,0)</f>
        <v>0</v>
      </c>
      <c r="BH756" s="186">
        <f>IF(N756="sníž. přenesená",J756,0)</f>
        <v>0</v>
      </c>
      <c r="BI756" s="186">
        <f>IF(N756="nulová",J756,0)</f>
        <v>0</v>
      </c>
      <c r="BJ756" s="18" t="s">
        <v>80</v>
      </c>
      <c r="BK756" s="186">
        <f>ROUND(I756*H756,2)</f>
        <v>0</v>
      </c>
      <c r="BL756" s="18" t="s">
        <v>230</v>
      </c>
      <c r="BM756" s="185" t="s">
        <v>1657</v>
      </c>
    </row>
    <row r="757" spans="1:65" s="13" customFormat="1" ht="10">
      <c r="B757" s="192"/>
      <c r="C757" s="193"/>
      <c r="D757" s="194" t="s">
        <v>139</v>
      </c>
      <c r="E757" s="193"/>
      <c r="F757" s="196" t="s">
        <v>1658</v>
      </c>
      <c r="G757" s="193"/>
      <c r="H757" s="197">
        <v>948</v>
      </c>
      <c r="I757" s="198"/>
      <c r="J757" s="193"/>
      <c r="K757" s="193"/>
      <c r="L757" s="199"/>
      <c r="M757" s="200"/>
      <c r="N757" s="201"/>
      <c r="O757" s="201"/>
      <c r="P757" s="201"/>
      <c r="Q757" s="201"/>
      <c r="R757" s="201"/>
      <c r="S757" s="201"/>
      <c r="T757" s="202"/>
      <c r="AT757" s="203" t="s">
        <v>139</v>
      </c>
      <c r="AU757" s="203" t="s">
        <v>82</v>
      </c>
      <c r="AV757" s="13" t="s">
        <v>82</v>
      </c>
      <c r="AW757" s="13" t="s">
        <v>4</v>
      </c>
      <c r="AX757" s="13" t="s">
        <v>80</v>
      </c>
      <c r="AY757" s="203" t="s">
        <v>128</v>
      </c>
    </row>
    <row r="758" spans="1:65" s="2" customFormat="1" ht="16.5" customHeight="1">
      <c r="A758" s="35"/>
      <c r="B758" s="36"/>
      <c r="C758" s="215" t="s">
        <v>1659</v>
      </c>
      <c r="D758" s="215" t="s">
        <v>414</v>
      </c>
      <c r="E758" s="216" t="s">
        <v>1660</v>
      </c>
      <c r="F758" s="217" t="s">
        <v>1661</v>
      </c>
      <c r="G758" s="218" t="s">
        <v>305</v>
      </c>
      <c r="H758" s="219">
        <v>474</v>
      </c>
      <c r="I758" s="220"/>
      <c r="J758" s="221">
        <f>ROUND(I758*H758,2)</f>
        <v>0</v>
      </c>
      <c r="K758" s="217" t="s">
        <v>134</v>
      </c>
      <c r="L758" s="222"/>
      <c r="M758" s="223" t="s">
        <v>19</v>
      </c>
      <c r="N758" s="224" t="s">
        <v>43</v>
      </c>
      <c r="O758" s="65"/>
      <c r="P758" s="183">
        <f>O758*H758</f>
        <v>0</v>
      </c>
      <c r="Q758" s="183">
        <v>2.8999999999999998E-3</v>
      </c>
      <c r="R758" s="183">
        <f>Q758*H758</f>
        <v>1.3745999999999998</v>
      </c>
      <c r="S758" s="183">
        <v>0</v>
      </c>
      <c r="T758" s="184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185" t="s">
        <v>334</v>
      </c>
      <c r="AT758" s="185" t="s">
        <v>414</v>
      </c>
      <c r="AU758" s="185" t="s">
        <v>82</v>
      </c>
      <c r="AY758" s="18" t="s">
        <v>128</v>
      </c>
      <c r="BE758" s="186">
        <f>IF(N758="základní",J758,0)</f>
        <v>0</v>
      </c>
      <c r="BF758" s="186">
        <f>IF(N758="snížená",J758,0)</f>
        <v>0</v>
      </c>
      <c r="BG758" s="186">
        <f>IF(N758="zákl. přenesená",J758,0)</f>
        <v>0</v>
      </c>
      <c r="BH758" s="186">
        <f>IF(N758="sníž. přenesená",J758,0)</f>
        <v>0</v>
      </c>
      <c r="BI758" s="186">
        <f>IF(N758="nulová",J758,0)</f>
        <v>0</v>
      </c>
      <c r="BJ758" s="18" t="s">
        <v>80</v>
      </c>
      <c r="BK758" s="186">
        <f>ROUND(I758*H758,2)</f>
        <v>0</v>
      </c>
      <c r="BL758" s="18" t="s">
        <v>230</v>
      </c>
      <c r="BM758" s="185" t="s">
        <v>1662</v>
      </c>
    </row>
    <row r="759" spans="1:65" s="13" customFormat="1" ht="10">
      <c r="B759" s="192"/>
      <c r="C759" s="193"/>
      <c r="D759" s="194" t="s">
        <v>139</v>
      </c>
      <c r="E759" s="193"/>
      <c r="F759" s="196" t="s">
        <v>1663</v>
      </c>
      <c r="G759" s="193"/>
      <c r="H759" s="197">
        <v>474</v>
      </c>
      <c r="I759" s="198"/>
      <c r="J759" s="193"/>
      <c r="K759" s="193"/>
      <c r="L759" s="199"/>
      <c r="M759" s="200"/>
      <c r="N759" s="201"/>
      <c r="O759" s="201"/>
      <c r="P759" s="201"/>
      <c r="Q759" s="201"/>
      <c r="R759" s="201"/>
      <c r="S759" s="201"/>
      <c r="T759" s="202"/>
      <c r="AT759" s="203" t="s">
        <v>139</v>
      </c>
      <c r="AU759" s="203" t="s">
        <v>82</v>
      </c>
      <c r="AV759" s="13" t="s">
        <v>82</v>
      </c>
      <c r="AW759" s="13" t="s">
        <v>4</v>
      </c>
      <c r="AX759" s="13" t="s">
        <v>80</v>
      </c>
      <c r="AY759" s="203" t="s">
        <v>128</v>
      </c>
    </row>
    <row r="760" spans="1:65" s="2" customFormat="1" ht="16.5" customHeight="1">
      <c r="A760" s="35"/>
      <c r="B760" s="36"/>
      <c r="C760" s="215" t="s">
        <v>1664</v>
      </c>
      <c r="D760" s="215" t="s">
        <v>414</v>
      </c>
      <c r="E760" s="216" t="s">
        <v>1665</v>
      </c>
      <c r="F760" s="217" t="s">
        <v>1666</v>
      </c>
      <c r="G760" s="218" t="s">
        <v>305</v>
      </c>
      <c r="H760" s="219">
        <v>474</v>
      </c>
      <c r="I760" s="220"/>
      <c r="J760" s="221">
        <f>ROUND(I760*H760,2)</f>
        <v>0</v>
      </c>
      <c r="K760" s="217" t="s">
        <v>134</v>
      </c>
      <c r="L760" s="222"/>
      <c r="M760" s="223" t="s">
        <v>19</v>
      </c>
      <c r="N760" s="224" t="s">
        <v>43</v>
      </c>
      <c r="O760" s="65"/>
      <c r="P760" s="183">
        <f>O760*H760</f>
        <v>0</v>
      </c>
      <c r="Q760" s="183">
        <v>2.8999999999999998E-3</v>
      </c>
      <c r="R760" s="183">
        <f>Q760*H760</f>
        <v>1.3745999999999998</v>
      </c>
      <c r="S760" s="183">
        <v>0</v>
      </c>
      <c r="T760" s="184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185" t="s">
        <v>334</v>
      </c>
      <c r="AT760" s="185" t="s">
        <v>414</v>
      </c>
      <c r="AU760" s="185" t="s">
        <v>82</v>
      </c>
      <c r="AY760" s="18" t="s">
        <v>128</v>
      </c>
      <c r="BE760" s="186">
        <f>IF(N760="základní",J760,0)</f>
        <v>0</v>
      </c>
      <c r="BF760" s="186">
        <f>IF(N760="snížená",J760,0)</f>
        <v>0</v>
      </c>
      <c r="BG760" s="186">
        <f>IF(N760="zákl. přenesená",J760,0)</f>
        <v>0</v>
      </c>
      <c r="BH760" s="186">
        <f>IF(N760="sníž. přenesená",J760,0)</f>
        <v>0</v>
      </c>
      <c r="BI760" s="186">
        <f>IF(N760="nulová",J760,0)</f>
        <v>0</v>
      </c>
      <c r="BJ760" s="18" t="s">
        <v>80</v>
      </c>
      <c r="BK760" s="186">
        <f>ROUND(I760*H760,2)</f>
        <v>0</v>
      </c>
      <c r="BL760" s="18" t="s">
        <v>230</v>
      </c>
      <c r="BM760" s="185" t="s">
        <v>1667</v>
      </c>
    </row>
    <row r="761" spans="1:65" s="13" customFormat="1" ht="10">
      <c r="B761" s="192"/>
      <c r="C761" s="193"/>
      <c r="D761" s="194" t="s">
        <v>139</v>
      </c>
      <c r="E761" s="193"/>
      <c r="F761" s="196" t="s">
        <v>1663</v>
      </c>
      <c r="G761" s="193"/>
      <c r="H761" s="197">
        <v>474</v>
      </c>
      <c r="I761" s="198"/>
      <c r="J761" s="193"/>
      <c r="K761" s="193"/>
      <c r="L761" s="199"/>
      <c r="M761" s="200"/>
      <c r="N761" s="201"/>
      <c r="O761" s="201"/>
      <c r="P761" s="201"/>
      <c r="Q761" s="201"/>
      <c r="R761" s="201"/>
      <c r="S761" s="201"/>
      <c r="T761" s="202"/>
      <c r="AT761" s="203" t="s">
        <v>139</v>
      </c>
      <c r="AU761" s="203" t="s">
        <v>82</v>
      </c>
      <c r="AV761" s="13" t="s">
        <v>82</v>
      </c>
      <c r="AW761" s="13" t="s">
        <v>4</v>
      </c>
      <c r="AX761" s="13" t="s">
        <v>80</v>
      </c>
      <c r="AY761" s="203" t="s">
        <v>128</v>
      </c>
    </row>
    <row r="762" spans="1:65" s="2" customFormat="1" ht="16.5" customHeight="1">
      <c r="A762" s="35"/>
      <c r="B762" s="36"/>
      <c r="C762" s="215" t="s">
        <v>1668</v>
      </c>
      <c r="D762" s="215" t="s">
        <v>414</v>
      </c>
      <c r="E762" s="216" t="s">
        <v>1669</v>
      </c>
      <c r="F762" s="217" t="s">
        <v>1670</v>
      </c>
      <c r="G762" s="218" t="s">
        <v>305</v>
      </c>
      <c r="H762" s="219">
        <v>100</v>
      </c>
      <c r="I762" s="220"/>
      <c r="J762" s="221">
        <f>ROUND(I762*H762,2)</f>
        <v>0</v>
      </c>
      <c r="K762" s="217" t="s">
        <v>134</v>
      </c>
      <c r="L762" s="222"/>
      <c r="M762" s="223" t="s">
        <v>19</v>
      </c>
      <c r="N762" s="224" t="s">
        <v>43</v>
      </c>
      <c r="O762" s="65"/>
      <c r="P762" s="183">
        <f>O762*H762</f>
        <v>0</v>
      </c>
      <c r="Q762" s="183">
        <v>4.1000000000000003E-3</v>
      </c>
      <c r="R762" s="183">
        <f>Q762*H762</f>
        <v>0.41000000000000003</v>
      </c>
      <c r="S762" s="183">
        <v>0</v>
      </c>
      <c r="T762" s="184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185" t="s">
        <v>334</v>
      </c>
      <c r="AT762" s="185" t="s">
        <v>414</v>
      </c>
      <c r="AU762" s="185" t="s">
        <v>82</v>
      </c>
      <c r="AY762" s="18" t="s">
        <v>128</v>
      </c>
      <c r="BE762" s="186">
        <f>IF(N762="základní",J762,0)</f>
        <v>0</v>
      </c>
      <c r="BF762" s="186">
        <f>IF(N762="snížená",J762,0)</f>
        <v>0</v>
      </c>
      <c r="BG762" s="186">
        <f>IF(N762="zákl. přenesená",J762,0)</f>
        <v>0</v>
      </c>
      <c r="BH762" s="186">
        <f>IF(N762="sníž. přenesená",J762,0)</f>
        <v>0</v>
      </c>
      <c r="BI762" s="186">
        <f>IF(N762="nulová",J762,0)</f>
        <v>0</v>
      </c>
      <c r="BJ762" s="18" t="s">
        <v>80</v>
      </c>
      <c r="BK762" s="186">
        <f>ROUND(I762*H762,2)</f>
        <v>0</v>
      </c>
      <c r="BL762" s="18" t="s">
        <v>230</v>
      </c>
      <c r="BM762" s="185" t="s">
        <v>1671</v>
      </c>
    </row>
    <row r="763" spans="1:65" s="2" customFormat="1" ht="16.5" customHeight="1">
      <c r="A763" s="35"/>
      <c r="B763" s="36"/>
      <c r="C763" s="215" t="s">
        <v>1672</v>
      </c>
      <c r="D763" s="215" t="s">
        <v>414</v>
      </c>
      <c r="E763" s="216" t="s">
        <v>1673</v>
      </c>
      <c r="F763" s="217" t="s">
        <v>1674</v>
      </c>
      <c r="G763" s="218" t="s">
        <v>305</v>
      </c>
      <c r="H763" s="219">
        <v>320</v>
      </c>
      <c r="I763" s="220"/>
      <c r="J763" s="221">
        <f>ROUND(I763*H763,2)</f>
        <v>0</v>
      </c>
      <c r="K763" s="217" t="s">
        <v>134</v>
      </c>
      <c r="L763" s="222"/>
      <c r="M763" s="223" t="s">
        <v>19</v>
      </c>
      <c r="N763" s="224" t="s">
        <v>43</v>
      </c>
      <c r="O763" s="65"/>
      <c r="P763" s="183">
        <f>O763*H763</f>
        <v>0</v>
      </c>
      <c r="Q763" s="183">
        <v>3.8E-3</v>
      </c>
      <c r="R763" s="183">
        <f>Q763*H763</f>
        <v>1.216</v>
      </c>
      <c r="S763" s="183">
        <v>0</v>
      </c>
      <c r="T763" s="184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185" t="s">
        <v>334</v>
      </c>
      <c r="AT763" s="185" t="s">
        <v>414</v>
      </c>
      <c r="AU763" s="185" t="s">
        <v>82</v>
      </c>
      <c r="AY763" s="18" t="s">
        <v>128</v>
      </c>
      <c r="BE763" s="186">
        <f>IF(N763="základní",J763,0)</f>
        <v>0</v>
      </c>
      <c r="BF763" s="186">
        <f>IF(N763="snížená",J763,0)</f>
        <v>0</v>
      </c>
      <c r="BG763" s="186">
        <f>IF(N763="zákl. přenesená",J763,0)</f>
        <v>0</v>
      </c>
      <c r="BH763" s="186">
        <f>IF(N763="sníž. přenesená",J763,0)</f>
        <v>0</v>
      </c>
      <c r="BI763" s="186">
        <f>IF(N763="nulová",J763,0)</f>
        <v>0</v>
      </c>
      <c r="BJ763" s="18" t="s">
        <v>80</v>
      </c>
      <c r="BK763" s="186">
        <f>ROUND(I763*H763,2)</f>
        <v>0</v>
      </c>
      <c r="BL763" s="18" t="s">
        <v>230</v>
      </c>
      <c r="BM763" s="185" t="s">
        <v>1675</v>
      </c>
    </row>
    <row r="764" spans="1:65" s="2" customFormat="1" ht="16.5" customHeight="1">
      <c r="A764" s="35"/>
      <c r="B764" s="36"/>
      <c r="C764" s="215" t="s">
        <v>1676</v>
      </c>
      <c r="D764" s="215" t="s">
        <v>414</v>
      </c>
      <c r="E764" s="216" t="s">
        <v>1677</v>
      </c>
      <c r="F764" s="217" t="s">
        <v>1678</v>
      </c>
      <c r="G764" s="218" t="s">
        <v>305</v>
      </c>
      <c r="H764" s="219">
        <v>10</v>
      </c>
      <c r="I764" s="220"/>
      <c r="J764" s="221">
        <f>ROUND(I764*H764,2)</f>
        <v>0</v>
      </c>
      <c r="K764" s="217" t="s">
        <v>134</v>
      </c>
      <c r="L764" s="222"/>
      <c r="M764" s="223" t="s">
        <v>19</v>
      </c>
      <c r="N764" s="224" t="s">
        <v>43</v>
      </c>
      <c r="O764" s="65"/>
      <c r="P764" s="183">
        <f>O764*H764</f>
        <v>0</v>
      </c>
      <c r="Q764" s="183">
        <v>7.0000000000000001E-3</v>
      </c>
      <c r="R764" s="183">
        <f>Q764*H764</f>
        <v>7.0000000000000007E-2</v>
      </c>
      <c r="S764" s="183">
        <v>0</v>
      </c>
      <c r="T764" s="184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185" t="s">
        <v>334</v>
      </c>
      <c r="AT764" s="185" t="s">
        <v>414</v>
      </c>
      <c r="AU764" s="185" t="s">
        <v>82</v>
      </c>
      <c r="AY764" s="18" t="s">
        <v>128</v>
      </c>
      <c r="BE764" s="186">
        <f>IF(N764="základní",J764,0)</f>
        <v>0</v>
      </c>
      <c r="BF764" s="186">
        <f>IF(N764="snížená",J764,0)</f>
        <v>0</v>
      </c>
      <c r="BG764" s="186">
        <f>IF(N764="zákl. přenesená",J764,0)</f>
        <v>0</v>
      </c>
      <c r="BH764" s="186">
        <f>IF(N764="sníž. přenesená",J764,0)</f>
        <v>0</v>
      </c>
      <c r="BI764" s="186">
        <f>IF(N764="nulová",J764,0)</f>
        <v>0</v>
      </c>
      <c r="BJ764" s="18" t="s">
        <v>80</v>
      </c>
      <c r="BK764" s="186">
        <f>ROUND(I764*H764,2)</f>
        <v>0</v>
      </c>
      <c r="BL764" s="18" t="s">
        <v>230</v>
      </c>
      <c r="BM764" s="185" t="s">
        <v>1679</v>
      </c>
    </row>
    <row r="765" spans="1:65" s="2" customFormat="1" ht="16.5" customHeight="1">
      <c r="A765" s="35"/>
      <c r="B765" s="36"/>
      <c r="C765" s="174" t="s">
        <v>1680</v>
      </c>
      <c r="D765" s="174" t="s">
        <v>130</v>
      </c>
      <c r="E765" s="175" t="s">
        <v>1681</v>
      </c>
      <c r="F765" s="176" t="s">
        <v>1682</v>
      </c>
      <c r="G765" s="177" t="s">
        <v>258</v>
      </c>
      <c r="H765" s="178">
        <v>108.65</v>
      </c>
      <c r="I765" s="179"/>
      <c r="J765" s="180">
        <f>ROUND(I765*H765,2)</f>
        <v>0</v>
      </c>
      <c r="K765" s="176" t="s">
        <v>134</v>
      </c>
      <c r="L765" s="40"/>
      <c r="M765" s="181" t="s">
        <v>19</v>
      </c>
      <c r="N765" s="182" t="s">
        <v>43</v>
      </c>
      <c r="O765" s="65"/>
      <c r="P765" s="183">
        <f>O765*H765</f>
        <v>0</v>
      </c>
      <c r="Q765" s="183">
        <v>1.0000000000000001E-5</v>
      </c>
      <c r="R765" s="183">
        <f>Q765*H765</f>
        <v>1.0865000000000002E-3</v>
      </c>
      <c r="S765" s="183">
        <v>0</v>
      </c>
      <c r="T765" s="184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185" t="s">
        <v>230</v>
      </c>
      <c r="AT765" s="185" t="s">
        <v>130</v>
      </c>
      <c r="AU765" s="185" t="s">
        <v>82</v>
      </c>
      <c r="AY765" s="18" t="s">
        <v>128</v>
      </c>
      <c r="BE765" s="186">
        <f>IF(N765="základní",J765,0)</f>
        <v>0</v>
      </c>
      <c r="BF765" s="186">
        <f>IF(N765="snížená",J765,0)</f>
        <v>0</v>
      </c>
      <c r="BG765" s="186">
        <f>IF(N765="zákl. přenesená",J765,0)</f>
        <v>0</v>
      </c>
      <c r="BH765" s="186">
        <f>IF(N765="sníž. přenesená",J765,0)</f>
        <v>0</v>
      </c>
      <c r="BI765" s="186">
        <f>IF(N765="nulová",J765,0)</f>
        <v>0</v>
      </c>
      <c r="BJ765" s="18" t="s">
        <v>80</v>
      </c>
      <c r="BK765" s="186">
        <f>ROUND(I765*H765,2)</f>
        <v>0</v>
      </c>
      <c r="BL765" s="18" t="s">
        <v>230</v>
      </c>
      <c r="BM765" s="185" t="s">
        <v>1683</v>
      </c>
    </row>
    <row r="766" spans="1:65" s="2" customFormat="1" ht="10">
      <c r="A766" s="35"/>
      <c r="B766" s="36"/>
      <c r="C766" s="37"/>
      <c r="D766" s="187" t="s">
        <v>137</v>
      </c>
      <c r="E766" s="37"/>
      <c r="F766" s="188" t="s">
        <v>1684</v>
      </c>
      <c r="G766" s="37"/>
      <c r="H766" s="37"/>
      <c r="I766" s="189"/>
      <c r="J766" s="37"/>
      <c r="K766" s="37"/>
      <c r="L766" s="40"/>
      <c r="M766" s="190"/>
      <c r="N766" s="191"/>
      <c r="O766" s="65"/>
      <c r="P766" s="65"/>
      <c r="Q766" s="65"/>
      <c r="R766" s="65"/>
      <c r="S766" s="65"/>
      <c r="T766" s="66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T766" s="18" t="s">
        <v>137</v>
      </c>
      <c r="AU766" s="18" t="s">
        <v>82</v>
      </c>
    </row>
    <row r="767" spans="1:65" s="13" customFormat="1" ht="10">
      <c r="B767" s="192"/>
      <c r="C767" s="193"/>
      <c r="D767" s="194" t="s">
        <v>139</v>
      </c>
      <c r="E767" s="195" t="s">
        <v>19</v>
      </c>
      <c r="F767" s="196" t="s">
        <v>1685</v>
      </c>
      <c r="G767" s="193"/>
      <c r="H767" s="197">
        <v>108.65</v>
      </c>
      <c r="I767" s="198"/>
      <c r="J767" s="193"/>
      <c r="K767" s="193"/>
      <c r="L767" s="199"/>
      <c r="M767" s="200"/>
      <c r="N767" s="201"/>
      <c r="O767" s="201"/>
      <c r="P767" s="201"/>
      <c r="Q767" s="201"/>
      <c r="R767" s="201"/>
      <c r="S767" s="201"/>
      <c r="T767" s="202"/>
      <c r="AT767" s="203" t="s">
        <v>139</v>
      </c>
      <c r="AU767" s="203" t="s">
        <v>82</v>
      </c>
      <c r="AV767" s="13" t="s">
        <v>82</v>
      </c>
      <c r="AW767" s="13" t="s">
        <v>34</v>
      </c>
      <c r="AX767" s="13" t="s">
        <v>80</v>
      </c>
      <c r="AY767" s="203" t="s">
        <v>128</v>
      </c>
    </row>
    <row r="768" spans="1:65" s="2" customFormat="1" ht="16.5" customHeight="1">
      <c r="A768" s="35"/>
      <c r="B768" s="36"/>
      <c r="C768" s="215" t="s">
        <v>1686</v>
      </c>
      <c r="D768" s="215" t="s">
        <v>414</v>
      </c>
      <c r="E768" s="216" t="s">
        <v>1687</v>
      </c>
      <c r="F768" s="217" t="s">
        <v>1688</v>
      </c>
      <c r="G768" s="218" t="s">
        <v>258</v>
      </c>
      <c r="H768" s="219">
        <v>119.515</v>
      </c>
      <c r="I768" s="220"/>
      <c r="J768" s="221">
        <f>ROUND(I768*H768,2)</f>
        <v>0</v>
      </c>
      <c r="K768" s="217" t="s">
        <v>134</v>
      </c>
      <c r="L768" s="222"/>
      <c r="M768" s="223" t="s">
        <v>19</v>
      </c>
      <c r="N768" s="224" t="s">
        <v>43</v>
      </c>
      <c r="O768" s="65"/>
      <c r="P768" s="183">
        <f>O768*H768</f>
        <v>0</v>
      </c>
      <c r="Q768" s="183">
        <v>1E-4</v>
      </c>
      <c r="R768" s="183">
        <f>Q768*H768</f>
        <v>1.19515E-2</v>
      </c>
      <c r="S768" s="183">
        <v>0</v>
      </c>
      <c r="T768" s="184">
        <f>S768*H768</f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185" t="s">
        <v>334</v>
      </c>
      <c r="AT768" s="185" t="s">
        <v>414</v>
      </c>
      <c r="AU768" s="185" t="s">
        <v>82</v>
      </c>
      <c r="AY768" s="18" t="s">
        <v>128</v>
      </c>
      <c r="BE768" s="186">
        <f>IF(N768="základní",J768,0)</f>
        <v>0</v>
      </c>
      <c r="BF768" s="186">
        <f>IF(N768="snížená",J768,0)</f>
        <v>0</v>
      </c>
      <c r="BG768" s="186">
        <f>IF(N768="zákl. přenesená",J768,0)</f>
        <v>0</v>
      </c>
      <c r="BH768" s="186">
        <f>IF(N768="sníž. přenesená",J768,0)</f>
        <v>0</v>
      </c>
      <c r="BI768" s="186">
        <f>IF(N768="nulová",J768,0)</f>
        <v>0</v>
      </c>
      <c r="BJ768" s="18" t="s">
        <v>80</v>
      </c>
      <c r="BK768" s="186">
        <f>ROUND(I768*H768,2)</f>
        <v>0</v>
      </c>
      <c r="BL768" s="18" t="s">
        <v>230</v>
      </c>
      <c r="BM768" s="185" t="s">
        <v>1689</v>
      </c>
    </row>
    <row r="769" spans="1:65" s="13" customFormat="1" ht="10">
      <c r="B769" s="192"/>
      <c r="C769" s="193"/>
      <c r="D769" s="194" t="s">
        <v>139</v>
      </c>
      <c r="E769" s="193"/>
      <c r="F769" s="196" t="s">
        <v>1690</v>
      </c>
      <c r="G769" s="193"/>
      <c r="H769" s="197">
        <v>119.515</v>
      </c>
      <c r="I769" s="198"/>
      <c r="J769" s="193"/>
      <c r="K769" s="193"/>
      <c r="L769" s="199"/>
      <c r="M769" s="200"/>
      <c r="N769" s="201"/>
      <c r="O769" s="201"/>
      <c r="P769" s="201"/>
      <c r="Q769" s="201"/>
      <c r="R769" s="201"/>
      <c r="S769" s="201"/>
      <c r="T769" s="202"/>
      <c r="AT769" s="203" t="s">
        <v>139</v>
      </c>
      <c r="AU769" s="203" t="s">
        <v>82</v>
      </c>
      <c r="AV769" s="13" t="s">
        <v>82</v>
      </c>
      <c r="AW769" s="13" t="s">
        <v>4</v>
      </c>
      <c r="AX769" s="13" t="s">
        <v>80</v>
      </c>
      <c r="AY769" s="203" t="s">
        <v>128</v>
      </c>
    </row>
    <row r="770" spans="1:65" s="2" customFormat="1" ht="21.75" customHeight="1">
      <c r="A770" s="35"/>
      <c r="B770" s="36"/>
      <c r="C770" s="174" t="s">
        <v>1691</v>
      </c>
      <c r="D770" s="174" t="s">
        <v>130</v>
      </c>
      <c r="E770" s="175" t="s">
        <v>1692</v>
      </c>
      <c r="F770" s="176" t="s">
        <v>1693</v>
      </c>
      <c r="G770" s="177" t="s">
        <v>258</v>
      </c>
      <c r="H770" s="178">
        <v>48.2</v>
      </c>
      <c r="I770" s="179"/>
      <c r="J770" s="180">
        <f>ROUND(I770*H770,2)</f>
        <v>0</v>
      </c>
      <c r="K770" s="176" t="s">
        <v>134</v>
      </c>
      <c r="L770" s="40"/>
      <c r="M770" s="181" t="s">
        <v>19</v>
      </c>
      <c r="N770" s="182" t="s">
        <v>43</v>
      </c>
      <c r="O770" s="65"/>
      <c r="P770" s="183">
        <f>O770*H770</f>
        <v>0</v>
      </c>
      <c r="Q770" s="183">
        <v>1.25E-3</v>
      </c>
      <c r="R770" s="183">
        <f>Q770*H770</f>
        <v>6.0250000000000005E-2</v>
      </c>
      <c r="S770" s="183">
        <v>0</v>
      </c>
      <c r="T770" s="184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185" t="s">
        <v>230</v>
      </c>
      <c r="AT770" s="185" t="s">
        <v>130</v>
      </c>
      <c r="AU770" s="185" t="s">
        <v>82</v>
      </c>
      <c r="AY770" s="18" t="s">
        <v>128</v>
      </c>
      <c r="BE770" s="186">
        <f>IF(N770="základní",J770,0)</f>
        <v>0</v>
      </c>
      <c r="BF770" s="186">
        <f>IF(N770="snížená",J770,0)</f>
        <v>0</v>
      </c>
      <c r="BG770" s="186">
        <f>IF(N770="zákl. přenesená",J770,0)</f>
        <v>0</v>
      </c>
      <c r="BH770" s="186">
        <f>IF(N770="sníž. přenesená",J770,0)</f>
        <v>0</v>
      </c>
      <c r="BI770" s="186">
        <f>IF(N770="nulová",J770,0)</f>
        <v>0</v>
      </c>
      <c r="BJ770" s="18" t="s">
        <v>80</v>
      </c>
      <c r="BK770" s="186">
        <f>ROUND(I770*H770,2)</f>
        <v>0</v>
      </c>
      <c r="BL770" s="18" t="s">
        <v>230</v>
      </c>
      <c r="BM770" s="185" t="s">
        <v>1694</v>
      </c>
    </row>
    <row r="771" spans="1:65" s="2" customFormat="1" ht="10">
      <c r="A771" s="35"/>
      <c r="B771" s="36"/>
      <c r="C771" s="37"/>
      <c r="D771" s="187" t="s">
        <v>137</v>
      </c>
      <c r="E771" s="37"/>
      <c r="F771" s="188" t="s">
        <v>1695</v>
      </c>
      <c r="G771" s="37"/>
      <c r="H771" s="37"/>
      <c r="I771" s="189"/>
      <c r="J771" s="37"/>
      <c r="K771" s="37"/>
      <c r="L771" s="40"/>
      <c r="M771" s="190"/>
      <c r="N771" s="191"/>
      <c r="O771" s="65"/>
      <c r="P771" s="65"/>
      <c r="Q771" s="65"/>
      <c r="R771" s="65"/>
      <c r="S771" s="65"/>
      <c r="T771" s="66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T771" s="18" t="s">
        <v>137</v>
      </c>
      <c r="AU771" s="18" t="s">
        <v>82</v>
      </c>
    </row>
    <row r="772" spans="1:65" s="13" customFormat="1" ht="10">
      <c r="B772" s="192"/>
      <c r="C772" s="193"/>
      <c r="D772" s="194" t="s">
        <v>139</v>
      </c>
      <c r="E772" s="195" t="s">
        <v>19</v>
      </c>
      <c r="F772" s="196" t="s">
        <v>1696</v>
      </c>
      <c r="G772" s="193"/>
      <c r="H772" s="197">
        <v>48.2</v>
      </c>
      <c r="I772" s="198"/>
      <c r="J772" s="193"/>
      <c r="K772" s="193"/>
      <c r="L772" s="199"/>
      <c r="M772" s="200"/>
      <c r="N772" s="201"/>
      <c r="O772" s="201"/>
      <c r="P772" s="201"/>
      <c r="Q772" s="201"/>
      <c r="R772" s="201"/>
      <c r="S772" s="201"/>
      <c r="T772" s="202"/>
      <c r="AT772" s="203" t="s">
        <v>139</v>
      </c>
      <c r="AU772" s="203" t="s">
        <v>82</v>
      </c>
      <c r="AV772" s="13" t="s">
        <v>82</v>
      </c>
      <c r="AW772" s="13" t="s">
        <v>34</v>
      </c>
      <c r="AX772" s="13" t="s">
        <v>80</v>
      </c>
      <c r="AY772" s="203" t="s">
        <v>128</v>
      </c>
    </row>
    <row r="773" spans="1:65" s="2" customFormat="1" ht="16.5" customHeight="1">
      <c r="A773" s="35"/>
      <c r="B773" s="36"/>
      <c r="C773" s="215" t="s">
        <v>1697</v>
      </c>
      <c r="D773" s="215" t="s">
        <v>414</v>
      </c>
      <c r="E773" s="216" t="s">
        <v>1698</v>
      </c>
      <c r="F773" s="217" t="s">
        <v>1699</v>
      </c>
      <c r="G773" s="218" t="s">
        <v>305</v>
      </c>
      <c r="H773" s="219">
        <v>148.93799999999999</v>
      </c>
      <c r="I773" s="220"/>
      <c r="J773" s="221">
        <f>ROUND(I773*H773,2)</f>
        <v>0</v>
      </c>
      <c r="K773" s="217" t="s">
        <v>134</v>
      </c>
      <c r="L773" s="222"/>
      <c r="M773" s="223" t="s">
        <v>19</v>
      </c>
      <c r="N773" s="224" t="s">
        <v>43</v>
      </c>
      <c r="O773" s="65"/>
      <c r="P773" s="183">
        <f>O773*H773</f>
        <v>0</v>
      </c>
      <c r="Q773" s="183">
        <v>3.2000000000000002E-3</v>
      </c>
      <c r="R773" s="183">
        <f>Q773*H773</f>
        <v>0.47660159999999996</v>
      </c>
      <c r="S773" s="183">
        <v>0</v>
      </c>
      <c r="T773" s="184">
        <f>S773*H773</f>
        <v>0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185" t="s">
        <v>334</v>
      </c>
      <c r="AT773" s="185" t="s">
        <v>414</v>
      </c>
      <c r="AU773" s="185" t="s">
        <v>82</v>
      </c>
      <c r="AY773" s="18" t="s">
        <v>128</v>
      </c>
      <c r="BE773" s="186">
        <f>IF(N773="základní",J773,0)</f>
        <v>0</v>
      </c>
      <c r="BF773" s="186">
        <f>IF(N773="snížená",J773,0)</f>
        <v>0</v>
      </c>
      <c r="BG773" s="186">
        <f>IF(N773="zákl. přenesená",J773,0)</f>
        <v>0</v>
      </c>
      <c r="BH773" s="186">
        <f>IF(N773="sníž. přenesená",J773,0)</f>
        <v>0</v>
      </c>
      <c r="BI773" s="186">
        <f>IF(N773="nulová",J773,0)</f>
        <v>0</v>
      </c>
      <c r="BJ773" s="18" t="s">
        <v>80</v>
      </c>
      <c r="BK773" s="186">
        <f>ROUND(I773*H773,2)</f>
        <v>0</v>
      </c>
      <c r="BL773" s="18" t="s">
        <v>230</v>
      </c>
      <c r="BM773" s="185" t="s">
        <v>1700</v>
      </c>
    </row>
    <row r="774" spans="1:65" s="13" customFormat="1" ht="10">
      <c r="B774" s="192"/>
      <c r="C774" s="193"/>
      <c r="D774" s="194" t="s">
        <v>139</v>
      </c>
      <c r="E774" s="193"/>
      <c r="F774" s="196" t="s">
        <v>1701</v>
      </c>
      <c r="G774" s="193"/>
      <c r="H774" s="197">
        <v>148.93799999999999</v>
      </c>
      <c r="I774" s="198"/>
      <c r="J774" s="193"/>
      <c r="K774" s="193"/>
      <c r="L774" s="199"/>
      <c r="M774" s="200"/>
      <c r="N774" s="201"/>
      <c r="O774" s="201"/>
      <c r="P774" s="201"/>
      <c r="Q774" s="201"/>
      <c r="R774" s="201"/>
      <c r="S774" s="201"/>
      <c r="T774" s="202"/>
      <c r="AT774" s="203" t="s">
        <v>139</v>
      </c>
      <c r="AU774" s="203" t="s">
        <v>82</v>
      </c>
      <c r="AV774" s="13" t="s">
        <v>82</v>
      </c>
      <c r="AW774" s="13" t="s">
        <v>4</v>
      </c>
      <c r="AX774" s="13" t="s">
        <v>80</v>
      </c>
      <c r="AY774" s="203" t="s">
        <v>128</v>
      </c>
    </row>
    <row r="775" spans="1:65" s="2" customFormat="1" ht="21.75" customHeight="1">
      <c r="A775" s="35"/>
      <c r="B775" s="36"/>
      <c r="C775" s="174" t="s">
        <v>1702</v>
      </c>
      <c r="D775" s="174" t="s">
        <v>130</v>
      </c>
      <c r="E775" s="175" t="s">
        <v>1703</v>
      </c>
      <c r="F775" s="176" t="s">
        <v>1704</v>
      </c>
      <c r="G775" s="177" t="s">
        <v>305</v>
      </c>
      <c r="H775" s="178">
        <v>5</v>
      </c>
      <c r="I775" s="179"/>
      <c r="J775" s="180">
        <f>ROUND(I775*H775,2)</f>
        <v>0</v>
      </c>
      <c r="K775" s="176" t="s">
        <v>134</v>
      </c>
      <c r="L775" s="40"/>
      <c r="M775" s="181" t="s">
        <v>19</v>
      </c>
      <c r="N775" s="182" t="s">
        <v>43</v>
      </c>
      <c r="O775" s="65"/>
      <c r="P775" s="183">
        <f>O775*H775</f>
        <v>0</v>
      </c>
      <c r="Q775" s="183">
        <v>0</v>
      </c>
      <c r="R775" s="183">
        <f>Q775*H775</f>
        <v>0</v>
      </c>
      <c r="S775" s="183">
        <v>0</v>
      </c>
      <c r="T775" s="184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185" t="s">
        <v>230</v>
      </c>
      <c r="AT775" s="185" t="s">
        <v>130</v>
      </c>
      <c r="AU775" s="185" t="s">
        <v>82</v>
      </c>
      <c r="AY775" s="18" t="s">
        <v>128</v>
      </c>
      <c r="BE775" s="186">
        <f>IF(N775="základní",J775,0)</f>
        <v>0</v>
      </c>
      <c r="BF775" s="186">
        <f>IF(N775="snížená",J775,0)</f>
        <v>0</v>
      </c>
      <c r="BG775" s="186">
        <f>IF(N775="zákl. přenesená",J775,0)</f>
        <v>0</v>
      </c>
      <c r="BH775" s="186">
        <f>IF(N775="sníž. přenesená",J775,0)</f>
        <v>0</v>
      </c>
      <c r="BI775" s="186">
        <f>IF(N775="nulová",J775,0)</f>
        <v>0</v>
      </c>
      <c r="BJ775" s="18" t="s">
        <v>80</v>
      </c>
      <c r="BK775" s="186">
        <f>ROUND(I775*H775,2)</f>
        <v>0</v>
      </c>
      <c r="BL775" s="18" t="s">
        <v>230</v>
      </c>
      <c r="BM775" s="185" t="s">
        <v>1705</v>
      </c>
    </row>
    <row r="776" spans="1:65" s="2" customFormat="1" ht="10">
      <c r="A776" s="35"/>
      <c r="B776" s="36"/>
      <c r="C776" s="37"/>
      <c r="D776" s="187" t="s">
        <v>137</v>
      </c>
      <c r="E776" s="37"/>
      <c r="F776" s="188" t="s">
        <v>1706</v>
      </c>
      <c r="G776" s="37"/>
      <c r="H776" s="37"/>
      <c r="I776" s="189"/>
      <c r="J776" s="37"/>
      <c r="K776" s="37"/>
      <c r="L776" s="40"/>
      <c r="M776" s="190"/>
      <c r="N776" s="191"/>
      <c r="O776" s="65"/>
      <c r="P776" s="65"/>
      <c r="Q776" s="65"/>
      <c r="R776" s="65"/>
      <c r="S776" s="65"/>
      <c r="T776" s="66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T776" s="18" t="s">
        <v>137</v>
      </c>
      <c r="AU776" s="18" t="s">
        <v>82</v>
      </c>
    </row>
    <row r="777" spans="1:65" s="13" customFormat="1" ht="10">
      <c r="B777" s="192"/>
      <c r="C777" s="193"/>
      <c r="D777" s="194" t="s">
        <v>139</v>
      </c>
      <c r="E777" s="195" t="s">
        <v>19</v>
      </c>
      <c r="F777" s="196" t="s">
        <v>1707</v>
      </c>
      <c r="G777" s="193"/>
      <c r="H777" s="197">
        <v>5</v>
      </c>
      <c r="I777" s="198"/>
      <c r="J777" s="193"/>
      <c r="K777" s="193"/>
      <c r="L777" s="199"/>
      <c r="M777" s="200"/>
      <c r="N777" s="201"/>
      <c r="O777" s="201"/>
      <c r="P777" s="201"/>
      <c r="Q777" s="201"/>
      <c r="R777" s="201"/>
      <c r="S777" s="201"/>
      <c r="T777" s="202"/>
      <c r="AT777" s="203" t="s">
        <v>139</v>
      </c>
      <c r="AU777" s="203" t="s">
        <v>82</v>
      </c>
      <c r="AV777" s="13" t="s">
        <v>82</v>
      </c>
      <c r="AW777" s="13" t="s">
        <v>34</v>
      </c>
      <c r="AX777" s="13" t="s">
        <v>80</v>
      </c>
      <c r="AY777" s="203" t="s">
        <v>128</v>
      </c>
    </row>
    <row r="778" spans="1:65" s="2" customFormat="1" ht="16.5" customHeight="1">
      <c r="A778" s="35"/>
      <c r="B778" s="36"/>
      <c r="C778" s="174" t="s">
        <v>1708</v>
      </c>
      <c r="D778" s="174" t="s">
        <v>130</v>
      </c>
      <c r="E778" s="175" t="s">
        <v>1709</v>
      </c>
      <c r="F778" s="176" t="s">
        <v>1710</v>
      </c>
      <c r="G778" s="177" t="s">
        <v>258</v>
      </c>
      <c r="H778" s="178">
        <v>49.648000000000003</v>
      </c>
      <c r="I778" s="179"/>
      <c r="J778" s="180">
        <f>ROUND(I778*H778,2)</f>
        <v>0</v>
      </c>
      <c r="K778" s="176" t="s">
        <v>134</v>
      </c>
      <c r="L778" s="40"/>
      <c r="M778" s="181" t="s">
        <v>19</v>
      </c>
      <c r="N778" s="182" t="s">
        <v>43</v>
      </c>
      <c r="O778" s="65"/>
      <c r="P778" s="183">
        <f>O778*H778</f>
        <v>0</v>
      </c>
      <c r="Q778" s="183">
        <v>0</v>
      </c>
      <c r="R778" s="183">
        <f>Q778*H778</f>
        <v>0</v>
      </c>
      <c r="S778" s="183">
        <v>0</v>
      </c>
      <c r="T778" s="184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185" t="s">
        <v>230</v>
      </c>
      <c r="AT778" s="185" t="s">
        <v>130</v>
      </c>
      <c r="AU778" s="185" t="s">
        <v>82</v>
      </c>
      <c r="AY778" s="18" t="s">
        <v>128</v>
      </c>
      <c r="BE778" s="186">
        <f>IF(N778="základní",J778,0)</f>
        <v>0</v>
      </c>
      <c r="BF778" s="186">
        <f>IF(N778="snížená",J778,0)</f>
        <v>0</v>
      </c>
      <c r="BG778" s="186">
        <f>IF(N778="zákl. přenesená",J778,0)</f>
        <v>0</v>
      </c>
      <c r="BH778" s="186">
        <f>IF(N778="sníž. přenesená",J778,0)</f>
        <v>0</v>
      </c>
      <c r="BI778" s="186">
        <f>IF(N778="nulová",J778,0)</f>
        <v>0</v>
      </c>
      <c r="BJ778" s="18" t="s">
        <v>80</v>
      </c>
      <c r="BK778" s="186">
        <f>ROUND(I778*H778,2)</f>
        <v>0</v>
      </c>
      <c r="BL778" s="18" t="s">
        <v>230</v>
      </c>
      <c r="BM778" s="185" t="s">
        <v>1711</v>
      </c>
    </row>
    <row r="779" spans="1:65" s="2" customFormat="1" ht="10">
      <c r="A779" s="35"/>
      <c r="B779" s="36"/>
      <c r="C779" s="37"/>
      <c r="D779" s="187" t="s">
        <v>137</v>
      </c>
      <c r="E779" s="37"/>
      <c r="F779" s="188" t="s">
        <v>1712</v>
      </c>
      <c r="G779" s="37"/>
      <c r="H779" s="37"/>
      <c r="I779" s="189"/>
      <c r="J779" s="37"/>
      <c r="K779" s="37"/>
      <c r="L779" s="40"/>
      <c r="M779" s="190"/>
      <c r="N779" s="191"/>
      <c r="O779" s="65"/>
      <c r="P779" s="65"/>
      <c r="Q779" s="65"/>
      <c r="R779" s="65"/>
      <c r="S779" s="65"/>
      <c r="T779" s="66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T779" s="18" t="s">
        <v>137</v>
      </c>
      <c r="AU779" s="18" t="s">
        <v>82</v>
      </c>
    </row>
    <row r="780" spans="1:65" s="13" customFormat="1" ht="10">
      <c r="B780" s="192"/>
      <c r="C780" s="193"/>
      <c r="D780" s="194" t="s">
        <v>139</v>
      </c>
      <c r="E780" s="195" t="s">
        <v>19</v>
      </c>
      <c r="F780" s="196" t="s">
        <v>1713</v>
      </c>
      <c r="G780" s="193"/>
      <c r="H780" s="197">
        <v>49.648000000000003</v>
      </c>
      <c r="I780" s="198"/>
      <c r="J780" s="193"/>
      <c r="K780" s="193"/>
      <c r="L780" s="199"/>
      <c r="M780" s="200"/>
      <c r="N780" s="201"/>
      <c r="O780" s="201"/>
      <c r="P780" s="201"/>
      <c r="Q780" s="201"/>
      <c r="R780" s="201"/>
      <c r="S780" s="201"/>
      <c r="T780" s="202"/>
      <c r="AT780" s="203" t="s">
        <v>139</v>
      </c>
      <c r="AU780" s="203" t="s">
        <v>82</v>
      </c>
      <c r="AV780" s="13" t="s">
        <v>82</v>
      </c>
      <c r="AW780" s="13" t="s">
        <v>34</v>
      </c>
      <c r="AX780" s="13" t="s">
        <v>80</v>
      </c>
      <c r="AY780" s="203" t="s">
        <v>128</v>
      </c>
    </row>
    <row r="781" spans="1:65" s="2" customFormat="1" ht="21.75" customHeight="1">
      <c r="A781" s="35"/>
      <c r="B781" s="36"/>
      <c r="C781" s="174" t="s">
        <v>1714</v>
      </c>
      <c r="D781" s="174" t="s">
        <v>130</v>
      </c>
      <c r="E781" s="175" t="s">
        <v>1715</v>
      </c>
      <c r="F781" s="176" t="s">
        <v>1716</v>
      </c>
      <c r="G781" s="177" t="s">
        <v>133</v>
      </c>
      <c r="H781" s="178">
        <v>790</v>
      </c>
      <c r="I781" s="179"/>
      <c r="J781" s="180">
        <f>ROUND(I781*H781,2)</f>
        <v>0</v>
      </c>
      <c r="K781" s="176" t="s">
        <v>134</v>
      </c>
      <c r="L781" s="40"/>
      <c r="M781" s="181" t="s">
        <v>19</v>
      </c>
      <c r="N781" s="182" t="s">
        <v>43</v>
      </c>
      <c r="O781" s="65"/>
      <c r="P781" s="183">
        <f>O781*H781</f>
        <v>0</v>
      </c>
      <c r="Q781" s="183">
        <v>4.0000000000000003E-5</v>
      </c>
      <c r="R781" s="183">
        <f>Q781*H781</f>
        <v>3.1600000000000003E-2</v>
      </c>
      <c r="S781" s="183">
        <v>0</v>
      </c>
      <c r="T781" s="184">
        <f>S781*H781</f>
        <v>0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185" t="s">
        <v>230</v>
      </c>
      <c r="AT781" s="185" t="s">
        <v>130</v>
      </c>
      <c r="AU781" s="185" t="s">
        <v>82</v>
      </c>
      <c r="AY781" s="18" t="s">
        <v>128</v>
      </c>
      <c r="BE781" s="186">
        <f>IF(N781="základní",J781,0)</f>
        <v>0</v>
      </c>
      <c r="BF781" s="186">
        <f>IF(N781="snížená",J781,0)</f>
        <v>0</v>
      </c>
      <c r="BG781" s="186">
        <f>IF(N781="zákl. přenesená",J781,0)</f>
        <v>0</v>
      </c>
      <c r="BH781" s="186">
        <f>IF(N781="sníž. přenesená",J781,0)</f>
        <v>0</v>
      </c>
      <c r="BI781" s="186">
        <f>IF(N781="nulová",J781,0)</f>
        <v>0</v>
      </c>
      <c r="BJ781" s="18" t="s">
        <v>80</v>
      </c>
      <c r="BK781" s="186">
        <f>ROUND(I781*H781,2)</f>
        <v>0</v>
      </c>
      <c r="BL781" s="18" t="s">
        <v>230</v>
      </c>
      <c r="BM781" s="185" t="s">
        <v>1717</v>
      </c>
    </row>
    <row r="782" spans="1:65" s="2" customFormat="1" ht="10">
      <c r="A782" s="35"/>
      <c r="B782" s="36"/>
      <c r="C782" s="37"/>
      <c r="D782" s="187" t="s">
        <v>137</v>
      </c>
      <c r="E782" s="37"/>
      <c r="F782" s="188" t="s">
        <v>1718</v>
      </c>
      <c r="G782" s="37"/>
      <c r="H782" s="37"/>
      <c r="I782" s="189"/>
      <c r="J782" s="37"/>
      <c r="K782" s="37"/>
      <c r="L782" s="40"/>
      <c r="M782" s="190"/>
      <c r="N782" s="191"/>
      <c r="O782" s="65"/>
      <c r="P782" s="65"/>
      <c r="Q782" s="65"/>
      <c r="R782" s="65"/>
      <c r="S782" s="65"/>
      <c r="T782" s="66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T782" s="18" t="s">
        <v>137</v>
      </c>
      <c r="AU782" s="18" t="s">
        <v>82</v>
      </c>
    </row>
    <row r="783" spans="1:65" s="13" customFormat="1" ht="10">
      <c r="B783" s="192"/>
      <c r="C783" s="193"/>
      <c r="D783" s="194" t="s">
        <v>139</v>
      </c>
      <c r="E783" s="195" t="s">
        <v>19</v>
      </c>
      <c r="F783" s="196" t="s">
        <v>1323</v>
      </c>
      <c r="G783" s="193"/>
      <c r="H783" s="197">
        <v>790</v>
      </c>
      <c r="I783" s="198"/>
      <c r="J783" s="193"/>
      <c r="K783" s="193"/>
      <c r="L783" s="199"/>
      <c r="M783" s="200"/>
      <c r="N783" s="201"/>
      <c r="O783" s="201"/>
      <c r="P783" s="201"/>
      <c r="Q783" s="201"/>
      <c r="R783" s="201"/>
      <c r="S783" s="201"/>
      <c r="T783" s="202"/>
      <c r="AT783" s="203" t="s">
        <v>139</v>
      </c>
      <c r="AU783" s="203" t="s">
        <v>82</v>
      </c>
      <c r="AV783" s="13" t="s">
        <v>82</v>
      </c>
      <c r="AW783" s="13" t="s">
        <v>34</v>
      </c>
      <c r="AX783" s="13" t="s">
        <v>80</v>
      </c>
      <c r="AY783" s="203" t="s">
        <v>128</v>
      </c>
    </row>
    <row r="784" spans="1:65" s="2" customFormat="1" ht="16.5" customHeight="1">
      <c r="A784" s="35"/>
      <c r="B784" s="36"/>
      <c r="C784" s="174" t="s">
        <v>1719</v>
      </c>
      <c r="D784" s="174" t="s">
        <v>130</v>
      </c>
      <c r="E784" s="175" t="s">
        <v>1720</v>
      </c>
      <c r="F784" s="176" t="s">
        <v>1721</v>
      </c>
      <c r="G784" s="177" t="s">
        <v>305</v>
      </c>
      <c r="H784" s="178">
        <v>5</v>
      </c>
      <c r="I784" s="179"/>
      <c r="J784" s="180">
        <f>ROUND(I784*H784,2)</f>
        <v>0</v>
      </c>
      <c r="K784" s="176" t="s">
        <v>134</v>
      </c>
      <c r="L784" s="40"/>
      <c r="M784" s="181" t="s">
        <v>19</v>
      </c>
      <c r="N784" s="182" t="s">
        <v>43</v>
      </c>
      <c r="O784" s="65"/>
      <c r="P784" s="183">
        <f>O784*H784</f>
        <v>0</v>
      </c>
      <c r="Q784" s="183">
        <v>0</v>
      </c>
      <c r="R784" s="183">
        <f>Q784*H784</f>
        <v>0</v>
      </c>
      <c r="S784" s="183">
        <v>0</v>
      </c>
      <c r="T784" s="184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185" t="s">
        <v>230</v>
      </c>
      <c r="AT784" s="185" t="s">
        <v>130</v>
      </c>
      <c r="AU784" s="185" t="s">
        <v>82</v>
      </c>
      <c r="AY784" s="18" t="s">
        <v>128</v>
      </c>
      <c r="BE784" s="186">
        <f>IF(N784="základní",J784,0)</f>
        <v>0</v>
      </c>
      <c r="BF784" s="186">
        <f>IF(N784="snížená",J784,0)</f>
        <v>0</v>
      </c>
      <c r="BG784" s="186">
        <f>IF(N784="zákl. přenesená",J784,0)</f>
        <v>0</v>
      </c>
      <c r="BH784" s="186">
        <f>IF(N784="sníž. přenesená",J784,0)</f>
        <v>0</v>
      </c>
      <c r="BI784" s="186">
        <f>IF(N784="nulová",J784,0)</f>
        <v>0</v>
      </c>
      <c r="BJ784" s="18" t="s">
        <v>80</v>
      </c>
      <c r="BK784" s="186">
        <f>ROUND(I784*H784,2)</f>
        <v>0</v>
      </c>
      <c r="BL784" s="18" t="s">
        <v>230</v>
      </c>
      <c r="BM784" s="185" t="s">
        <v>1722</v>
      </c>
    </row>
    <row r="785" spans="1:65" s="2" customFormat="1" ht="10">
      <c r="A785" s="35"/>
      <c r="B785" s="36"/>
      <c r="C785" s="37"/>
      <c r="D785" s="187" t="s">
        <v>137</v>
      </c>
      <c r="E785" s="37"/>
      <c r="F785" s="188" t="s">
        <v>1723</v>
      </c>
      <c r="G785" s="37"/>
      <c r="H785" s="37"/>
      <c r="I785" s="189"/>
      <c r="J785" s="37"/>
      <c r="K785" s="37"/>
      <c r="L785" s="40"/>
      <c r="M785" s="190"/>
      <c r="N785" s="191"/>
      <c r="O785" s="65"/>
      <c r="P785" s="65"/>
      <c r="Q785" s="65"/>
      <c r="R785" s="65"/>
      <c r="S785" s="65"/>
      <c r="T785" s="66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T785" s="18" t="s">
        <v>137</v>
      </c>
      <c r="AU785" s="18" t="s">
        <v>82</v>
      </c>
    </row>
    <row r="786" spans="1:65" s="13" customFormat="1" ht="10">
      <c r="B786" s="192"/>
      <c r="C786" s="193"/>
      <c r="D786" s="194" t="s">
        <v>139</v>
      </c>
      <c r="E786" s="195" t="s">
        <v>19</v>
      </c>
      <c r="F786" s="196" t="s">
        <v>1707</v>
      </c>
      <c r="G786" s="193"/>
      <c r="H786" s="197">
        <v>5</v>
      </c>
      <c r="I786" s="198"/>
      <c r="J786" s="193"/>
      <c r="K786" s="193"/>
      <c r="L786" s="199"/>
      <c r="M786" s="200"/>
      <c r="N786" s="201"/>
      <c r="O786" s="201"/>
      <c r="P786" s="201"/>
      <c r="Q786" s="201"/>
      <c r="R786" s="201"/>
      <c r="S786" s="201"/>
      <c r="T786" s="202"/>
      <c r="AT786" s="203" t="s">
        <v>139</v>
      </c>
      <c r="AU786" s="203" t="s">
        <v>82</v>
      </c>
      <c r="AV786" s="13" t="s">
        <v>82</v>
      </c>
      <c r="AW786" s="13" t="s">
        <v>34</v>
      </c>
      <c r="AX786" s="13" t="s">
        <v>80</v>
      </c>
      <c r="AY786" s="203" t="s">
        <v>128</v>
      </c>
    </row>
    <row r="787" spans="1:65" s="2" customFormat="1" ht="16.5" customHeight="1">
      <c r="A787" s="35"/>
      <c r="B787" s="36"/>
      <c r="C787" s="215" t="s">
        <v>1724</v>
      </c>
      <c r="D787" s="215" t="s">
        <v>414</v>
      </c>
      <c r="E787" s="216" t="s">
        <v>1725</v>
      </c>
      <c r="F787" s="217" t="s">
        <v>1726</v>
      </c>
      <c r="G787" s="218" t="s">
        <v>305</v>
      </c>
      <c r="H787" s="219">
        <v>5</v>
      </c>
      <c r="I787" s="220"/>
      <c r="J787" s="221">
        <f>ROUND(I787*H787,2)</f>
        <v>0</v>
      </c>
      <c r="K787" s="217" t="s">
        <v>134</v>
      </c>
      <c r="L787" s="222"/>
      <c r="M787" s="223" t="s">
        <v>19</v>
      </c>
      <c r="N787" s="224" t="s">
        <v>43</v>
      </c>
      <c r="O787" s="65"/>
      <c r="P787" s="183">
        <f>O787*H787</f>
        <v>0</v>
      </c>
      <c r="Q787" s="183">
        <v>1.4E-2</v>
      </c>
      <c r="R787" s="183">
        <f>Q787*H787</f>
        <v>7.0000000000000007E-2</v>
      </c>
      <c r="S787" s="183">
        <v>0</v>
      </c>
      <c r="T787" s="184">
        <f>S787*H787</f>
        <v>0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185" t="s">
        <v>334</v>
      </c>
      <c r="AT787" s="185" t="s">
        <v>414</v>
      </c>
      <c r="AU787" s="185" t="s">
        <v>82</v>
      </c>
      <c r="AY787" s="18" t="s">
        <v>128</v>
      </c>
      <c r="BE787" s="186">
        <f>IF(N787="základní",J787,0)</f>
        <v>0</v>
      </c>
      <c r="BF787" s="186">
        <f>IF(N787="snížená",J787,0)</f>
        <v>0</v>
      </c>
      <c r="BG787" s="186">
        <f>IF(N787="zákl. přenesená",J787,0)</f>
        <v>0</v>
      </c>
      <c r="BH787" s="186">
        <f>IF(N787="sníž. přenesená",J787,0)</f>
        <v>0</v>
      </c>
      <c r="BI787" s="186">
        <f>IF(N787="nulová",J787,0)</f>
        <v>0</v>
      </c>
      <c r="BJ787" s="18" t="s">
        <v>80</v>
      </c>
      <c r="BK787" s="186">
        <f>ROUND(I787*H787,2)</f>
        <v>0</v>
      </c>
      <c r="BL787" s="18" t="s">
        <v>230</v>
      </c>
      <c r="BM787" s="185" t="s">
        <v>1727</v>
      </c>
    </row>
    <row r="788" spans="1:65" s="2" customFormat="1" ht="16.5" customHeight="1">
      <c r="A788" s="35"/>
      <c r="B788" s="36"/>
      <c r="C788" s="174" t="s">
        <v>1728</v>
      </c>
      <c r="D788" s="174" t="s">
        <v>130</v>
      </c>
      <c r="E788" s="175" t="s">
        <v>1729</v>
      </c>
      <c r="F788" s="176" t="s">
        <v>1730</v>
      </c>
      <c r="G788" s="177" t="s">
        <v>305</v>
      </c>
      <c r="H788" s="178">
        <v>1</v>
      </c>
      <c r="I788" s="179"/>
      <c r="J788" s="180">
        <f>ROUND(I788*H788,2)</f>
        <v>0</v>
      </c>
      <c r="K788" s="176" t="s">
        <v>134</v>
      </c>
      <c r="L788" s="40"/>
      <c r="M788" s="181" t="s">
        <v>19</v>
      </c>
      <c r="N788" s="182" t="s">
        <v>43</v>
      </c>
      <c r="O788" s="65"/>
      <c r="P788" s="183">
        <f>O788*H788</f>
        <v>0</v>
      </c>
      <c r="Q788" s="183">
        <v>0</v>
      </c>
      <c r="R788" s="183">
        <f>Q788*H788</f>
        <v>0</v>
      </c>
      <c r="S788" s="183">
        <v>0</v>
      </c>
      <c r="T788" s="184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185" t="s">
        <v>230</v>
      </c>
      <c r="AT788" s="185" t="s">
        <v>130</v>
      </c>
      <c r="AU788" s="185" t="s">
        <v>82</v>
      </c>
      <c r="AY788" s="18" t="s">
        <v>128</v>
      </c>
      <c r="BE788" s="186">
        <f>IF(N788="základní",J788,0)</f>
        <v>0</v>
      </c>
      <c r="BF788" s="186">
        <f>IF(N788="snížená",J788,0)</f>
        <v>0</v>
      </c>
      <c r="BG788" s="186">
        <f>IF(N788="zákl. přenesená",J788,0)</f>
        <v>0</v>
      </c>
      <c r="BH788" s="186">
        <f>IF(N788="sníž. přenesená",J788,0)</f>
        <v>0</v>
      </c>
      <c r="BI788" s="186">
        <f>IF(N788="nulová",J788,0)</f>
        <v>0</v>
      </c>
      <c r="BJ788" s="18" t="s">
        <v>80</v>
      </c>
      <c r="BK788" s="186">
        <f>ROUND(I788*H788,2)</f>
        <v>0</v>
      </c>
      <c r="BL788" s="18" t="s">
        <v>230</v>
      </c>
      <c r="BM788" s="185" t="s">
        <v>1731</v>
      </c>
    </row>
    <row r="789" spans="1:65" s="2" customFormat="1" ht="10">
      <c r="A789" s="35"/>
      <c r="B789" s="36"/>
      <c r="C789" s="37"/>
      <c r="D789" s="187" t="s">
        <v>137</v>
      </c>
      <c r="E789" s="37"/>
      <c r="F789" s="188" t="s">
        <v>1732</v>
      </c>
      <c r="G789" s="37"/>
      <c r="H789" s="37"/>
      <c r="I789" s="189"/>
      <c r="J789" s="37"/>
      <c r="K789" s="37"/>
      <c r="L789" s="40"/>
      <c r="M789" s="190"/>
      <c r="N789" s="191"/>
      <c r="O789" s="65"/>
      <c r="P789" s="65"/>
      <c r="Q789" s="65"/>
      <c r="R789" s="65"/>
      <c r="S789" s="65"/>
      <c r="T789" s="66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T789" s="18" t="s">
        <v>137</v>
      </c>
      <c r="AU789" s="18" t="s">
        <v>82</v>
      </c>
    </row>
    <row r="790" spans="1:65" s="13" customFormat="1" ht="10">
      <c r="B790" s="192"/>
      <c r="C790" s="193"/>
      <c r="D790" s="194" t="s">
        <v>139</v>
      </c>
      <c r="E790" s="195" t="s">
        <v>19</v>
      </c>
      <c r="F790" s="196" t="s">
        <v>1733</v>
      </c>
      <c r="G790" s="193"/>
      <c r="H790" s="197">
        <v>1</v>
      </c>
      <c r="I790" s="198"/>
      <c r="J790" s="193"/>
      <c r="K790" s="193"/>
      <c r="L790" s="199"/>
      <c r="M790" s="200"/>
      <c r="N790" s="201"/>
      <c r="O790" s="201"/>
      <c r="P790" s="201"/>
      <c r="Q790" s="201"/>
      <c r="R790" s="201"/>
      <c r="S790" s="201"/>
      <c r="T790" s="202"/>
      <c r="AT790" s="203" t="s">
        <v>139</v>
      </c>
      <c r="AU790" s="203" t="s">
        <v>82</v>
      </c>
      <c r="AV790" s="13" t="s">
        <v>82</v>
      </c>
      <c r="AW790" s="13" t="s">
        <v>34</v>
      </c>
      <c r="AX790" s="13" t="s">
        <v>80</v>
      </c>
      <c r="AY790" s="203" t="s">
        <v>128</v>
      </c>
    </row>
    <row r="791" spans="1:65" s="2" customFormat="1" ht="16.5" customHeight="1">
      <c r="A791" s="35"/>
      <c r="B791" s="36"/>
      <c r="C791" s="215" t="s">
        <v>1734</v>
      </c>
      <c r="D791" s="215" t="s">
        <v>414</v>
      </c>
      <c r="E791" s="216" t="s">
        <v>1735</v>
      </c>
      <c r="F791" s="217" t="s">
        <v>1736</v>
      </c>
      <c r="G791" s="218" t="s">
        <v>1737</v>
      </c>
      <c r="H791" s="219">
        <v>1</v>
      </c>
      <c r="I791" s="220"/>
      <c r="J791" s="221">
        <f>ROUND(I791*H791,2)</f>
        <v>0</v>
      </c>
      <c r="K791" s="217" t="s">
        <v>134</v>
      </c>
      <c r="L791" s="222"/>
      <c r="M791" s="223" t="s">
        <v>19</v>
      </c>
      <c r="N791" s="224" t="s">
        <v>43</v>
      </c>
      <c r="O791" s="65"/>
      <c r="P791" s="183">
        <f>O791*H791</f>
        <v>0</v>
      </c>
      <c r="Q791" s="183">
        <v>6.0000000000000001E-3</v>
      </c>
      <c r="R791" s="183">
        <f>Q791*H791</f>
        <v>6.0000000000000001E-3</v>
      </c>
      <c r="S791" s="183">
        <v>0</v>
      </c>
      <c r="T791" s="184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185" t="s">
        <v>334</v>
      </c>
      <c r="AT791" s="185" t="s">
        <v>414</v>
      </c>
      <c r="AU791" s="185" t="s">
        <v>82</v>
      </c>
      <c r="AY791" s="18" t="s">
        <v>128</v>
      </c>
      <c r="BE791" s="186">
        <f>IF(N791="základní",J791,0)</f>
        <v>0</v>
      </c>
      <c r="BF791" s="186">
        <f>IF(N791="snížená",J791,0)</f>
        <v>0</v>
      </c>
      <c r="BG791" s="186">
        <f>IF(N791="zákl. přenesená",J791,0)</f>
        <v>0</v>
      </c>
      <c r="BH791" s="186">
        <f>IF(N791="sníž. přenesená",J791,0)</f>
        <v>0</v>
      </c>
      <c r="BI791" s="186">
        <f>IF(N791="nulová",J791,0)</f>
        <v>0</v>
      </c>
      <c r="BJ791" s="18" t="s">
        <v>80</v>
      </c>
      <c r="BK791" s="186">
        <f>ROUND(I791*H791,2)</f>
        <v>0</v>
      </c>
      <c r="BL791" s="18" t="s">
        <v>230</v>
      </c>
      <c r="BM791" s="185" t="s">
        <v>1738</v>
      </c>
    </row>
    <row r="792" spans="1:65" s="2" customFormat="1" ht="16.5" customHeight="1">
      <c r="A792" s="35"/>
      <c r="B792" s="36"/>
      <c r="C792" s="174" t="s">
        <v>1739</v>
      </c>
      <c r="D792" s="174" t="s">
        <v>130</v>
      </c>
      <c r="E792" s="175" t="s">
        <v>1740</v>
      </c>
      <c r="F792" s="176" t="s">
        <v>1741</v>
      </c>
      <c r="G792" s="177" t="s">
        <v>305</v>
      </c>
      <c r="H792" s="178">
        <v>4</v>
      </c>
      <c r="I792" s="179"/>
      <c r="J792" s="180">
        <f>ROUND(I792*H792,2)</f>
        <v>0</v>
      </c>
      <c r="K792" s="176" t="s">
        <v>134</v>
      </c>
      <c r="L792" s="40"/>
      <c r="M792" s="181" t="s">
        <v>19</v>
      </c>
      <c r="N792" s="182" t="s">
        <v>43</v>
      </c>
      <c r="O792" s="65"/>
      <c r="P792" s="183">
        <f>O792*H792</f>
        <v>0</v>
      </c>
      <c r="Q792" s="183">
        <v>0</v>
      </c>
      <c r="R792" s="183">
        <f>Q792*H792</f>
        <v>0</v>
      </c>
      <c r="S792" s="183">
        <v>0</v>
      </c>
      <c r="T792" s="184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185" t="s">
        <v>230</v>
      </c>
      <c r="AT792" s="185" t="s">
        <v>130</v>
      </c>
      <c r="AU792" s="185" t="s">
        <v>82</v>
      </c>
      <c r="AY792" s="18" t="s">
        <v>128</v>
      </c>
      <c r="BE792" s="186">
        <f>IF(N792="základní",J792,0)</f>
        <v>0</v>
      </c>
      <c r="BF792" s="186">
        <f>IF(N792="snížená",J792,0)</f>
        <v>0</v>
      </c>
      <c r="BG792" s="186">
        <f>IF(N792="zákl. přenesená",J792,0)</f>
        <v>0</v>
      </c>
      <c r="BH792" s="186">
        <f>IF(N792="sníž. přenesená",J792,0)</f>
        <v>0</v>
      </c>
      <c r="BI792" s="186">
        <f>IF(N792="nulová",J792,0)</f>
        <v>0</v>
      </c>
      <c r="BJ792" s="18" t="s">
        <v>80</v>
      </c>
      <c r="BK792" s="186">
        <f>ROUND(I792*H792,2)</f>
        <v>0</v>
      </c>
      <c r="BL792" s="18" t="s">
        <v>230</v>
      </c>
      <c r="BM792" s="185" t="s">
        <v>1742</v>
      </c>
    </row>
    <row r="793" spans="1:65" s="2" customFormat="1" ht="10">
      <c r="A793" s="35"/>
      <c r="B793" s="36"/>
      <c r="C793" s="37"/>
      <c r="D793" s="187" t="s">
        <v>137</v>
      </c>
      <c r="E793" s="37"/>
      <c r="F793" s="188" t="s">
        <v>1743</v>
      </c>
      <c r="G793" s="37"/>
      <c r="H793" s="37"/>
      <c r="I793" s="189"/>
      <c r="J793" s="37"/>
      <c r="K793" s="37"/>
      <c r="L793" s="40"/>
      <c r="M793" s="190"/>
      <c r="N793" s="191"/>
      <c r="O793" s="65"/>
      <c r="P793" s="65"/>
      <c r="Q793" s="65"/>
      <c r="R793" s="65"/>
      <c r="S793" s="65"/>
      <c r="T793" s="66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T793" s="18" t="s">
        <v>137</v>
      </c>
      <c r="AU793" s="18" t="s">
        <v>82</v>
      </c>
    </row>
    <row r="794" spans="1:65" s="13" customFormat="1" ht="10">
      <c r="B794" s="192"/>
      <c r="C794" s="193"/>
      <c r="D794" s="194" t="s">
        <v>139</v>
      </c>
      <c r="E794" s="195" t="s">
        <v>19</v>
      </c>
      <c r="F794" s="196" t="s">
        <v>1744</v>
      </c>
      <c r="G794" s="193"/>
      <c r="H794" s="197">
        <v>4</v>
      </c>
      <c r="I794" s="198"/>
      <c r="J794" s="193"/>
      <c r="K794" s="193"/>
      <c r="L794" s="199"/>
      <c r="M794" s="200"/>
      <c r="N794" s="201"/>
      <c r="O794" s="201"/>
      <c r="P794" s="201"/>
      <c r="Q794" s="201"/>
      <c r="R794" s="201"/>
      <c r="S794" s="201"/>
      <c r="T794" s="202"/>
      <c r="AT794" s="203" t="s">
        <v>139</v>
      </c>
      <c r="AU794" s="203" t="s">
        <v>82</v>
      </c>
      <c r="AV794" s="13" t="s">
        <v>82</v>
      </c>
      <c r="AW794" s="13" t="s">
        <v>34</v>
      </c>
      <c r="AX794" s="13" t="s">
        <v>80</v>
      </c>
      <c r="AY794" s="203" t="s">
        <v>128</v>
      </c>
    </row>
    <row r="795" spans="1:65" s="2" customFormat="1" ht="16.5" customHeight="1">
      <c r="A795" s="35"/>
      <c r="B795" s="36"/>
      <c r="C795" s="215" t="s">
        <v>1745</v>
      </c>
      <c r="D795" s="215" t="s">
        <v>414</v>
      </c>
      <c r="E795" s="216" t="s">
        <v>1746</v>
      </c>
      <c r="F795" s="217" t="s">
        <v>1747</v>
      </c>
      <c r="G795" s="218" t="s">
        <v>1737</v>
      </c>
      <c r="H795" s="219">
        <v>4</v>
      </c>
      <c r="I795" s="220"/>
      <c r="J795" s="221">
        <f>ROUND(I795*H795,2)</f>
        <v>0</v>
      </c>
      <c r="K795" s="217" t="s">
        <v>134</v>
      </c>
      <c r="L795" s="222"/>
      <c r="M795" s="223" t="s">
        <v>19</v>
      </c>
      <c r="N795" s="224" t="s">
        <v>43</v>
      </c>
      <c r="O795" s="65"/>
      <c r="P795" s="183">
        <f>O795*H795</f>
        <v>0</v>
      </c>
      <c r="Q795" s="183">
        <v>7.6E-3</v>
      </c>
      <c r="R795" s="183">
        <f>Q795*H795</f>
        <v>3.04E-2</v>
      </c>
      <c r="S795" s="183">
        <v>0</v>
      </c>
      <c r="T795" s="184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85" t="s">
        <v>334</v>
      </c>
      <c r="AT795" s="185" t="s">
        <v>414</v>
      </c>
      <c r="AU795" s="185" t="s">
        <v>82</v>
      </c>
      <c r="AY795" s="18" t="s">
        <v>128</v>
      </c>
      <c r="BE795" s="186">
        <f>IF(N795="základní",J795,0)</f>
        <v>0</v>
      </c>
      <c r="BF795" s="186">
        <f>IF(N795="snížená",J795,0)</f>
        <v>0</v>
      </c>
      <c r="BG795" s="186">
        <f>IF(N795="zákl. přenesená",J795,0)</f>
        <v>0</v>
      </c>
      <c r="BH795" s="186">
        <f>IF(N795="sníž. přenesená",J795,0)</f>
        <v>0</v>
      </c>
      <c r="BI795" s="186">
        <f>IF(N795="nulová",J795,0)</f>
        <v>0</v>
      </c>
      <c r="BJ795" s="18" t="s">
        <v>80</v>
      </c>
      <c r="BK795" s="186">
        <f>ROUND(I795*H795,2)</f>
        <v>0</v>
      </c>
      <c r="BL795" s="18" t="s">
        <v>230</v>
      </c>
      <c r="BM795" s="185" t="s">
        <v>1748</v>
      </c>
    </row>
    <row r="796" spans="1:65" s="2" customFormat="1" ht="16.5" customHeight="1">
      <c r="A796" s="35"/>
      <c r="B796" s="36"/>
      <c r="C796" s="174" t="s">
        <v>1749</v>
      </c>
      <c r="D796" s="174" t="s">
        <v>130</v>
      </c>
      <c r="E796" s="175" t="s">
        <v>1750</v>
      </c>
      <c r="F796" s="176" t="s">
        <v>1751</v>
      </c>
      <c r="G796" s="177" t="s">
        <v>305</v>
      </c>
      <c r="H796" s="178">
        <v>1100</v>
      </c>
      <c r="I796" s="179"/>
      <c r="J796" s="180">
        <f>ROUND(I796*H796,2)</f>
        <v>0</v>
      </c>
      <c r="K796" s="176" t="s">
        <v>134</v>
      </c>
      <c r="L796" s="40"/>
      <c r="M796" s="181" t="s">
        <v>19</v>
      </c>
      <c r="N796" s="182" t="s">
        <v>43</v>
      </c>
      <c r="O796" s="65"/>
      <c r="P796" s="183">
        <f>O796*H796</f>
        <v>0</v>
      </c>
      <c r="Q796" s="183">
        <v>0</v>
      </c>
      <c r="R796" s="183">
        <f>Q796*H796</f>
        <v>0</v>
      </c>
      <c r="S796" s="183">
        <v>0</v>
      </c>
      <c r="T796" s="184">
        <f>S796*H796</f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185" t="s">
        <v>230</v>
      </c>
      <c r="AT796" s="185" t="s">
        <v>130</v>
      </c>
      <c r="AU796" s="185" t="s">
        <v>82</v>
      </c>
      <c r="AY796" s="18" t="s">
        <v>128</v>
      </c>
      <c r="BE796" s="186">
        <f>IF(N796="základní",J796,0)</f>
        <v>0</v>
      </c>
      <c r="BF796" s="186">
        <f>IF(N796="snížená",J796,0)</f>
        <v>0</v>
      </c>
      <c r="BG796" s="186">
        <f>IF(N796="zákl. přenesená",J796,0)</f>
        <v>0</v>
      </c>
      <c r="BH796" s="186">
        <f>IF(N796="sníž. přenesená",J796,0)</f>
        <v>0</v>
      </c>
      <c r="BI796" s="186">
        <f>IF(N796="nulová",J796,0)</f>
        <v>0</v>
      </c>
      <c r="BJ796" s="18" t="s">
        <v>80</v>
      </c>
      <c r="BK796" s="186">
        <f>ROUND(I796*H796,2)</f>
        <v>0</v>
      </c>
      <c r="BL796" s="18" t="s">
        <v>230</v>
      </c>
      <c r="BM796" s="185" t="s">
        <v>1752</v>
      </c>
    </row>
    <row r="797" spans="1:65" s="2" customFormat="1" ht="10">
      <c r="A797" s="35"/>
      <c r="B797" s="36"/>
      <c r="C797" s="37"/>
      <c r="D797" s="187" t="s">
        <v>137</v>
      </c>
      <c r="E797" s="37"/>
      <c r="F797" s="188" t="s">
        <v>1753</v>
      </c>
      <c r="G797" s="37"/>
      <c r="H797" s="37"/>
      <c r="I797" s="189"/>
      <c r="J797" s="37"/>
      <c r="K797" s="37"/>
      <c r="L797" s="40"/>
      <c r="M797" s="190"/>
      <c r="N797" s="191"/>
      <c r="O797" s="65"/>
      <c r="P797" s="65"/>
      <c r="Q797" s="65"/>
      <c r="R797" s="65"/>
      <c r="S797" s="65"/>
      <c r="T797" s="66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T797" s="18" t="s">
        <v>137</v>
      </c>
      <c r="AU797" s="18" t="s">
        <v>82</v>
      </c>
    </row>
    <row r="798" spans="1:65" s="13" customFormat="1" ht="10">
      <c r="B798" s="192"/>
      <c r="C798" s="193"/>
      <c r="D798" s="194" t="s">
        <v>139</v>
      </c>
      <c r="E798" s="195" t="s">
        <v>19</v>
      </c>
      <c r="F798" s="196" t="s">
        <v>1754</v>
      </c>
      <c r="G798" s="193"/>
      <c r="H798" s="197">
        <v>1100</v>
      </c>
      <c r="I798" s="198"/>
      <c r="J798" s="193"/>
      <c r="K798" s="193"/>
      <c r="L798" s="199"/>
      <c r="M798" s="200"/>
      <c r="N798" s="201"/>
      <c r="O798" s="201"/>
      <c r="P798" s="201"/>
      <c r="Q798" s="201"/>
      <c r="R798" s="201"/>
      <c r="S798" s="201"/>
      <c r="T798" s="202"/>
      <c r="AT798" s="203" t="s">
        <v>139</v>
      </c>
      <c r="AU798" s="203" t="s">
        <v>82</v>
      </c>
      <c r="AV798" s="13" t="s">
        <v>82</v>
      </c>
      <c r="AW798" s="13" t="s">
        <v>34</v>
      </c>
      <c r="AX798" s="13" t="s">
        <v>80</v>
      </c>
      <c r="AY798" s="203" t="s">
        <v>128</v>
      </c>
    </row>
    <row r="799" spans="1:65" s="2" customFormat="1" ht="16.5" customHeight="1">
      <c r="A799" s="35"/>
      <c r="B799" s="36"/>
      <c r="C799" s="215" t="s">
        <v>1755</v>
      </c>
      <c r="D799" s="215" t="s">
        <v>414</v>
      </c>
      <c r="E799" s="216" t="s">
        <v>1756</v>
      </c>
      <c r="F799" s="217" t="s">
        <v>1757</v>
      </c>
      <c r="G799" s="218" t="s">
        <v>305</v>
      </c>
      <c r="H799" s="219">
        <v>1111</v>
      </c>
      <c r="I799" s="220"/>
      <c r="J799" s="221">
        <f>ROUND(I799*H799,2)</f>
        <v>0</v>
      </c>
      <c r="K799" s="217" t="s">
        <v>134</v>
      </c>
      <c r="L799" s="222"/>
      <c r="M799" s="223" t="s">
        <v>19</v>
      </c>
      <c r="N799" s="224" t="s">
        <v>43</v>
      </c>
      <c r="O799" s="65"/>
      <c r="P799" s="183">
        <f>O799*H799</f>
        <v>0</v>
      </c>
      <c r="Q799" s="183">
        <v>2.2000000000000001E-4</v>
      </c>
      <c r="R799" s="183">
        <f>Q799*H799</f>
        <v>0.24442</v>
      </c>
      <c r="S799" s="183">
        <v>0</v>
      </c>
      <c r="T799" s="184">
        <f>S799*H799</f>
        <v>0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R799" s="185" t="s">
        <v>334</v>
      </c>
      <c r="AT799" s="185" t="s">
        <v>414</v>
      </c>
      <c r="AU799" s="185" t="s">
        <v>82</v>
      </c>
      <c r="AY799" s="18" t="s">
        <v>128</v>
      </c>
      <c r="BE799" s="186">
        <f>IF(N799="základní",J799,0)</f>
        <v>0</v>
      </c>
      <c r="BF799" s="186">
        <f>IF(N799="snížená",J799,0)</f>
        <v>0</v>
      </c>
      <c r="BG799" s="186">
        <f>IF(N799="zákl. přenesená",J799,0)</f>
        <v>0</v>
      </c>
      <c r="BH799" s="186">
        <f>IF(N799="sníž. přenesená",J799,0)</f>
        <v>0</v>
      </c>
      <c r="BI799" s="186">
        <f>IF(N799="nulová",J799,0)</f>
        <v>0</v>
      </c>
      <c r="BJ799" s="18" t="s">
        <v>80</v>
      </c>
      <c r="BK799" s="186">
        <f>ROUND(I799*H799,2)</f>
        <v>0</v>
      </c>
      <c r="BL799" s="18" t="s">
        <v>230</v>
      </c>
      <c r="BM799" s="185" t="s">
        <v>1758</v>
      </c>
    </row>
    <row r="800" spans="1:65" s="13" customFormat="1" ht="10">
      <c r="B800" s="192"/>
      <c r="C800" s="193"/>
      <c r="D800" s="194" t="s">
        <v>139</v>
      </c>
      <c r="E800" s="193"/>
      <c r="F800" s="196" t="s">
        <v>1759</v>
      </c>
      <c r="G800" s="193"/>
      <c r="H800" s="197">
        <v>1111</v>
      </c>
      <c r="I800" s="198"/>
      <c r="J800" s="193"/>
      <c r="K800" s="193"/>
      <c r="L800" s="199"/>
      <c r="M800" s="200"/>
      <c r="N800" s="201"/>
      <c r="O800" s="201"/>
      <c r="P800" s="201"/>
      <c r="Q800" s="201"/>
      <c r="R800" s="201"/>
      <c r="S800" s="201"/>
      <c r="T800" s="202"/>
      <c r="AT800" s="203" t="s">
        <v>139</v>
      </c>
      <c r="AU800" s="203" t="s">
        <v>82</v>
      </c>
      <c r="AV800" s="13" t="s">
        <v>82</v>
      </c>
      <c r="AW800" s="13" t="s">
        <v>4</v>
      </c>
      <c r="AX800" s="13" t="s">
        <v>80</v>
      </c>
      <c r="AY800" s="203" t="s">
        <v>128</v>
      </c>
    </row>
    <row r="801" spans="1:65" s="2" customFormat="1" ht="16.5" customHeight="1">
      <c r="A801" s="35"/>
      <c r="B801" s="36"/>
      <c r="C801" s="174" t="s">
        <v>1760</v>
      </c>
      <c r="D801" s="174" t="s">
        <v>130</v>
      </c>
      <c r="E801" s="175" t="s">
        <v>1761</v>
      </c>
      <c r="F801" s="176" t="s">
        <v>1762</v>
      </c>
      <c r="G801" s="177" t="s">
        <v>305</v>
      </c>
      <c r="H801" s="178">
        <v>5</v>
      </c>
      <c r="I801" s="179"/>
      <c r="J801" s="180">
        <f>ROUND(I801*H801,2)</f>
        <v>0</v>
      </c>
      <c r="K801" s="176" t="s">
        <v>134</v>
      </c>
      <c r="L801" s="40"/>
      <c r="M801" s="181" t="s">
        <v>19</v>
      </c>
      <c r="N801" s="182" t="s">
        <v>43</v>
      </c>
      <c r="O801" s="65"/>
      <c r="P801" s="183">
        <f>O801*H801</f>
        <v>0</v>
      </c>
      <c r="Q801" s="183">
        <v>0</v>
      </c>
      <c r="R801" s="183">
        <f>Q801*H801</f>
        <v>0</v>
      </c>
      <c r="S801" s="183">
        <v>0</v>
      </c>
      <c r="T801" s="184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185" t="s">
        <v>230</v>
      </c>
      <c r="AT801" s="185" t="s">
        <v>130</v>
      </c>
      <c r="AU801" s="185" t="s">
        <v>82</v>
      </c>
      <c r="AY801" s="18" t="s">
        <v>128</v>
      </c>
      <c r="BE801" s="186">
        <f>IF(N801="základní",J801,0)</f>
        <v>0</v>
      </c>
      <c r="BF801" s="186">
        <f>IF(N801="snížená",J801,0)</f>
        <v>0</v>
      </c>
      <c r="BG801" s="186">
        <f>IF(N801="zákl. přenesená",J801,0)</f>
        <v>0</v>
      </c>
      <c r="BH801" s="186">
        <f>IF(N801="sníž. přenesená",J801,0)</f>
        <v>0</v>
      </c>
      <c r="BI801" s="186">
        <f>IF(N801="nulová",J801,0)</f>
        <v>0</v>
      </c>
      <c r="BJ801" s="18" t="s">
        <v>80</v>
      </c>
      <c r="BK801" s="186">
        <f>ROUND(I801*H801,2)</f>
        <v>0</v>
      </c>
      <c r="BL801" s="18" t="s">
        <v>230</v>
      </c>
      <c r="BM801" s="185" t="s">
        <v>1763</v>
      </c>
    </row>
    <row r="802" spans="1:65" s="2" customFormat="1" ht="10">
      <c r="A802" s="35"/>
      <c r="B802" s="36"/>
      <c r="C802" s="37"/>
      <c r="D802" s="187" t="s">
        <v>137</v>
      </c>
      <c r="E802" s="37"/>
      <c r="F802" s="188" t="s">
        <v>1764</v>
      </c>
      <c r="G802" s="37"/>
      <c r="H802" s="37"/>
      <c r="I802" s="189"/>
      <c r="J802" s="37"/>
      <c r="K802" s="37"/>
      <c r="L802" s="40"/>
      <c r="M802" s="190"/>
      <c r="N802" s="191"/>
      <c r="O802" s="65"/>
      <c r="P802" s="65"/>
      <c r="Q802" s="65"/>
      <c r="R802" s="65"/>
      <c r="S802" s="65"/>
      <c r="T802" s="66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T802" s="18" t="s">
        <v>137</v>
      </c>
      <c r="AU802" s="18" t="s">
        <v>82</v>
      </c>
    </row>
    <row r="803" spans="1:65" s="2" customFormat="1" ht="16.5" customHeight="1">
      <c r="A803" s="35"/>
      <c r="B803" s="36"/>
      <c r="C803" s="215" t="s">
        <v>1765</v>
      </c>
      <c r="D803" s="215" t="s">
        <v>414</v>
      </c>
      <c r="E803" s="216" t="s">
        <v>1766</v>
      </c>
      <c r="F803" s="217" t="s">
        <v>1767</v>
      </c>
      <c r="G803" s="218" t="s">
        <v>1737</v>
      </c>
      <c r="H803" s="219">
        <v>5</v>
      </c>
      <c r="I803" s="220"/>
      <c r="J803" s="221">
        <f>ROUND(I803*H803,2)</f>
        <v>0</v>
      </c>
      <c r="K803" s="217" t="s">
        <v>134</v>
      </c>
      <c r="L803" s="222"/>
      <c r="M803" s="223" t="s">
        <v>19</v>
      </c>
      <c r="N803" s="224" t="s">
        <v>43</v>
      </c>
      <c r="O803" s="65"/>
      <c r="P803" s="183">
        <f>O803*H803</f>
        <v>0</v>
      </c>
      <c r="Q803" s="183">
        <v>0.01</v>
      </c>
      <c r="R803" s="183">
        <f>Q803*H803</f>
        <v>0.05</v>
      </c>
      <c r="S803" s="183">
        <v>0</v>
      </c>
      <c r="T803" s="184">
        <f>S803*H803</f>
        <v>0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R803" s="185" t="s">
        <v>334</v>
      </c>
      <c r="AT803" s="185" t="s">
        <v>414</v>
      </c>
      <c r="AU803" s="185" t="s">
        <v>82</v>
      </c>
      <c r="AY803" s="18" t="s">
        <v>128</v>
      </c>
      <c r="BE803" s="186">
        <f>IF(N803="základní",J803,0)</f>
        <v>0</v>
      </c>
      <c r="BF803" s="186">
        <f>IF(N803="snížená",J803,0)</f>
        <v>0</v>
      </c>
      <c r="BG803" s="186">
        <f>IF(N803="zákl. přenesená",J803,0)</f>
        <v>0</v>
      </c>
      <c r="BH803" s="186">
        <f>IF(N803="sníž. přenesená",J803,0)</f>
        <v>0</v>
      </c>
      <c r="BI803" s="186">
        <f>IF(N803="nulová",J803,0)</f>
        <v>0</v>
      </c>
      <c r="BJ803" s="18" t="s">
        <v>80</v>
      </c>
      <c r="BK803" s="186">
        <f>ROUND(I803*H803,2)</f>
        <v>0</v>
      </c>
      <c r="BL803" s="18" t="s">
        <v>230</v>
      </c>
      <c r="BM803" s="185" t="s">
        <v>1768</v>
      </c>
    </row>
    <row r="804" spans="1:65" s="2" customFormat="1" ht="24.15" customHeight="1">
      <c r="A804" s="35"/>
      <c r="B804" s="36"/>
      <c r="C804" s="174" t="s">
        <v>1769</v>
      </c>
      <c r="D804" s="174" t="s">
        <v>130</v>
      </c>
      <c r="E804" s="175" t="s">
        <v>1770</v>
      </c>
      <c r="F804" s="176" t="s">
        <v>1771</v>
      </c>
      <c r="G804" s="177" t="s">
        <v>133</v>
      </c>
      <c r="H804" s="178">
        <v>29</v>
      </c>
      <c r="I804" s="179"/>
      <c r="J804" s="180">
        <f>ROUND(I804*H804,2)</f>
        <v>0</v>
      </c>
      <c r="K804" s="176" t="s">
        <v>134</v>
      </c>
      <c r="L804" s="40"/>
      <c r="M804" s="181" t="s">
        <v>19</v>
      </c>
      <c r="N804" s="182" t="s">
        <v>43</v>
      </c>
      <c r="O804" s="65"/>
      <c r="P804" s="183">
        <f>O804*H804</f>
        <v>0</v>
      </c>
      <c r="Q804" s="183">
        <v>1.0000000000000001E-5</v>
      </c>
      <c r="R804" s="183">
        <f>Q804*H804</f>
        <v>2.9E-4</v>
      </c>
      <c r="S804" s="183">
        <v>0</v>
      </c>
      <c r="T804" s="184">
        <f>S804*H804</f>
        <v>0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185" t="s">
        <v>230</v>
      </c>
      <c r="AT804" s="185" t="s">
        <v>130</v>
      </c>
      <c r="AU804" s="185" t="s">
        <v>82</v>
      </c>
      <c r="AY804" s="18" t="s">
        <v>128</v>
      </c>
      <c r="BE804" s="186">
        <f>IF(N804="základní",J804,0)</f>
        <v>0</v>
      </c>
      <c r="BF804" s="186">
        <f>IF(N804="snížená",J804,0)</f>
        <v>0</v>
      </c>
      <c r="BG804" s="186">
        <f>IF(N804="zákl. přenesená",J804,0)</f>
        <v>0</v>
      </c>
      <c r="BH804" s="186">
        <f>IF(N804="sníž. přenesená",J804,0)</f>
        <v>0</v>
      </c>
      <c r="BI804" s="186">
        <f>IF(N804="nulová",J804,0)</f>
        <v>0</v>
      </c>
      <c r="BJ804" s="18" t="s">
        <v>80</v>
      </c>
      <c r="BK804" s="186">
        <f>ROUND(I804*H804,2)</f>
        <v>0</v>
      </c>
      <c r="BL804" s="18" t="s">
        <v>230</v>
      </c>
      <c r="BM804" s="185" t="s">
        <v>1772</v>
      </c>
    </row>
    <row r="805" spans="1:65" s="2" customFormat="1" ht="10">
      <c r="A805" s="35"/>
      <c r="B805" s="36"/>
      <c r="C805" s="37"/>
      <c r="D805" s="187" t="s">
        <v>137</v>
      </c>
      <c r="E805" s="37"/>
      <c r="F805" s="188" t="s">
        <v>1773</v>
      </c>
      <c r="G805" s="37"/>
      <c r="H805" s="37"/>
      <c r="I805" s="189"/>
      <c r="J805" s="37"/>
      <c r="K805" s="37"/>
      <c r="L805" s="40"/>
      <c r="M805" s="190"/>
      <c r="N805" s="191"/>
      <c r="O805" s="65"/>
      <c r="P805" s="65"/>
      <c r="Q805" s="65"/>
      <c r="R805" s="65"/>
      <c r="S805" s="65"/>
      <c r="T805" s="66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T805" s="18" t="s">
        <v>137</v>
      </c>
      <c r="AU805" s="18" t="s">
        <v>82</v>
      </c>
    </row>
    <row r="806" spans="1:65" s="13" customFormat="1" ht="10">
      <c r="B806" s="192"/>
      <c r="C806" s="193"/>
      <c r="D806" s="194" t="s">
        <v>139</v>
      </c>
      <c r="E806" s="195" t="s">
        <v>19</v>
      </c>
      <c r="F806" s="196" t="s">
        <v>1312</v>
      </c>
      <c r="G806" s="193"/>
      <c r="H806" s="197">
        <v>29</v>
      </c>
      <c r="I806" s="198"/>
      <c r="J806" s="193"/>
      <c r="K806" s="193"/>
      <c r="L806" s="199"/>
      <c r="M806" s="200"/>
      <c r="N806" s="201"/>
      <c r="O806" s="201"/>
      <c r="P806" s="201"/>
      <c r="Q806" s="201"/>
      <c r="R806" s="201"/>
      <c r="S806" s="201"/>
      <c r="T806" s="202"/>
      <c r="AT806" s="203" t="s">
        <v>139</v>
      </c>
      <c r="AU806" s="203" t="s">
        <v>82</v>
      </c>
      <c r="AV806" s="13" t="s">
        <v>82</v>
      </c>
      <c r="AW806" s="13" t="s">
        <v>34</v>
      </c>
      <c r="AX806" s="13" t="s">
        <v>80</v>
      </c>
      <c r="AY806" s="203" t="s">
        <v>128</v>
      </c>
    </row>
    <row r="807" spans="1:65" s="2" customFormat="1" ht="16.5" customHeight="1">
      <c r="A807" s="35"/>
      <c r="B807" s="36"/>
      <c r="C807" s="215" t="s">
        <v>1774</v>
      </c>
      <c r="D807" s="215" t="s">
        <v>414</v>
      </c>
      <c r="E807" s="216" t="s">
        <v>1448</v>
      </c>
      <c r="F807" s="217" t="s">
        <v>1449</v>
      </c>
      <c r="G807" s="218" t="s">
        <v>133</v>
      </c>
      <c r="H807" s="219">
        <v>33.35</v>
      </c>
      <c r="I807" s="220"/>
      <c r="J807" s="221">
        <f>ROUND(I807*H807,2)</f>
        <v>0</v>
      </c>
      <c r="K807" s="217" t="s">
        <v>134</v>
      </c>
      <c r="L807" s="222"/>
      <c r="M807" s="223" t="s">
        <v>19</v>
      </c>
      <c r="N807" s="224" t="s">
        <v>43</v>
      </c>
      <c r="O807" s="65"/>
      <c r="P807" s="183">
        <f>O807*H807</f>
        <v>0</v>
      </c>
      <c r="Q807" s="183">
        <v>8.0000000000000007E-5</v>
      </c>
      <c r="R807" s="183">
        <f>Q807*H807</f>
        <v>2.6680000000000002E-3</v>
      </c>
      <c r="S807" s="183">
        <v>0</v>
      </c>
      <c r="T807" s="184">
        <f>S807*H807</f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185" t="s">
        <v>334</v>
      </c>
      <c r="AT807" s="185" t="s">
        <v>414</v>
      </c>
      <c r="AU807" s="185" t="s">
        <v>82</v>
      </c>
      <c r="AY807" s="18" t="s">
        <v>128</v>
      </c>
      <c r="BE807" s="186">
        <f>IF(N807="základní",J807,0)</f>
        <v>0</v>
      </c>
      <c r="BF807" s="186">
        <f>IF(N807="snížená",J807,0)</f>
        <v>0</v>
      </c>
      <c r="BG807" s="186">
        <f>IF(N807="zákl. přenesená",J807,0)</f>
        <v>0</v>
      </c>
      <c r="BH807" s="186">
        <f>IF(N807="sníž. přenesená",J807,0)</f>
        <v>0</v>
      </c>
      <c r="BI807" s="186">
        <f>IF(N807="nulová",J807,0)</f>
        <v>0</v>
      </c>
      <c r="BJ807" s="18" t="s">
        <v>80</v>
      </c>
      <c r="BK807" s="186">
        <f>ROUND(I807*H807,2)</f>
        <v>0</v>
      </c>
      <c r="BL807" s="18" t="s">
        <v>230</v>
      </c>
      <c r="BM807" s="185" t="s">
        <v>1775</v>
      </c>
    </row>
    <row r="808" spans="1:65" s="13" customFormat="1" ht="10">
      <c r="B808" s="192"/>
      <c r="C808" s="193"/>
      <c r="D808" s="194" t="s">
        <v>139</v>
      </c>
      <c r="E808" s="193"/>
      <c r="F808" s="196" t="s">
        <v>1776</v>
      </c>
      <c r="G808" s="193"/>
      <c r="H808" s="197">
        <v>33.35</v>
      </c>
      <c r="I808" s="198"/>
      <c r="J808" s="193"/>
      <c r="K808" s="193"/>
      <c r="L808" s="199"/>
      <c r="M808" s="200"/>
      <c r="N808" s="201"/>
      <c r="O808" s="201"/>
      <c r="P808" s="201"/>
      <c r="Q808" s="201"/>
      <c r="R808" s="201"/>
      <c r="S808" s="201"/>
      <c r="T808" s="202"/>
      <c r="AT808" s="203" t="s">
        <v>139</v>
      </c>
      <c r="AU808" s="203" t="s">
        <v>82</v>
      </c>
      <c r="AV808" s="13" t="s">
        <v>82</v>
      </c>
      <c r="AW808" s="13" t="s">
        <v>4</v>
      </c>
      <c r="AX808" s="13" t="s">
        <v>80</v>
      </c>
      <c r="AY808" s="203" t="s">
        <v>128</v>
      </c>
    </row>
    <row r="809" spans="1:65" s="2" customFormat="1" ht="21.75" customHeight="1">
      <c r="A809" s="35"/>
      <c r="B809" s="36"/>
      <c r="C809" s="174" t="s">
        <v>1777</v>
      </c>
      <c r="D809" s="174" t="s">
        <v>130</v>
      </c>
      <c r="E809" s="175" t="s">
        <v>1778</v>
      </c>
      <c r="F809" s="176" t="s">
        <v>1779</v>
      </c>
      <c r="G809" s="177" t="s">
        <v>133</v>
      </c>
      <c r="H809" s="178">
        <v>866</v>
      </c>
      <c r="I809" s="179"/>
      <c r="J809" s="180">
        <f>ROUND(I809*H809,2)</f>
        <v>0</v>
      </c>
      <c r="K809" s="176" t="s">
        <v>134</v>
      </c>
      <c r="L809" s="40"/>
      <c r="M809" s="181" t="s">
        <v>19</v>
      </c>
      <c r="N809" s="182" t="s">
        <v>43</v>
      </c>
      <c r="O809" s="65"/>
      <c r="P809" s="183">
        <f>O809*H809</f>
        <v>0</v>
      </c>
      <c r="Q809" s="183">
        <v>0</v>
      </c>
      <c r="R809" s="183">
        <f>Q809*H809</f>
        <v>0</v>
      </c>
      <c r="S809" s="183">
        <v>0</v>
      </c>
      <c r="T809" s="184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185" t="s">
        <v>230</v>
      </c>
      <c r="AT809" s="185" t="s">
        <v>130</v>
      </c>
      <c r="AU809" s="185" t="s">
        <v>82</v>
      </c>
      <c r="AY809" s="18" t="s">
        <v>128</v>
      </c>
      <c r="BE809" s="186">
        <f>IF(N809="základní",J809,0)</f>
        <v>0</v>
      </c>
      <c r="BF809" s="186">
        <f>IF(N809="snížená",J809,0)</f>
        <v>0</v>
      </c>
      <c r="BG809" s="186">
        <f>IF(N809="zákl. přenesená",J809,0)</f>
        <v>0</v>
      </c>
      <c r="BH809" s="186">
        <f>IF(N809="sníž. přenesená",J809,0)</f>
        <v>0</v>
      </c>
      <c r="BI809" s="186">
        <f>IF(N809="nulová",J809,0)</f>
        <v>0</v>
      </c>
      <c r="BJ809" s="18" t="s">
        <v>80</v>
      </c>
      <c r="BK809" s="186">
        <f>ROUND(I809*H809,2)</f>
        <v>0</v>
      </c>
      <c r="BL809" s="18" t="s">
        <v>230</v>
      </c>
      <c r="BM809" s="185" t="s">
        <v>1780</v>
      </c>
    </row>
    <row r="810" spans="1:65" s="2" customFormat="1" ht="10">
      <c r="A810" s="35"/>
      <c r="B810" s="36"/>
      <c r="C810" s="37"/>
      <c r="D810" s="187" t="s">
        <v>137</v>
      </c>
      <c r="E810" s="37"/>
      <c r="F810" s="188" t="s">
        <v>1781</v>
      </c>
      <c r="G810" s="37"/>
      <c r="H810" s="37"/>
      <c r="I810" s="189"/>
      <c r="J810" s="37"/>
      <c r="K810" s="37"/>
      <c r="L810" s="40"/>
      <c r="M810" s="190"/>
      <c r="N810" s="191"/>
      <c r="O810" s="65"/>
      <c r="P810" s="65"/>
      <c r="Q810" s="65"/>
      <c r="R810" s="65"/>
      <c r="S810" s="65"/>
      <c r="T810" s="66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T810" s="18" t="s">
        <v>137</v>
      </c>
      <c r="AU810" s="18" t="s">
        <v>82</v>
      </c>
    </row>
    <row r="811" spans="1:65" s="13" customFormat="1" ht="10">
      <c r="B811" s="192"/>
      <c r="C811" s="193"/>
      <c r="D811" s="194" t="s">
        <v>139</v>
      </c>
      <c r="E811" s="195" t="s">
        <v>19</v>
      </c>
      <c r="F811" s="196" t="s">
        <v>1323</v>
      </c>
      <c r="G811" s="193"/>
      <c r="H811" s="197">
        <v>790</v>
      </c>
      <c r="I811" s="198"/>
      <c r="J811" s="193"/>
      <c r="K811" s="193"/>
      <c r="L811" s="199"/>
      <c r="M811" s="200"/>
      <c r="N811" s="201"/>
      <c r="O811" s="201"/>
      <c r="P811" s="201"/>
      <c r="Q811" s="201"/>
      <c r="R811" s="201"/>
      <c r="S811" s="201"/>
      <c r="T811" s="202"/>
      <c r="AT811" s="203" t="s">
        <v>139</v>
      </c>
      <c r="AU811" s="203" t="s">
        <v>82</v>
      </c>
      <c r="AV811" s="13" t="s">
        <v>82</v>
      </c>
      <c r="AW811" s="13" t="s">
        <v>34</v>
      </c>
      <c r="AX811" s="13" t="s">
        <v>72</v>
      </c>
      <c r="AY811" s="203" t="s">
        <v>128</v>
      </c>
    </row>
    <row r="812" spans="1:65" s="13" customFormat="1" ht="10">
      <c r="B812" s="192"/>
      <c r="C812" s="193"/>
      <c r="D812" s="194" t="s">
        <v>139</v>
      </c>
      <c r="E812" s="195" t="s">
        <v>19</v>
      </c>
      <c r="F812" s="196" t="s">
        <v>1311</v>
      </c>
      <c r="G812" s="193"/>
      <c r="H812" s="197">
        <v>47</v>
      </c>
      <c r="I812" s="198"/>
      <c r="J812" s="193"/>
      <c r="K812" s="193"/>
      <c r="L812" s="199"/>
      <c r="M812" s="200"/>
      <c r="N812" s="201"/>
      <c r="O812" s="201"/>
      <c r="P812" s="201"/>
      <c r="Q812" s="201"/>
      <c r="R812" s="201"/>
      <c r="S812" s="201"/>
      <c r="T812" s="202"/>
      <c r="AT812" s="203" t="s">
        <v>139</v>
      </c>
      <c r="AU812" s="203" t="s">
        <v>82</v>
      </c>
      <c r="AV812" s="13" t="s">
        <v>82</v>
      </c>
      <c r="AW812" s="13" t="s">
        <v>34</v>
      </c>
      <c r="AX812" s="13" t="s">
        <v>72</v>
      </c>
      <c r="AY812" s="203" t="s">
        <v>128</v>
      </c>
    </row>
    <row r="813" spans="1:65" s="13" customFormat="1" ht="10">
      <c r="B813" s="192"/>
      <c r="C813" s="193"/>
      <c r="D813" s="194" t="s">
        <v>139</v>
      </c>
      <c r="E813" s="195" t="s">
        <v>19</v>
      </c>
      <c r="F813" s="196" t="s">
        <v>1312</v>
      </c>
      <c r="G813" s="193"/>
      <c r="H813" s="197">
        <v>29</v>
      </c>
      <c r="I813" s="198"/>
      <c r="J813" s="193"/>
      <c r="K813" s="193"/>
      <c r="L813" s="199"/>
      <c r="M813" s="200"/>
      <c r="N813" s="201"/>
      <c r="O813" s="201"/>
      <c r="P813" s="201"/>
      <c r="Q813" s="201"/>
      <c r="R813" s="201"/>
      <c r="S813" s="201"/>
      <c r="T813" s="202"/>
      <c r="AT813" s="203" t="s">
        <v>139</v>
      </c>
      <c r="AU813" s="203" t="s">
        <v>82</v>
      </c>
      <c r="AV813" s="13" t="s">
        <v>82</v>
      </c>
      <c r="AW813" s="13" t="s">
        <v>34</v>
      </c>
      <c r="AX813" s="13" t="s">
        <v>72</v>
      </c>
      <c r="AY813" s="203" t="s">
        <v>128</v>
      </c>
    </row>
    <row r="814" spans="1:65" s="14" customFormat="1" ht="10">
      <c r="B814" s="204"/>
      <c r="C814" s="205"/>
      <c r="D814" s="194" t="s">
        <v>139</v>
      </c>
      <c r="E814" s="206" t="s">
        <v>19</v>
      </c>
      <c r="F814" s="207" t="s">
        <v>153</v>
      </c>
      <c r="G814" s="205"/>
      <c r="H814" s="208">
        <v>866</v>
      </c>
      <c r="I814" s="209"/>
      <c r="J814" s="205"/>
      <c r="K814" s="205"/>
      <c r="L814" s="210"/>
      <c r="M814" s="211"/>
      <c r="N814" s="212"/>
      <c r="O814" s="212"/>
      <c r="P814" s="212"/>
      <c r="Q814" s="212"/>
      <c r="R814" s="212"/>
      <c r="S814" s="212"/>
      <c r="T814" s="213"/>
      <c r="AT814" s="214" t="s">
        <v>139</v>
      </c>
      <c r="AU814" s="214" t="s">
        <v>82</v>
      </c>
      <c r="AV814" s="14" t="s">
        <v>135</v>
      </c>
      <c r="AW814" s="14" t="s">
        <v>34</v>
      </c>
      <c r="AX814" s="14" t="s">
        <v>80</v>
      </c>
      <c r="AY814" s="214" t="s">
        <v>128</v>
      </c>
    </row>
    <row r="815" spans="1:65" s="2" customFormat="1" ht="24.15" customHeight="1">
      <c r="A815" s="35"/>
      <c r="B815" s="36"/>
      <c r="C815" s="215" t="s">
        <v>1782</v>
      </c>
      <c r="D815" s="215" t="s">
        <v>414</v>
      </c>
      <c r="E815" s="216" t="s">
        <v>1783</v>
      </c>
      <c r="F815" s="217" t="s">
        <v>1784</v>
      </c>
      <c r="G815" s="218" t="s">
        <v>133</v>
      </c>
      <c r="H815" s="219">
        <v>995.9</v>
      </c>
      <c r="I815" s="220"/>
      <c r="J815" s="221">
        <f>ROUND(I815*H815,2)</f>
        <v>0</v>
      </c>
      <c r="K815" s="217" t="s">
        <v>134</v>
      </c>
      <c r="L815" s="222"/>
      <c r="M815" s="223" t="s">
        <v>19</v>
      </c>
      <c r="N815" s="224" t="s">
        <v>43</v>
      </c>
      <c r="O815" s="65"/>
      <c r="P815" s="183">
        <f>O815*H815</f>
        <v>0</v>
      </c>
      <c r="Q815" s="183">
        <v>6.0000000000000002E-5</v>
      </c>
      <c r="R815" s="183">
        <f>Q815*H815</f>
        <v>5.9754000000000002E-2</v>
      </c>
      <c r="S815" s="183">
        <v>0</v>
      </c>
      <c r="T815" s="184">
        <f>S815*H815</f>
        <v>0</v>
      </c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R815" s="185" t="s">
        <v>334</v>
      </c>
      <c r="AT815" s="185" t="s">
        <v>414</v>
      </c>
      <c r="AU815" s="185" t="s">
        <v>82</v>
      </c>
      <c r="AY815" s="18" t="s">
        <v>128</v>
      </c>
      <c r="BE815" s="186">
        <f>IF(N815="základní",J815,0)</f>
        <v>0</v>
      </c>
      <c r="BF815" s="186">
        <f>IF(N815="snížená",J815,0)</f>
        <v>0</v>
      </c>
      <c r="BG815" s="186">
        <f>IF(N815="zákl. přenesená",J815,0)</f>
        <v>0</v>
      </c>
      <c r="BH815" s="186">
        <f>IF(N815="sníž. přenesená",J815,0)</f>
        <v>0</v>
      </c>
      <c r="BI815" s="186">
        <f>IF(N815="nulová",J815,0)</f>
        <v>0</v>
      </c>
      <c r="BJ815" s="18" t="s">
        <v>80</v>
      </c>
      <c r="BK815" s="186">
        <f>ROUND(I815*H815,2)</f>
        <v>0</v>
      </c>
      <c r="BL815" s="18" t="s">
        <v>230</v>
      </c>
      <c r="BM815" s="185" t="s">
        <v>1785</v>
      </c>
    </row>
    <row r="816" spans="1:65" s="13" customFormat="1" ht="10">
      <c r="B816" s="192"/>
      <c r="C816" s="193"/>
      <c r="D816" s="194" t="s">
        <v>139</v>
      </c>
      <c r="E816" s="193"/>
      <c r="F816" s="196" t="s">
        <v>1786</v>
      </c>
      <c r="G816" s="193"/>
      <c r="H816" s="197">
        <v>995.9</v>
      </c>
      <c r="I816" s="198"/>
      <c r="J816" s="193"/>
      <c r="K816" s="193"/>
      <c r="L816" s="199"/>
      <c r="M816" s="200"/>
      <c r="N816" s="201"/>
      <c r="O816" s="201"/>
      <c r="P816" s="201"/>
      <c r="Q816" s="201"/>
      <c r="R816" s="201"/>
      <c r="S816" s="201"/>
      <c r="T816" s="202"/>
      <c r="AT816" s="203" t="s">
        <v>139</v>
      </c>
      <c r="AU816" s="203" t="s">
        <v>82</v>
      </c>
      <c r="AV816" s="13" t="s">
        <v>82</v>
      </c>
      <c r="AW816" s="13" t="s">
        <v>4</v>
      </c>
      <c r="AX816" s="13" t="s">
        <v>80</v>
      </c>
      <c r="AY816" s="203" t="s">
        <v>128</v>
      </c>
    </row>
    <row r="817" spans="1:65" s="2" customFormat="1" ht="21.75" customHeight="1">
      <c r="A817" s="35"/>
      <c r="B817" s="36"/>
      <c r="C817" s="174" t="s">
        <v>1787</v>
      </c>
      <c r="D817" s="174" t="s">
        <v>130</v>
      </c>
      <c r="E817" s="175" t="s">
        <v>1788</v>
      </c>
      <c r="F817" s="176" t="s">
        <v>1789</v>
      </c>
      <c r="G817" s="177" t="s">
        <v>305</v>
      </c>
      <c r="H817" s="178">
        <v>29</v>
      </c>
      <c r="I817" s="179"/>
      <c r="J817" s="180">
        <f>ROUND(I817*H817,2)</f>
        <v>0</v>
      </c>
      <c r="K817" s="176" t="s">
        <v>134</v>
      </c>
      <c r="L817" s="40"/>
      <c r="M817" s="181" t="s">
        <v>19</v>
      </c>
      <c r="N817" s="182" t="s">
        <v>43</v>
      </c>
      <c r="O817" s="65"/>
      <c r="P817" s="183">
        <f>O817*H817</f>
        <v>0</v>
      </c>
      <c r="Q817" s="183">
        <v>6.0000000000000002E-5</v>
      </c>
      <c r="R817" s="183">
        <f>Q817*H817</f>
        <v>1.74E-3</v>
      </c>
      <c r="S817" s="183">
        <v>0</v>
      </c>
      <c r="T817" s="184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185" t="s">
        <v>230</v>
      </c>
      <c r="AT817" s="185" t="s">
        <v>130</v>
      </c>
      <c r="AU817" s="185" t="s">
        <v>82</v>
      </c>
      <c r="AY817" s="18" t="s">
        <v>128</v>
      </c>
      <c r="BE817" s="186">
        <f>IF(N817="základní",J817,0)</f>
        <v>0</v>
      </c>
      <c r="BF817" s="186">
        <f>IF(N817="snížená",J817,0)</f>
        <v>0</v>
      </c>
      <c r="BG817" s="186">
        <f>IF(N817="zákl. přenesená",J817,0)</f>
        <v>0</v>
      </c>
      <c r="BH817" s="186">
        <f>IF(N817="sníž. přenesená",J817,0)</f>
        <v>0</v>
      </c>
      <c r="BI817" s="186">
        <f>IF(N817="nulová",J817,0)</f>
        <v>0</v>
      </c>
      <c r="BJ817" s="18" t="s">
        <v>80</v>
      </c>
      <c r="BK817" s="186">
        <f>ROUND(I817*H817,2)</f>
        <v>0</v>
      </c>
      <c r="BL817" s="18" t="s">
        <v>230</v>
      </c>
      <c r="BM817" s="185" t="s">
        <v>1790</v>
      </c>
    </row>
    <row r="818" spans="1:65" s="2" customFormat="1" ht="10">
      <c r="A818" s="35"/>
      <c r="B818" s="36"/>
      <c r="C818" s="37"/>
      <c r="D818" s="187" t="s">
        <v>137</v>
      </c>
      <c r="E818" s="37"/>
      <c r="F818" s="188" t="s">
        <v>1791</v>
      </c>
      <c r="G818" s="37"/>
      <c r="H818" s="37"/>
      <c r="I818" s="189"/>
      <c r="J818" s="37"/>
      <c r="K818" s="37"/>
      <c r="L818" s="40"/>
      <c r="M818" s="190"/>
      <c r="N818" s="191"/>
      <c r="O818" s="65"/>
      <c r="P818" s="65"/>
      <c r="Q818" s="65"/>
      <c r="R818" s="65"/>
      <c r="S818" s="65"/>
      <c r="T818" s="66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T818" s="18" t="s">
        <v>137</v>
      </c>
      <c r="AU818" s="18" t="s">
        <v>82</v>
      </c>
    </row>
    <row r="819" spans="1:65" s="13" customFormat="1" ht="10">
      <c r="B819" s="192"/>
      <c r="C819" s="193"/>
      <c r="D819" s="194" t="s">
        <v>139</v>
      </c>
      <c r="E819" s="195" t="s">
        <v>19</v>
      </c>
      <c r="F819" s="196" t="s">
        <v>1707</v>
      </c>
      <c r="G819" s="193"/>
      <c r="H819" s="197">
        <v>5</v>
      </c>
      <c r="I819" s="198"/>
      <c r="J819" s="193"/>
      <c r="K819" s="193"/>
      <c r="L819" s="199"/>
      <c r="M819" s="200"/>
      <c r="N819" s="201"/>
      <c r="O819" s="201"/>
      <c r="P819" s="201"/>
      <c r="Q819" s="201"/>
      <c r="R819" s="201"/>
      <c r="S819" s="201"/>
      <c r="T819" s="202"/>
      <c r="AT819" s="203" t="s">
        <v>139</v>
      </c>
      <c r="AU819" s="203" t="s">
        <v>82</v>
      </c>
      <c r="AV819" s="13" t="s">
        <v>82</v>
      </c>
      <c r="AW819" s="13" t="s">
        <v>34</v>
      </c>
      <c r="AX819" s="13" t="s">
        <v>72</v>
      </c>
      <c r="AY819" s="203" t="s">
        <v>128</v>
      </c>
    </row>
    <row r="820" spans="1:65" s="13" customFormat="1" ht="10">
      <c r="B820" s="192"/>
      <c r="C820" s="193"/>
      <c r="D820" s="194" t="s">
        <v>139</v>
      </c>
      <c r="E820" s="195" t="s">
        <v>19</v>
      </c>
      <c r="F820" s="196" t="s">
        <v>1792</v>
      </c>
      <c r="G820" s="193"/>
      <c r="H820" s="197">
        <v>24</v>
      </c>
      <c r="I820" s="198"/>
      <c r="J820" s="193"/>
      <c r="K820" s="193"/>
      <c r="L820" s="199"/>
      <c r="M820" s="200"/>
      <c r="N820" s="201"/>
      <c r="O820" s="201"/>
      <c r="P820" s="201"/>
      <c r="Q820" s="201"/>
      <c r="R820" s="201"/>
      <c r="S820" s="201"/>
      <c r="T820" s="202"/>
      <c r="AT820" s="203" t="s">
        <v>139</v>
      </c>
      <c r="AU820" s="203" t="s">
        <v>82</v>
      </c>
      <c r="AV820" s="13" t="s">
        <v>82</v>
      </c>
      <c r="AW820" s="13" t="s">
        <v>34</v>
      </c>
      <c r="AX820" s="13" t="s">
        <v>72</v>
      </c>
      <c r="AY820" s="203" t="s">
        <v>128</v>
      </c>
    </row>
    <row r="821" spans="1:65" s="14" customFormat="1" ht="10">
      <c r="B821" s="204"/>
      <c r="C821" s="205"/>
      <c r="D821" s="194" t="s">
        <v>139</v>
      </c>
      <c r="E821" s="206" t="s">
        <v>19</v>
      </c>
      <c r="F821" s="207" t="s">
        <v>153</v>
      </c>
      <c r="G821" s="205"/>
      <c r="H821" s="208">
        <v>29</v>
      </c>
      <c r="I821" s="209"/>
      <c r="J821" s="205"/>
      <c r="K821" s="205"/>
      <c r="L821" s="210"/>
      <c r="M821" s="211"/>
      <c r="N821" s="212"/>
      <c r="O821" s="212"/>
      <c r="P821" s="212"/>
      <c r="Q821" s="212"/>
      <c r="R821" s="212"/>
      <c r="S821" s="212"/>
      <c r="T821" s="213"/>
      <c r="AT821" s="214" t="s">
        <v>139</v>
      </c>
      <c r="AU821" s="214" t="s">
        <v>82</v>
      </c>
      <c r="AV821" s="14" t="s">
        <v>135</v>
      </c>
      <c r="AW821" s="14" t="s">
        <v>34</v>
      </c>
      <c r="AX821" s="14" t="s">
        <v>80</v>
      </c>
      <c r="AY821" s="214" t="s">
        <v>128</v>
      </c>
    </row>
    <row r="822" spans="1:65" s="2" customFormat="1" ht="16.5" customHeight="1">
      <c r="A822" s="35"/>
      <c r="B822" s="36"/>
      <c r="C822" s="174" t="s">
        <v>1793</v>
      </c>
      <c r="D822" s="174" t="s">
        <v>130</v>
      </c>
      <c r="E822" s="175" t="s">
        <v>1794</v>
      </c>
      <c r="F822" s="176" t="s">
        <v>1795</v>
      </c>
      <c r="G822" s="177" t="s">
        <v>258</v>
      </c>
      <c r="H822" s="178">
        <v>96.4</v>
      </c>
      <c r="I822" s="179"/>
      <c r="J822" s="180">
        <f>ROUND(I822*H822,2)</f>
        <v>0</v>
      </c>
      <c r="K822" s="176" t="s">
        <v>134</v>
      </c>
      <c r="L822" s="40"/>
      <c r="M822" s="181" t="s">
        <v>19</v>
      </c>
      <c r="N822" s="182" t="s">
        <v>43</v>
      </c>
      <c r="O822" s="65"/>
      <c r="P822" s="183">
        <f>O822*H822</f>
        <v>0</v>
      </c>
      <c r="Q822" s="183">
        <v>0</v>
      </c>
      <c r="R822" s="183">
        <f>Q822*H822</f>
        <v>0</v>
      </c>
      <c r="S822" s="183">
        <v>0</v>
      </c>
      <c r="T822" s="184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185" t="s">
        <v>230</v>
      </c>
      <c r="AT822" s="185" t="s">
        <v>130</v>
      </c>
      <c r="AU822" s="185" t="s">
        <v>82</v>
      </c>
      <c r="AY822" s="18" t="s">
        <v>128</v>
      </c>
      <c r="BE822" s="186">
        <f>IF(N822="základní",J822,0)</f>
        <v>0</v>
      </c>
      <c r="BF822" s="186">
        <f>IF(N822="snížená",J822,0)</f>
        <v>0</v>
      </c>
      <c r="BG822" s="186">
        <f>IF(N822="zákl. přenesená",J822,0)</f>
        <v>0</v>
      </c>
      <c r="BH822" s="186">
        <f>IF(N822="sníž. přenesená",J822,0)</f>
        <v>0</v>
      </c>
      <c r="BI822" s="186">
        <f>IF(N822="nulová",J822,0)</f>
        <v>0</v>
      </c>
      <c r="BJ822" s="18" t="s">
        <v>80</v>
      </c>
      <c r="BK822" s="186">
        <f>ROUND(I822*H822,2)</f>
        <v>0</v>
      </c>
      <c r="BL822" s="18" t="s">
        <v>230</v>
      </c>
      <c r="BM822" s="185" t="s">
        <v>1796</v>
      </c>
    </row>
    <row r="823" spans="1:65" s="2" customFormat="1" ht="10">
      <c r="A823" s="35"/>
      <c r="B823" s="36"/>
      <c r="C823" s="37"/>
      <c r="D823" s="187" t="s">
        <v>137</v>
      </c>
      <c r="E823" s="37"/>
      <c r="F823" s="188" t="s">
        <v>1797</v>
      </c>
      <c r="G823" s="37"/>
      <c r="H823" s="37"/>
      <c r="I823" s="189"/>
      <c r="J823" s="37"/>
      <c r="K823" s="37"/>
      <c r="L823" s="40"/>
      <c r="M823" s="190"/>
      <c r="N823" s="191"/>
      <c r="O823" s="65"/>
      <c r="P823" s="65"/>
      <c r="Q823" s="65"/>
      <c r="R823" s="65"/>
      <c r="S823" s="65"/>
      <c r="T823" s="66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T823" s="18" t="s">
        <v>137</v>
      </c>
      <c r="AU823" s="18" t="s">
        <v>82</v>
      </c>
    </row>
    <row r="824" spans="1:65" s="13" customFormat="1" ht="10">
      <c r="B824" s="192"/>
      <c r="C824" s="193"/>
      <c r="D824" s="194" t="s">
        <v>139</v>
      </c>
      <c r="E824" s="195" t="s">
        <v>19</v>
      </c>
      <c r="F824" s="196" t="s">
        <v>1798</v>
      </c>
      <c r="G824" s="193"/>
      <c r="H824" s="197">
        <v>96.4</v>
      </c>
      <c r="I824" s="198"/>
      <c r="J824" s="193"/>
      <c r="K824" s="193"/>
      <c r="L824" s="199"/>
      <c r="M824" s="200"/>
      <c r="N824" s="201"/>
      <c r="O824" s="201"/>
      <c r="P824" s="201"/>
      <c r="Q824" s="201"/>
      <c r="R824" s="201"/>
      <c r="S824" s="201"/>
      <c r="T824" s="202"/>
      <c r="AT824" s="203" t="s">
        <v>139</v>
      </c>
      <c r="AU824" s="203" t="s">
        <v>82</v>
      </c>
      <c r="AV824" s="13" t="s">
        <v>82</v>
      </c>
      <c r="AW824" s="13" t="s">
        <v>34</v>
      </c>
      <c r="AX824" s="13" t="s">
        <v>80</v>
      </c>
      <c r="AY824" s="203" t="s">
        <v>128</v>
      </c>
    </row>
    <row r="825" spans="1:65" s="2" customFormat="1" ht="16.5" customHeight="1">
      <c r="A825" s="35"/>
      <c r="B825" s="36"/>
      <c r="C825" s="174" t="s">
        <v>1799</v>
      </c>
      <c r="D825" s="174" t="s">
        <v>130</v>
      </c>
      <c r="E825" s="175" t="s">
        <v>1800</v>
      </c>
      <c r="F825" s="176" t="s">
        <v>1801</v>
      </c>
      <c r="G825" s="177" t="s">
        <v>258</v>
      </c>
      <c r="H825" s="178">
        <v>108.65</v>
      </c>
      <c r="I825" s="179"/>
      <c r="J825" s="180">
        <f>ROUND(I825*H825,2)</f>
        <v>0</v>
      </c>
      <c r="K825" s="176" t="s">
        <v>134</v>
      </c>
      <c r="L825" s="40"/>
      <c r="M825" s="181" t="s">
        <v>19</v>
      </c>
      <c r="N825" s="182" t="s">
        <v>43</v>
      </c>
      <c r="O825" s="65"/>
      <c r="P825" s="183">
        <f>O825*H825</f>
        <v>0</v>
      </c>
      <c r="Q825" s="183">
        <v>0</v>
      </c>
      <c r="R825" s="183">
        <f>Q825*H825</f>
        <v>0</v>
      </c>
      <c r="S825" s="183">
        <v>0</v>
      </c>
      <c r="T825" s="184">
        <f>S825*H825</f>
        <v>0</v>
      </c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R825" s="185" t="s">
        <v>230</v>
      </c>
      <c r="AT825" s="185" t="s">
        <v>130</v>
      </c>
      <c r="AU825" s="185" t="s">
        <v>82</v>
      </c>
      <c r="AY825" s="18" t="s">
        <v>128</v>
      </c>
      <c r="BE825" s="186">
        <f>IF(N825="základní",J825,0)</f>
        <v>0</v>
      </c>
      <c r="BF825" s="186">
        <f>IF(N825="snížená",J825,0)</f>
        <v>0</v>
      </c>
      <c r="BG825" s="186">
        <f>IF(N825="zákl. přenesená",J825,0)</f>
        <v>0</v>
      </c>
      <c r="BH825" s="186">
        <f>IF(N825="sníž. přenesená",J825,0)</f>
        <v>0</v>
      </c>
      <c r="BI825" s="186">
        <f>IF(N825="nulová",J825,0)</f>
        <v>0</v>
      </c>
      <c r="BJ825" s="18" t="s">
        <v>80</v>
      </c>
      <c r="BK825" s="186">
        <f>ROUND(I825*H825,2)</f>
        <v>0</v>
      </c>
      <c r="BL825" s="18" t="s">
        <v>230</v>
      </c>
      <c r="BM825" s="185" t="s">
        <v>1802</v>
      </c>
    </row>
    <row r="826" spans="1:65" s="2" customFormat="1" ht="10">
      <c r="A826" s="35"/>
      <c r="B826" s="36"/>
      <c r="C826" s="37"/>
      <c r="D826" s="187" t="s">
        <v>137</v>
      </c>
      <c r="E826" s="37"/>
      <c r="F826" s="188" t="s">
        <v>1803</v>
      </c>
      <c r="G826" s="37"/>
      <c r="H826" s="37"/>
      <c r="I826" s="189"/>
      <c r="J826" s="37"/>
      <c r="K826" s="37"/>
      <c r="L826" s="40"/>
      <c r="M826" s="190"/>
      <c r="N826" s="191"/>
      <c r="O826" s="65"/>
      <c r="P826" s="65"/>
      <c r="Q826" s="65"/>
      <c r="R826" s="65"/>
      <c r="S826" s="65"/>
      <c r="T826" s="66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T826" s="18" t="s">
        <v>137</v>
      </c>
      <c r="AU826" s="18" t="s">
        <v>82</v>
      </c>
    </row>
    <row r="827" spans="1:65" s="13" customFormat="1" ht="10">
      <c r="B827" s="192"/>
      <c r="C827" s="193"/>
      <c r="D827" s="194" t="s">
        <v>139</v>
      </c>
      <c r="E827" s="195" t="s">
        <v>19</v>
      </c>
      <c r="F827" s="196" t="s">
        <v>1685</v>
      </c>
      <c r="G827" s="193"/>
      <c r="H827" s="197">
        <v>108.65</v>
      </c>
      <c r="I827" s="198"/>
      <c r="J827" s="193"/>
      <c r="K827" s="193"/>
      <c r="L827" s="199"/>
      <c r="M827" s="200"/>
      <c r="N827" s="201"/>
      <c r="O827" s="201"/>
      <c r="P827" s="201"/>
      <c r="Q827" s="201"/>
      <c r="R827" s="201"/>
      <c r="S827" s="201"/>
      <c r="T827" s="202"/>
      <c r="AT827" s="203" t="s">
        <v>139</v>
      </c>
      <c r="AU827" s="203" t="s">
        <v>82</v>
      </c>
      <c r="AV827" s="13" t="s">
        <v>82</v>
      </c>
      <c r="AW827" s="13" t="s">
        <v>34</v>
      </c>
      <c r="AX827" s="13" t="s">
        <v>80</v>
      </c>
      <c r="AY827" s="203" t="s">
        <v>128</v>
      </c>
    </row>
    <row r="828" spans="1:65" s="2" customFormat="1" ht="24.15" customHeight="1">
      <c r="A828" s="35"/>
      <c r="B828" s="36"/>
      <c r="C828" s="174" t="s">
        <v>1804</v>
      </c>
      <c r="D828" s="174" t="s">
        <v>130</v>
      </c>
      <c r="E828" s="175" t="s">
        <v>1805</v>
      </c>
      <c r="F828" s="176" t="s">
        <v>1806</v>
      </c>
      <c r="G828" s="177" t="s">
        <v>133</v>
      </c>
      <c r="H828" s="178">
        <v>790</v>
      </c>
      <c r="I828" s="179"/>
      <c r="J828" s="180">
        <f>ROUND(I828*H828,2)</f>
        <v>0</v>
      </c>
      <c r="K828" s="176" t="s">
        <v>134</v>
      </c>
      <c r="L828" s="40"/>
      <c r="M828" s="181" t="s">
        <v>19</v>
      </c>
      <c r="N828" s="182" t="s">
        <v>43</v>
      </c>
      <c r="O828" s="65"/>
      <c r="P828" s="183">
        <f>O828*H828</f>
        <v>0</v>
      </c>
      <c r="Q828" s="183">
        <v>0</v>
      </c>
      <c r="R828" s="183">
        <f>Q828*H828</f>
        <v>0</v>
      </c>
      <c r="S828" s="183">
        <v>0</v>
      </c>
      <c r="T828" s="184">
        <f>S828*H828</f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185" t="s">
        <v>230</v>
      </c>
      <c r="AT828" s="185" t="s">
        <v>130</v>
      </c>
      <c r="AU828" s="185" t="s">
        <v>82</v>
      </c>
      <c r="AY828" s="18" t="s">
        <v>128</v>
      </c>
      <c r="BE828" s="186">
        <f>IF(N828="základní",J828,0)</f>
        <v>0</v>
      </c>
      <c r="BF828" s="186">
        <f>IF(N828="snížená",J828,0)</f>
        <v>0</v>
      </c>
      <c r="BG828" s="186">
        <f>IF(N828="zákl. přenesená",J828,0)</f>
        <v>0</v>
      </c>
      <c r="BH828" s="186">
        <f>IF(N828="sníž. přenesená",J828,0)</f>
        <v>0</v>
      </c>
      <c r="BI828" s="186">
        <f>IF(N828="nulová",J828,0)</f>
        <v>0</v>
      </c>
      <c r="BJ828" s="18" t="s">
        <v>80</v>
      </c>
      <c r="BK828" s="186">
        <f>ROUND(I828*H828,2)</f>
        <v>0</v>
      </c>
      <c r="BL828" s="18" t="s">
        <v>230</v>
      </c>
      <c r="BM828" s="185" t="s">
        <v>1807</v>
      </c>
    </row>
    <row r="829" spans="1:65" s="2" customFormat="1" ht="10">
      <c r="A829" s="35"/>
      <c r="B829" s="36"/>
      <c r="C829" s="37"/>
      <c r="D829" s="187" t="s">
        <v>137</v>
      </c>
      <c r="E829" s="37"/>
      <c r="F829" s="188" t="s">
        <v>1808</v>
      </c>
      <c r="G829" s="37"/>
      <c r="H829" s="37"/>
      <c r="I829" s="189"/>
      <c r="J829" s="37"/>
      <c r="K829" s="37"/>
      <c r="L829" s="40"/>
      <c r="M829" s="190"/>
      <c r="N829" s="191"/>
      <c r="O829" s="65"/>
      <c r="P829" s="65"/>
      <c r="Q829" s="65"/>
      <c r="R829" s="65"/>
      <c r="S829" s="65"/>
      <c r="T829" s="66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T829" s="18" t="s">
        <v>137</v>
      </c>
      <c r="AU829" s="18" t="s">
        <v>82</v>
      </c>
    </row>
    <row r="830" spans="1:65" s="13" customFormat="1" ht="10">
      <c r="B830" s="192"/>
      <c r="C830" s="193"/>
      <c r="D830" s="194" t="s">
        <v>139</v>
      </c>
      <c r="E830" s="195" t="s">
        <v>19</v>
      </c>
      <c r="F830" s="196" t="s">
        <v>1323</v>
      </c>
      <c r="G830" s="193"/>
      <c r="H830" s="197">
        <v>790</v>
      </c>
      <c r="I830" s="198"/>
      <c r="J830" s="193"/>
      <c r="K830" s="193"/>
      <c r="L830" s="199"/>
      <c r="M830" s="200"/>
      <c r="N830" s="201"/>
      <c r="O830" s="201"/>
      <c r="P830" s="201"/>
      <c r="Q830" s="201"/>
      <c r="R830" s="201"/>
      <c r="S830" s="201"/>
      <c r="T830" s="202"/>
      <c r="AT830" s="203" t="s">
        <v>139</v>
      </c>
      <c r="AU830" s="203" t="s">
        <v>82</v>
      </c>
      <c r="AV830" s="13" t="s">
        <v>82</v>
      </c>
      <c r="AW830" s="13" t="s">
        <v>34</v>
      </c>
      <c r="AX830" s="13" t="s">
        <v>80</v>
      </c>
      <c r="AY830" s="203" t="s">
        <v>128</v>
      </c>
    </row>
    <row r="831" spans="1:65" s="2" customFormat="1" ht="24.15" customHeight="1">
      <c r="A831" s="35"/>
      <c r="B831" s="36"/>
      <c r="C831" s="174" t="s">
        <v>1809</v>
      </c>
      <c r="D831" s="174" t="s">
        <v>130</v>
      </c>
      <c r="E831" s="175" t="s">
        <v>1810</v>
      </c>
      <c r="F831" s="176" t="s">
        <v>1811</v>
      </c>
      <c r="G831" s="177" t="s">
        <v>426</v>
      </c>
      <c r="H831" s="225"/>
      <c r="I831" s="179"/>
      <c r="J831" s="180">
        <f>ROUND(I831*H831,2)</f>
        <v>0</v>
      </c>
      <c r="K831" s="176" t="s">
        <v>134</v>
      </c>
      <c r="L831" s="40"/>
      <c r="M831" s="181" t="s">
        <v>19</v>
      </c>
      <c r="N831" s="182" t="s">
        <v>43</v>
      </c>
      <c r="O831" s="65"/>
      <c r="P831" s="183">
        <f>O831*H831</f>
        <v>0</v>
      </c>
      <c r="Q831" s="183">
        <v>0</v>
      </c>
      <c r="R831" s="183">
        <f>Q831*H831</f>
        <v>0</v>
      </c>
      <c r="S831" s="183">
        <v>0</v>
      </c>
      <c r="T831" s="184">
        <f>S831*H831</f>
        <v>0</v>
      </c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R831" s="185" t="s">
        <v>230</v>
      </c>
      <c r="AT831" s="185" t="s">
        <v>130</v>
      </c>
      <c r="AU831" s="185" t="s">
        <v>82</v>
      </c>
      <c r="AY831" s="18" t="s">
        <v>128</v>
      </c>
      <c r="BE831" s="186">
        <f>IF(N831="základní",J831,0)</f>
        <v>0</v>
      </c>
      <c r="BF831" s="186">
        <f>IF(N831="snížená",J831,0)</f>
        <v>0</v>
      </c>
      <c r="BG831" s="186">
        <f>IF(N831="zákl. přenesená",J831,0)</f>
        <v>0</v>
      </c>
      <c r="BH831" s="186">
        <f>IF(N831="sníž. přenesená",J831,0)</f>
        <v>0</v>
      </c>
      <c r="BI831" s="186">
        <f>IF(N831="nulová",J831,0)</f>
        <v>0</v>
      </c>
      <c r="BJ831" s="18" t="s">
        <v>80</v>
      </c>
      <c r="BK831" s="186">
        <f>ROUND(I831*H831,2)</f>
        <v>0</v>
      </c>
      <c r="BL831" s="18" t="s">
        <v>230</v>
      </c>
      <c r="BM831" s="185" t="s">
        <v>1812</v>
      </c>
    </row>
    <row r="832" spans="1:65" s="2" customFormat="1" ht="10">
      <c r="A832" s="35"/>
      <c r="B832" s="36"/>
      <c r="C832" s="37"/>
      <c r="D832" s="187" t="s">
        <v>137</v>
      </c>
      <c r="E832" s="37"/>
      <c r="F832" s="188" t="s">
        <v>1813</v>
      </c>
      <c r="G832" s="37"/>
      <c r="H832" s="37"/>
      <c r="I832" s="189"/>
      <c r="J832" s="37"/>
      <c r="K832" s="37"/>
      <c r="L832" s="40"/>
      <c r="M832" s="190"/>
      <c r="N832" s="191"/>
      <c r="O832" s="65"/>
      <c r="P832" s="65"/>
      <c r="Q832" s="65"/>
      <c r="R832" s="65"/>
      <c r="S832" s="65"/>
      <c r="T832" s="66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T832" s="18" t="s">
        <v>137</v>
      </c>
      <c r="AU832" s="18" t="s">
        <v>82</v>
      </c>
    </row>
    <row r="833" spans="1:65" s="12" customFormat="1" ht="22.75" customHeight="1">
      <c r="B833" s="158"/>
      <c r="C833" s="159"/>
      <c r="D833" s="160" t="s">
        <v>71</v>
      </c>
      <c r="E833" s="172" t="s">
        <v>590</v>
      </c>
      <c r="F833" s="172" t="s">
        <v>591</v>
      </c>
      <c r="G833" s="159"/>
      <c r="H833" s="159"/>
      <c r="I833" s="162"/>
      <c r="J833" s="173">
        <f>BK833</f>
        <v>0</v>
      </c>
      <c r="K833" s="159"/>
      <c r="L833" s="164"/>
      <c r="M833" s="165"/>
      <c r="N833" s="166"/>
      <c r="O833" s="166"/>
      <c r="P833" s="167">
        <f>SUM(P834:P894)</f>
        <v>0</v>
      </c>
      <c r="Q833" s="166"/>
      <c r="R833" s="167">
        <f>SUM(R834:R894)</f>
        <v>0.48502000000000012</v>
      </c>
      <c r="S833" s="166"/>
      <c r="T833" s="168">
        <f>SUM(T834:T894)</f>
        <v>0</v>
      </c>
      <c r="AR833" s="169" t="s">
        <v>82</v>
      </c>
      <c r="AT833" s="170" t="s">
        <v>71</v>
      </c>
      <c r="AU833" s="170" t="s">
        <v>80</v>
      </c>
      <c r="AY833" s="169" t="s">
        <v>128</v>
      </c>
      <c r="BK833" s="171">
        <f>SUM(BK834:BK894)</f>
        <v>0</v>
      </c>
    </row>
    <row r="834" spans="1:65" s="2" customFormat="1" ht="16.5" customHeight="1">
      <c r="A834" s="35"/>
      <c r="B834" s="36"/>
      <c r="C834" s="174" t="s">
        <v>1814</v>
      </c>
      <c r="D834" s="174" t="s">
        <v>130</v>
      </c>
      <c r="E834" s="175" t="s">
        <v>1815</v>
      </c>
      <c r="F834" s="176" t="s">
        <v>1816</v>
      </c>
      <c r="G834" s="177" t="s">
        <v>305</v>
      </c>
      <c r="H834" s="178">
        <v>2</v>
      </c>
      <c r="I834" s="179"/>
      <c r="J834" s="180">
        <f>ROUND(I834*H834,2)</f>
        <v>0</v>
      </c>
      <c r="K834" s="176" t="s">
        <v>134</v>
      </c>
      <c r="L834" s="40"/>
      <c r="M834" s="181" t="s">
        <v>19</v>
      </c>
      <c r="N834" s="182" t="s">
        <v>43</v>
      </c>
      <c r="O834" s="65"/>
      <c r="P834" s="183">
        <f>O834*H834</f>
        <v>0</v>
      </c>
      <c r="Q834" s="183">
        <v>4.4000000000000002E-4</v>
      </c>
      <c r="R834" s="183">
        <f>Q834*H834</f>
        <v>8.8000000000000003E-4</v>
      </c>
      <c r="S834" s="183">
        <v>0</v>
      </c>
      <c r="T834" s="184">
        <f>S834*H834</f>
        <v>0</v>
      </c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R834" s="185" t="s">
        <v>230</v>
      </c>
      <c r="AT834" s="185" t="s">
        <v>130</v>
      </c>
      <c r="AU834" s="185" t="s">
        <v>82</v>
      </c>
      <c r="AY834" s="18" t="s">
        <v>128</v>
      </c>
      <c r="BE834" s="186">
        <f>IF(N834="základní",J834,0)</f>
        <v>0</v>
      </c>
      <c r="BF834" s="186">
        <f>IF(N834="snížená",J834,0)</f>
        <v>0</v>
      </c>
      <c r="BG834" s="186">
        <f>IF(N834="zákl. přenesená",J834,0)</f>
        <v>0</v>
      </c>
      <c r="BH834" s="186">
        <f>IF(N834="sníž. přenesená",J834,0)</f>
        <v>0</v>
      </c>
      <c r="BI834" s="186">
        <f>IF(N834="nulová",J834,0)</f>
        <v>0</v>
      </c>
      <c r="BJ834" s="18" t="s">
        <v>80</v>
      </c>
      <c r="BK834" s="186">
        <f>ROUND(I834*H834,2)</f>
        <v>0</v>
      </c>
      <c r="BL834" s="18" t="s">
        <v>230</v>
      </c>
      <c r="BM834" s="185" t="s">
        <v>1817</v>
      </c>
    </row>
    <row r="835" spans="1:65" s="2" customFormat="1" ht="10">
      <c r="A835" s="35"/>
      <c r="B835" s="36"/>
      <c r="C835" s="37"/>
      <c r="D835" s="187" t="s">
        <v>137</v>
      </c>
      <c r="E835" s="37"/>
      <c r="F835" s="188" t="s">
        <v>1818</v>
      </c>
      <c r="G835" s="37"/>
      <c r="H835" s="37"/>
      <c r="I835" s="189"/>
      <c r="J835" s="37"/>
      <c r="K835" s="37"/>
      <c r="L835" s="40"/>
      <c r="M835" s="190"/>
      <c r="N835" s="191"/>
      <c r="O835" s="65"/>
      <c r="P835" s="65"/>
      <c r="Q835" s="65"/>
      <c r="R835" s="65"/>
      <c r="S835" s="65"/>
      <c r="T835" s="66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T835" s="18" t="s">
        <v>137</v>
      </c>
      <c r="AU835" s="18" t="s">
        <v>82</v>
      </c>
    </row>
    <row r="836" spans="1:65" s="13" customFormat="1" ht="10">
      <c r="B836" s="192"/>
      <c r="C836" s="193"/>
      <c r="D836" s="194" t="s">
        <v>139</v>
      </c>
      <c r="E836" s="195" t="s">
        <v>19</v>
      </c>
      <c r="F836" s="196" t="s">
        <v>1819</v>
      </c>
      <c r="G836" s="193"/>
      <c r="H836" s="197">
        <v>2</v>
      </c>
      <c r="I836" s="198"/>
      <c r="J836" s="193"/>
      <c r="K836" s="193"/>
      <c r="L836" s="199"/>
      <c r="M836" s="200"/>
      <c r="N836" s="201"/>
      <c r="O836" s="201"/>
      <c r="P836" s="201"/>
      <c r="Q836" s="201"/>
      <c r="R836" s="201"/>
      <c r="S836" s="201"/>
      <c r="T836" s="202"/>
      <c r="AT836" s="203" t="s">
        <v>139</v>
      </c>
      <c r="AU836" s="203" t="s">
        <v>82</v>
      </c>
      <c r="AV836" s="13" t="s">
        <v>82</v>
      </c>
      <c r="AW836" s="13" t="s">
        <v>34</v>
      </c>
      <c r="AX836" s="13" t="s">
        <v>80</v>
      </c>
      <c r="AY836" s="203" t="s">
        <v>128</v>
      </c>
    </row>
    <row r="837" spans="1:65" s="2" customFormat="1" ht="16.5" customHeight="1">
      <c r="A837" s="35"/>
      <c r="B837" s="36"/>
      <c r="C837" s="215" t="s">
        <v>1820</v>
      </c>
      <c r="D837" s="215" t="s">
        <v>414</v>
      </c>
      <c r="E837" s="216" t="s">
        <v>1821</v>
      </c>
      <c r="F837" s="217" t="s">
        <v>1822</v>
      </c>
      <c r="G837" s="218" t="s">
        <v>305</v>
      </c>
      <c r="H837" s="219">
        <v>2</v>
      </c>
      <c r="I837" s="220"/>
      <c r="J837" s="221">
        <f>ROUND(I837*H837,2)</f>
        <v>0</v>
      </c>
      <c r="K837" s="217" t="s">
        <v>19</v>
      </c>
      <c r="L837" s="222"/>
      <c r="M837" s="223" t="s">
        <v>19</v>
      </c>
      <c r="N837" s="224" t="s">
        <v>43</v>
      </c>
      <c r="O837" s="65"/>
      <c r="P837" s="183">
        <f>O837*H837</f>
        <v>0</v>
      </c>
      <c r="Q837" s="183">
        <v>5.1999999999999998E-2</v>
      </c>
      <c r="R837" s="183">
        <f>Q837*H837</f>
        <v>0.104</v>
      </c>
      <c r="S837" s="183">
        <v>0</v>
      </c>
      <c r="T837" s="184">
        <f>S837*H837</f>
        <v>0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185" t="s">
        <v>334</v>
      </c>
      <c r="AT837" s="185" t="s">
        <v>414</v>
      </c>
      <c r="AU837" s="185" t="s">
        <v>82</v>
      </c>
      <c r="AY837" s="18" t="s">
        <v>128</v>
      </c>
      <c r="BE837" s="186">
        <f>IF(N837="základní",J837,0)</f>
        <v>0</v>
      </c>
      <c r="BF837" s="186">
        <f>IF(N837="snížená",J837,0)</f>
        <v>0</v>
      </c>
      <c r="BG837" s="186">
        <f>IF(N837="zákl. přenesená",J837,0)</f>
        <v>0</v>
      </c>
      <c r="BH837" s="186">
        <f>IF(N837="sníž. přenesená",J837,0)</f>
        <v>0</v>
      </c>
      <c r="BI837" s="186">
        <f>IF(N837="nulová",J837,0)</f>
        <v>0</v>
      </c>
      <c r="BJ837" s="18" t="s">
        <v>80</v>
      </c>
      <c r="BK837" s="186">
        <f>ROUND(I837*H837,2)</f>
        <v>0</v>
      </c>
      <c r="BL837" s="18" t="s">
        <v>230</v>
      </c>
      <c r="BM837" s="185" t="s">
        <v>1823</v>
      </c>
    </row>
    <row r="838" spans="1:65" s="2" customFormat="1" ht="33" customHeight="1">
      <c r="A838" s="35"/>
      <c r="B838" s="36"/>
      <c r="C838" s="174" t="s">
        <v>1824</v>
      </c>
      <c r="D838" s="174" t="s">
        <v>130</v>
      </c>
      <c r="E838" s="175" t="s">
        <v>1825</v>
      </c>
      <c r="F838" s="176" t="s">
        <v>1826</v>
      </c>
      <c r="G838" s="177" t="s">
        <v>305</v>
      </c>
      <c r="H838" s="178">
        <v>2</v>
      </c>
      <c r="I838" s="179"/>
      <c r="J838" s="180">
        <f>ROUND(I838*H838,2)</f>
        <v>0</v>
      </c>
      <c r="K838" s="176" t="s">
        <v>134</v>
      </c>
      <c r="L838" s="40"/>
      <c r="M838" s="181" t="s">
        <v>19</v>
      </c>
      <c r="N838" s="182" t="s">
        <v>43</v>
      </c>
      <c r="O838" s="65"/>
      <c r="P838" s="183">
        <f>O838*H838</f>
        <v>0</v>
      </c>
      <c r="Q838" s="183">
        <v>2.7E-4</v>
      </c>
      <c r="R838" s="183">
        <f>Q838*H838</f>
        <v>5.4000000000000001E-4</v>
      </c>
      <c r="S838" s="183">
        <v>0</v>
      </c>
      <c r="T838" s="184">
        <f>S838*H838</f>
        <v>0</v>
      </c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R838" s="185" t="s">
        <v>230</v>
      </c>
      <c r="AT838" s="185" t="s">
        <v>130</v>
      </c>
      <c r="AU838" s="185" t="s">
        <v>82</v>
      </c>
      <c r="AY838" s="18" t="s">
        <v>128</v>
      </c>
      <c r="BE838" s="186">
        <f>IF(N838="základní",J838,0)</f>
        <v>0</v>
      </c>
      <c r="BF838" s="186">
        <f>IF(N838="snížená",J838,0)</f>
        <v>0</v>
      </c>
      <c r="BG838" s="186">
        <f>IF(N838="zákl. přenesená",J838,0)</f>
        <v>0</v>
      </c>
      <c r="BH838" s="186">
        <f>IF(N838="sníž. přenesená",J838,0)</f>
        <v>0</v>
      </c>
      <c r="BI838" s="186">
        <f>IF(N838="nulová",J838,0)</f>
        <v>0</v>
      </c>
      <c r="BJ838" s="18" t="s">
        <v>80</v>
      </c>
      <c r="BK838" s="186">
        <f>ROUND(I838*H838,2)</f>
        <v>0</v>
      </c>
      <c r="BL838" s="18" t="s">
        <v>230</v>
      </c>
      <c r="BM838" s="185" t="s">
        <v>1827</v>
      </c>
    </row>
    <row r="839" spans="1:65" s="2" customFormat="1" ht="10">
      <c r="A839" s="35"/>
      <c r="B839" s="36"/>
      <c r="C839" s="37"/>
      <c r="D839" s="187" t="s">
        <v>137</v>
      </c>
      <c r="E839" s="37"/>
      <c r="F839" s="188" t="s">
        <v>1828</v>
      </c>
      <c r="G839" s="37"/>
      <c r="H839" s="37"/>
      <c r="I839" s="189"/>
      <c r="J839" s="37"/>
      <c r="K839" s="37"/>
      <c r="L839" s="40"/>
      <c r="M839" s="190"/>
      <c r="N839" s="191"/>
      <c r="O839" s="65"/>
      <c r="P839" s="65"/>
      <c r="Q839" s="65"/>
      <c r="R839" s="65"/>
      <c r="S839" s="65"/>
      <c r="T839" s="66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T839" s="18" t="s">
        <v>137</v>
      </c>
      <c r="AU839" s="18" t="s">
        <v>82</v>
      </c>
    </row>
    <row r="840" spans="1:65" s="13" customFormat="1" ht="10">
      <c r="B840" s="192"/>
      <c r="C840" s="193"/>
      <c r="D840" s="194" t="s">
        <v>139</v>
      </c>
      <c r="E840" s="195" t="s">
        <v>19</v>
      </c>
      <c r="F840" s="196" t="s">
        <v>1829</v>
      </c>
      <c r="G840" s="193"/>
      <c r="H840" s="197">
        <v>2</v>
      </c>
      <c r="I840" s="198"/>
      <c r="J840" s="193"/>
      <c r="K840" s="193"/>
      <c r="L840" s="199"/>
      <c r="M840" s="200"/>
      <c r="N840" s="201"/>
      <c r="O840" s="201"/>
      <c r="P840" s="201"/>
      <c r="Q840" s="201"/>
      <c r="R840" s="201"/>
      <c r="S840" s="201"/>
      <c r="T840" s="202"/>
      <c r="AT840" s="203" t="s">
        <v>139</v>
      </c>
      <c r="AU840" s="203" t="s">
        <v>82</v>
      </c>
      <c r="AV840" s="13" t="s">
        <v>82</v>
      </c>
      <c r="AW840" s="13" t="s">
        <v>34</v>
      </c>
      <c r="AX840" s="13" t="s">
        <v>80</v>
      </c>
      <c r="AY840" s="203" t="s">
        <v>128</v>
      </c>
    </row>
    <row r="841" spans="1:65" s="2" customFormat="1" ht="21.75" customHeight="1">
      <c r="A841" s="35"/>
      <c r="B841" s="36"/>
      <c r="C841" s="215" t="s">
        <v>1830</v>
      </c>
      <c r="D841" s="215" t="s">
        <v>414</v>
      </c>
      <c r="E841" s="216" t="s">
        <v>1831</v>
      </c>
      <c r="F841" s="217" t="s">
        <v>1832</v>
      </c>
      <c r="G841" s="218" t="s">
        <v>305</v>
      </c>
      <c r="H841" s="219">
        <v>2</v>
      </c>
      <c r="I841" s="220"/>
      <c r="J841" s="221">
        <f>ROUND(I841*H841,2)</f>
        <v>0</v>
      </c>
      <c r="K841" s="217" t="s">
        <v>134</v>
      </c>
      <c r="L841" s="222"/>
      <c r="M841" s="223" t="s">
        <v>19</v>
      </c>
      <c r="N841" s="224" t="s">
        <v>43</v>
      </c>
      <c r="O841" s="65"/>
      <c r="P841" s="183">
        <f>O841*H841</f>
        <v>0</v>
      </c>
      <c r="Q841" s="183">
        <v>0</v>
      </c>
      <c r="R841" s="183">
        <f>Q841*H841</f>
        <v>0</v>
      </c>
      <c r="S841" s="183">
        <v>0</v>
      </c>
      <c r="T841" s="184">
        <f>S841*H841</f>
        <v>0</v>
      </c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R841" s="185" t="s">
        <v>334</v>
      </c>
      <c r="AT841" s="185" t="s">
        <v>414</v>
      </c>
      <c r="AU841" s="185" t="s">
        <v>82</v>
      </c>
      <c r="AY841" s="18" t="s">
        <v>128</v>
      </c>
      <c r="BE841" s="186">
        <f>IF(N841="základní",J841,0)</f>
        <v>0</v>
      </c>
      <c r="BF841" s="186">
        <f>IF(N841="snížená",J841,0)</f>
        <v>0</v>
      </c>
      <c r="BG841" s="186">
        <f>IF(N841="zákl. přenesená",J841,0)</f>
        <v>0</v>
      </c>
      <c r="BH841" s="186">
        <f>IF(N841="sníž. přenesená",J841,0)</f>
        <v>0</v>
      </c>
      <c r="BI841" s="186">
        <f>IF(N841="nulová",J841,0)</f>
        <v>0</v>
      </c>
      <c r="BJ841" s="18" t="s">
        <v>80</v>
      </c>
      <c r="BK841" s="186">
        <f>ROUND(I841*H841,2)</f>
        <v>0</v>
      </c>
      <c r="BL841" s="18" t="s">
        <v>230</v>
      </c>
      <c r="BM841" s="185" t="s">
        <v>1833</v>
      </c>
    </row>
    <row r="842" spans="1:65" s="2" customFormat="1" ht="16.5" customHeight="1">
      <c r="A842" s="35"/>
      <c r="B842" s="36"/>
      <c r="C842" s="215" t="s">
        <v>1834</v>
      </c>
      <c r="D842" s="215" t="s">
        <v>414</v>
      </c>
      <c r="E842" s="216" t="s">
        <v>1835</v>
      </c>
      <c r="F842" s="217" t="s">
        <v>1836</v>
      </c>
      <c r="G842" s="218" t="s">
        <v>305</v>
      </c>
      <c r="H842" s="219">
        <v>2</v>
      </c>
      <c r="I842" s="220"/>
      <c r="J842" s="221">
        <f>ROUND(I842*H842,2)</f>
        <v>0</v>
      </c>
      <c r="K842" s="217" t="s">
        <v>134</v>
      </c>
      <c r="L842" s="222"/>
      <c r="M842" s="223" t="s">
        <v>19</v>
      </c>
      <c r="N842" s="224" t="s">
        <v>43</v>
      </c>
      <c r="O842" s="65"/>
      <c r="P842" s="183">
        <f>O842*H842</f>
        <v>0</v>
      </c>
      <c r="Q842" s="183">
        <v>6.7000000000000002E-3</v>
      </c>
      <c r="R842" s="183">
        <f>Q842*H842</f>
        <v>1.34E-2</v>
      </c>
      <c r="S842" s="183">
        <v>0</v>
      </c>
      <c r="T842" s="184">
        <f>S842*H842</f>
        <v>0</v>
      </c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R842" s="185" t="s">
        <v>334</v>
      </c>
      <c r="AT842" s="185" t="s">
        <v>414</v>
      </c>
      <c r="AU842" s="185" t="s">
        <v>82</v>
      </c>
      <c r="AY842" s="18" t="s">
        <v>128</v>
      </c>
      <c r="BE842" s="186">
        <f>IF(N842="základní",J842,0)</f>
        <v>0</v>
      </c>
      <c r="BF842" s="186">
        <f>IF(N842="snížená",J842,0)</f>
        <v>0</v>
      </c>
      <c r="BG842" s="186">
        <f>IF(N842="zákl. přenesená",J842,0)</f>
        <v>0</v>
      </c>
      <c r="BH842" s="186">
        <f>IF(N842="sníž. přenesená",J842,0)</f>
        <v>0</v>
      </c>
      <c r="BI842" s="186">
        <f>IF(N842="nulová",J842,0)</f>
        <v>0</v>
      </c>
      <c r="BJ842" s="18" t="s">
        <v>80</v>
      </c>
      <c r="BK842" s="186">
        <f>ROUND(I842*H842,2)</f>
        <v>0</v>
      </c>
      <c r="BL842" s="18" t="s">
        <v>230</v>
      </c>
      <c r="BM842" s="185" t="s">
        <v>1837</v>
      </c>
    </row>
    <row r="843" spans="1:65" s="2" customFormat="1" ht="16.5" customHeight="1">
      <c r="A843" s="35"/>
      <c r="B843" s="36"/>
      <c r="C843" s="215" t="s">
        <v>1838</v>
      </c>
      <c r="D843" s="215" t="s">
        <v>414</v>
      </c>
      <c r="E843" s="216" t="s">
        <v>1839</v>
      </c>
      <c r="F843" s="217" t="s">
        <v>1840</v>
      </c>
      <c r="G843" s="218" t="s">
        <v>305</v>
      </c>
      <c r="H843" s="219">
        <v>2</v>
      </c>
      <c r="I843" s="220"/>
      <c r="J843" s="221">
        <f>ROUND(I843*H843,2)</f>
        <v>0</v>
      </c>
      <c r="K843" s="217" t="s">
        <v>134</v>
      </c>
      <c r="L843" s="222"/>
      <c r="M843" s="223" t="s">
        <v>19</v>
      </c>
      <c r="N843" s="224" t="s">
        <v>43</v>
      </c>
      <c r="O843" s="65"/>
      <c r="P843" s="183">
        <f>O843*H843</f>
        <v>0</v>
      </c>
      <c r="Q843" s="183">
        <v>7.7999999999999999E-4</v>
      </c>
      <c r="R843" s="183">
        <f>Q843*H843</f>
        <v>1.56E-3</v>
      </c>
      <c r="S843" s="183">
        <v>0</v>
      </c>
      <c r="T843" s="184">
        <f>S843*H843</f>
        <v>0</v>
      </c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R843" s="185" t="s">
        <v>334</v>
      </c>
      <c r="AT843" s="185" t="s">
        <v>414</v>
      </c>
      <c r="AU843" s="185" t="s">
        <v>82</v>
      </c>
      <c r="AY843" s="18" t="s">
        <v>128</v>
      </c>
      <c r="BE843" s="186">
        <f>IF(N843="základní",J843,0)</f>
        <v>0</v>
      </c>
      <c r="BF843" s="186">
        <f>IF(N843="snížená",J843,0)</f>
        <v>0</v>
      </c>
      <c r="BG843" s="186">
        <f>IF(N843="zákl. přenesená",J843,0)</f>
        <v>0</v>
      </c>
      <c r="BH843" s="186">
        <f>IF(N843="sníž. přenesená",J843,0)</f>
        <v>0</v>
      </c>
      <c r="BI843" s="186">
        <f>IF(N843="nulová",J843,0)</f>
        <v>0</v>
      </c>
      <c r="BJ843" s="18" t="s">
        <v>80</v>
      </c>
      <c r="BK843" s="186">
        <f>ROUND(I843*H843,2)</f>
        <v>0</v>
      </c>
      <c r="BL843" s="18" t="s">
        <v>230</v>
      </c>
      <c r="BM843" s="185" t="s">
        <v>1841</v>
      </c>
    </row>
    <row r="844" spans="1:65" s="2" customFormat="1" ht="16.5" customHeight="1">
      <c r="A844" s="35"/>
      <c r="B844" s="36"/>
      <c r="C844" s="215" t="s">
        <v>1842</v>
      </c>
      <c r="D844" s="215" t="s">
        <v>414</v>
      </c>
      <c r="E844" s="216" t="s">
        <v>1843</v>
      </c>
      <c r="F844" s="217" t="s">
        <v>1844</v>
      </c>
      <c r="G844" s="218" t="s">
        <v>1737</v>
      </c>
      <c r="H844" s="219">
        <v>2</v>
      </c>
      <c r="I844" s="220"/>
      <c r="J844" s="221">
        <f>ROUND(I844*H844,2)</f>
        <v>0</v>
      </c>
      <c r="K844" s="217" t="s">
        <v>134</v>
      </c>
      <c r="L844" s="222"/>
      <c r="M844" s="223" t="s">
        <v>19</v>
      </c>
      <c r="N844" s="224" t="s">
        <v>43</v>
      </c>
      <c r="O844" s="65"/>
      <c r="P844" s="183">
        <f>O844*H844</f>
        <v>0</v>
      </c>
      <c r="Q844" s="183">
        <v>3.3E-3</v>
      </c>
      <c r="R844" s="183">
        <f>Q844*H844</f>
        <v>6.6E-3</v>
      </c>
      <c r="S844" s="183">
        <v>0</v>
      </c>
      <c r="T844" s="184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185" t="s">
        <v>334</v>
      </c>
      <c r="AT844" s="185" t="s">
        <v>414</v>
      </c>
      <c r="AU844" s="185" t="s">
        <v>82</v>
      </c>
      <c r="AY844" s="18" t="s">
        <v>128</v>
      </c>
      <c r="BE844" s="186">
        <f>IF(N844="základní",J844,0)</f>
        <v>0</v>
      </c>
      <c r="BF844" s="186">
        <f>IF(N844="snížená",J844,0)</f>
        <v>0</v>
      </c>
      <c r="BG844" s="186">
        <f>IF(N844="zákl. přenesená",J844,0)</f>
        <v>0</v>
      </c>
      <c r="BH844" s="186">
        <f>IF(N844="sníž. přenesená",J844,0)</f>
        <v>0</v>
      </c>
      <c r="BI844" s="186">
        <f>IF(N844="nulová",J844,0)</f>
        <v>0</v>
      </c>
      <c r="BJ844" s="18" t="s">
        <v>80</v>
      </c>
      <c r="BK844" s="186">
        <f>ROUND(I844*H844,2)</f>
        <v>0</v>
      </c>
      <c r="BL844" s="18" t="s">
        <v>230</v>
      </c>
      <c r="BM844" s="185" t="s">
        <v>1845</v>
      </c>
    </row>
    <row r="845" spans="1:65" s="2" customFormat="1" ht="33" customHeight="1">
      <c r="A845" s="35"/>
      <c r="B845" s="36"/>
      <c r="C845" s="174" t="s">
        <v>1846</v>
      </c>
      <c r="D845" s="174" t="s">
        <v>130</v>
      </c>
      <c r="E845" s="175" t="s">
        <v>1847</v>
      </c>
      <c r="F845" s="176" t="s">
        <v>1848</v>
      </c>
      <c r="G845" s="177" t="s">
        <v>305</v>
      </c>
      <c r="H845" s="178">
        <v>2</v>
      </c>
      <c r="I845" s="179"/>
      <c r="J845" s="180">
        <f>ROUND(I845*H845,2)</f>
        <v>0</v>
      </c>
      <c r="K845" s="176" t="s">
        <v>134</v>
      </c>
      <c r="L845" s="40"/>
      <c r="M845" s="181" t="s">
        <v>19</v>
      </c>
      <c r="N845" s="182" t="s">
        <v>43</v>
      </c>
      <c r="O845" s="65"/>
      <c r="P845" s="183">
        <f>O845*H845</f>
        <v>0</v>
      </c>
      <c r="Q845" s="183">
        <v>2.7E-4</v>
      </c>
      <c r="R845" s="183">
        <f>Q845*H845</f>
        <v>5.4000000000000001E-4</v>
      </c>
      <c r="S845" s="183">
        <v>0</v>
      </c>
      <c r="T845" s="184">
        <f>S845*H845</f>
        <v>0</v>
      </c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R845" s="185" t="s">
        <v>230</v>
      </c>
      <c r="AT845" s="185" t="s">
        <v>130</v>
      </c>
      <c r="AU845" s="185" t="s">
        <v>82</v>
      </c>
      <c r="AY845" s="18" t="s">
        <v>128</v>
      </c>
      <c r="BE845" s="186">
        <f>IF(N845="základní",J845,0)</f>
        <v>0</v>
      </c>
      <c r="BF845" s="186">
        <f>IF(N845="snížená",J845,0)</f>
        <v>0</v>
      </c>
      <c r="BG845" s="186">
        <f>IF(N845="zákl. přenesená",J845,0)</f>
        <v>0</v>
      </c>
      <c r="BH845" s="186">
        <f>IF(N845="sníž. přenesená",J845,0)</f>
        <v>0</v>
      </c>
      <c r="BI845" s="186">
        <f>IF(N845="nulová",J845,0)</f>
        <v>0</v>
      </c>
      <c r="BJ845" s="18" t="s">
        <v>80</v>
      </c>
      <c r="BK845" s="186">
        <f>ROUND(I845*H845,2)</f>
        <v>0</v>
      </c>
      <c r="BL845" s="18" t="s">
        <v>230</v>
      </c>
      <c r="BM845" s="185" t="s">
        <v>1849</v>
      </c>
    </row>
    <row r="846" spans="1:65" s="2" customFormat="1" ht="10">
      <c r="A846" s="35"/>
      <c r="B846" s="36"/>
      <c r="C846" s="37"/>
      <c r="D846" s="187" t="s">
        <v>137</v>
      </c>
      <c r="E846" s="37"/>
      <c r="F846" s="188" t="s">
        <v>1850</v>
      </c>
      <c r="G846" s="37"/>
      <c r="H846" s="37"/>
      <c r="I846" s="189"/>
      <c r="J846" s="37"/>
      <c r="K846" s="37"/>
      <c r="L846" s="40"/>
      <c r="M846" s="190"/>
      <c r="N846" s="191"/>
      <c r="O846" s="65"/>
      <c r="P846" s="65"/>
      <c r="Q846" s="65"/>
      <c r="R846" s="65"/>
      <c r="S846" s="65"/>
      <c r="T846" s="66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T846" s="18" t="s">
        <v>137</v>
      </c>
      <c r="AU846" s="18" t="s">
        <v>82</v>
      </c>
    </row>
    <row r="847" spans="1:65" s="13" customFormat="1" ht="10">
      <c r="B847" s="192"/>
      <c r="C847" s="193"/>
      <c r="D847" s="194" t="s">
        <v>139</v>
      </c>
      <c r="E847" s="195" t="s">
        <v>19</v>
      </c>
      <c r="F847" s="196" t="s">
        <v>1851</v>
      </c>
      <c r="G847" s="193"/>
      <c r="H847" s="197">
        <v>2</v>
      </c>
      <c r="I847" s="198"/>
      <c r="J847" s="193"/>
      <c r="K847" s="193"/>
      <c r="L847" s="199"/>
      <c r="M847" s="200"/>
      <c r="N847" s="201"/>
      <c r="O847" s="201"/>
      <c r="P847" s="201"/>
      <c r="Q847" s="201"/>
      <c r="R847" s="201"/>
      <c r="S847" s="201"/>
      <c r="T847" s="202"/>
      <c r="AT847" s="203" t="s">
        <v>139</v>
      </c>
      <c r="AU847" s="203" t="s">
        <v>82</v>
      </c>
      <c r="AV847" s="13" t="s">
        <v>82</v>
      </c>
      <c r="AW847" s="13" t="s">
        <v>34</v>
      </c>
      <c r="AX847" s="13" t="s">
        <v>80</v>
      </c>
      <c r="AY847" s="203" t="s">
        <v>128</v>
      </c>
    </row>
    <row r="848" spans="1:65" s="2" customFormat="1" ht="21.75" customHeight="1">
      <c r="A848" s="35"/>
      <c r="B848" s="36"/>
      <c r="C848" s="215" t="s">
        <v>1852</v>
      </c>
      <c r="D848" s="215" t="s">
        <v>414</v>
      </c>
      <c r="E848" s="216" t="s">
        <v>1853</v>
      </c>
      <c r="F848" s="217" t="s">
        <v>1854</v>
      </c>
      <c r="G848" s="218" t="s">
        <v>305</v>
      </c>
      <c r="H848" s="219">
        <v>2</v>
      </c>
      <c r="I848" s="220"/>
      <c r="J848" s="221">
        <f>ROUND(I848*H848,2)</f>
        <v>0</v>
      </c>
      <c r="K848" s="217" t="s">
        <v>134</v>
      </c>
      <c r="L848" s="222"/>
      <c r="M848" s="223" t="s">
        <v>19</v>
      </c>
      <c r="N848" s="224" t="s">
        <v>43</v>
      </c>
      <c r="O848" s="65"/>
      <c r="P848" s="183">
        <f>O848*H848</f>
        <v>0</v>
      </c>
      <c r="Q848" s="183">
        <v>0</v>
      </c>
      <c r="R848" s="183">
        <f>Q848*H848</f>
        <v>0</v>
      </c>
      <c r="S848" s="183">
        <v>0</v>
      </c>
      <c r="T848" s="184">
        <f>S848*H848</f>
        <v>0</v>
      </c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R848" s="185" t="s">
        <v>334</v>
      </c>
      <c r="AT848" s="185" t="s">
        <v>414</v>
      </c>
      <c r="AU848" s="185" t="s">
        <v>82</v>
      </c>
      <c r="AY848" s="18" t="s">
        <v>128</v>
      </c>
      <c r="BE848" s="186">
        <f>IF(N848="základní",J848,0)</f>
        <v>0</v>
      </c>
      <c r="BF848" s="186">
        <f>IF(N848="snížená",J848,0)</f>
        <v>0</v>
      </c>
      <c r="BG848" s="186">
        <f>IF(N848="zákl. přenesená",J848,0)</f>
        <v>0</v>
      </c>
      <c r="BH848" s="186">
        <f>IF(N848="sníž. přenesená",J848,0)</f>
        <v>0</v>
      </c>
      <c r="BI848" s="186">
        <f>IF(N848="nulová",J848,0)</f>
        <v>0</v>
      </c>
      <c r="BJ848" s="18" t="s">
        <v>80</v>
      </c>
      <c r="BK848" s="186">
        <f>ROUND(I848*H848,2)</f>
        <v>0</v>
      </c>
      <c r="BL848" s="18" t="s">
        <v>230</v>
      </c>
      <c r="BM848" s="185" t="s">
        <v>1855</v>
      </c>
    </row>
    <row r="849" spans="1:65" s="2" customFormat="1" ht="16.5" customHeight="1">
      <c r="A849" s="35"/>
      <c r="B849" s="36"/>
      <c r="C849" s="215" t="s">
        <v>1856</v>
      </c>
      <c r="D849" s="215" t="s">
        <v>414</v>
      </c>
      <c r="E849" s="216" t="s">
        <v>1857</v>
      </c>
      <c r="F849" s="217" t="s">
        <v>1858</v>
      </c>
      <c r="G849" s="218" t="s">
        <v>305</v>
      </c>
      <c r="H849" s="219">
        <v>2</v>
      </c>
      <c r="I849" s="220"/>
      <c r="J849" s="221">
        <f>ROUND(I849*H849,2)</f>
        <v>0</v>
      </c>
      <c r="K849" s="217" t="s">
        <v>134</v>
      </c>
      <c r="L849" s="222"/>
      <c r="M849" s="223" t="s">
        <v>19</v>
      </c>
      <c r="N849" s="224" t="s">
        <v>43</v>
      </c>
      <c r="O849" s="65"/>
      <c r="P849" s="183">
        <f>O849*H849</f>
        <v>0</v>
      </c>
      <c r="Q849" s="183">
        <v>7.4999999999999997E-3</v>
      </c>
      <c r="R849" s="183">
        <f>Q849*H849</f>
        <v>1.4999999999999999E-2</v>
      </c>
      <c r="S849" s="183">
        <v>0</v>
      </c>
      <c r="T849" s="184">
        <f>S849*H849</f>
        <v>0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185" t="s">
        <v>334</v>
      </c>
      <c r="AT849" s="185" t="s">
        <v>414</v>
      </c>
      <c r="AU849" s="185" t="s">
        <v>82</v>
      </c>
      <c r="AY849" s="18" t="s">
        <v>128</v>
      </c>
      <c r="BE849" s="186">
        <f>IF(N849="základní",J849,0)</f>
        <v>0</v>
      </c>
      <c r="BF849" s="186">
        <f>IF(N849="snížená",J849,0)</f>
        <v>0</v>
      </c>
      <c r="BG849" s="186">
        <f>IF(N849="zákl. přenesená",J849,0)</f>
        <v>0</v>
      </c>
      <c r="BH849" s="186">
        <f>IF(N849="sníž. přenesená",J849,0)</f>
        <v>0</v>
      </c>
      <c r="BI849" s="186">
        <f>IF(N849="nulová",J849,0)</f>
        <v>0</v>
      </c>
      <c r="BJ849" s="18" t="s">
        <v>80</v>
      </c>
      <c r="BK849" s="186">
        <f>ROUND(I849*H849,2)</f>
        <v>0</v>
      </c>
      <c r="BL849" s="18" t="s">
        <v>230</v>
      </c>
      <c r="BM849" s="185" t="s">
        <v>1859</v>
      </c>
    </row>
    <row r="850" spans="1:65" s="2" customFormat="1" ht="16.5" customHeight="1">
      <c r="A850" s="35"/>
      <c r="B850" s="36"/>
      <c r="C850" s="215" t="s">
        <v>1860</v>
      </c>
      <c r="D850" s="215" t="s">
        <v>414</v>
      </c>
      <c r="E850" s="216" t="s">
        <v>1861</v>
      </c>
      <c r="F850" s="217" t="s">
        <v>1862</v>
      </c>
      <c r="G850" s="218" t="s">
        <v>305</v>
      </c>
      <c r="H850" s="219">
        <v>2</v>
      </c>
      <c r="I850" s="220"/>
      <c r="J850" s="221">
        <f>ROUND(I850*H850,2)</f>
        <v>0</v>
      </c>
      <c r="K850" s="217" t="s">
        <v>134</v>
      </c>
      <c r="L850" s="222"/>
      <c r="M850" s="223" t="s">
        <v>19</v>
      </c>
      <c r="N850" s="224" t="s">
        <v>43</v>
      </c>
      <c r="O850" s="65"/>
      <c r="P850" s="183">
        <f>O850*H850</f>
        <v>0</v>
      </c>
      <c r="Q850" s="183">
        <v>9.1E-4</v>
      </c>
      <c r="R850" s="183">
        <f>Q850*H850</f>
        <v>1.82E-3</v>
      </c>
      <c r="S850" s="183">
        <v>0</v>
      </c>
      <c r="T850" s="184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185" t="s">
        <v>334</v>
      </c>
      <c r="AT850" s="185" t="s">
        <v>414</v>
      </c>
      <c r="AU850" s="185" t="s">
        <v>82</v>
      </c>
      <c r="AY850" s="18" t="s">
        <v>128</v>
      </c>
      <c r="BE850" s="186">
        <f>IF(N850="základní",J850,0)</f>
        <v>0</v>
      </c>
      <c r="BF850" s="186">
        <f>IF(N850="snížená",J850,0)</f>
        <v>0</v>
      </c>
      <c r="BG850" s="186">
        <f>IF(N850="zákl. přenesená",J850,0)</f>
        <v>0</v>
      </c>
      <c r="BH850" s="186">
        <f>IF(N850="sníž. přenesená",J850,0)</f>
        <v>0</v>
      </c>
      <c r="BI850" s="186">
        <f>IF(N850="nulová",J850,0)</f>
        <v>0</v>
      </c>
      <c r="BJ850" s="18" t="s">
        <v>80</v>
      </c>
      <c r="BK850" s="186">
        <f>ROUND(I850*H850,2)</f>
        <v>0</v>
      </c>
      <c r="BL850" s="18" t="s">
        <v>230</v>
      </c>
      <c r="BM850" s="185" t="s">
        <v>1863</v>
      </c>
    </row>
    <row r="851" spans="1:65" s="2" customFormat="1" ht="16.5" customHeight="1">
      <c r="A851" s="35"/>
      <c r="B851" s="36"/>
      <c r="C851" s="215" t="s">
        <v>1864</v>
      </c>
      <c r="D851" s="215" t="s">
        <v>414</v>
      </c>
      <c r="E851" s="216" t="s">
        <v>1865</v>
      </c>
      <c r="F851" s="217" t="s">
        <v>1866</v>
      </c>
      <c r="G851" s="218" t="s">
        <v>1737</v>
      </c>
      <c r="H851" s="219">
        <v>2</v>
      </c>
      <c r="I851" s="220"/>
      <c r="J851" s="221">
        <f>ROUND(I851*H851,2)</f>
        <v>0</v>
      </c>
      <c r="K851" s="217" t="s">
        <v>134</v>
      </c>
      <c r="L851" s="222"/>
      <c r="M851" s="223" t="s">
        <v>19</v>
      </c>
      <c r="N851" s="224" t="s">
        <v>43</v>
      </c>
      <c r="O851" s="65"/>
      <c r="P851" s="183">
        <f>O851*H851</f>
        <v>0</v>
      </c>
      <c r="Q851" s="183">
        <v>4.0000000000000001E-3</v>
      </c>
      <c r="R851" s="183">
        <f>Q851*H851</f>
        <v>8.0000000000000002E-3</v>
      </c>
      <c r="S851" s="183">
        <v>0</v>
      </c>
      <c r="T851" s="184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185" t="s">
        <v>334</v>
      </c>
      <c r="AT851" s="185" t="s">
        <v>414</v>
      </c>
      <c r="AU851" s="185" t="s">
        <v>82</v>
      </c>
      <c r="AY851" s="18" t="s">
        <v>128</v>
      </c>
      <c r="BE851" s="186">
        <f>IF(N851="základní",J851,0)</f>
        <v>0</v>
      </c>
      <c r="BF851" s="186">
        <f>IF(N851="snížená",J851,0)</f>
        <v>0</v>
      </c>
      <c r="BG851" s="186">
        <f>IF(N851="zákl. přenesená",J851,0)</f>
        <v>0</v>
      </c>
      <c r="BH851" s="186">
        <f>IF(N851="sníž. přenesená",J851,0)</f>
        <v>0</v>
      </c>
      <c r="BI851" s="186">
        <f>IF(N851="nulová",J851,0)</f>
        <v>0</v>
      </c>
      <c r="BJ851" s="18" t="s">
        <v>80</v>
      </c>
      <c r="BK851" s="186">
        <f>ROUND(I851*H851,2)</f>
        <v>0</v>
      </c>
      <c r="BL851" s="18" t="s">
        <v>230</v>
      </c>
      <c r="BM851" s="185" t="s">
        <v>1867</v>
      </c>
    </row>
    <row r="852" spans="1:65" s="2" customFormat="1" ht="33" customHeight="1">
      <c r="A852" s="35"/>
      <c r="B852" s="36"/>
      <c r="C852" s="174" t="s">
        <v>1868</v>
      </c>
      <c r="D852" s="174" t="s">
        <v>130</v>
      </c>
      <c r="E852" s="175" t="s">
        <v>1869</v>
      </c>
      <c r="F852" s="176" t="s">
        <v>1870</v>
      </c>
      <c r="G852" s="177" t="s">
        <v>305</v>
      </c>
      <c r="H852" s="178">
        <v>22</v>
      </c>
      <c r="I852" s="179"/>
      <c r="J852" s="180">
        <f>ROUND(I852*H852,2)</f>
        <v>0</v>
      </c>
      <c r="K852" s="176" t="s">
        <v>19</v>
      </c>
      <c r="L852" s="40"/>
      <c r="M852" s="181" t="s">
        <v>19</v>
      </c>
      <c r="N852" s="182" t="s">
        <v>43</v>
      </c>
      <c r="O852" s="65"/>
      <c r="P852" s="183">
        <f>O852*H852</f>
        <v>0</v>
      </c>
      <c r="Q852" s="183">
        <v>2.7E-4</v>
      </c>
      <c r="R852" s="183">
        <f>Q852*H852</f>
        <v>5.94E-3</v>
      </c>
      <c r="S852" s="183">
        <v>0</v>
      </c>
      <c r="T852" s="184">
        <f>S852*H852</f>
        <v>0</v>
      </c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R852" s="185" t="s">
        <v>230</v>
      </c>
      <c r="AT852" s="185" t="s">
        <v>130</v>
      </c>
      <c r="AU852" s="185" t="s">
        <v>82</v>
      </c>
      <c r="AY852" s="18" t="s">
        <v>128</v>
      </c>
      <c r="BE852" s="186">
        <f>IF(N852="základní",J852,0)</f>
        <v>0</v>
      </c>
      <c r="BF852" s="186">
        <f>IF(N852="snížená",J852,0)</f>
        <v>0</v>
      </c>
      <c r="BG852" s="186">
        <f>IF(N852="zákl. přenesená",J852,0)</f>
        <v>0</v>
      </c>
      <c r="BH852" s="186">
        <f>IF(N852="sníž. přenesená",J852,0)</f>
        <v>0</v>
      </c>
      <c r="BI852" s="186">
        <f>IF(N852="nulová",J852,0)</f>
        <v>0</v>
      </c>
      <c r="BJ852" s="18" t="s">
        <v>80</v>
      </c>
      <c r="BK852" s="186">
        <f>ROUND(I852*H852,2)</f>
        <v>0</v>
      </c>
      <c r="BL852" s="18" t="s">
        <v>230</v>
      </c>
      <c r="BM852" s="185" t="s">
        <v>1871</v>
      </c>
    </row>
    <row r="853" spans="1:65" s="13" customFormat="1" ht="10">
      <c r="B853" s="192"/>
      <c r="C853" s="193"/>
      <c r="D853" s="194" t="s">
        <v>139</v>
      </c>
      <c r="E853" s="195" t="s">
        <v>19</v>
      </c>
      <c r="F853" s="196" t="s">
        <v>1872</v>
      </c>
      <c r="G853" s="193"/>
      <c r="H853" s="197">
        <v>22</v>
      </c>
      <c r="I853" s="198"/>
      <c r="J853" s="193"/>
      <c r="K853" s="193"/>
      <c r="L853" s="199"/>
      <c r="M853" s="200"/>
      <c r="N853" s="201"/>
      <c r="O853" s="201"/>
      <c r="P853" s="201"/>
      <c r="Q853" s="201"/>
      <c r="R853" s="201"/>
      <c r="S853" s="201"/>
      <c r="T853" s="202"/>
      <c r="AT853" s="203" t="s">
        <v>139</v>
      </c>
      <c r="AU853" s="203" t="s">
        <v>82</v>
      </c>
      <c r="AV853" s="13" t="s">
        <v>82</v>
      </c>
      <c r="AW853" s="13" t="s">
        <v>34</v>
      </c>
      <c r="AX853" s="13" t="s">
        <v>80</v>
      </c>
      <c r="AY853" s="203" t="s">
        <v>128</v>
      </c>
    </row>
    <row r="854" spans="1:65" s="2" customFormat="1" ht="24.15" customHeight="1">
      <c r="A854" s="35"/>
      <c r="B854" s="36"/>
      <c r="C854" s="215" t="s">
        <v>1873</v>
      </c>
      <c r="D854" s="215" t="s">
        <v>414</v>
      </c>
      <c r="E854" s="216" t="s">
        <v>1874</v>
      </c>
      <c r="F854" s="217" t="s">
        <v>1875</v>
      </c>
      <c r="G854" s="218" t="s">
        <v>305</v>
      </c>
      <c r="H854" s="219">
        <v>22</v>
      </c>
      <c r="I854" s="220"/>
      <c r="J854" s="221">
        <f>ROUND(I854*H854,2)</f>
        <v>0</v>
      </c>
      <c r="K854" s="217" t="s">
        <v>134</v>
      </c>
      <c r="L854" s="222"/>
      <c r="M854" s="223" t="s">
        <v>19</v>
      </c>
      <c r="N854" s="224" t="s">
        <v>43</v>
      </c>
      <c r="O854" s="65"/>
      <c r="P854" s="183">
        <f>O854*H854</f>
        <v>0</v>
      </c>
      <c r="Q854" s="183">
        <v>0</v>
      </c>
      <c r="R854" s="183">
        <f>Q854*H854</f>
        <v>0</v>
      </c>
      <c r="S854" s="183">
        <v>0</v>
      </c>
      <c r="T854" s="184">
        <f>S854*H854</f>
        <v>0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185" t="s">
        <v>334</v>
      </c>
      <c r="AT854" s="185" t="s">
        <v>414</v>
      </c>
      <c r="AU854" s="185" t="s">
        <v>82</v>
      </c>
      <c r="AY854" s="18" t="s">
        <v>128</v>
      </c>
      <c r="BE854" s="186">
        <f>IF(N854="základní",J854,0)</f>
        <v>0</v>
      </c>
      <c r="BF854" s="186">
        <f>IF(N854="snížená",J854,0)</f>
        <v>0</v>
      </c>
      <c r="BG854" s="186">
        <f>IF(N854="zákl. přenesená",J854,0)</f>
        <v>0</v>
      </c>
      <c r="BH854" s="186">
        <f>IF(N854="sníž. přenesená",J854,0)</f>
        <v>0</v>
      </c>
      <c r="BI854" s="186">
        <f>IF(N854="nulová",J854,0)</f>
        <v>0</v>
      </c>
      <c r="BJ854" s="18" t="s">
        <v>80</v>
      </c>
      <c r="BK854" s="186">
        <f>ROUND(I854*H854,2)</f>
        <v>0</v>
      </c>
      <c r="BL854" s="18" t="s">
        <v>230</v>
      </c>
      <c r="BM854" s="185" t="s">
        <v>1876</v>
      </c>
    </row>
    <row r="855" spans="1:65" s="2" customFormat="1" ht="16.5" customHeight="1">
      <c r="A855" s="35"/>
      <c r="B855" s="36"/>
      <c r="C855" s="215" t="s">
        <v>1877</v>
      </c>
      <c r="D855" s="215" t="s">
        <v>414</v>
      </c>
      <c r="E855" s="216" t="s">
        <v>1878</v>
      </c>
      <c r="F855" s="217" t="s">
        <v>1879</v>
      </c>
      <c r="G855" s="218" t="s">
        <v>305</v>
      </c>
      <c r="H855" s="219">
        <v>22</v>
      </c>
      <c r="I855" s="220"/>
      <c r="J855" s="221">
        <f>ROUND(I855*H855,2)</f>
        <v>0</v>
      </c>
      <c r="K855" s="217" t="s">
        <v>19</v>
      </c>
      <c r="L855" s="222"/>
      <c r="M855" s="223" t="s">
        <v>19</v>
      </c>
      <c r="N855" s="224" t="s">
        <v>43</v>
      </c>
      <c r="O855" s="65"/>
      <c r="P855" s="183">
        <f>O855*H855</f>
        <v>0</v>
      </c>
      <c r="Q855" s="183">
        <v>8.6E-3</v>
      </c>
      <c r="R855" s="183">
        <f>Q855*H855</f>
        <v>0.18920000000000001</v>
      </c>
      <c r="S855" s="183">
        <v>0</v>
      </c>
      <c r="T855" s="184">
        <f>S855*H855</f>
        <v>0</v>
      </c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R855" s="185" t="s">
        <v>334</v>
      </c>
      <c r="AT855" s="185" t="s">
        <v>414</v>
      </c>
      <c r="AU855" s="185" t="s">
        <v>82</v>
      </c>
      <c r="AY855" s="18" t="s">
        <v>128</v>
      </c>
      <c r="BE855" s="186">
        <f>IF(N855="základní",J855,0)</f>
        <v>0</v>
      </c>
      <c r="BF855" s="186">
        <f>IF(N855="snížená",J855,0)</f>
        <v>0</v>
      </c>
      <c r="BG855" s="186">
        <f>IF(N855="zákl. přenesená",J855,0)</f>
        <v>0</v>
      </c>
      <c r="BH855" s="186">
        <f>IF(N855="sníž. přenesená",J855,0)</f>
        <v>0</v>
      </c>
      <c r="BI855" s="186">
        <f>IF(N855="nulová",J855,0)</f>
        <v>0</v>
      </c>
      <c r="BJ855" s="18" t="s">
        <v>80</v>
      </c>
      <c r="BK855" s="186">
        <f>ROUND(I855*H855,2)</f>
        <v>0</v>
      </c>
      <c r="BL855" s="18" t="s">
        <v>230</v>
      </c>
      <c r="BM855" s="185" t="s">
        <v>1880</v>
      </c>
    </row>
    <row r="856" spans="1:65" s="2" customFormat="1" ht="16.5" customHeight="1">
      <c r="A856" s="35"/>
      <c r="B856" s="36"/>
      <c r="C856" s="215" t="s">
        <v>1881</v>
      </c>
      <c r="D856" s="215" t="s">
        <v>414</v>
      </c>
      <c r="E856" s="216" t="s">
        <v>1882</v>
      </c>
      <c r="F856" s="217" t="s">
        <v>1883</v>
      </c>
      <c r="G856" s="218" t="s">
        <v>305</v>
      </c>
      <c r="H856" s="219">
        <v>22</v>
      </c>
      <c r="I856" s="220"/>
      <c r="J856" s="221">
        <f>ROUND(I856*H856,2)</f>
        <v>0</v>
      </c>
      <c r="K856" s="217" t="s">
        <v>19</v>
      </c>
      <c r="L856" s="222"/>
      <c r="M856" s="223" t="s">
        <v>19</v>
      </c>
      <c r="N856" s="224" t="s">
        <v>43</v>
      </c>
      <c r="O856" s="65"/>
      <c r="P856" s="183">
        <f>O856*H856</f>
        <v>0</v>
      </c>
      <c r="Q856" s="183">
        <v>9.7000000000000005E-4</v>
      </c>
      <c r="R856" s="183">
        <f>Q856*H856</f>
        <v>2.1340000000000001E-2</v>
      </c>
      <c r="S856" s="183">
        <v>0</v>
      </c>
      <c r="T856" s="184">
        <f>S856*H856</f>
        <v>0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R856" s="185" t="s">
        <v>334</v>
      </c>
      <c r="AT856" s="185" t="s">
        <v>414</v>
      </c>
      <c r="AU856" s="185" t="s">
        <v>82</v>
      </c>
      <c r="AY856" s="18" t="s">
        <v>128</v>
      </c>
      <c r="BE856" s="186">
        <f>IF(N856="základní",J856,0)</f>
        <v>0</v>
      </c>
      <c r="BF856" s="186">
        <f>IF(N856="snížená",J856,0)</f>
        <v>0</v>
      </c>
      <c r="BG856" s="186">
        <f>IF(N856="zákl. přenesená",J856,0)</f>
        <v>0</v>
      </c>
      <c r="BH856" s="186">
        <f>IF(N856="sníž. přenesená",J856,0)</f>
        <v>0</v>
      </c>
      <c r="BI856" s="186">
        <f>IF(N856="nulová",J856,0)</f>
        <v>0</v>
      </c>
      <c r="BJ856" s="18" t="s">
        <v>80</v>
      </c>
      <c r="BK856" s="186">
        <f>ROUND(I856*H856,2)</f>
        <v>0</v>
      </c>
      <c r="BL856" s="18" t="s">
        <v>230</v>
      </c>
      <c r="BM856" s="185" t="s">
        <v>1884</v>
      </c>
    </row>
    <row r="857" spans="1:65" s="2" customFormat="1" ht="16.5" customHeight="1">
      <c r="A857" s="35"/>
      <c r="B857" s="36"/>
      <c r="C857" s="215" t="s">
        <v>1885</v>
      </c>
      <c r="D857" s="215" t="s">
        <v>414</v>
      </c>
      <c r="E857" s="216" t="s">
        <v>1886</v>
      </c>
      <c r="F857" s="217" t="s">
        <v>1887</v>
      </c>
      <c r="G857" s="218" t="s">
        <v>1737</v>
      </c>
      <c r="H857" s="219">
        <v>22</v>
      </c>
      <c r="I857" s="220"/>
      <c r="J857" s="221">
        <f>ROUND(I857*H857,2)</f>
        <v>0</v>
      </c>
      <c r="K857" s="217" t="s">
        <v>19</v>
      </c>
      <c r="L857" s="222"/>
      <c r="M857" s="223" t="s">
        <v>19</v>
      </c>
      <c r="N857" s="224" t="s">
        <v>43</v>
      </c>
      <c r="O857" s="65"/>
      <c r="P857" s="183">
        <f>O857*H857</f>
        <v>0</v>
      </c>
      <c r="Q857" s="183">
        <v>4.28E-3</v>
      </c>
      <c r="R857" s="183">
        <f>Q857*H857</f>
        <v>9.4159999999999994E-2</v>
      </c>
      <c r="S857" s="183">
        <v>0</v>
      </c>
      <c r="T857" s="184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185" t="s">
        <v>334</v>
      </c>
      <c r="AT857" s="185" t="s">
        <v>414</v>
      </c>
      <c r="AU857" s="185" t="s">
        <v>82</v>
      </c>
      <c r="AY857" s="18" t="s">
        <v>128</v>
      </c>
      <c r="BE857" s="186">
        <f>IF(N857="základní",J857,0)</f>
        <v>0</v>
      </c>
      <c r="BF857" s="186">
        <f>IF(N857="snížená",J857,0)</f>
        <v>0</v>
      </c>
      <c r="BG857" s="186">
        <f>IF(N857="zákl. přenesená",J857,0)</f>
        <v>0</v>
      </c>
      <c r="BH857" s="186">
        <f>IF(N857="sníž. přenesená",J857,0)</f>
        <v>0</v>
      </c>
      <c r="BI857" s="186">
        <f>IF(N857="nulová",J857,0)</f>
        <v>0</v>
      </c>
      <c r="BJ857" s="18" t="s">
        <v>80</v>
      </c>
      <c r="BK857" s="186">
        <f>ROUND(I857*H857,2)</f>
        <v>0</v>
      </c>
      <c r="BL857" s="18" t="s">
        <v>230</v>
      </c>
      <c r="BM857" s="185" t="s">
        <v>1888</v>
      </c>
    </row>
    <row r="858" spans="1:65" s="2" customFormat="1" ht="24.15" customHeight="1">
      <c r="A858" s="35"/>
      <c r="B858" s="36"/>
      <c r="C858" s="174" t="s">
        <v>1889</v>
      </c>
      <c r="D858" s="174" t="s">
        <v>130</v>
      </c>
      <c r="E858" s="175" t="s">
        <v>1890</v>
      </c>
      <c r="F858" s="176" t="s">
        <v>1891</v>
      </c>
      <c r="G858" s="177" t="s">
        <v>305</v>
      </c>
      <c r="H858" s="178">
        <v>3</v>
      </c>
      <c r="I858" s="179"/>
      <c r="J858" s="180">
        <f>ROUND(I858*H858,2)</f>
        <v>0</v>
      </c>
      <c r="K858" s="176" t="s">
        <v>134</v>
      </c>
      <c r="L858" s="40"/>
      <c r="M858" s="181" t="s">
        <v>19</v>
      </c>
      <c r="N858" s="182" t="s">
        <v>43</v>
      </c>
      <c r="O858" s="65"/>
      <c r="P858" s="183">
        <f>O858*H858</f>
        <v>0</v>
      </c>
      <c r="Q858" s="183">
        <v>0</v>
      </c>
      <c r="R858" s="183">
        <f>Q858*H858</f>
        <v>0</v>
      </c>
      <c r="S858" s="183">
        <v>0</v>
      </c>
      <c r="T858" s="184">
        <f>S858*H858</f>
        <v>0</v>
      </c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R858" s="185" t="s">
        <v>230</v>
      </c>
      <c r="AT858" s="185" t="s">
        <v>130</v>
      </c>
      <c r="AU858" s="185" t="s">
        <v>82</v>
      </c>
      <c r="AY858" s="18" t="s">
        <v>128</v>
      </c>
      <c r="BE858" s="186">
        <f>IF(N858="základní",J858,0)</f>
        <v>0</v>
      </c>
      <c r="BF858" s="186">
        <f>IF(N858="snížená",J858,0)</f>
        <v>0</v>
      </c>
      <c r="BG858" s="186">
        <f>IF(N858="zákl. přenesená",J858,0)</f>
        <v>0</v>
      </c>
      <c r="BH858" s="186">
        <f>IF(N858="sníž. přenesená",J858,0)</f>
        <v>0</v>
      </c>
      <c r="BI858" s="186">
        <f>IF(N858="nulová",J858,0)</f>
        <v>0</v>
      </c>
      <c r="BJ858" s="18" t="s">
        <v>80</v>
      </c>
      <c r="BK858" s="186">
        <f>ROUND(I858*H858,2)</f>
        <v>0</v>
      </c>
      <c r="BL858" s="18" t="s">
        <v>230</v>
      </c>
      <c r="BM858" s="185" t="s">
        <v>1892</v>
      </c>
    </row>
    <row r="859" spans="1:65" s="2" customFormat="1" ht="10">
      <c r="A859" s="35"/>
      <c r="B859" s="36"/>
      <c r="C859" s="37"/>
      <c r="D859" s="187" t="s">
        <v>137</v>
      </c>
      <c r="E859" s="37"/>
      <c r="F859" s="188" t="s">
        <v>1893</v>
      </c>
      <c r="G859" s="37"/>
      <c r="H859" s="37"/>
      <c r="I859" s="189"/>
      <c r="J859" s="37"/>
      <c r="K859" s="37"/>
      <c r="L859" s="40"/>
      <c r="M859" s="190"/>
      <c r="N859" s="191"/>
      <c r="O859" s="65"/>
      <c r="P859" s="65"/>
      <c r="Q859" s="65"/>
      <c r="R859" s="65"/>
      <c r="S859" s="65"/>
      <c r="T859" s="66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T859" s="18" t="s">
        <v>137</v>
      </c>
      <c r="AU859" s="18" t="s">
        <v>82</v>
      </c>
    </row>
    <row r="860" spans="1:65" s="13" customFormat="1" ht="10">
      <c r="B860" s="192"/>
      <c r="C860" s="193"/>
      <c r="D860" s="194" t="s">
        <v>139</v>
      </c>
      <c r="E860" s="195" t="s">
        <v>19</v>
      </c>
      <c r="F860" s="196" t="s">
        <v>1894</v>
      </c>
      <c r="G860" s="193"/>
      <c r="H860" s="197">
        <v>3</v>
      </c>
      <c r="I860" s="198"/>
      <c r="J860" s="193"/>
      <c r="K860" s="193"/>
      <c r="L860" s="199"/>
      <c r="M860" s="200"/>
      <c r="N860" s="201"/>
      <c r="O860" s="201"/>
      <c r="P860" s="201"/>
      <c r="Q860" s="201"/>
      <c r="R860" s="201"/>
      <c r="S860" s="201"/>
      <c r="T860" s="202"/>
      <c r="AT860" s="203" t="s">
        <v>139</v>
      </c>
      <c r="AU860" s="203" t="s">
        <v>82</v>
      </c>
      <c r="AV860" s="13" t="s">
        <v>82</v>
      </c>
      <c r="AW860" s="13" t="s">
        <v>34</v>
      </c>
      <c r="AX860" s="13" t="s">
        <v>80</v>
      </c>
      <c r="AY860" s="203" t="s">
        <v>128</v>
      </c>
    </row>
    <row r="861" spans="1:65" s="2" customFormat="1" ht="16.5" customHeight="1">
      <c r="A861" s="35"/>
      <c r="B861" s="36"/>
      <c r="C861" s="215" t="s">
        <v>1895</v>
      </c>
      <c r="D861" s="215" t="s">
        <v>414</v>
      </c>
      <c r="E861" s="216" t="s">
        <v>1896</v>
      </c>
      <c r="F861" s="217" t="s">
        <v>1897</v>
      </c>
      <c r="G861" s="218" t="s">
        <v>258</v>
      </c>
      <c r="H861" s="219">
        <v>3.6</v>
      </c>
      <c r="I861" s="220"/>
      <c r="J861" s="221">
        <f>ROUND(I861*H861,2)</f>
        <v>0</v>
      </c>
      <c r="K861" s="217" t="s">
        <v>134</v>
      </c>
      <c r="L861" s="222"/>
      <c r="M861" s="223" t="s">
        <v>19</v>
      </c>
      <c r="N861" s="224" t="s">
        <v>43</v>
      </c>
      <c r="O861" s="65"/>
      <c r="P861" s="183">
        <f>O861*H861</f>
        <v>0</v>
      </c>
      <c r="Q861" s="183">
        <v>4.0000000000000001E-3</v>
      </c>
      <c r="R861" s="183">
        <f>Q861*H861</f>
        <v>1.4400000000000001E-2</v>
      </c>
      <c r="S861" s="183">
        <v>0</v>
      </c>
      <c r="T861" s="184">
        <f>S861*H861</f>
        <v>0</v>
      </c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R861" s="185" t="s">
        <v>334</v>
      </c>
      <c r="AT861" s="185" t="s">
        <v>414</v>
      </c>
      <c r="AU861" s="185" t="s">
        <v>82</v>
      </c>
      <c r="AY861" s="18" t="s">
        <v>128</v>
      </c>
      <c r="BE861" s="186">
        <f>IF(N861="základní",J861,0)</f>
        <v>0</v>
      </c>
      <c r="BF861" s="186">
        <f>IF(N861="snížená",J861,0)</f>
        <v>0</v>
      </c>
      <c r="BG861" s="186">
        <f>IF(N861="zákl. přenesená",J861,0)</f>
        <v>0</v>
      </c>
      <c r="BH861" s="186">
        <f>IF(N861="sníž. přenesená",J861,0)</f>
        <v>0</v>
      </c>
      <c r="BI861" s="186">
        <f>IF(N861="nulová",J861,0)</f>
        <v>0</v>
      </c>
      <c r="BJ861" s="18" t="s">
        <v>80</v>
      </c>
      <c r="BK861" s="186">
        <f>ROUND(I861*H861,2)</f>
        <v>0</v>
      </c>
      <c r="BL861" s="18" t="s">
        <v>230</v>
      </c>
      <c r="BM861" s="185" t="s">
        <v>1898</v>
      </c>
    </row>
    <row r="862" spans="1:65" s="13" customFormat="1" ht="10">
      <c r="B862" s="192"/>
      <c r="C862" s="193"/>
      <c r="D862" s="194" t="s">
        <v>139</v>
      </c>
      <c r="E862" s="195" t="s">
        <v>19</v>
      </c>
      <c r="F862" s="196" t="s">
        <v>1899</v>
      </c>
      <c r="G862" s="193"/>
      <c r="H862" s="197">
        <v>3.6</v>
      </c>
      <c r="I862" s="198"/>
      <c r="J862" s="193"/>
      <c r="K862" s="193"/>
      <c r="L862" s="199"/>
      <c r="M862" s="200"/>
      <c r="N862" s="201"/>
      <c r="O862" s="201"/>
      <c r="P862" s="201"/>
      <c r="Q862" s="201"/>
      <c r="R862" s="201"/>
      <c r="S862" s="201"/>
      <c r="T862" s="202"/>
      <c r="AT862" s="203" t="s">
        <v>139</v>
      </c>
      <c r="AU862" s="203" t="s">
        <v>82</v>
      </c>
      <c r="AV862" s="13" t="s">
        <v>82</v>
      </c>
      <c r="AW862" s="13" t="s">
        <v>34</v>
      </c>
      <c r="AX862" s="13" t="s">
        <v>80</v>
      </c>
      <c r="AY862" s="203" t="s">
        <v>128</v>
      </c>
    </row>
    <row r="863" spans="1:65" s="2" customFormat="1" ht="16.5" customHeight="1">
      <c r="A863" s="35"/>
      <c r="B863" s="36"/>
      <c r="C863" s="215" t="s">
        <v>1900</v>
      </c>
      <c r="D863" s="215" t="s">
        <v>414</v>
      </c>
      <c r="E863" s="216" t="s">
        <v>1901</v>
      </c>
      <c r="F863" s="217" t="s">
        <v>1902</v>
      </c>
      <c r="G863" s="218" t="s">
        <v>1737</v>
      </c>
      <c r="H863" s="219">
        <v>3</v>
      </c>
      <c r="I863" s="220"/>
      <c r="J863" s="221">
        <f>ROUND(I863*H863,2)</f>
        <v>0</v>
      </c>
      <c r="K863" s="217" t="s">
        <v>134</v>
      </c>
      <c r="L863" s="222"/>
      <c r="M863" s="223" t="s">
        <v>19</v>
      </c>
      <c r="N863" s="224" t="s">
        <v>43</v>
      </c>
      <c r="O863" s="65"/>
      <c r="P863" s="183">
        <f>O863*H863</f>
        <v>0</v>
      </c>
      <c r="Q863" s="183">
        <v>6.0000000000000002E-5</v>
      </c>
      <c r="R863" s="183">
        <f>Q863*H863</f>
        <v>1.8000000000000001E-4</v>
      </c>
      <c r="S863" s="183">
        <v>0</v>
      </c>
      <c r="T863" s="184">
        <f>S863*H863</f>
        <v>0</v>
      </c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R863" s="185" t="s">
        <v>334</v>
      </c>
      <c r="AT863" s="185" t="s">
        <v>414</v>
      </c>
      <c r="AU863" s="185" t="s">
        <v>82</v>
      </c>
      <c r="AY863" s="18" t="s">
        <v>128</v>
      </c>
      <c r="BE863" s="186">
        <f>IF(N863="základní",J863,0)</f>
        <v>0</v>
      </c>
      <c r="BF863" s="186">
        <f>IF(N863="snížená",J863,0)</f>
        <v>0</v>
      </c>
      <c r="BG863" s="186">
        <f>IF(N863="zákl. přenesená",J863,0)</f>
        <v>0</v>
      </c>
      <c r="BH863" s="186">
        <f>IF(N863="sníž. přenesená",J863,0)</f>
        <v>0</v>
      </c>
      <c r="BI863" s="186">
        <f>IF(N863="nulová",J863,0)</f>
        <v>0</v>
      </c>
      <c r="BJ863" s="18" t="s">
        <v>80</v>
      </c>
      <c r="BK863" s="186">
        <f>ROUND(I863*H863,2)</f>
        <v>0</v>
      </c>
      <c r="BL863" s="18" t="s">
        <v>230</v>
      </c>
      <c r="BM863" s="185" t="s">
        <v>1903</v>
      </c>
    </row>
    <row r="864" spans="1:65" s="2" customFormat="1" ht="24.15" customHeight="1">
      <c r="A864" s="35"/>
      <c r="B864" s="36"/>
      <c r="C864" s="174" t="s">
        <v>1904</v>
      </c>
      <c r="D864" s="174" t="s">
        <v>130</v>
      </c>
      <c r="E864" s="175" t="s">
        <v>1905</v>
      </c>
      <c r="F864" s="176" t="s">
        <v>1906</v>
      </c>
      <c r="G864" s="177" t="s">
        <v>305</v>
      </c>
      <c r="H864" s="178">
        <v>1</v>
      </c>
      <c r="I864" s="179"/>
      <c r="J864" s="180">
        <f>ROUND(I864*H864,2)</f>
        <v>0</v>
      </c>
      <c r="K864" s="176" t="s">
        <v>134</v>
      </c>
      <c r="L864" s="40"/>
      <c r="M864" s="181" t="s">
        <v>19</v>
      </c>
      <c r="N864" s="182" t="s">
        <v>43</v>
      </c>
      <c r="O864" s="65"/>
      <c r="P864" s="183">
        <f>O864*H864</f>
        <v>0</v>
      </c>
      <c r="Q864" s="183">
        <v>0</v>
      </c>
      <c r="R864" s="183">
        <f>Q864*H864</f>
        <v>0</v>
      </c>
      <c r="S864" s="183">
        <v>0</v>
      </c>
      <c r="T864" s="184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185" t="s">
        <v>230</v>
      </c>
      <c r="AT864" s="185" t="s">
        <v>130</v>
      </c>
      <c r="AU864" s="185" t="s">
        <v>82</v>
      </c>
      <c r="AY864" s="18" t="s">
        <v>128</v>
      </c>
      <c r="BE864" s="186">
        <f>IF(N864="základní",J864,0)</f>
        <v>0</v>
      </c>
      <c r="BF864" s="186">
        <f>IF(N864="snížená",J864,0)</f>
        <v>0</v>
      </c>
      <c r="BG864" s="186">
        <f>IF(N864="zákl. přenesená",J864,0)</f>
        <v>0</v>
      </c>
      <c r="BH864" s="186">
        <f>IF(N864="sníž. přenesená",J864,0)</f>
        <v>0</v>
      </c>
      <c r="BI864" s="186">
        <f>IF(N864="nulová",J864,0)</f>
        <v>0</v>
      </c>
      <c r="BJ864" s="18" t="s">
        <v>80</v>
      </c>
      <c r="BK864" s="186">
        <f>ROUND(I864*H864,2)</f>
        <v>0</v>
      </c>
      <c r="BL864" s="18" t="s">
        <v>230</v>
      </c>
      <c r="BM864" s="185" t="s">
        <v>1907</v>
      </c>
    </row>
    <row r="865" spans="1:65" s="2" customFormat="1" ht="10">
      <c r="A865" s="35"/>
      <c r="B865" s="36"/>
      <c r="C865" s="37"/>
      <c r="D865" s="187" t="s">
        <v>137</v>
      </c>
      <c r="E865" s="37"/>
      <c r="F865" s="188" t="s">
        <v>1908</v>
      </c>
      <c r="G865" s="37"/>
      <c r="H865" s="37"/>
      <c r="I865" s="189"/>
      <c r="J865" s="37"/>
      <c r="K865" s="37"/>
      <c r="L865" s="40"/>
      <c r="M865" s="190"/>
      <c r="N865" s="191"/>
      <c r="O865" s="65"/>
      <c r="P865" s="65"/>
      <c r="Q865" s="65"/>
      <c r="R865" s="65"/>
      <c r="S865" s="65"/>
      <c r="T865" s="66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T865" s="18" t="s">
        <v>137</v>
      </c>
      <c r="AU865" s="18" t="s">
        <v>82</v>
      </c>
    </row>
    <row r="866" spans="1:65" s="13" customFormat="1" ht="10">
      <c r="B866" s="192"/>
      <c r="C866" s="193"/>
      <c r="D866" s="194" t="s">
        <v>139</v>
      </c>
      <c r="E866" s="195" t="s">
        <v>19</v>
      </c>
      <c r="F866" s="196" t="s">
        <v>1909</v>
      </c>
      <c r="G866" s="193"/>
      <c r="H866" s="197">
        <v>1</v>
      </c>
      <c r="I866" s="198"/>
      <c r="J866" s="193"/>
      <c r="K866" s="193"/>
      <c r="L866" s="199"/>
      <c r="M866" s="200"/>
      <c r="N866" s="201"/>
      <c r="O866" s="201"/>
      <c r="P866" s="201"/>
      <c r="Q866" s="201"/>
      <c r="R866" s="201"/>
      <c r="S866" s="201"/>
      <c r="T866" s="202"/>
      <c r="AT866" s="203" t="s">
        <v>139</v>
      </c>
      <c r="AU866" s="203" t="s">
        <v>82</v>
      </c>
      <c r="AV866" s="13" t="s">
        <v>82</v>
      </c>
      <c r="AW866" s="13" t="s">
        <v>34</v>
      </c>
      <c r="AX866" s="13" t="s">
        <v>80</v>
      </c>
      <c r="AY866" s="203" t="s">
        <v>128</v>
      </c>
    </row>
    <row r="867" spans="1:65" s="2" customFormat="1" ht="16.5" customHeight="1">
      <c r="A867" s="35"/>
      <c r="B867" s="36"/>
      <c r="C867" s="215" t="s">
        <v>1910</v>
      </c>
      <c r="D867" s="215" t="s">
        <v>414</v>
      </c>
      <c r="E867" s="216" t="s">
        <v>1896</v>
      </c>
      <c r="F867" s="217" t="s">
        <v>1897</v>
      </c>
      <c r="G867" s="218" t="s">
        <v>258</v>
      </c>
      <c r="H867" s="219">
        <v>1.85</v>
      </c>
      <c r="I867" s="220"/>
      <c r="J867" s="221">
        <f>ROUND(I867*H867,2)</f>
        <v>0</v>
      </c>
      <c r="K867" s="217" t="s">
        <v>134</v>
      </c>
      <c r="L867" s="222"/>
      <c r="M867" s="223" t="s">
        <v>19</v>
      </c>
      <c r="N867" s="224" t="s">
        <v>43</v>
      </c>
      <c r="O867" s="65"/>
      <c r="P867" s="183">
        <f>O867*H867</f>
        <v>0</v>
      </c>
      <c r="Q867" s="183">
        <v>4.0000000000000001E-3</v>
      </c>
      <c r="R867" s="183">
        <f>Q867*H867</f>
        <v>7.4000000000000003E-3</v>
      </c>
      <c r="S867" s="183">
        <v>0</v>
      </c>
      <c r="T867" s="184">
        <f>S867*H867</f>
        <v>0</v>
      </c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R867" s="185" t="s">
        <v>334</v>
      </c>
      <c r="AT867" s="185" t="s">
        <v>414</v>
      </c>
      <c r="AU867" s="185" t="s">
        <v>82</v>
      </c>
      <c r="AY867" s="18" t="s">
        <v>128</v>
      </c>
      <c r="BE867" s="186">
        <f>IF(N867="základní",J867,0)</f>
        <v>0</v>
      </c>
      <c r="BF867" s="186">
        <f>IF(N867="snížená",J867,0)</f>
        <v>0</v>
      </c>
      <c r="BG867" s="186">
        <f>IF(N867="zákl. přenesená",J867,0)</f>
        <v>0</v>
      </c>
      <c r="BH867" s="186">
        <f>IF(N867="sníž. přenesená",J867,0)</f>
        <v>0</v>
      </c>
      <c r="BI867" s="186">
        <f>IF(N867="nulová",J867,0)</f>
        <v>0</v>
      </c>
      <c r="BJ867" s="18" t="s">
        <v>80</v>
      </c>
      <c r="BK867" s="186">
        <f>ROUND(I867*H867,2)</f>
        <v>0</v>
      </c>
      <c r="BL867" s="18" t="s">
        <v>230</v>
      </c>
      <c r="BM867" s="185" t="s">
        <v>1911</v>
      </c>
    </row>
    <row r="868" spans="1:65" s="2" customFormat="1" ht="16.5" customHeight="1">
      <c r="A868" s="35"/>
      <c r="B868" s="36"/>
      <c r="C868" s="215" t="s">
        <v>1912</v>
      </c>
      <c r="D868" s="215" t="s">
        <v>414</v>
      </c>
      <c r="E868" s="216" t="s">
        <v>1901</v>
      </c>
      <c r="F868" s="217" t="s">
        <v>1902</v>
      </c>
      <c r="G868" s="218" t="s">
        <v>1737</v>
      </c>
      <c r="H868" s="219">
        <v>1</v>
      </c>
      <c r="I868" s="220"/>
      <c r="J868" s="221">
        <f>ROUND(I868*H868,2)</f>
        <v>0</v>
      </c>
      <c r="K868" s="217" t="s">
        <v>134</v>
      </c>
      <c r="L868" s="222"/>
      <c r="M868" s="223" t="s">
        <v>19</v>
      </c>
      <c r="N868" s="224" t="s">
        <v>43</v>
      </c>
      <c r="O868" s="65"/>
      <c r="P868" s="183">
        <f>O868*H868</f>
        <v>0</v>
      </c>
      <c r="Q868" s="183">
        <v>6.0000000000000002E-5</v>
      </c>
      <c r="R868" s="183">
        <f>Q868*H868</f>
        <v>6.0000000000000002E-5</v>
      </c>
      <c r="S868" s="183">
        <v>0</v>
      </c>
      <c r="T868" s="184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185" t="s">
        <v>334</v>
      </c>
      <c r="AT868" s="185" t="s">
        <v>414</v>
      </c>
      <c r="AU868" s="185" t="s">
        <v>82</v>
      </c>
      <c r="AY868" s="18" t="s">
        <v>128</v>
      </c>
      <c r="BE868" s="186">
        <f>IF(N868="základní",J868,0)</f>
        <v>0</v>
      </c>
      <c r="BF868" s="186">
        <f>IF(N868="snížená",J868,0)</f>
        <v>0</v>
      </c>
      <c r="BG868" s="186">
        <f>IF(N868="zákl. přenesená",J868,0)</f>
        <v>0</v>
      </c>
      <c r="BH868" s="186">
        <f>IF(N868="sníž. přenesená",J868,0)</f>
        <v>0</v>
      </c>
      <c r="BI868" s="186">
        <f>IF(N868="nulová",J868,0)</f>
        <v>0</v>
      </c>
      <c r="BJ868" s="18" t="s">
        <v>80</v>
      </c>
      <c r="BK868" s="186">
        <f>ROUND(I868*H868,2)</f>
        <v>0</v>
      </c>
      <c r="BL868" s="18" t="s">
        <v>230</v>
      </c>
      <c r="BM868" s="185" t="s">
        <v>1913</v>
      </c>
    </row>
    <row r="869" spans="1:65" s="2" customFormat="1" ht="16.5" customHeight="1">
      <c r="A869" s="35"/>
      <c r="B869" s="36"/>
      <c r="C869" s="174" t="s">
        <v>1914</v>
      </c>
      <c r="D869" s="174" t="s">
        <v>130</v>
      </c>
      <c r="E869" s="175" t="s">
        <v>1915</v>
      </c>
      <c r="F869" s="176" t="s">
        <v>1916</v>
      </c>
      <c r="G869" s="177" t="s">
        <v>305</v>
      </c>
      <c r="H869" s="178">
        <v>2</v>
      </c>
      <c r="I869" s="179"/>
      <c r="J869" s="180">
        <f>ROUND(I869*H869,2)</f>
        <v>0</v>
      </c>
      <c r="K869" s="176" t="s">
        <v>19</v>
      </c>
      <c r="L869" s="40"/>
      <c r="M869" s="181" t="s">
        <v>19</v>
      </c>
      <c r="N869" s="182" t="s">
        <v>43</v>
      </c>
      <c r="O869" s="65"/>
      <c r="P869" s="183">
        <f>O869*H869</f>
        <v>0</v>
      </c>
      <c r="Q869" s="183">
        <v>0</v>
      </c>
      <c r="R869" s="183">
        <f>Q869*H869</f>
        <v>0</v>
      </c>
      <c r="S869" s="183">
        <v>0</v>
      </c>
      <c r="T869" s="184">
        <f>S869*H869</f>
        <v>0</v>
      </c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R869" s="185" t="s">
        <v>230</v>
      </c>
      <c r="AT869" s="185" t="s">
        <v>130</v>
      </c>
      <c r="AU869" s="185" t="s">
        <v>82</v>
      </c>
      <c r="AY869" s="18" t="s">
        <v>128</v>
      </c>
      <c r="BE869" s="186">
        <f>IF(N869="základní",J869,0)</f>
        <v>0</v>
      </c>
      <c r="BF869" s="186">
        <f>IF(N869="snížená",J869,0)</f>
        <v>0</v>
      </c>
      <c r="BG869" s="186">
        <f>IF(N869="zákl. přenesená",J869,0)</f>
        <v>0</v>
      </c>
      <c r="BH869" s="186">
        <f>IF(N869="sníž. přenesená",J869,0)</f>
        <v>0</v>
      </c>
      <c r="BI869" s="186">
        <f>IF(N869="nulová",J869,0)</f>
        <v>0</v>
      </c>
      <c r="BJ869" s="18" t="s">
        <v>80</v>
      </c>
      <c r="BK869" s="186">
        <f>ROUND(I869*H869,2)</f>
        <v>0</v>
      </c>
      <c r="BL869" s="18" t="s">
        <v>230</v>
      </c>
      <c r="BM869" s="185" t="s">
        <v>1917</v>
      </c>
    </row>
    <row r="870" spans="1:65" s="13" customFormat="1" ht="10">
      <c r="B870" s="192"/>
      <c r="C870" s="193"/>
      <c r="D870" s="194" t="s">
        <v>139</v>
      </c>
      <c r="E870" s="195" t="s">
        <v>19</v>
      </c>
      <c r="F870" s="196" t="s">
        <v>1918</v>
      </c>
      <c r="G870" s="193"/>
      <c r="H870" s="197">
        <v>2</v>
      </c>
      <c r="I870" s="198"/>
      <c r="J870" s="193"/>
      <c r="K870" s="193"/>
      <c r="L870" s="199"/>
      <c r="M870" s="200"/>
      <c r="N870" s="201"/>
      <c r="O870" s="201"/>
      <c r="P870" s="201"/>
      <c r="Q870" s="201"/>
      <c r="R870" s="201"/>
      <c r="S870" s="201"/>
      <c r="T870" s="202"/>
      <c r="AT870" s="203" t="s">
        <v>139</v>
      </c>
      <c r="AU870" s="203" t="s">
        <v>82</v>
      </c>
      <c r="AV870" s="13" t="s">
        <v>82</v>
      </c>
      <c r="AW870" s="13" t="s">
        <v>34</v>
      </c>
      <c r="AX870" s="13" t="s">
        <v>80</v>
      </c>
      <c r="AY870" s="203" t="s">
        <v>128</v>
      </c>
    </row>
    <row r="871" spans="1:65" s="2" customFormat="1" ht="16.5" customHeight="1">
      <c r="A871" s="35"/>
      <c r="B871" s="36"/>
      <c r="C871" s="174" t="s">
        <v>1919</v>
      </c>
      <c r="D871" s="174" t="s">
        <v>130</v>
      </c>
      <c r="E871" s="175" t="s">
        <v>1920</v>
      </c>
      <c r="F871" s="176" t="s">
        <v>1921</v>
      </c>
      <c r="G871" s="177" t="s">
        <v>305</v>
      </c>
      <c r="H871" s="178">
        <v>5</v>
      </c>
      <c r="I871" s="179"/>
      <c r="J871" s="180">
        <f>ROUND(I871*H871,2)</f>
        <v>0</v>
      </c>
      <c r="K871" s="176" t="s">
        <v>19</v>
      </c>
      <c r="L871" s="40"/>
      <c r="M871" s="181" t="s">
        <v>19</v>
      </c>
      <c r="N871" s="182" t="s">
        <v>43</v>
      </c>
      <c r="O871" s="65"/>
      <c r="P871" s="183">
        <f>O871*H871</f>
        <v>0</v>
      </c>
      <c r="Q871" s="183">
        <v>0</v>
      </c>
      <c r="R871" s="183">
        <f>Q871*H871</f>
        <v>0</v>
      </c>
      <c r="S871" s="183">
        <v>0</v>
      </c>
      <c r="T871" s="184">
        <f>S871*H871</f>
        <v>0</v>
      </c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R871" s="185" t="s">
        <v>230</v>
      </c>
      <c r="AT871" s="185" t="s">
        <v>130</v>
      </c>
      <c r="AU871" s="185" t="s">
        <v>82</v>
      </c>
      <c r="AY871" s="18" t="s">
        <v>128</v>
      </c>
      <c r="BE871" s="186">
        <f>IF(N871="základní",J871,0)</f>
        <v>0</v>
      </c>
      <c r="BF871" s="186">
        <f>IF(N871="snížená",J871,0)</f>
        <v>0</v>
      </c>
      <c r="BG871" s="186">
        <f>IF(N871="zákl. přenesená",J871,0)</f>
        <v>0</v>
      </c>
      <c r="BH871" s="186">
        <f>IF(N871="sníž. přenesená",J871,0)</f>
        <v>0</v>
      </c>
      <c r="BI871" s="186">
        <f>IF(N871="nulová",J871,0)</f>
        <v>0</v>
      </c>
      <c r="BJ871" s="18" t="s">
        <v>80</v>
      </c>
      <c r="BK871" s="186">
        <f>ROUND(I871*H871,2)</f>
        <v>0</v>
      </c>
      <c r="BL871" s="18" t="s">
        <v>230</v>
      </c>
      <c r="BM871" s="185" t="s">
        <v>1922</v>
      </c>
    </row>
    <row r="872" spans="1:65" s="13" customFormat="1" ht="10">
      <c r="B872" s="192"/>
      <c r="C872" s="193"/>
      <c r="D872" s="194" t="s">
        <v>139</v>
      </c>
      <c r="E872" s="195" t="s">
        <v>19</v>
      </c>
      <c r="F872" s="196" t="s">
        <v>1923</v>
      </c>
      <c r="G872" s="193"/>
      <c r="H872" s="197">
        <v>5</v>
      </c>
      <c r="I872" s="198"/>
      <c r="J872" s="193"/>
      <c r="K872" s="193"/>
      <c r="L872" s="199"/>
      <c r="M872" s="200"/>
      <c r="N872" s="201"/>
      <c r="O872" s="201"/>
      <c r="P872" s="201"/>
      <c r="Q872" s="201"/>
      <c r="R872" s="201"/>
      <c r="S872" s="201"/>
      <c r="T872" s="202"/>
      <c r="AT872" s="203" t="s">
        <v>139</v>
      </c>
      <c r="AU872" s="203" t="s">
        <v>82</v>
      </c>
      <c r="AV872" s="13" t="s">
        <v>82</v>
      </c>
      <c r="AW872" s="13" t="s">
        <v>34</v>
      </c>
      <c r="AX872" s="13" t="s">
        <v>80</v>
      </c>
      <c r="AY872" s="203" t="s">
        <v>128</v>
      </c>
    </row>
    <row r="873" spans="1:65" s="2" customFormat="1" ht="16.5" customHeight="1">
      <c r="A873" s="35"/>
      <c r="B873" s="36"/>
      <c r="C873" s="174" t="s">
        <v>1924</v>
      </c>
      <c r="D873" s="174" t="s">
        <v>130</v>
      </c>
      <c r="E873" s="175" t="s">
        <v>1925</v>
      </c>
      <c r="F873" s="176" t="s">
        <v>1926</v>
      </c>
      <c r="G873" s="177" t="s">
        <v>305</v>
      </c>
      <c r="H873" s="178">
        <v>1</v>
      </c>
      <c r="I873" s="179"/>
      <c r="J873" s="180">
        <f>ROUND(I873*H873,2)</f>
        <v>0</v>
      </c>
      <c r="K873" s="176" t="s">
        <v>19</v>
      </c>
      <c r="L873" s="40"/>
      <c r="M873" s="181" t="s">
        <v>19</v>
      </c>
      <c r="N873" s="182" t="s">
        <v>43</v>
      </c>
      <c r="O873" s="65"/>
      <c r="P873" s="183">
        <f>O873*H873</f>
        <v>0</v>
      </c>
      <c r="Q873" s="183">
        <v>0</v>
      </c>
      <c r="R873" s="183">
        <f>Q873*H873</f>
        <v>0</v>
      </c>
      <c r="S873" s="183">
        <v>0</v>
      </c>
      <c r="T873" s="184">
        <f>S873*H873</f>
        <v>0</v>
      </c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R873" s="185" t="s">
        <v>230</v>
      </c>
      <c r="AT873" s="185" t="s">
        <v>130</v>
      </c>
      <c r="AU873" s="185" t="s">
        <v>82</v>
      </c>
      <c r="AY873" s="18" t="s">
        <v>128</v>
      </c>
      <c r="BE873" s="186">
        <f>IF(N873="základní",J873,0)</f>
        <v>0</v>
      </c>
      <c r="BF873" s="186">
        <f>IF(N873="snížená",J873,0)</f>
        <v>0</v>
      </c>
      <c r="BG873" s="186">
        <f>IF(N873="zákl. přenesená",J873,0)</f>
        <v>0</v>
      </c>
      <c r="BH873" s="186">
        <f>IF(N873="sníž. přenesená",J873,0)</f>
        <v>0</v>
      </c>
      <c r="BI873" s="186">
        <f>IF(N873="nulová",J873,0)</f>
        <v>0</v>
      </c>
      <c r="BJ873" s="18" t="s">
        <v>80</v>
      </c>
      <c r="BK873" s="186">
        <f>ROUND(I873*H873,2)</f>
        <v>0</v>
      </c>
      <c r="BL873" s="18" t="s">
        <v>230</v>
      </c>
      <c r="BM873" s="185" t="s">
        <v>1927</v>
      </c>
    </row>
    <row r="874" spans="1:65" s="13" customFormat="1" ht="10">
      <c r="B874" s="192"/>
      <c r="C874" s="193"/>
      <c r="D874" s="194" t="s">
        <v>139</v>
      </c>
      <c r="E874" s="195" t="s">
        <v>19</v>
      </c>
      <c r="F874" s="196" t="s">
        <v>1928</v>
      </c>
      <c r="G874" s="193"/>
      <c r="H874" s="197">
        <v>1</v>
      </c>
      <c r="I874" s="198"/>
      <c r="J874" s="193"/>
      <c r="K874" s="193"/>
      <c r="L874" s="199"/>
      <c r="M874" s="200"/>
      <c r="N874" s="201"/>
      <c r="O874" s="201"/>
      <c r="P874" s="201"/>
      <c r="Q874" s="201"/>
      <c r="R874" s="201"/>
      <c r="S874" s="201"/>
      <c r="T874" s="202"/>
      <c r="AT874" s="203" t="s">
        <v>139</v>
      </c>
      <c r="AU874" s="203" t="s">
        <v>82</v>
      </c>
      <c r="AV874" s="13" t="s">
        <v>82</v>
      </c>
      <c r="AW874" s="13" t="s">
        <v>34</v>
      </c>
      <c r="AX874" s="13" t="s">
        <v>80</v>
      </c>
      <c r="AY874" s="203" t="s">
        <v>128</v>
      </c>
    </row>
    <row r="875" spans="1:65" s="2" customFormat="1" ht="16.5" customHeight="1">
      <c r="A875" s="35"/>
      <c r="B875" s="36"/>
      <c r="C875" s="174" t="s">
        <v>1929</v>
      </c>
      <c r="D875" s="174" t="s">
        <v>130</v>
      </c>
      <c r="E875" s="175" t="s">
        <v>1930</v>
      </c>
      <c r="F875" s="176" t="s">
        <v>1931</v>
      </c>
      <c r="G875" s="177" t="s">
        <v>192</v>
      </c>
      <c r="H875" s="178">
        <v>1</v>
      </c>
      <c r="I875" s="179"/>
      <c r="J875" s="180">
        <f>ROUND(I875*H875,2)</f>
        <v>0</v>
      </c>
      <c r="K875" s="176" t="s">
        <v>19</v>
      </c>
      <c r="L875" s="40"/>
      <c r="M875" s="181" t="s">
        <v>19</v>
      </c>
      <c r="N875" s="182" t="s">
        <v>43</v>
      </c>
      <c r="O875" s="65"/>
      <c r="P875" s="183">
        <f>O875*H875</f>
        <v>0</v>
      </c>
      <c r="Q875" s="183">
        <v>0</v>
      </c>
      <c r="R875" s="183">
        <f>Q875*H875</f>
        <v>0</v>
      </c>
      <c r="S875" s="183">
        <v>0</v>
      </c>
      <c r="T875" s="184">
        <f>S875*H875</f>
        <v>0</v>
      </c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R875" s="185" t="s">
        <v>230</v>
      </c>
      <c r="AT875" s="185" t="s">
        <v>130</v>
      </c>
      <c r="AU875" s="185" t="s">
        <v>82</v>
      </c>
      <c r="AY875" s="18" t="s">
        <v>128</v>
      </c>
      <c r="BE875" s="186">
        <f>IF(N875="základní",J875,0)</f>
        <v>0</v>
      </c>
      <c r="BF875" s="186">
        <f>IF(N875="snížená",J875,0)</f>
        <v>0</v>
      </c>
      <c r="BG875" s="186">
        <f>IF(N875="zákl. přenesená",J875,0)</f>
        <v>0</v>
      </c>
      <c r="BH875" s="186">
        <f>IF(N875="sníž. přenesená",J875,0)</f>
        <v>0</v>
      </c>
      <c r="BI875" s="186">
        <f>IF(N875="nulová",J875,0)</f>
        <v>0</v>
      </c>
      <c r="BJ875" s="18" t="s">
        <v>80</v>
      </c>
      <c r="BK875" s="186">
        <f>ROUND(I875*H875,2)</f>
        <v>0</v>
      </c>
      <c r="BL875" s="18" t="s">
        <v>230</v>
      </c>
      <c r="BM875" s="185" t="s">
        <v>1932</v>
      </c>
    </row>
    <row r="876" spans="1:65" s="2" customFormat="1" ht="16.5" customHeight="1">
      <c r="A876" s="35"/>
      <c r="B876" s="36"/>
      <c r="C876" s="174" t="s">
        <v>1933</v>
      </c>
      <c r="D876" s="174" t="s">
        <v>130</v>
      </c>
      <c r="E876" s="175" t="s">
        <v>1934</v>
      </c>
      <c r="F876" s="176" t="s">
        <v>1935</v>
      </c>
      <c r="G876" s="177" t="s">
        <v>192</v>
      </c>
      <c r="H876" s="178">
        <v>1</v>
      </c>
      <c r="I876" s="179">
        <f>'vybaveni laboratori'!G17</f>
        <v>0</v>
      </c>
      <c r="J876" s="180">
        <f>ROUND(I876*H876,2)</f>
        <v>0</v>
      </c>
      <c r="K876" s="176" t="s">
        <v>19</v>
      </c>
      <c r="L876" s="40"/>
      <c r="M876" s="181" t="s">
        <v>19</v>
      </c>
      <c r="N876" s="182" t="s">
        <v>43</v>
      </c>
      <c r="O876" s="65"/>
      <c r="P876" s="183">
        <f>O876*H876</f>
        <v>0</v>
      </c>
      <c r="Q876" s="183">
        <v>0</v>
      </c>
      <c r="R876" s="183">
        <f>Q876*H876</f>
        <v>0</v>
      </c>
      <c r="S876" s="183">
        <v>0</v>
      </c>
      <c r="T876" s="184">
        <f>S876*H876</f>
        <v>0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R876" s="185" t="s">
        <v>230</v>
      </c>
      <c r="AT876" s="185" t="s">
        <v>130</v>
      </c>
      <c r="AU876" s="185" t="s">
        <v>82</v>
      </c>
      <c r="AY876" s="18" t="s">
        <v>128</v>
      </c>
      <c r="BE876" s="186">
        <f>IF(N876="základní",J876,0)</f>
        <v>0</v>
      </c>
      <c r="BF876" s="186">
        <f>IF(N876="snížená",J876,0)</f>
        <v>0</v>
      </c>
      <c r="BG876" s="186">
        <f>IF(N876="zákl. přenesená",J876,0)</f>
        <v>0</v>
      </c>
      <c r="BH876" s="186">
        <f>IF(N876="sníž. přenesená",J876,0)</f>
        <v>0</v>
      </c>
      <c r="BI876" s="186">
        <f>IF(N876="nulová",J876,0)</f>
        <v>0</v>
      </c>
      <c r="BJ876" s="18" t="s">
        <v>80</v>
      </c>
      <c r="BK876" s="186">
        <f>ROUND(I876*H876,2)</f>
        <v>0</v>
      </c>
      <c r="BL876" s="18" t="s">
        <v>230</v>
      </c>
      <c r="BM876" s="185" t="s">
        <v>1936</v>
      </c>
    </row>
    <row r="877" spans="1:65" s="2" customFormat="1" ht="16.5" customHeight="1">
      <c r="A877" s="35"/>
      <c r="B877" s="36"/>
      <c r="C877" s="174" t="s">
        <v>1937</v>
      </c>
      <c r="D877" s="174" t="s">
        <v>130</v>
      </c>
      <c r="E877" s="175" t="s">
        <v>1938</v>
      </c>
      <c r="F877" s="176" t="s">
        <v>1939</v>
      </c>
      <c r="G877" s="177" t="s">
        <v>305</v>
      </c>
      <c r="H877" s="178">
        <v>4</v>
      </c>
      <c r="I877" s="179"/>
      <c r="J877" s="180">
        <f>ROUND(I877*H877,2)</f>
        <v>0</v>
      </c>
      <c r="K877" s="176" t="s">
        <v>19</v>
      </c>
      <c r="L877" s="40"/>
      <c r="M877" s="181" t="s">
        <v>19</v>
      </c>
      <c r="N877" s="182" t="s">
        <v>43</v>
      </c>
      <c r="O877" s="65"/>
      <c r="P877" s="183">
        <f>O877*H877</f>
        <v>0</v>
      </c>
      <c r="Q877" s="183">
        <v>0</v>
      </c>
      <c r="R877" s="183">
        <f>Q877*H877</f>
        <v>0</v>
      </c>
      <c r="S877" s="183">
        <v>0</v>
      </c>
      <c r="T877" s="184">
        <f>S877*H877</f>
        <v>0</v>
      </c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R877" s="185" t="s">
        <v>230</v>
      </c>
      <c r="AT877" s="185" t="s">
        <v>130</v>
      </c>
      <c r="AU877" s="185" t="s">
        <v>82</v>
      </c>
      <c r="AY877" s="18" t="s">
        <v>128</v>
      </c>
      <c r="BE877" s="186">
        <f>IF(N877="základní",J877,0)</f>
        <v>0</v>
      </c>
      <c r="BF877" s="186">
        <f>IF(N877="snížená",J877,0)</f>
        <v>0</v>
      </c>
      <c r="BG877" s="186">
        <f>IF(N877="zákl. přenesená",J877,0)</f>
        <v>0</v>
      </c>
      <c r="BH877" s="186">
        <f>IF(N877="sníž. přenesená",J877,0)</f>
        <v>0</v>
      </c>
      <c r="BI877" s="186">
        <f>IF(N877="nulová",J877,0)</f>
        <v>0</v>
      </c>
      <c r="BJ877" s="18" t="s">
        <v>80</v>
      </c>
      <c r="BK877" s="186">
        <f>ROUND(I877*H877,2)</f>
        <v>0</v>
      </c>
      <c r="BL877" s="18" t="s">
        <v>230</v>
      </c>
      <c r="BM877" s="185" t="s">
        <v>1940</v>
      </c>
    </row>
    <row r="878" spans="1:65" s="2" customFormat="1" ht="16.5" customHeight="1">
      <c r="A878" s="35"/>
      <c r="B878" s="36"/>
      <c r="C878" s="174" t="s">
        <v>1941</v>
      </c>
      <c r="D878" s="174" t="s">
        <v>130</v>
      </c>
      <c r="E878" s="175" t="s">
        <v>1942</v>
      </c>
      <c r="F878" s="176" t="s">
        <v>1943</v>
      </c>
      <c r="G878" s="177" t="s">
        <v>305</v>
      </c>
      <c r="H878" s="178">
        <v>5</v>
      </c>
      <c r="I878" s="179"/>
      <c r="J878" s="180">
        <f>ROUND(I878*H878,2)</f>
        <v>0</v>
      </c>
      <c r="K878" s="176" t="s">
        <v>19</v>
      </c>
      <c r="L878" s="40"/>
      <c r="M878" s="181" t="s">
        <v>19</v>
      </c>
      <c r="N878" s="182" t="s">
        <v>43</v>
      </c>
      <c r="O878" s="65"/>
      <c r="P878" s="183">
        <f>O878*H878</f>
        <v>0</v>
      </c>
      <c r="Q878" s="183">
        <v>0</v>
      </c>
      <c r="R878" s="183">
        <f>Q878*H878</f>
        <v>0</v>
      </c>
      <c r="S878" s="183">
        <v>0</v>
      </c>
      <c r="T878" s="184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185" t="s">
        <v>230</v>
      </c>
      <c r="AT878" s="185" t="s">
        <v>130</v>
      </c>
      <c r="AU878" s="185" t="s">
        <v>82</v>
      </c>
      <c r="AY878" s="18" t="s">
        <v>128</v>
      </c>
      <c r="BE878" s="186">
        <f>IF(N878="základní",J878,0)</f>
        <v>0</v>
      </c>
      <c r="BF878" s="186">
        <f>IF(N878="snížená",J878,0)</f>
        <v>0</v>
      </c>
      <c r="BG878" s="186">
        <f>IF(N878="zákl. přenesená",J878,0)</f>
        <v>0</v>
      </c>
      <c r="BH878" s="186">
        <f>IF(N878="sníž. přenesená",J878,0)</f>
        <v>0</v>
      </c>
      <c r="BI878" s="186">
        <f>IF(N878="nulová",J878,0)</f>
        <v>0</v>
      </c>
      <c r="BJ878" s="18" t="s">
        <v>80</v>
      </c>
      <c r="BK878" s="186">
        <f>ROUND(I878*H878,2)</f>
        <v>0</v>
      </c>
      <c r="BL878" s="18" t="s">
        <v>230</v>
      </c>
      <c r="BM878" s="185" t="s">
        <v>1944</v>
      </c>
    </row>
    <row r="879" spans="1:65" s="13" customFormat="1" ht="10">
      <c r="B879" s="192"/>
      <c r="C879" s="193"/>
      <c r="D879" s="194" t="s">
        <v>139</v>
      </c>
      <c r="E879" s="195" t="s">
        <v>19</v>
      </c>
      <c r="F879" s="196" t="s">
        <v>1945</v>
      </c>
      <c r="G879" s="193"/>
      <c r="H879" s="197">
        <v>1</v>
      </c>
      <c r="I879" s="198"/>
      <c r="J879" s="193"/>
      <c r="K879" s="193"/>
      <c r="L879" s="199"/>
      <c r="M879" s="200"/>
      <c r="N879" s="201"/>
      <c r="O879" s="201"/>
      <c r="P879" s="201"/>
      <c r="Q879" s="201"/>
      <c r="R879" s="201"/>
      <c r="S879" s="201"/>
      <c r="T879" s="202"/>
      <c r="AT879" s="203" t="s">
        <v>139</v>
      </c>
      <c r="AU879" s="203" t="s">
        <v>82</v>
      </c>
      <c r="AV879" s="13" t="s">
        <v>82</v>
      </c>
      <c r="AW879" s="13" t="s">
        <v>34</v>
      </c>
      <c r="AX879" s="13" t="s">
        <v>72</v>
      </c>
      <c r="AY879" s="203" t="s">
        <v>128</v>
      </c>
    </row>
    <row r="880" spans="1:65" s="13" customFormat="1" ht="10">
      <c r="B880" s="192"/>
      <c r="C880" s="193"/>
      <c r="D880" s="194" t="s">
        <v>139</v>
      </c>
      <c r="E880" s="195" t="s">
        <v>19</v>
      </c>
      <c r="F880" s="196" t="s">
        <v>1946</v>
      </c>
      <c r="G880" s="193"/>
      <c r="H880" s="197">
        <v>4</v>
      </c>
      <c r="I880" s="198"/>
      <c r="J880" s="193"/>
      <c r="K880" s="193"/>
      <c r="L880" s="199"/>
      <c r="M880" s="200"/>
      <c r="N880" s="201"/>
      <c r="O880" s="201"/>
      <c r="P880" s="201"/>
      <c r="Q880" s="201"/>
      <c r="R880" s="201"/>
      <c r="S880" s="201"/>
      <c r="T880" s="202"/>
      <c r="AT880" s="203" t="s">
        <v>139</v>
      </c>
      <c r="AU880" s="203" t="s">
        <v>82</v>
      </c>
      <c r="AV880" s="13" t="s">
        <v>82</v>
      </c>
      <c r="AW880" s="13" t="s">
        <v>34</v>
      </c>
      <c r="AX880" s="13" t="s">
        <v>72</v>
      </c>
      <c r="AY880" s="203" t="s">
        <v>128</v>
      </c>
    </row>
    <row r="881" spans="1:65" s="14" customFormat="1" ht="10">
      <c r="B881" s="204"/>
      <c r="C881" s="205"/>
      <c r="D881" s="194" t="s">
        <v>139</v>
      </c>
      <c r="E881" s="206" t="s">
        <v>19</v>
      </c>
      <c r="F881" s="207" t="s">
        <v>153</v>
      </c>
      <c r="G881" s="205"/>
      <c r="H881" s="208">
        <v>5</v>
      </c>
      <c r="I881" s="209"/>
      <c r="J881" s="205"/>
      <c r="K881" s="205"/>
      <c r="L881" s="210"/>
      <c r="M881" s="211"/>
      <c r="N881" s="212"/>
      <c r="O881" s="212"/>
      <c r="P881" s="212"/>
      <c r="Q881" s="212"/>
      <c r="R881" s="212"/>
      <c r="S881" s="212"/>
      <c r="T881" s="213"/>
      <c r="AT881" s="214" t="s">
        <v>139</v>
      </c>
      <c r="AU881" s="214" t="s">
        <v>82</v>
      </c>
      <c r="AV881" s="14" t="s">
        <v>135</v>
      </c>
      <c r="AW881" s="14" t="s">
        <v>34</v>
      </c>
      <c r="AX881" s="14" t="s">
        <v>80</v>
      </c>
      <c r="AY881" s="214" t="s">
        <v>128</v>
      </c>
    </row>
    <row r="882" spans="1:65" s="2" customFormat="1" ht="16.5" customHeight="1">
      <c r="A882" s="35"/>
      <c r="B882" s="36"/>
      <c r="C882" s="174" t="s">
        <v>1947</v>
      </c>
      <c r="D882" s="174" t="s">
        <v>130</v>
      </c>
      <c r="E882" s="175" t="s">
        <v>1948</v>
      </c>
      <c r="F882" s="176" t="s">
        <v>1949</v>
      </c>
      <c r="G882" s="177" t="s">
        <v>305</v>
      </c>
      <c r="H882" s="178">
        <v>3</v>
      </c>
      <c r="I882" s="179"/>
      <c r="J882" s="180">
        <f>ROUND(I882*H882,2)</f>
        <v>0</v>
      </c>
      <c r="K882" s="176" t="s">
        <v>19</v>
      </c>
      <c r="L882" s="40"/>
      <c r="M882" s="181" t="s">
        <v>19</v>
      </c>
      <c r="N882" s="182" t="s">
        <v>43</v>
      </c>
      <c r="O882" s="65"/>
      <c r="P882" s="183">
        <f>O882*H882</f>
        <v>0</v>
      </c>
      <c r="Q882" s="183">
        <v>0</v>
      </c>
      <c r="R882" s="183">
        <f>Q882*H882</f>
        <v>0</v>
      </c>
      <c r="S882" s="183">
        <v>0</v>
      </c>
      <c r="T882" s="184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185" t="s">
        <v>230</v>
      </c>
      <c r="AT882" s="185" t="s">
        <v>130</v>
      </c>
      <c r="AU882" s="185" t="s">
        <v>82</v>
      </c>
      <c r="AY882" s="18" t="s">
        <v>128</v>
      </c>
      <c r="BE882" s="186">
        <f>IF(N882="základní",J882,0)</f>
        <v>0</v>
      </c>
      <c r="BF882" s="186">
        <f>IF(N882="snížená",J882,0)</f>
        <v>0</v>
      </c>
      <c r="BG882" s="186">
        <f>IF(N882="zákl. přenesená",J882,0)</f>
        <v>0</v>
      </c>
      <c r="BH882" s="186">
        <f>IF(N882="sníž. přenesená",J882,0)</f>
        <v>0</v>
      </c>
      <c r="BI882" s="186">
        <f>IF(N882="nulová",J882,0)</f>
        <v>0</v>
      </c>
      <c r="BJ882" s="18" t="s">
        <v>80</v>
      </c>
      <c r="BK882" s="186">
        <f>ROUND(I882*H882,2)</f>
        <v>0</v>
      </c>
      <c r="BL882" s="18" t="s">
        <v>230</v>
      </c>
      <c r="BM882" s="185" t="s">
        <v>1950</v>
      </c>
    </row>
    <row r="883" spans="1:65" s="13" customFormat="1" ht="10">
      <c r="B883" s="192"/>
      <c r="C883" s="193"/>
      <c r="D883" s="194" t="s">
        <v>139</v>
      </c>
      <c r="E883" s="195" t="s">
        <v>19</v>
      </c>
      <c r="F883" s="196" t="s">
        <v>1951</v>
      </c>
      <c r="G883" s="193"/>
      <c r="H883" s="197">
        <v>1</v>
      </c>
      <c r="I883" s="198"/>
      <c r="J883" s="193"/>
      <c r="K883" s="193"/>
      <c r="L883" s="199"/>
      <c r="M883" s="200"/>
      <c r="N883" s="201"/>
      <c r="O883" s="201"/>
      <c r="P883" s="201"/>
      <c r="Q883" s="201"/>
      <c r="R883" s="201"/>
      <c r="S883" s="201"/>
      <c r="T883" s="202"/>
      <c r="AT883" s="203" t="s">
        <v>139</v>
      </c>
      <c r="AU883" s="203" t="s">
        <v>82</v>
      </c>
      <c r="AV883" s="13" t="s">
        <v>82</v>
      </c>
      <c r="AW883" s="13" t="s">
        <v>34</v>
      </c>
      <c r="AX883" s="13" t="s">
        <v>72</v>
      </c>
      <c r="AY883" s="203" t="s">
        <v>128</v>
      </c>
    </row>
    <row r="884" spans="1:65" s="13" customFormat="1" ht="10">
      <c r="B884" s="192"/>
      <c r="C884" s="193"/>
      <c r="D884" s="194" t="s">
        <v>139</v>
      </c>
      <c r="E884" s="195" t="s">
        <v>19</v>
      </c>
      <c r="F884" s="196" t="s">
        <v>1952</v>
      </c>
      <c r="G884" s="193"/>
      <c r="H884" s="197">
        <v>2</v>
      </c>
      <c r="I884" s="198"/>
      <c r="J884" s="193"/>
      <c r="K884" s="193"/>
      <c r="L884" s="199"/>
      <c r="M884" s="200"/>
      <c r="N884" s="201"/>
      <c r="O884" s="201"/>
      <c r="P884" s="201"/>
      <c r="Q884" s="201"/>
      <c r="R884" s="201"/>
      <c r="S884" s="201"/>
      <c r="T884" s="202"/>
      <c r="AT884" s="203" t="s">
        <v>139</v>
      </c>
      <c r="AU884" s="203" t="s">
        <v>82</v>
      </c>
      <c r="AV884" s="13" t="s">
        <v>82</v>
      </c>
      <c r="AW884" s="13" t="s">
        <v>34</v>
      </c>
      <c r="AX884" s="13" t="s">
        <v>72</v>
      </c>
      <c r="AY884" s="203" t="s">
        <v>128</v>
      </c>
    </row>
    <row r="885" spans="1:65" s="14" customFormat="1" ht="10">
      <c r="B885" s="204"/>
      <c r="C885" s="205"/>
      <c r="D885" s="194" t="s">
        <v>139</v>
      </c>
      <c r="E885" s="206" t="s">
        <v>19</v>
      </c>
      <c r="F885" s="207" t="s">
        <v>153</v>
      </c>
      <c r="G885" s="205"/>
      <c r="H885" s="208">
        <v>3</v>
      </c>
      <c r="I885" s="209"/>
      <c r="J885" s="205"/>
      <c r="K885" s="205"/>
      <c r="L885" s="210"/>
      <c r="M885" s="211"/>
      <c r="N885" s="212"/>
      <c r="O885" s="212"/>
      <c r="P885" s="212"/>
      <c r="Q885" s="212"/>
      <c r="R885" s="212"/>
      <c r="S885" s="212"/>
      <c r="T885" s="213"/>
      <c r="AT885" s="214" t="s">
        <v>139</v>
      </c>
      <c r="AU885" s="214" t="s">
        <v>82</v>
      </c>
      <c r="AV885" s="14" t="s">
        <v>135</v>
      </c>
      <c r="AW885" s="14" t="s">
        <v>34</v>
      </c>
      <c r="AX885" s="14" t="s">
        <v>80</v>
      </c>
      <c r="AY885" s="214" t="s">
        <v>128</v>
      </c>
    </row>
    <row r="886" spans="1:65" s="2" customFormat="1" ht="16.5" customHeight="1">
      <c r="A886" s="35"/>
      <c r="B886" s="36"/>
      <c r="C886" s="174" t="s">
        <v>1953</v>
      </c>
      <c r="D886" s="174" t="s">
        <v>130</v>
      </c>
      <c r="E886" s="175" t="s">
        <v>1954</v>
      </c>
      <c r="F886" s="176" t="s">
        <v>1955</v>
      </c>
      <c r="G886" s="177" t="s">
        <v>305</v>
      </c>
      <c r="H886" s="178">
        <v>1</v>
      </c>
      <c r="I886" s="179"/>
      <c r="J886" s="180">
        <f t="shared" ref="J886:J891" si="0">ROUND(I886*H886,2)</f>
        <v>0</v>
      </c>
      <c r="K886" s="176" t="s">
        <v>19</v>
      </c>
      <c r="L886" s="40"/>
      <c r="M886" s="181" t="s">
        <v>19</v>
      </c>
      <c r="N886" s="182" t="s">
        <v>43</v>
      </c>
      <c r="O886" s="65"/>
      <c r="P886" s="183">
        <f t="shared" ref="P886:P891" si="1">O886*H886</f>
        <v>0</v>
      </c>
      <c r="Q886" s="183">
        <v>0</v>
      </c>
      <c r="R886" s="183">
        <f t="shared" ref="R886:R891" si="2">Q886*H886</f>
        <v>0</v>
      </c>
      <c r="S886" s="183">
        <v>0</v>
      </c>
      <c r="T886" s="184">
        <f t="shared" ref="T886:T891" si="3">S886*H886</f>
        <v>0</v>
      </c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R886" s="185" t="s">
        <v>230</v>
      </c>
      <c r="AT886" s="185" t="s">
        <v>130</v>
      </c>
      <c r="AU886" s="185" t="s">
        <v>82</v>
      </c>
      <c r="AY886" s="18" t="s">
        <v>128</v>
      </c>
      <c r="BE886" s="186">
        <f t="shared" ref="BE886:BE891" si="4">IF(N886="základní",J886,0)</f>
        <v>0</v>
      </c>
      <c r="BF886" s="186">
        <f t="shared" ref="BF886:BF891" si="5">IF(N886="snížená",J886,0)</f>
        <v>0</v>
      </c>
      <c r="BG886" s="186">
        <f t="shared" ref="BG886:BG891" si="6">IF(N886="zákl. přenesená",J886,0)</f>
        <v>0</v>
      </c>
      <c r="BH886" s="186">
        <f t="shared" ref="BH886:BH891" si="7">IF(N886="sníž. přenesená",J886,0)</f>
        <v>0</v>
      </c>
      <c r="BI886" s="186">
        <f t="shared" ref="BI886:BI891" si="8">IF(N886="nulová",J886,0)</f>
        <v>0</v>
      </c>
      <c r="BJ886" s="18" t="s">
        <v>80</v>
      </c>
      <c r="BK886" s="186">
        <f t="shared" ref="BK886:BK891" si="9">ROUND(I886*H886,2)</f>
        <v>0</v>
      </c>
      <c r="BL886" s="18" t="s">
        <v>230</v>
      </c>
      <c r="BM886" s="185" t="s">
        <v>1956</v>
      </c>
    </row>
    <row r="887" spans="1:65" s="2" customFormat="1" ht="16.5" customHeight="1">
      <c r="A887" s="35"/>
      <c r="B887" s="36"/>
      <c r="C887" s="174" t="s">
        <v>1957</v>
      </c>
      <c r="D887" s="174" t="s">
        <v>130</v>
      </c>
      <c r="E887" s="175" t="s">
        <v>1958</v>
      </c>
      <c r="F887" s="176" t="s">
        <v>1959</v>
      </c>
      <c r="G887" s="177" t="s">
        <v>305</v>
      </c>
      <c r="H887" s="178">
        <v>1</v>
      </c>
      <c r="I887" s="179"/>
      <c r="J887" s="180">
        <f t="shared" si="0"/>
        <v>0</v>
      </c>
      <c r="K887" s="176" t="s">
        <v>19</v>
      </c>
      <c r="L887" s="40"/>
      <c r="M887" s="181" t="s">
        <v>19</v>
      </c>
      <c r="N887" s="182" t="s">
        <v>43</v>
      </c>
      <c r="O887" s="65"/>
      <c r="P887" s="183">
        <f t="shared" si="1"/>
        <v>0</v>
      </c>
      <c r="Q887" s="183">
        <v>0</v>
      </c>
      <c r="R887" s="183">
        <f t="shared" si="2"/>
        <v>0</v>
      </c>
      <c r="S887" s="183">
        <v>0</v>
      </c>
      <c r="T887" s="184">
        <f t="shared" si="3"/>
        <v>0</v>
      </c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R887" s="185" t="s">
        <v>230</v>
      </c>
      <c r="AT887" s="185" t="s">
        <v>130</v>
      </c>
      <c r="AU887" s="185" t="s">
        <v>82</v>
      </c>
      <c r="AY887" s="18" t="s">
        <v>128</v>
      </c>
      <c r="BE887" s="186">
        <f t="shared" si="4"/>
        <v>0</v>
      </c>
      <c r="BF887" s="186">
        <f t="shared" si="5"/>
        <v>0</v>
      </c>
      <c r="BG887" s="186">
        <f t="shared" si="6"/>
        <v>0</v>
      </c>
      <c r="BH887" s="186">
        <f t="shared" si="7"/>
        <v>0</v>
      </c>
      <c r="BI887" s="186">
        <f t="shared" si="8"/>
        <v>0</v>
      </c>
      <c r="BJ887" s="18" t="s">
        <v>80</v>
      </c>
      <c r="BK887" s="186">
        <f t="shared" si="9"/>
        <v>0</v>
      </c>
      <c r="BL887" s="18" t="s">
        <v>230</v>
      </c>
      <c r="BM887" s="185" t="s">
        <v>1960</v>
      </c>
    </row>
    <row r="888" spans="1:65" s="2" customFormat="1" ht="16.5" customHeight="1">
      <c r="A888" s="35"/>
      <c r="B888" s="36"/>
      <c r="C888" s="174" t="s">
        <v>1961</v>
      </c>
      <c r="D888" s="174" t="s">
        <v>130</v>
      </c>
      <c r="E888" s="175" t="s">
        <v>1962</v>
      </c>
      <c r="F888" s="176" t="s">
        <v>1963</v>
      </c>
      <c r="G888" s="177" t="s">
        <v>305</v>
      </c>
      <c r="H888" s="178">
        <v>1</v>
      </c>
      <c r="I888" s="179"/>
      <c r="J888" s="180">
        <f t="shared" si="0"/>
        <v>0</v>
      </c>
      <c r="K888" s="176" t="s">
        <v>19</v>
      </c>
      <c r="L888" s="40"/>
      <c r="M888" s="181" t="s">
        <v>19</v>
      </c>
      <c r="N888" s="182" t="s">
        <v>43</v>
      </c>
      <c r="O888" s="65"/>
      <c r="P888" s="183">
        <f t="shared" si="1"/>
        <v>0</v>
      </c>
      <c r="Q888" s="183">
        <v>0</v>
      </c>
      <c r="R888" s="183">
        <f t="shared" si="2"/>
        <v>0</v>
      </c>
      <c r="S888" s="183">
        <v>0</v>
      </c>
      <c r="T888" s="184">
        <f t="shared" si="3"/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185" t="s">
        <v>230</v>
      </c>
      <c r="AT888" s="185" t="s">
        <v>130</v>
      </c>
      <c r="AU888" s="185" t="s">
        <v>82</v>
      </c>
      <c r="AY888" s="18" t="s">
        <v>128</v>
      </c>
      <c r="BE888" s="186">
        <f t="shared" si="4"/>
        <v>0</v>
      </c>
      <c r="BF888" s="186">
        <f t="shared" si="5"/>
        <v>0</v>
      </c>
      <c r="BG888" s="186">
        <f t="shared" si="6"/>
        <v>0</v>
      </c>
      <c r="BH888" s="186">
        <f t="shared" si="7"/>
        <v>0</v>
      </c>
      <c r="BI888" s="186">
        <f t="shared" si="8"/>
        <v>0</v>
      </c>
      <c r="BJ888" s="18" t="s">
        <v>80</v>
      </c>
      <c r="BK888" s="186">
        <f t="shared" si="9"/>
        <v>0</v>
      </c>
      <c r="BL888" s="18" t="s">
        <v>230</v>
      </c>
      <c r="BM888" s="185" t="s">
        <v>1964</v>
      </c>
    </row>
    <row r="889" spans="1:65" s="2" customFormat="1" ht="21.75" customHeight="1">
      <c r="A889" s="35"/>
      <c r="B889" s="36"/>
      <c r="C889" s="174" t="s">
        <v>1965</v>
      </c>
      <c r="D889" s="174" t="s">
        <v>130</v>
      </c>
      <c r="E889" s="175" t="s">
        <v>1966</v>
      </c>
      <c r="F889" s="176" t="s">
        <v>1967</v>
      </c>
      <c r="G889" s="177" t="s">
        <v>305</v>
      </c>
      <c r="H889" s="178">
        <v>1</v>
      </c>
      <c r="I889" s="179"/>
      <c r="J889" s="180">
        <f t="shared" si="0"/>
        <v>0</v>
      </c>
      <c r="K889" s="176" t="s">
        <v>19</v>
      </c>
      <c r="L889" s="40"/>
      <c r="M889" s="181" t="s">
        <v>19</v>
      </c>
      <c r="N889" s="182" t="s">
        <v>43</v>
      </c>
      <c r="O889" s="65"/>
      <c r="P889" s="183">
        <f t="shared" si="1"/>
        <v>0</v>
      </c>
      <c r="Q889" s="183">
        <v>0</v>
      </c>
      <c r="R889" s="183">
        <f t="shared" si="2"/>
        <v>0</v>
      </c>
      <c r="S889" s="183">
        <v>0</v>
      </c>
      <c r="T889" s="184">
        <f t="shared" si="3"/>
        <v>0</v>
      </c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R889" s="185" t="s">
        <v>230</v>
      </c>
      <c r="AT889" s="185" t="s">
        <v>130</v>
      </c>
      <c r="AU889" s="185" t="s">
        <v>82</v>
      </c>
      <c r="AY889" s="18" t="s">
        <v>128</v>
      </c>
      <c r="BE889" s="186">
        <f t="shared" si="4"/>
        <v>0</v>
      </c>
      <c r="BF889" s="186">
        <f t="shared" si="5"/>
        <v>0</v>
      </c>
      <c r="BG889" s="186">
        <f t="shared" si="6"/>
        <v>0</v>
      </c>
      <c r="BH889" s="186">
        <f t="shared" si="7"/>
        <v>0</v>
      </c>
      <c r="BI889" s="186">
        <f t="shared" si="8"/>
        <v>0</v>
      </c>
      <c r="BJ889" s="18" t="s">
        <v>80</v>
      </c>
      <c r="BK889" s="186">
        <f t="shared" si="9"/>
        <v>0</v>
      </c>
      <c r="BL889" s="18" t="s">
        <v>230</v>
      </c>
      <c r="BM889" s="185" t="s">
        <v>1968</v>
      </c>
    </row>
    <row r="890" spans="1:65" s="2" customFormat="1" ht="21.75" customHeight="1">
      <c r="A890" s="35"/>
      <c r="B890" s="36"/>
      <c r="C890" s="174" t="s">
        <v>1969</v>
      </c>
      <c r="D890" s="174" t="s">
        <v>130</v>
      </c>
      <c r="E890" s="175" t="s">
        <v>1970</v>
      </c>
      <c r="F890" s="176" t="s">
        <v>1971</v>
      </c>
      <c r="G890" s="177" t="s">
        <v>305</v>
      </c>
      <c r="H890" s="178">
        <v>1</v>
      </c>
      <c r="I890" s="179"/>
      <c r="J890" s="180">
        <f t="shared" si="0"/>
        <v>0</v>
      </c>
      <c r="K890" s="176" t="s">
        <v>19</v>
      </c>
      <c r="L890" s="40"/>
      <c r="M890" s="181" t="s">
        <v>19</v>
      </c>
      <c r="N890" s="182" t="s">
        <v>43</v>
      </c>
      <c r="O890" s="65"/>
      <c r="P890" s="183">
        <f t="shared" si="1"/>
        <v>0</v>
      </c>
      <c r="Q890" s="183">
        <v>0</v>
      </c>
      <c r="R890" s="183">
        <f t="shared" si="2"/>
        <v>0</v>
      </c>
      <c r="S890" s="183">
        <v>0</v>
      </c>
      <c r="T890" s="184">
        <f t="shared" si="3"/>
        <v>0</v>
      </c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R890" s="185" t="s">
        <v>230</v>
      </c>
      <c r="AT890" s="185" t="s">
        <v>130</v>
      </c>
      <c r="AU890" s="185" t="s">
        <v>82</v>
      </c>
      <c r="AY890" s="18" t="s">
        <v>128</v>
      </c>
      <c r="BE890" s="186">
        <f t="shared" si="4"/>
        <v>0</v>
      </c>
      <c r="BF890" s="186">
        <f t="shared" si="5"/>
        <v>0</v>
      </c>
      <c r="BG890" s="186">
        <f t="shared" si="6"/>
        <v>0</v>
      </c>
      <c r="BH890" s="186">
        <f t="shared" si="7"/>
        <v>0</v>
      </c>
      <c r="BI890" s="186">
        <f t="shared" si="8"/>
        <v>0</v>
      </c>
      <c r="BJ890" s="18" t="s">
        <v>80</v>
      </c>
      <c r="BK890" s="186">
        <f t="shared" si="9"/>
        <v>0</v>
      </c>
      <c r="BL890" s="18" t="s">
        <v>230</v>
      </c>
      <c r="BM890" s="185" t="s">
        <v>1972</v>
      </c>
    </row>
    <row r="891" spans="1:65" s="2" customFormat="1" ht="16.5" customHeight="1">
      <c r="A891" s="35"/>
      <c r="B891" s="36"/>
      <c r="C891" s="174" t="s">
        <v>1973</v>
      </c>
      <c r="D891" s="174" t="s">
        <v>130</v>
      </c>
      <c r="E891" s="175" t="s">
        <v>1974</v>
      </c>
      <c r="F891" s="176" t="s">
        <v>1975</v>
      </c>
      <c r="G891" s="177" t="s">
        <v>305</v>
      </c>
      <c r="H891" s="178">
        <v>1</v>
      </c>
      <c r="I891" s="179"/>
      <c r="J891" s="180">
        <f t="shared" si="0"/>
        <v>0</v>
      </c>
      <c r="K891" s="176" t="s">
        <v>19</v>
      </c>
      <c r="L891" s="40"/>
      <c r="M891" s="181" t="s">
        <v>19</v>
      </c>
      <c r="N891" s="182" t="s">
        <v>43</v>
      </c>
      <c r="O891" s="65"/>
      <c r="P891" s="183">
        <f t="shared" si="1"/>
        <v>0</v>
      </c>
      <c r="Q891" s="183">
        <v>0</v>
      </c>
      <c r="R891" s="183">
        <f t="shared" si="2"/>
        <v>0</v>
      </c>
      <c r="S891" s="183">
        <v>0</v>
      </c>
      <c r="T891" s="184">
        <f t="shared" si="3"/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185" t="s">
        <v>230</v>
      </c>
      <c r="AT891" s="185" t="s">
        <v>130</v>
      </c>
      <c r="AU891" s="185" t="s">
        <v>82</v>
      </c>
      <c r="AY891" s="18" t="s">
        <v>128</v>
      </c>
      <c r="BE891" s="186">
        <f t="shared" si="4"/>
        <v>0</v>
      </c>
      <c r="BF891" s="186">
        <f t="shared" si="5"/>
        <v>0</v>
      </c>
      <c r="BG891" s="186">
        <f t="shared" si="6"/>
        <v>0</v>
      </c>
      <c r="BH891" s="186">
        <f t="shared" si="7"/>
        <v>0</v>
      </c>
      <c r="BI891" s="186">
        <f t="shared" si="8"/>
        <v>0</v>
      </c>
      <c r="BJ891" s="18" t="s">
        <v>80</v>
      </c>
      <c r="BK891" s="186">
        <f t="shared" si="9"/>
        <v>0</v>
      </c>
      <c r="BL891" s="18" t="s">
        <v>230</v>
      </c>
      <c r="BM891" s="185" t="s">
        <v>1976</v>
      </c>
    </row>
    <row r="892" spans="1:65" s="13" customFormat="1" ht="10">
      <c r="B892" s="192"/>
      <c r="C892" s="193"/>
      <c r="D892" s="194" t="s">
        <v>139</v>
      </c>
      <c r="E892" s="195" t="s">
        <v>19</v>
      </c>
      <c r="F892" s="196" t="s">
        <v>1977</v>
      </c>
      <c r="G892" s="193"/>
      <c r="H892" s="197">
        <v>1</v>
      </c>
      <c r="I892" s="198"/>
      <c r="J892" s="193"/>
      <c r="K892" s="193"/>
      <c r="L892" s="199"/>
      <c r="M892" s="200"/>
      <c r="N892" s="201"/>
      <c r="O892" s="201"/>
      <c r="P892" s="201"/>
      <c r="Q892" s="201"/>
      <c r="R892" s="201"/>
      <c r="S892" s="201"/>
      <c r="T892" s="202"/>
      <c r="AT892" s="203" t="s">
        <v>139</v>
      </c>
      <c r="AU892" s="203" t="s">
        <v>82</v>
      </c>
      <c r="AV892" s="13" t="s">
        <v>82</v>
      </c>
      <c r="AW892" s="13" t="s">
        <v>34</v>
      </c>
      <c r="AX892" s="13" t="s">
        <v>80</v>
      </c>
      <c r="AY892" s="203" t="s">
        <v>128</v>
      </c>
    </row>
    <row r="893" spans="1:65" s="2" customFormat="1" ht="24.15" customHeight="1">
      <c r="A893" s="35"/>
      <c r="B893" s="36"/>
      <c r="C893" s="174" t="s">
        <v>1978</v>
      </c>
      <c r="D893" s="174" t="s">
        <v>130</v>
      </c>
      <c r="E893" s="175" t="s">
        <v>1979</v>
      </c>
      <c r="F893" s="176" t="s">
        <v>1980</v>
      </c>
      <c r="G893" s="177" t="s">
        <v>426</v>
      </c>
      <c r="H893" s="225"/>
      <c r="I893" s="179"/>
      <c r="J893" s="180">
        <f>ROUND(I893*H893,2)</f>
        <v>0</v>
      </c>
      <c r="K893" s="176" t="s">
        <v>134</v>
      </c>
      <c r="L893" s="40"/>
      <c r="M893" s="181" t="s">
        <v>19</v>
      </c>
      <c r="N893" s="182" t="s">
        <v>43</v>
      </c>
      <c r="O893" s="65"/>
      <c r="P893" s="183">
        <f>O893*H893</f>
        <v>0</v>
      </c>
      <c r="Q893" s="183">
        <v>0</v>
      </c>
      <c r="R893" s="183">
        <f>Q893*H893</f>
        <v>0</v>
      </c>
      <c r="S893" s="183">
        <v>0</v>
      </c>
      <c r="T893" s="184">
        <f>S893*H893</f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185" t="s">
        <v>230</v>
      </c>
      <c r="AT893" s="185" t="s">
        <v>130</v>
      </c>
      <c r="AU893" s="185" t="s">
        <v>82</v>
      </c>
      <c r="AY893" s="18" t="s">
        <v>128</v>
      </c>
      <c r="BE893" s="186">
        <f>IF(N893="základní",J893,0)</f>
        <v>0</v>
      </c>
      <c r="BF893" s="186">
        <f>IF(N893="snížená",J893,0)</f>
        <v>0</v>
      </c>
      <c r="BG893" s="186">
        <f>IF(N893="zákl. přenesená",J893,0)</f>
        <v>0</v>
      </c>
      <c r="BH893" s="186">
        <f>IF(N893="sníž. přenesená",J893,0)</f>
        <v>0</v>
      </c>
      <c r="BI893" s="186">
        <f>IF(N893="nulová",J893,0)</f>
        <v>0</v>
      </c>
      <c r="BJ893" s="18" t="s">
        <v>80</v>
      </c>
      <c r="BK893" s="186">
        <f>ROUND(I893*H893,2)</f>
        <v>0</v>
      </c>
      <c r="BL893" s="18" t="s">
        <v>230</v>
      </c>
      <c r="BM893" s="185" t="s">
        <v>1981</v>
      </c>
    </row>
    <row r="894" spans="1:65" s="2" customFormat="1" ht="10">
      <c r="A894" s="35"/>
      <c r="B894" s="36"/>
      <c r="C894" s="37"/>
      <c r="D894" s="187" t="s">
        <v>137</v>
      </c>
      <c r="E894" s="37"/>
      <c r="F894" s="188" t="s">
        <v>1982</v>
      </c>
      <c r="G894" s="37"/>
      <c r="H894" s="37"/>
      <c r="I894" s="189"/>
      <c r="J894" s="37"/>
      <c r="K894" s="37"/>
      <c r="L894" s="40"/>
      <c r="M894" s="190"/>
      <c r="N894" s="191"/>
      <c r="O894" s="65"/>
      <c r="P894" s="65"/>
      <c r="Q894" s="65"/>
      <c r="R894" s="65"/>
      <c r="S894" s="65"/>
      <c r="T894" s="66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T894" s="18" t="s">
        <v>137</v>
      </c>
      <c r="AU894" s="18" t="s">
        <v>82</v>
      </c>
    </row>
    <row r="895" spans="1:65" s="12" customFormat="1" ht="22.75" customHeight="1">
      <c r="B895" s="158"/>
      <c r="C895" s="159"/>
      <c r="D895" s="160" t="s">
        <v>71</v>
      </c>
      <c r="E895" s="172" t="s">
        <v>1983</v>
      </c>
      <c r="F895" s="172" t="s">
        <v>1984</v>
      </c>
      <c r="G895" s="159"/>
      <c r="H895" s="159"/>
      <c r="I895" s="162"/>
      <c r="J895" s="173">
        <f>BK895</f>
        <v>0</v>
      </c>
      <c r="K895" s="159"/>
      <c r="L895" s="164"/>
      <c r="M895" s="165"/>
      <c r="N895" s="166"/>
      <c r="O895" s="166"/>
      <c r="P895" s="167">
        <f>SUM(P896:P1002)</f>
        <v>0</v>
      </c>
      <c r="Q895" s="166"/>
      <c r="R895" s="167">
        <f>SUM(R896:R1002)</f>
        <v>38.647991820000009</v>
      </c>
      <c r="S895" s="166"/>
      <c r="T895" s="168">
        <f>SUM(T896:T1002)</f>
        <v>0</v>
      </c>
      <c r="AR895" s="169" t="s">
        <v>82</v>
      </c>
      <c r="AT895" s="170" t="s">
        <v>71</v>
      </c>
      <c r="AU895" s="170" t="s">
        <v>80</v>
      </c>
      <c r="AY895" s="169" t="s">
        <v>128</v>
      </c>
      <c r="BK895" s="171">
        <f>SUM(BK896:BK1002)</f>
        <v>0</v>
      </c>
    </row>
    <row r="896" spans="1:65" s="2" customFormat="1" ht="24.15" customHeight="1">
      <c r="A896" s="35"/>
      <c r="B896" s="36"/>
      <c r="C896" s="174" t="s">
        <v>1985</v>
      </c>
      <c r="D896" s="174" t="s">
        <v>130</v>
      </c>
      <c r="E896" s="175" t="s">
        <v>1986</v>
      </c>
      <c r="F896" s="176" t="s">
        <v>1987</v>
      </c>
      <c r="G896" s="177" t="s">
        <v>133</v>
      </c>
      <c r="H896" s="178">
        <v>3.0529999999999999</v>
      </c>
      <c r="I896" s="179"/>
      <c r="J896" s="180">
        <f>ROUND(I896*H896,2)</f>
        <v>0</v>
      </c>
      <c r="K896" s="176" t="s">
        <v>134</v>
      </c>
      <c r="L896" s="40"/>
      <c r="M896" s="181" t="s">
        <v>19</v>
      </c>
      <c r="N896" s="182" t="s">
        <v>43</v>
      </c>
      <c r="O896" s="65"/>
      <c r="P896" s="183">
        <f>O896*H896</f>
        <v>0</v>
      </c>
      <c r="Q896" s="183">
        <v>3.3E-4</v>
      </c>
      <c r="R896" s="183">
        <f>Q896*H896</f>
        <v>1.00749E-3</v>
      </c>
      <c r="S896" s="183">
        <v>0</v>
      </c>
      <c r="T896" s="184">
        <f>S896*H896</f>
        <v>0</v>
      </c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R896" s="185" t="s">
        <v>230</v>
      </c>
      <c r="AT896" s="185" t="s">
        <v>130</v>
      </c>
      <c r="AU896" s="185" t="s">
        <v>82</v>
      </c>
      <c r="AY896" s="18" t="s">
        <v>128</v>
      </c>
      <c r="BE896" s="186">
        <f>IF(N896="základní",J896,0)</f>
        <v>0</v>
      </c>
      <c r="BF896" s="186">
        <f>IF(N896="snížená",J896,0)</f>
        <v>0</v>
      </c>
      <c r="BG896" s="186">
        <f>IF(N896="zákl. přenesená",J896,0)</f>
        <v>0</v>
      </c>
      <c r="BH896" s="186">
        <f>IF(N896="sníž. přenesená",J896,0)</f>
        <v>0</v>
      </c>
      <c r="BI896" s="186">
        <f>IF(N896="nulová",J896,0)</f>
        <v>0</v>
      </c>
      <c r="BJ896" s="18" t="s">
        <v>80</v>
      </c>
      <c r="BK896" s="186">
        <f>ROUND(I896*H896,2)</f>
        <v>0</v>
      </c>
      <c r="BL896" s="18" t="s">
        <v>230</v>
      </c>
      <c r="BM896" s="185" t="s">
        <v>1988</v>
      </c>
    </row>
    <row r="897" spans="1:65" s="2" customFormat="1" ht="10">
      <c r="A897" s="35"/>
      <c r="B897" s="36"/>
      <c r="C897" s="37"/>
      <c r="D897" s="187" t="s">
        <v>137</v>
      </c>
      <c r="E897" s="37"/>
      <c r="F897" s="188" t="s">
        <v>1989</v>
      </c>
      <c r="G897" s="37"/>
      <c r="H897" s="37"/>
      <c r="I897" s="189"/>
      <c r="J897" s="37"/>
      <c r="K897" s="37"/>
      <c r="L897" s="40"/>
      <c r="M897" s="190"/>
      <c r="N897" s="191"/>
      <c r="O897" s="65"/>
      <c r="P897" s="65"/>
      <c r="Q897" s="65"/>
      <c r="R897" s="65"/>
      <c r="S897" s="65"/>
      <c r="T897" s="66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T897" s="18" t="s">
        <v>137</v>
      </c>
      <c r="AU897" s="18" t="s">
        <v>82</v>
      </c>
    </row>
    <row r="898" spans="1:65" s="13" customFormat="1" ht="10">
      <c r="B898" s="192"/>
      <c r="C898" s="193"/>
      <c r="D898" s="194" t="s">
        <v>139</v>
      </c>
      <c r="E898" s="195" t="s">
        <v>19</v>
      </c>
      <c r="F898" s="196" t="s">
        <v>1990</v>
      </c>
      <c r="G898" s="193"/>
      <c r="H898" s="197">
        <v>3.0529999999999999</v>
      </c>
      <c r="I898" s="198"/>
      <c r="J898" s="193"/>
      <c r="K898" s="193"/>
      <c r="L898" s="199"/>
      <c r="M898" s="200"/>
      <c r="N898" s="201"/>
      <c r="O898" s="201"/>
      <c r="P898" s="201"/>
      <c r="Q898" s="201"/>
      <c r="R898" s="201"/>
      <c r="S898" s="201"/>
      <c r="T898" s="202"/>
      <c r="AT898" s="203" t="s">
        <v>139</v>
      </c>
      <c r="AU898" s="203" t="s">
        <v>82</v>
      </c>
      <c r="AV898" s="13" t="s">
        <v>82</v>
      </c>
      <c r="AW898" s="13" t="s">
        <v>34</v>
      </c>
      <c r="AX898" s="13" t="s">
        <v>80</v>
      </c>
      <c r="AY898" s="203" t="s">
        <v>128</v>
      </c>
    </row>
    <row r="899" spans="1:65" s="2" customFormat="1" ht="16.5" customHeight="1">
      <c r="A899" s="35"/>
      <c r="B899" s="36"/>
      <c r="C899" s="215" t="s">
        <v>1991</v>
      </c>
      <c r="D899" s="215" t="s">
        <v>414</v>
      </c>
      <c r="E899" s="216" t="s">
        <v>1992</v>
      </c>
      <c r="F899" s="217" t="s">
        <v>1993</v>
      </c>
      <c r="G899" s="218" t="s">
        <v>133</v>
      </c>
      <c r="H899" s="219">
        <v>3.0529999999999999</v>
      </c>
      <c r="I899" s="220"/>
      <c r="J899" s="221">
        <f>ROUND(I899*H899,2)</f>
        <v>0</v>
      </c>
      <c r="K899" s="217" t="s">
        <v>134</v>
      </c>
      <c r="L899" s="222"/>
      <c r="M899" s="223" t="s">
        <v>19</v>
      </c>
      <c r="N899" s="224" t="s">
        <v>43</v>
      </c>
      <c r="O899" s="65"/>
      <c r="P899" s="183">
        <f>O899*H899</f>
        <v>0</v>
      </c>
      <c r="Q899" s="183">
        <v>2.741E-2</v>
      </c>
      <c r="R899" s="183">
        <f>Q899*H899</f>
        <v>8.3682729999999997E-2</v>
      </c>
      <c r="S899" s="183">
        <v>0</v>
      </c>
      <c r="T899" s="184">
        <f>S899*H899</f>
        <v>0</v>
      </c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R899" s="185" t="s">
        <v>334</v>
      </c>
      <c r="AT899" s="185" t="s">
        <v>414</v>
      </c>
      <c r="AU899" s="185" t="s">
        <v>82</v>
      </c>
      <c r="AY899" s="18" t="s">
        <v>128</v>
      </c>
      <c r="BE899" s="186">
        <f>IF(N899="základní",J899,0)</f>
        <v>0</v>
      </c>
      <c r="BF899" s="186">
        <f>IF(N899="snížená",J899,0)</f>
        <v>0</v>
      </c>
      <c r="BG899" s="186">
        <f>IF(N899="zákl. přenesená",J899,0)</f>
        <v>0</v>
      </c>
      <c r="BH899" s="186">
        <f>IF(N899="sníž. přenesená",J899,0)</f>
        <v>0</v>
      </c>
      <c r="BI899" s="186">
        <f>IF(N899="nulová",J899,0)</f>
        <v>0</v>
      </c>
      <c r="BJ899" s="18" t="s">
        <v>80</v>
      </c>
      <c r="BK899" s="186">
        <f>ROUND(I899*H899,2)</f>
        <v>0</v>
      </c>
      <c r="BL899" s="18" t="s">
        <v>230</v>
      </c>
      <c r="BM899" s="185" t="s">
        <v>1994</v>
      </c>
    </row>
    <row r="900" spans="1:65" s="2" customFormat="1" ht="24.15" customHeight="1">
      <c r="A900" s="35"/>
      <c r="B900" s="36"/>
      <c r="C900" s="174" t="s">
        <v>1995</v>
      </c>
      <c r="D900" s="174" t="s">
        <v>130</v>
      </c>
      <c r="E900" s="175" t="s">
        <v>1996</v>
      </c>
      <c r="F900" s="176" t="s">
        <v>1997</v>
      </c>
      <c r="G900" s="177" t="s">
        <v>133</v>
      </c>
      <c r="H900" s="178">
        <v>8.64</v>
      </c>
      <c r="I900" s="179"/>
      <c r="J900" s="180">
        <f>ROUND(I900*H900,2)</f>
        <v>0</v>
      </c>
      <c r="K900" s="176" t="s">
        <v>134</v>
      </c>
      <c r="L900" s="40"/>
      <c r="M900" s="181" t="s">
        <v>19</v>
      </c>
      <c r="N900" s="182" t="s">
        <v>43</v>
      </c>
      <c r="O900" s="65"/>
      <c r="P900" s="183">
        <f>O900*H900</f>
        <v>0</v>
      </c>
      <c r="Q900" s="183">
        <v>2.7E-4</v>
      </c>
      <c r="R900" s="183">
        <f>Q900*H900</f>
        <v>2.3328000000000003E-3</v>
      </c>
      <c r="S900" s="183">
        <v>0</v>
      </c>
      <c r="T900" s="184">
        <f>S900*H900</f>
        <v>0</v>
      </c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R900" s="185" t="s">
        <v>230</v>
      </c>
      <c r="AT900" s="185" t="s">
        <v>130</v>
      </c>
      <c r="AU900" s="185" t="s">
        <v>82</v>
      </c>
      <c r="AY900" s="18" t="s">
        <v>128</v>
      </c>
      <c r="BE900" s="186">
        <f>IF(N900="základní",J900,0)</f>
        <v>0</v>
      </c>
      <c r="BF900" s="186">
        <f>IF(N900="snížená",J900,0)</f>
        <v>0</v>
      </c>
      <c r="BG900" s="186">
        <f>IF(N900="zákl. přenesená",J900,0)</f>
        <v>0</v>
      </c>
      <c r="BH900" s="186">
        <f>IF(N900="sníž. přenesená",J900,0)</f>
        <v>0</v>
      </c>
      <c r="BI900" s="186">
        <f>IF(N900="nulová",J900,0)</f>
        <v>0</v>
      </c>
      <c r="BJ900" s="18" t="s">
        <v>80</v>
      </c>
      <c r="BK900" s="186">
        <f>ROUND(I900*H900,2)</f>
        <v>0</v>
      </c>
      <c r="BL900" s="18" t="s">
        <v>230</v>
      </c>
      <c r="BM900" s="185" t="s">
        <v>1998</v>
      </c>
    </row>
    <row r="901" spans="1:65" s="2" customFormat="1" ht="10">
      <c r="A901" s="35"/>
      <c r="B901" s="36"/>
      <c r="C901" s="37"/>
      <c r="D901" s="187" t="s">
        <v>137</v>
      </c>
      <c r="E901" s="37"/>
      <c r="F901" s="188" t="s">
        <v>1999</v>
      </c>
      <c r="G901" s="37"/>
      <c r="H901" s="37"/>
      <c r="I901" s="189"/>
      <c r="J901" s="37"/>
      <c r="K901" s="37"/>
      <c r="L901" s="40"/>
      <c r="M901" s="190"/>
      <c r="N901" s="191"/>
      <c r="O901" s="65"/>
      <c r="P901" s="65"/>
      <c r="Q901" s="65"/>
      <c r="R901" s="65"/>
      <c r="S901" s="65"/>
      <c r="T901" s="66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T901" s="18" t="s">
        <v>137</v>
      </c>
      <c r="AU901" s="18" t="s">
        <v>82</v>
      </c>
    </row>
    <row r="902" spans="1:65" s="13" customFormat="1" ht="10">
      <c r="B902" s="192"/>
      <c r="C902" s="193"/>
      <c r="D902" s="194" t="s">
        <v>139</v>
      </c>
      <c r="E902" s="195" t="s">
        <v>19</v>
      </c>
      <c r="F902" s="196" t="s">
        <v>2000</v>
      </c>
      <c r="G902" s="193"/>
      <c r="H902" s="197">
        <v>8.64</v>
      </c>
      <c r="I902" s="198"/>
      <c r="J902" s="193"/>
      <c r="K902" s="193"/>
      <c r="L902" s="199"/>
      <c r="M902" s="200"/>
      <c r="N902" s="201"/>
      <c r="O902" s="201"/>
      <c r="P902" s="201"/>
      <c r="Q902" s="201"/>
      <c r="R902" s="201"/>
      <c r="S902" s="201"/>
      <c r="T902" s="202"/>
      <c r="AT902" s="203" t="s">
        <v>139</v>
      </c>
      <c r="AU902" s="203" t="s">
        <v>82</v>
      </c>
      <c r="AV902" s="13" t="s">
        <v>82</v>
      </c>
      <c r="AW902" s="13" t="s">
        <v>34</v>
      </c>
      <c r="AX902" s="13" t="s">
        <v>80</v>
      </c>
      <c r="AY902" s="203" t="s">
        <v>128</v>
      </c>
    </row>
    <row r="903" spans="1:65" s="2" customFormat="1" ht="16.5" customHeight="1">
      <c r="A903" s="35"/>
      <c r="B903" s="36"/>
      <c r="C903" s="215" t="s">
        <v>2001</v>
      </c>
      <c r="D903" s="215" t="s">
        <v>414</v>
      </c>
      <c r="E903" s="216" t="s">
        <v>1992</v>
      </c>
      <c r="F903" s="217" t="s">
        <v>1993</v>
      </c>
      <c r="G903" s="218" t="s">
        <v>133</v>
      </c>
      <c r="H903" s="219">
        <v>8.64</v>
      </c>
      <c r="I903" s="220"/>
      <c r="J903" s="221">
        <f>ROUND(I903*H903,2)</f>
        <v>0</v>
      </c>
      <c r="K903" s="217" t="s">
        <v>134</v>
      </c>
      <c r="L903" s="222"/>
      <c r="M903" s="223" t="s">
        <v>19</v>
      </c>
      <c r="N903" s="224" t="s">
        <v>43</v>
      </c>
      <c r="O903" s="65"/>
      <c r="P903" s="183">
        <f>O903*H903</f>
        <v>0</v>
      </c>
      <c r="Q903" s="183">
        <v>2.741E-2</v>
      </c>
      <c r="R903" s="183">
        <f>Q903*H903</f>
        <v>0.23682240000000002</v>
      </c>
      <c r="S903" s="183">
        <v>0</v>
      </c>
      <c r="T903" s="184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185" t="s">
        <v>334</v>
      </c>
      <c r="AT903" s="185" t="s">
        <v>414</v>
      </c>
      <c r="AU903" s="185" t="s">
        <v>82</v>
      </c>
      <c r="AY903" s="18" t="s">
        <v>128</v>
      </c>
      <c r="BE903" s="186">
        <f>IF(N903="základní",J903,0)</f>
        <v>0</v>
      </c>
      <c r="BF903" s="186">
        <f>IF(N903="snížená",J903,0)</f>
        <v>0</v>
      </c>
      <c r="BG903" s="186">
        <f>IF(N903="zákl. přenesená",J903,0)</f>
        <v>0</v>
      </c>
      <c r="BH903" s="186">
        <f>IF(N903="sníž. přenesená",J903,0)</f>
        <v>0</v>
      </c>
      <c r="BI903" s="186">
        <f>IF(N903="nulová",J903,0)</f>
        <v>0</v>
      </c>
      <c r="BJ903" s="18" t="s">
        <v>80</v>
      </c>
      <c r="BK903" s="186">
        <f>ROUND(I903*H903,2)</f>
        <v>0</v>
      </c>
      <c r="BL903" s="18" t="s">
        <v>230</v>
      </c>
      <c r="BM903" s="185" t="s">
        <v>2002</v>
      </c>
    </row>
    <row r="904" spans="1:65" s="2" customFormat="1" ht="24.15" customHeight="1">
      <c r="A904" s="35"/>
      <c r="B904" s="36"/>
      <c r="C904" s="174" t="s">
        <v>2003</v>
      </c>
      <c r="D904" s="174" t="s">
        <v>130</v>
      </c>
      <c r="E904" s="175" t="s">
        <v>2004</v>
      </c>
      <c r="F904" s="176" t="s">
        <v>2005</v>
      </c>
      <c r="G904" s="177" t="s">
        <v>258</v>
      </c>
      <c r="H904" s="178">
        <v>35.200000000000003</v>
      </c>
      <c r="I904" s="179"/>
      <c r="J904" s="180">
        <f>ROUND(I904*H904,2)</f>
        <v>0</v>
      </c>
      <c r="K904" s="176" t="s">
        <v>134</v>
      </c>
      <c r="L904" s="40"/>
      <c r="M904" s="181" t="s">
        <v>19</v>
      </c>
      <c r="N904" s="182" t="s">
        <v>43</v>
      </c>
      <c r="O904" s="65"/>
      <c r="P904" s="183">
        <f>O904*H904</f>
        <v>0</v>
      </c>
      <c r="Q904" s="183">
        <v>6.0000000000000002E-5</v>
      </c>
      <c r="R904" s="183">
        <f>Q904*H904</f>
        <v>2.1120000000000002E-3</v>
      </c>
      <c r="S904" s="183">
        <v>0</v>
      </c>
      <c r="T904" s="184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185" t="s">
        <v>230</v>
      </c>
      <c r="AT904" s="185" t="s">
        <v>130</v>
      </c>
      <c r="AU904" s="185" t="s">
        <v>82</v>
      </c>
      <c r="AY904" s="18" t="s">
        <v>128</v>
      </c>
      <c r="BE904" s="186">
        <f>IF(N904="základní",J904,0)</f>
        <v>0</v>
      </c>
      <c r="BF904" s="186">
        <f>IF(N904="snížená",J904,0)</f>
        <v>0</v>
      </c>
      <c r="BG904" s="186">
        <f>IF(N904="zákl. přenesená",J904,0)</f>
        <v>0</v>
      </c>
      <c r="BH904" s="186">
        <f>IF(N904="sníž. přenesená",J904,0)</f>
        <v>0</v>
      </c>
      <c r="BI904" s="186">
        <f>IF(N904="nulová",J904,0)</f>
        <v>0</v>
      </c>
      <c r="BJ904" s="18" t="s">
        <v>80</v>
      </c>
      <c r="BK904" s="186">
        <f>ROUND(I904*H904,2)</f>
        <v>0</v>
      </c>
      <c r="BL904" s="18" t="s">
        <v>230</v>
      </c>
      <c r="BM904" s="185" t="s">
        <v>2006</v>
      </c>
    </row>
    <row r="905" spans="1:65" s="2" customFormat="1" ht="10">
      <c r="A905" s="35"/>
      <c r="B905" s="36"/>
      <c r="C905" s="37"/>
      <c r="D905" s="187" t="s">
        <v>137</v>
      </c>
      <c r="E905" s="37"/>
      <c r="F905" s="188" t="s">
        <v>2007</v>
      </c>
      <c r="G905" s="37"/>
      <c r="H905" s="37"/>
      <c r="I905" s="189"/>
      <c r="J905" s="37"/>
      <c r="K905" s="37"/>
      <c r="L905" s="40"/>
      <c r="M905" s="190"/>
      <c r="N905" s="191"/>
      <c r="O905" s="65"/>
      <c r="P905" s="65"/>
      <c r="Q905" s="65"/>
      <c r="R905" s="65"/>
      <c r="S905" s="65"/>
      <c r="T905" s="66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T905" s="18" t="s">
        <v>137</v>
      </c>
      <c r="AU905" s="18" t="s">
        <v>82</v>
      </c>
    </row>
    <row r="906" spans="1:65" s="13" customFormat="1" ht="10">
      <c r="B906" s="192"/>
      <c r="C906" s="193"/>
      <c r="D906" s="194" t="s">
        <v>139</v>
      </c>
      <c r="E906" s="195" t="s">
        <v>19</v>
      </c>
      <c r="F906" s="196" t="s">
        <v>2008</v>
      </c>
      <c r="G906" s="193"/>
      <c r="H906" s="197">
        <v>7</v>
      </c>
      <c r="I906" s="198"/>
      <c r="J906" s="193"/>
      <c r="K906" s="193"/>
      <c r="L906" s="199"/>
      <c r="M906" s="200"/>
      <c r="N906" s="201"/>
      <c r="O906" s="201"/>
      <c r="P906" s="201"/>
      <c r="Q906" s="201"/>
      <c r="R906" s="201"/>
      <c r="S906" s="201"/>
      <c r="T906" s="202"/>
      <c r="AT906" s="203" t="s">
        <v>139</v>
      </c>
      <c r="AU906" s="203" t="s">
        <v>82</v>
      </c>
      <c r="AV906" s="13" t="s">
        <v>82</v>
      </c>
      <c r="AW906" s="13" t="s">
        <v>34</v>
      </c>
      <c r="AX906" s="13" t="s">
        <v>72</v>
      </c>
      <c r="AY906" s="203" t="s">
        <v>128</v>
      </c>
    </row>
    <row r="907" spans="1:65" s="13" customFormat="1" ht="10">
      <c r="B907" s="192"/>
      <c r="C907" s="193"/>
      <c r="D907" s="194" t="s">
        <v>139</v>
      </c>
      <c r="E907" s="195" t="s">
        <v>19</v>
      </c>
      <c r="F907" s="196" t="s">
        <v>2009</v>
      </c>
      <c r="G907" s="193"/>
      <c r="H907" s="197">
        <v>21.6</v>
      </c>
      <c r="I907" s="198"/>
      <c r="J907" s="193"/>
      <c r="K907" s="193"/>
      <c r="L907" s="199"/>
      <c r="M907" s="200"/>
      <c r="N907" s="201"/>
      <c r="O907" s="201"/>
      <c r="P907" s="201"/>
      <c r="Q907" s="201"/>
      <c r="R907" s="201"/>
      <c r="S907" s="201"/>
      <c r="T907" s="202"/>
      <c r="AT907" s="203" t="s">
        <v>139</v>
      </c>
      <c r="AU907" s="203" t="s">
        <v>82</v>
      </c>
      <c r="AV907" s="13" t="s">
        <v>82</v>
      </c>
      <c r="AW907" s="13" t="s">
        <v>34</v>
      </c>
      <c r="AX907" s="13" t="s">
        <v>72</v>
      </c>
      <c r="AY907" s="203" t="s">
        <v>128</v>
      </c>
    </row>
    <row r="908" spans="1:65" s="13" customFormat="1" ht="10">
      <c r="B908" s="192"/>
      <c r="C908" s="193"/>
      <c r="D908" s="194" t="s">
        <v>139</v>
      </c>
      <c r="E908" s="195" t="s">
        <v>19</v>
      </c>
      <c r="F908" s="196" t="s">
        <v>2010</v>
      </c>
      <c r="G908" s="193"/>
      <c r="H908" s="197">
        <v>6.6</v>
      </c>
      <c r="I908" s="198"/>
      <c r="J908" s="193"/>
      <c r="K908" s="193"/>
      <c r="L908" s="199"/>
      <c r="M908" s="200"/>
      <c r="N908" s="201"/>
      <c r="O908" s="201"/>
      <c r="P908" s="201"/>
      <c r="Q908" s="201"/>
      <c r="R908" s="201"/>
      <c r="S908" s="201"/>
      <c r="T908" s="202"/>
      <c r="AT908" s="203" t="s">
        <v>139</v>
      </c>
      <c r="AU908" s="203" t="s">
        <v>82</v>
      </c>
      <c r="AV908" s="13" t="s">
        <v>82</v>
      </c>
      <c r="AW908" s="13" t="s">
        <v>34</v>
      </c>
      <c r="AX908" s="13" t="s">
        <v>72</v>
      </c>
      <c r="AY908" s="203" t="s">
        <v>128</v>
      </c>
    </row>
    <row r="909" spans="1:65" s="14" customFormat="1" ht="10">
      <c r="B909" s="204"/>
      <c r="C909" s="205"/>
      <c r="D909" s="194" t="s">
        <v>139</v>
      </c>
      <c r="E909" s="206" t="s">
        <v>19</v>
      </c>
      <c r="F909" s="207" t="s">
        <v>153</v>
      </c>
      <c r="G909" s="205"/>
      <c r="H909" s="208">
        <v>35.200000000000003</v>
      </c>
      <c r="I909" s="209"/>
      <c r="J909" s="205"/>
      <c r="K909" s="205"/>
      <c r="L909" s="210"/>
      <c r="M909" s="211"/>
      <c r="N909" s="212"/>
      <c r="O909" s="212"/>
      <c r="P909" s="212"/>
      <c r="Q909" s="212"/>
      <c r="R909" s="212"/>
      <c r="S909" s="212"/>
      <c r="T909" s="213"/>
      <c r="AT909" s="214" t="s">
        <v>139</v>
      </c>
      <c r="AU909" s="214" t="s">
        <v>82</v>
      </c>
      <c r="AV909" s="14" t="s">
        <v>135</v>
      </c>
      <c r="AW909" s="14" t="s">
        <v>34</v>
      </c>
      <c r="AX909" s="14" t="s">
        <v>80</v>
      </c>
      <c r="AY909" s="214" t="s">
        <v>128</v>
      </c>
    </row>
    <row r="910" spans="1:65" s="2" customFormat="1" ht="24.15" customHeight="1">
      <c r="A910" s="35"/>
      <c r="B910" s="36"/>
      <c r="C910" s="174" t="s">
        <v>2011</v>
      </c>
      <c r="D910" s="174" t="s">
        <v>130</v>
      </c>
      <c r="E910" s="175" t="s">
        <v>2012</v>
      </c>
      <c r="F910" s="176" t="s">
        <v>2013</v>
      </c>
      <c r="G910" s="177" t="s">
        <v>258</v>
      </c>
      <c r="H910" s="178">
        <v>35.200000000000003</v>
      </c>
      <c r="I910" s="179"/>
      <c r="J910" s="180">
        <f>ROUND(I910*H910,2)</f>
        <v>0</v>
      </c>
      <c r="K910" s="176" t="s">
        <v>134</v>
      </c>
      <c r="L910" s="40"/>
      <c r="M910" s="181" t="s">
        <v>19</v>
      </c>
      <c r="N910" s="182" t="s">
        <v>43</v>
      </c>
      <c r="O910" s="65"/>
      <c r="P910" s="183">
        <f>O910*H910</f>
        <v>0</v>
      </c>
      <c r="Q910" s="183">
        <v>6.9999999999999994E-5</v>
      </c>
      <c r="R910" s="183">
        <f>Q910*H910</f>
        <v>2.464E-3</v>
      </c>
      <c r="S910" s="183">
        <v>0</v>
      </c>
      <c r="T910" s="184">
        <f>S910*H910</f>
        <v>0</v>
      </c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R910" s="185" t="s">
        <v>230</v>
      </c>
      <c r="AT910" s="185" t="s">
        <v>130</v>
      </c>
      <c r="AU910" s="185" t="s">
        <v>82</v>
      </c>
      <c r="AY910" s="18" t="s">
        <v>128</v>
      </c>
      <c r="BE910" s="186">
        <f>IF(N910="základní",J910,0)</f>
        <v>0</v>
      </c>
      <c r="BF910" s="186">
        <f>IF(N910="snížená",J910,0)</f>
        <v>0</v>
      </c>
      <c r="BG910" s="186">
        <f>IF(N910="zákl. přenesená",J910,0)</f>
        <v>0</v>
      </c>
      <c r="BH910" s="186">
        <f>IF(N910="sníž. přenesená",J910,0)</f>
        <v>0</v>
      </c>
      <c r="BI910" s="186">
        <f>IF(N910="nulová",J910,0)</f>
        <v>0</v>
      </c>
      <c r="BJ910" s="18" t="s">
        <v>80</v>
      </c>
      <c r="BK910" s="186">
        <f>ROUND(I910*H910,2)</f>
        <v>0</v>
      </c>
      <c r="BL910" s="18" t="s">
        <v>230</v>
      </c>
      <c r="BM910" s="185" t="s">
        <v>2014</v>
      </c>
    </row>
    <row r="911" spans="1:65" s="2" customFormat="1" ht="10">
      <c r="A911" s="35"/>
      <c r="B911" s="36"/>
      <c r="C911" s="37"/>
      <c r="D911" s="187" t="s">
        <v>137</v>
      </c>
      <c r="E911" s="37"/>
      <c r="F911" s="188" t="s">
        <v>2015</v>
      </c>
      <c r="G911" s="37"/>
      <c r="H911" s="37"/>
      <c r="I911" s="189"/>
      <c r="J911" s="37"/>
      <c r="K911" s="37"/>
      <c r="L911" s="40"/>
      <c r="M911" s="190"/>
      <c r="N911" s="191"/>
      <c r="O911" s="65"/>
      <c r="P911" s="65"/>
      <c r="Q911" s="65"/>
      <c r="R911" s="65"/>
      <c r="S911" s="65"/>
      <c r="T911" s="66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T911" s="18" t="s">
        <v>137</v>
      </c>
      <c r="AU911" s="18" t="s">
        <v>82</v>
      </c>
    </row>
    <row r="912" spans="1:65" s="13" customFormat="1" ht="10">
      <c r="B912" s="192"/>
      <c r="C912" s="193"/>
      <c r="D912" s="194" t="s">
        <v>139</v>
      </c>
      <c r="E912" s="195" t="s">
        <v>19</v>
      </c>
      <c r="F912" s="196" t="s">
        <v>2008</v>
      </c>
      <c r="G912" s="193"/>
      <c r="H912" s="197">
        <v>7</v>
      </c>
      <c r="I912" s="198"/>
      <c r="J912" s="193"/>
      <c r="K912" s="193"/>
      <c r="L912" s="199"/>
      <c r="M912" s="200"/>
      <c r="N912" s="201"/>
      <c r="O912" s="201"/>
      <c r="P912" s="201"/>
      <c r="Q912" s="201"/>
      <c r="R912" s="201"/>
      <c r="S912" s="201"/>
      <c r="T912" s="202"/>
      <c r="AT912" s="203" t="s">
        <v>139</v>
      </c>
      <c r="AU912" s="203" t="s">
        <v>82</v>
      </c>
      <c r="AV912" s="13" t="s">
        <v>82</v>
      </c>
      <c r="AW912" s="13" t="s">
        <v>34</v>
      </c>
      <c r="AX912" s="13" t="s">
        <v>72</v>
      </c>
      <c r="AY912" s="203" t="s">
        <v>128</v>
      </c>
    </row>
    <row r="913" spans="1:65" s="13" customFormat="1" ht="10">
      <c r="B913" s="192"/>
      <c r="C913" s="193"/>
      <c r="D913" s="194" t="s">
        <v>139</v>
      </c>
      <c r="E913" s="195" t="s">
        <v>19</v>
      </c>
      <c r="F913" s="196" t="s">
        <v>2009</v>
      </c>
      <c r="G913" s="193"/>
      <c r="H913" s="197">
        <v>21.6</v>
      </c>
      <c r="I913" s="198"/>
      <c r="J913" s="193"/>
      <c r="K913" s="193"/>
      <c r="L913" s="199"/>
      <c r="M913" s="200"/>
      <c r="N913" s="201"/>
      <c r="O913" s="201"/>
      <c r="P913" s="201"/>
      <c r="Q913" s="201"/>
      <c r="R913" s="201"/>
      <c r="S913" s="201"/>
      <c r="T913" s="202"/>
      <c r="AT913" s="203" t="s">
        <v>139</v>
      </c>
      <c r="AU913" s="203" t="s">
        <v>82</v>
      </c>
      <c r="AV913" s="13" t="s">
        <v>82</v>
      </c>
      <c r="AW913" s="13" t="s">
        <v>34</v>
      </c>
      <c r="AX913" s="13" t="s">
        <v>72</v>
      </c>
      <c r="AY913" s="203" t="s">
        <v>128</v>
      </c>
    </row>
    <row r="914" spans="1:65" s="13" customFormat="1" ht="10">
      <c r="B914" s="192"/>
      <c r="C914" s="193"/>
      <c r="D914" s="194" t="s">
        <v>139</v>
      </c>
      <c r="E914" s="195" t="s">
        <v>19</v>
      </c>
      <c r="F914" s="196" t="s">
        <v>2010</v>
      </c>
      <c r="G914" s="193"/>
      <c r="H914" s="197">
        <v>6.6</v>
      </c>
      <c r="I914" s="198"/>
      <c r="J914" s="193"/>
      <c r="K914" s="193"/>
      <c r="L914" s="199"/>
      <c r="M914" s="200"/>
      <c r="N914" s="201"/>
      <c r="O914" s="201"/>
      <c r="P914" s="201"/>
      <c r="Q914" s="201"/>
      <c r="R914" s="201"/>
      <c r="S914" s="201"/>
      <c r="T914" s="202"/>
      <c r="AT914" s="203" t="s">
        <v>139</v>
      </c>
      <c r="AU914" s="203" t="s">
        <v>82</v>
      </c>
      <c r="AV914" s="13" t="s">
        <v>82</v>
      </c>
      <c r="AW914" s="13" t="s">
        <v>34</v>
      </c>
      <c r="AX914" s="13" t="s">
        <v>72</v>
      </c>
      <c r="AY914" s="203" t="s">
        <v>128</v>
      </c>
    </row>
    <row r="915" spans="1:65" s="14" customFormat="1" ht="10">
      <c r="B915" s="204"/>
      <c r="C915" s="205"/>
      <c r="D915" s="194" t="s">
        <v>139</v>
      </c>
      <c r="E915" s="206" t="s">
        <v>19</v>
      </c>
      <c r="F915" s="207" t="s">
        <v>153</v>
      </c>
      <c r="G915" s="205"/>
      <c r="H915" s="208">
        <v>35.200000000000003</v>
      </c>
      <c r="I915" s="209"/>
      <c r="J915" s="205"/>
      <c r="K915" s="205"/>
      <c r="L915" s="210"/>
      <c r="M915" s="211"/>
      <c r="N915" s="212"/>
      <c r="O915" s="212"/>
      <c r="P915" s="212"/>
      <c r="Q915" s="212"/>
      <c r="R915" s="212"/>
      <c r="S915" s="212"/>
      <c r="T915" s="213"/>
      <c r="AT915" s="214" t="s">
        <v>139</v>
      </c>
      <c r="AU915" s="214" t="s">
        <v>82</v>
      </c>
      <c r="AV915" s="14" t="s">
        <v>135</v>
      </c>
      <c r="AW915" s="14" t="s">
        <v>34</v>
      </c>
      <c r="AX915" s="14" t="s">
        <v>80</v>
      </c>
      <c r="AY915" s="214" t="s">
        <v>128</v>
      </c>
    </row>
    <row r="916" spans="1:65" s="2" customFormat="1" ht="16.5" customHeight="1">
      <c r="A916" s="35"/>
      <c r="B916" s="36"/>
      <c r="C916" s="174" t="s">
        <v>2016</v>
      </c>
      <c r="D916" s="174" t="s">
        <v>130</v>
      </c>
      <c r="E916" s="175" t="s">
        <v>2017</v>
      </c>
      <c r="F916" s="176" t="s">
        <v>2018</v>
      </c>
      <c r="G916" s="177" t="s">
        <v>2019</v>
      </c>
      <c r="H916" s="178">
        <v>1827.84</v>
      </c>
      <c r="I916" s="179"/>
      <c r="J916" s="180">
        <f>ROUND(I916*H916,2)</f>
        <v>0</v>
      </c>
      <c r="K916" s="176" t="s">
        <v>134</v>
      </c>
      <c r="L916" s="40"/>
      <c r="M916" s="181" t="s">
        <v>19</v>
      </c>
      <c r="N916" s="182" t="s">
        <v>43</v>
      </c>
      <c r="O916" s="65"/>
      <c r="P916" s="183">
        <f>O916*H916</f>
        <v>0</v>
      </c>
      <c r="Q916" s="183">
        <v>6.0000000000000002E-5</v>
      </c>
      <c r="R916" s="183">
        <f>Q916*H916</f>
        <v>0.1096704</v>
      </c>
      <c r="S916" s="183">
        <v>0</v>
      </c>
      <c r="T916" s="184">
        <f>S916*H916</f>
        <v>0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185" t="s">
        <v>230</v>
      </c>
      <c r="AT916" s="185" t="s">
        <v>130</v>
      </c>
      <c r="AU916" s="185" t="s">
        <v>82</v>
      </c>
      <c r="AY916" s="18" t="s">
        <v>128</v>
      </c>
      <c r="BE916" s="186">
        <f>IF(N916="základní",J916,0)</f>
        <v>0</v>
      </c>
      <c r="BF916" s="186">
        <f>IF(N916="snížená",J916,0)</f>
        <v>0</v>
      </c>
      <c r="BG916" s="186">
        <f>IF(N916="zákl. přenesená",J916,0)</f>
        <v>0</v>
      </c>
      <c r="BH916" s="186">
        <f>IF(N916="sníž. přenesená",J916,0)</f>
        <v>0</v>
      </c>
      <c r="BI916" s="186">
        <f>IF(N916="nulová",J916,0)</f>
        <v>0</v>
      </c>
      <c r="BJ916" s="18" t="s">
        <v>80</v>
      </c>
      <c r="BK916" s="186">
        <f>ROUND(I916*H916,2)</f>
        <v>0</v>
      </c>
      <c r="BL916" s="18" t="s">
        <v>230</v>
      </c>
      <c r="BM916" s="185" t="s">
        <v>2020</v>
      </c>
    </row>
    <row r="917" spans="1:65" s="2" customFormat="1" ht="10">
      <c r="A917" s="35"/>
      <c r="B917" s="36"/>
      <c r="C917" s="37"/>
      <c r="D917" s="187" t="s">
        <v>137</v>
      </c>
      <c r="E917" s="37"/>
      <c r="F917" s="188" t="s">
        <v>2021</v>
      </c>
      <c r="G917" s="37"/>
      <c r="H917" s="37"/>
      <c r="I917" s="189"/>
      <c r="J917" s="37"/>
      <c r="K917" s="37"/>
      <c r="L917" s="40"/>
      <c r="M917" s="190"/>
      <c r="N917" s="191"/>
      <c r="O917" s="65"/>
      <c r="P917" s="65"/>
      <c r="Q917" s="65"/>
      <c r="R917" s="65"/>
      <c r="S917" s="65"/>
      <c r="T917" s="66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T917" s="18" t="s">
        <v>137</v>
      </c>
      <c r="AU917" s="18" t="s">
        <v>82</v>
      </c>
    </row>
    <row r="918" spans="1:65" s="13" customFormat="1" ht="10">
      <c r="B918" s="192"/>
      <c r="C918" s="193"/>
      <c r="D918" s="194" t="s">
        <v>139</v>
      </c>
      <c r="E918" s="195" t="s">
        <v>19</v>
      </c>
      <c r="F918" s="196" t="s">
        <v>2022</v>
      </c>
      <c r="G918" s="193"/>
      <c r="H918" s="197">
        <v>919.8</v>
      </c>
      <c r="I918" s="198"/>
      <c r="J918" s="193"/>
      <c r="K918" s="193"/>
      <c r="L918" s="199"/>
      <c r="M918" s="200"/>
      <c r="N918" s="201"/>
      <c r="O918" s="201"/>
      <c r="P918" s="201"/>
      <c r="Q918" s="201"/>
      <c r="R918" s="201"/>
      <c r="S918" s="201"/>
      <c r="T918" s="202"/>
      <c r="AT918" s="203" t="s">
        <v>139</v>
      </c>
      <c r="AU918" s="203" t="s">
        <v>82</v>
      </c>
      <c r="AV918" s="13" t="s">
        <v>82</v>
      </c>
      <c r="AW918" s="13" t="s">
        <v>34</v>
      </c>
      <c r="AX918" s="13" t="s">
        <v>72</v>
      </c>
      <c r="AY918" s="203" t="s">
        <v>128</v>
      </c>
    </row>
    <row r="919" spans="1:65" s="13" customFormat="1" ht="10">
      <c r="B919" s="192"/>
      <c r="C919" s="193"/>
      <c r="D919" s="194" t="s">
        <v>139</v>
      </c>
      <c r="E919" s="195" t="s">
        <v>19</v>
      </c>
      <c r="F919" s="196" t="s">
        <v>2023</v>
      </c>
      <c r="G919" s="193"/>
      <c r="H919" s="197">
        <v>908.04</v>
      </c>
      <c r="I919" s="198"/>
      <c r="J919" s="193"/>
      <c r="K919" s="193"/>
      <c r="L919" s="199"/>
      <c r="M919" s="200"/>
      <c r="N919" s="201"/>
      <c r="O919" s="201"/>
      <c r="P919" s="201"/>
      <c r="Q919" s="201"/>
      <c r="R919" s="201"/>
      <c r="S919" s="201"/>
      <c r="T919" s="202"/>
      <c r="AT919" s="203" t="s">
        <v>139</v>
      </c>
      <c r="AU919" s="203" t="s">
        <v>82</v>
      </c>
      <c r="AV919" s="13" t="s">
        <v>82</v>
      </c>
      <c r="AW919" s="13" t="s">
        <v>34</v>
      </c>
      <c r="AX919" s="13" t="s">
        <v>72</v>
      </c>
      <c r="AY919" s="203" t="s">
        <v>128</v>
      </c>
    </row>
    <row r="920" spans="1:65" s="14" customFormat="1" ht="10">
      <c r="B920" s="204"/>
      <c r="C920" s="205"/>
      <c r="D920" s="194" t="s">
        <v>139</v>
      </c>
      <c r="E920" s="206" t="s">
        <v>19</v>
      </c>
      <c r="F920" s="207" t="s">
        <v>153</v>
      </c>
      <c r="G920" s="205"/>
      <c r="H920" s="208">
        <v>1827.84</v>
      </c>
      <c r="I920" s="209"/>
      <c r="J920" s="205"/>
      <c r="K920" s="205"/>
      <c r="L920" s="210"/>
      <c r="M920" s="211"/>
      <c r="N920" s="212"/>
      <c r="O920" s="212"/>
      <c r="P920" s="212"/>
      <c r="Q920" s="212"/>
      <c r="R920" s="212"/>
      <c r="S920" s="212"/>
      <c r="T920" s="213"/>
      <c r="AT920" s="214" t="s">
        <v>139</v>
      </c>
      <c r="AU920" s="214" t="s">
        <v>82</v>
      </c>
      <c r="AV920" s="14" t="s">
        <v>135</v>
      </c>
      <c r="AW920" s="14" t="s">
        <v>34</v>
      </c>
      <c r="AX920" s="14" t="s">
        <v>80</v>
      </c>
      <c r="AY920" s="214" t="s">
        <v>128</v>
      </c>
    </row>
    <row r="921" spans="1:65" s="2" customFormat="1" ht="16.5" customHeight="1">
      <c r="A921" s="35"/>
      <c r="B921" s="36"/>
      <c r="C921" s="215" t="s">
        <v>2024</v>
      </c>
      <c r="D921" s="215" t="s">
        <v>414</v>
      </c>
      <c r="E921" s="216" t="s">
        <v>2025</v>
      </c>
      <c r="F921" s="217" t="s">
        <v>2026</v>
      </c>
      <c r="G921" s="218" t="s">
        <v>174</v>
      </c>
      <c r="H921" s="219">
        <v>1.012</v>
      </c>
      <c r="I921" s="220"/>
      <c r="J921" s="221">
        <f>ROUND(I921*H921,2)</f>
        <v>0</v>
      </c>
      <c r="K921" s="217" t="s">
        <v>134</v>
      </c>
      <c r="L921" s="222"/>
      <c r="M921" s="223" t="s">
        <v>19</v>
      </c>
      <c r="N921" s="224" t="s">
        <v>43</v>
      </c>
      <c r="O921" s="65"/>
      <c r="P921" s="183">
        <f>O921*H921</f>
        <v>0</v>
      </c>
      <c r="Q921" s="183">
        <v>1</v>
      </c>
      <c r="R921" s="183">
        <f>Q921*H921</f>
        <v>1.012</v>
      </c>
      <c r="S921" s="183">
        <v>0</v>
      </c>
      <c r="T921" s="184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185" t="s">
        <v>334</v>
      </c>
      <c r="AT921" s="185" t="s">
        <v>414</v>
      </c>
      <c r="AU921" s="185" t="s">
        <v>82</v>
      </c>
      <c r="AY921" s="18" t="s">
        <v>128</v>
      </c>
      <c r="BE921" s="186">
        <f>IF(N921="základní",J921,0)</f>
        <v>0</v>
      </c>
      <c r="BF921" s="186">
        <f>IF(N921="snížená",J921,0)</f>
        <v>0</v>
      </c>
      <c r="BG921" s="186">
        <f>IF(N921="zákl. přenesená",J921,0)</f>
        <v>0</v>
      </c>
      <c r="BH921" s="186">
        <f>IF(N921="sníž. přenesená",J921,0)</f>
        <v>0</v>
      </c>
      <c r="BI921" s="186">
        <f>IF(N921="nulová",J921,0)</f>
        <v>0</v>
      </c>
      <c r="BJ921" s="18" t="s">
        <v>80</v>
      </c>
      <c r="BK921" s="186">
        <f>ROUND(I921*H921,2)</f>
        <v>0</v>
      </c>
      <c r="BL921" s="18" t="s">
        <v>230</v>
      </c>
      <c r="BM921" s="185" t="s">
        <v>2027</v>
      </c>
    </row>
    <row r="922" spans="1:65" s="13" customFormat="1" ht="10">
      <c r="B922" s="192"/>
      <c r="C922" s="193"/>
      <c r="D922" s="194" t="s">
        <v>139</v>
      </c>
      <c r="E922" s="195" t="s">
        <v>19</v>
      </c>
      <c r="F922" s="196" t="s">
        <v>2028</v>
      </c>
      <c r="G922" s="193"/>
      <c r="H922" s="197">
        <v>0.92</v>
      </c>
      <c r="I922" s="198"/>
      <c r="J922" s="193"/>
      <c r="K922" s="193"/>
      <c r="L922" s="199"/>
      <c r="M922" s="200"/>
      <c r="N922" s="201"/>
      <c r="O922" s="201"/>
      <c r="P922" s="201"/>
      <c r="Q922" s="201"/>
      <c r="R922" s="201"/>
      <c r="S922" s="201"/>
      <c r="T922" s="202"/>
      <c r="AT922" s="203" t="s">
        <v>139</v>
      </c>
      <c r="AU922" s="203" t="s">
        <v>82</v>
      </c>
      <c r="AV922" s="13" t="s">
        <v>82</v>
      </c>
      <c r="AW922" s="13" t="s">
        <v>34</v>
      </c>
      <c r="AX922" s="13" t="s">
        <v>80</v>
      </c>
      <c r="AY922" s="203" t="s">
        <v>128</v>
      </c>
    </row>
    <row r="923" spans="1:65" s="13" customFormat="1" ht="10">
      <c r="B923" s="192"/>
      <c r="C923" s="193"/>
      <c r="D923" s="194" t="s">
        <v>139</v>
      </c>
      <c r="E923" s="193"/>
      <c r="F923" s="196" t="s">
        <v>2029</v>
      </c>
      <c r="G923" s="193"/>
      <c r="H923" s="197">
        <v>1.012</v>
      </c>
      <c r="I923" s="198"/>
      <c r="J923" s="193"/>
      <c r="K923" s="193"/>
      <c r="L923" s="199"/>
      <c r="M923" s="200"/>
      <c r="N923" s="201"/>
      <c r="O923" s="201"/>
      <c r="P923" s="201"/>
      <c r="Q923" s="201"/>
      <c r="R923" s="201"/>
      <c r="S923" s="201"/>
      <c r="T923" s="202"/>
      <c r="AT923" s="203" t="s">
        <v>139</v>
      </c>
      <c r="AU923" s="203" t="s">
        <v>82</v>
      </c>
      <c r="AV923" s="13" t="s">
        <v>82</v>
      </c>
      <c r="AW923" s="13" t="s">
        <v>4</v>
      </c>
      <c r="AX923" s="13" t="s">
        <v>80</v>
      </c>
      <c r="AY923" s="203" t="s">
        <v>128</v>
      </c>
    </row>
    <row r="924" spans="1:65" s="2" customFormat="1" ht="16.5" customHeight="1">
      <c r="A924" s="35"/>
      <c r="B924" s="36"/>
      <c r="C924" s="215" t="s">
        <v>2030</v>
      </c>
      <c r="D924" s="215" t="s">
        <v>414</v>
      </c>
      <c r="E924" s="216" t="s">
        <v>2031</v>
      </c>
      <c r="F924" s="217" t="s">
        <v>2032</v>
      </c>
      <c r="G924" s="218" t="s">
        <v>174</v>
      </c>
      <c r="H924" s="219">
        <v>0.999</v>
      </c>
      <c r="I924" s="220"/>
      <c r="J924" s="221">
        <f>ROUND(I924*H924,2)</f>
        <v>0</v>
      </c>
      <c r="K924" s="217" t="s">
        <v>134</v>
      </c>
      <c r="L924" s="222"/>
      <c r="M924" s="223" t="s">
        <v>19</v>
      </c>
      <c r="N924" s="224" t="s">
        <v>43</v>
      </c>
      <c r="O924" s="65"/>
      <c r="P924" s="183">
        <f>O924*H924</f>
        <v>0</v>
      </c>
      <c r="Q924" s="183">
        <v>1</v>
      </c>
      <c r="R924" s="183">
        <f>Q924*H924</f>
        <v>0.999</v>
      </c>
      <c r="S924" s="183">
        <v>0</v>
      </c>
      <c r="T924" s="184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185" t="s">
        <v>334</v>
      </c>
      <c r="AT924" s="185" t="s">
        <v>414</v>
      </c>
      <c r="AU924" s="185" t="s">
        <v>82</v>
      </c>
      <c r="AY924" s="18" t="s">
        <v>128</v>
      </c>
      <c r="BE924" s="186">
        <f>IF(N924="základní",J924,0)</f>
        <v>0</v>
      </c>
      <c r="BF924" s="186">
        <f>IF(N924="snížená",J924,0)</f>
        <v>0</v>
      </c>
      <c r="BG924" s="186">
        <f>IF(N924="zákl. přenesená",J924,0)</f>
        <v>0</v>
      </c>
      <c r="BH924" s="186">
        <f>IF(N924="sníž. přenesená",J924,0)</f>
        <v>0</v>
      </c>
      <c r="BI924" s="186">
        <f>IF(N924="nulová",J924,0)</f>
        <v>0</v>
      </c>
      <c r="BJ924" s="18" t="s">
        <v>80</v>
      </c>
      <c r="BK924" s="186">
        <f>ROUND(I924*H924,2)</f>
        <v>0</v>
      </c>
      <c r="BL924" s="18" t="s">
        <v>230</v>
      </c>
      <c r="BM924" s="185" t="s">
        <v>2033</v>
      </c>
    </row>
    <row r="925" spans="1:65" s="13" customFormat="1" ht="10">
      <c r="B925" s="192"/>
      <c r="C925" s="193"/>
      <c r="D925" s="194" t="s">
        <v>139</v>
      </c>
      <c r="E925" s="195" t="s">
        <v>19</v>
      </c>
      <c r="F925" s="196" t="s">
        <v>2034</v>
      </c>
      <c r="G925" s="193"/>
      <c r="H925" s="197">
        <v>0.90800000000000003</v>
      </c>
      <c r="I925" s="198"/>
      <c r="J925" s="193"/>
      <c r="K925" s="193"/>
      <c r="L925" s="199"/>
      <c r="M925" s="200"/>
      <c r="N925" s="201"/>
      <c r="O925" s="201"/>
      <c r="P925" s="201"/>
      <c r="Q925" s="201"/>
      <c r="R925" s="201"/>
      <c r="S925" s="201"/>
      <c r="T925" s="202"/>
      <c r="AT925" s="203" t="s">
        <v>139</v>
      </c>
      <c r="AU925" s="203" t="s">
        <v>82</v>
      </c>
      <c r="AV925" s="13" t="s">
        <v>82</v>
      </c>
      <c r="AW925" s="13" t="s">
        <v>34</v>
      </c>
      <c r="AX925" s="13" t="s">
        <v>80</v>
      </c>
      <c r="AY925" s="203" t="s">
        <v>128</v>
      </c>
    </row>
    <row r="926" spans="1:65" s="13" customFormat="1" ht="10">
      <c r="B926" s="192"/>
      <c r="C926" s="193"/>
      <c r="D926" s="194" t="s">
        <v>139</v>
      </c>
      <c r="E926" s="193"/>
      <c r="F926" s="196" t="s">
        <v>2035</v>
      </c>
      <c r="G926" s="193"/>
      <c r="H926" s="197">
        <v>0.999</v>
      </c>
      <c r="I926" s="198"/>
      <c r="J926" s="193"/>
      <c r="K926" s="193"/>
      <c r="L926" s="199"/>
      <c r="M926" s="200"/>
      <c r="N926" s="201"/>
      <c r="O926" s="201"/>
      <c r="P926" s="201"/>
      <c r="Q926" s="201"/>
      <c r="R926" s="201"/>
      <c r="S926" s="201"/>
      <c r="T926" s="202"/>
      <c r="AT926" s="203" t="s">
        <v>139</v>
      </c>
      <c r="AU926" s="203" t="s">
        <v>82</v>
      </c>
      <c r="AV926" s="13" t="s">
        <v>82</v>
      </c>
      <c r="AW926" s="13" t="s">
        <v>4</v>
      </c>
      <c r="AX926" s="13" t="s">
        <v>80</v>
      </c>
      <c r="AY926" s="203" t="s">
        <v>128</v>
      </c>
    </row>
    <row r="927" spans="1:65" s="2" customFormat="1" ht="16.5" customHeight="1">
      <c r="A927" s="35"/>
      <c r="B927" s="36"/>
      <c r="C927" s="174" t="s">
        <v>2036</v>
      </c>
      <c r="D927" s="174" t="s">
        <v>130</v>
      </c>
      <c r="E927" s="175" t="s">
        <v>2037</v>
      </c>
      <c r="F927" s="176" t="s">
        <v>2038</v>
      </c>
      <c r="G927" s="177" t="s">
        <v>2019</v>
      </c>
      <c r="H927" s="178">
        <v>31465</v>
      </c>
      <c r="I927" s="179"/>
      <c r="J927" s="180">
        <f>ROUND(I927*H927,2)</f>
        <v>0</v>
      </c>
      <c r="K927" s="176" t="s">
        <v>134</v>
      </c>
      <c r="L927" s="40"/>
      <c r="M927" s="181" t="s">
        <v>19</v>
      </c>
      <c r="N927" s="182" t="s">
        <v>43</v>
      </c>
      <c r="O927" s="65"/>
      <c r="P927" s="183">
        <f>O927*H927</f>
        <v>0</v>
      </c>
      <c r="Q927" s="183">
        <v>5.0000000000000002E-5</v>
      </c>
      <c r="R927" s="183">
        <f>Q927*H927</f>
        <v>1.57325</v>
      </c>
      <c r="S927" s="183">
        <v>0</v>
      </c>
      <c r="T927" s="184">
        <f>S927*H927</f>
        <v>0</v>
      </c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R927" s="185" t="s">
        <v>230</v>
      </c>
      <c r="AT927" s="185" t="s">
        <v>130</v>
      </c>
      <c r="AU927" s="185" t="s">
        <v>82</v>
      </c>
      <c r="AY927" s="18" t="s">
        <v>128</v>
      </c>
      <c r="BE927" s="186">
        <f>IF(N927="základní",J927,0)</f>
        <v>0</v>
      </c>
      <c r="BF927" s="186">
        <f>IF(N927="snížená",J927,0)</f>
        <v>0</v>
      </c>
      <c r="BG927" s="186">
        <f>IF(N927="zákl. přenesená",J927,0)</f>
        <v>0</v>
      </c>
      <c r="BH927" s="186">
        <f>IF(N927="sníž. přenesená",J927,0)</f>
        <v>0</v>
      </c>
      <c r="BI927" s="186">
        <f>IF(N927="nulová",J927,0)</f>
        <v>0</v>
      </c>
      <c r="BJ927" s="18" t="s">
        <v>80</v>
      </c>
      <c r="BK927" s="186">
        <f>ROUND(I927*H927,2)</f>
        <v>0</v>
      </c>
      <c r="BL927" s="18" t="s">
        <v>230</v>
      </c>
      <c r="BM927" s="185" t="s">
        <v>2039</v>
      </c>
    </row>
    <row r="928" spans="1:65" s="2" customFormat="1" ht="10">
      <c r="A928" s="35"/>
      <c r="B928" s="36"/>
      <c r="C928" s="37"/>
      <c r="D928" s="187" t="s">
        <v>137</v>
      </c>
      <c r="E928" s="37"/>
      <c r="F928" s="188" t="s">
        <v>2040</v>
      </c>
      <c r="G928" s="37"/>
      <c r="H928" s="37"/>
      <c r="I928" s="189"/>
      <c r="J928" s="37"/>
      <c r="K928" s="37"/>
      <c r="L928" s="40"/>
      <c r="M928" s="190"/>
      <c r="N928" s="191"/>
      <c r="O928" s="65"/>
      <c r="P928" s="65"/>
      <c r="Q928" s="65"/>
      <c r="R928" s="65"/>
      <c r="S928" s="65"/>
      <c r="T928" s="66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T928" s="18" t="s">
        <v>137</v>
      </c>
      <c r="AU928" s="18" t="s">
        <v>82</v>
      </c>
    </row>
    <row r="929" spans="1:65" s="13" customFormat="1" ht="10">
      <c r="B929" s="192"/>
      <c r="C929" s="193"/>
      <c r="D929" s="194" t="s">
        <v>139</v>
      </c>
      <c r="E929" s="195" t="s">
        <v>19</v>
      </c>
      <c r="F929" s="196" t="s">
        <v>2041</v>
      </c>
      <c r="G929" s="193"/>
      <c r="H929" s="197">
        <v>31465</v>
      </c>
      <c r="I929" s="198"/>
      <c r="J929" s="193"/>
      <c r="K929" s="193"/>
      <c r="L929" s="199"/>
      <c r="M929" s="200"/>
      <c r="N929" s="201"/>
      <c r="O929" s="201"/>
      <c r="P929" s="201"/>
      <c r="Q929" s="201"/>
      <c r="R929" s="201"/>
      <c r="S929" s="201"/>
      <c r="T929" s="202"/>
      <c r="AT929" s="203" t="s">
        <v>139</v>
      </c>
      <c r="AU929" s="203" t="s">
        <v>82</v>
      </c>
      <c r="AV929" s="13" t="s">
        <v>82</v>
      </c>
      <c r="AW929" s="13" t="s">
        <v>34</v>
      </c>
      <c r="AX929" s="13" t="s">
        <v>80</v>
      </c>
      <c r="AY929" s="203" t="s">
        <v>128</v>
      </c>
    </row>
    <row r="930" spans="1:65" s="2" customFormat="1" ht="16.5" customHeight="1">
      <c r="A930" s="35"/>
      <c r="B930" s="36"/>
      <c r="C930" s="215" t="s">
        <v>2042</v>
      </c>
      <c r="D930" s="215" t="s">
        <v>414</v>
      </c>
      <c r="E930" s="216" t="s">
        <v>2031</v>
      </c>
      <c r="F930" s="217" t="s">
        <v>2032</v>
      </c>
      <c r="G930" s="218" t="s">
        <v>174</v>
      </c>
      <c r="H930" s="219">
        <v>4.0990000000000002</v>
      </c>
      <c r="I930" s="220"/>
      <c r="J930" s="221">
        <f>ROUND(I930*H930,2)</f>
        <v>0</v>
      </c>
      <c r="K930" s="217" t="s">
        <v>134</v>
      </c>
      <c r="L930" s="222"/>
      <c r="M930" s="223" t="s">
        <v>19</v>
      </c>
      <c r="N930" s="224" t="s">
        <v>43</v>
      </c>
      <c r="O930" s="65"/>
      <c r="P930" s="183">
        <f>O930*H930</f>
        <v>0</v>
      </c>
      <c r="Q930" s="183">
        <v>1</v>
      </c>
      <c r="R930" s="183">
        <f>Q930*H930</f>
        <v>4.0990000000000002</v>
      </c>
      <c r="S930" s="183">
        <v>0</v>
      </c>
      <c r="T930" s="184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185" t="s">
        <v>334</v>
      </c>
      <c r="AT930" s="185" t="s">
        <v>414</v>
      </c>
      <c r="AU930" s="185" t="s">
        <v>82</v>
      </c>
      <c r="AY930" s="18" t="s">
        <v>128</v>
      </c>
      <c r="BE930" s="186">
        <f>IF(N930="základní",J930,0)</f>
        <v>0</v>
      </c>
      <c r="BF930" s="186">
        <f>IF(N930="snížená",J930,0)</f>
        <v>0</v>
      </c>
      <c r="BG930" s="186">
        <f>IF(N930="zákl. přenesená",J930,0)</f>
        <v>0</v>
      </c>
      <c r="BH930" s="186">
        <f>IF(N930="sníž. přenesená",J930,0)</f>
        <v>0</v>
      </c>
      <c r="BI930" s="186">
        <f>IF(N930="nulová",J930,0)</f>
        <v>0</v>
      </c>
      <c r="BJ930" s="18" t="s">
        <v>80</v>
      </c>
      <c r="BK930" s="186">
        <f>ROUND(I930*H930,2)</f>
        <v>0</v>
      </c>
      <c r="BL930" s="18" t="s">
        <v>230</v>
      </c>
      <c r="BM930" s="185" t="s">
        <v>2043</v>
      </c>
    </row>
    <row r="931" spans="1:65" s="13" customFormat="1" ht="10">
      <c r="B931" s="192"/>
      <c r="C931" s="193"/>
      <c r="D931" s="194" t="s">
        <v>139</v>
      </c>
      <c r="E931" s="195" t="s">
        <v>19</v>
      </c>
      <c r="F931" s="196" t="s">
        <v>2044</v>
      </c>
      <c r="G931" s="193"/>
      <c r="H931" s="197">
        <v>1.3160000000000001</v>
      </c>
      <c r="I931" s="198"/>
      <c r="J931" s="193"/>
      <c r="K931" s="193"/>
      <c r="L931" s="199"/>
      <c r="M931" s="200"/>
      <c r="N931" s="201"/>
      <c r="O931" s="201"/>
      <c r="P931" s="201"/>
      <c r="Q931" s="201"/>
      <c r="R931" s="201"/>
      <c r="S931" s="201"/>
      <c r="T931" s="202"/>
      <c r="AT931" s="203" t="s">
        <v>139</v>
      </c>
      <c r="AU931" s="203" t="s">
        <v>82</v>
      </c>
      <c r="AV931" s="13" t="s">
        <v>82</v>
      </c>
      <c r="AW931" s="13" t="s">
        <v>34</v>
      </c>
      <c r="AX931" s="13" t="s">
        <v>72</v>
      </c>
      <c r="AY931" s="203" t="s">
        <v>128</v>
      </c>
    </row>
    <row r="932" spans="1:65" s="13" customFormat="1" ht="10">
      <c r="B932" s="192"/>
      <c r="C932" s="193"/>
      <c r="D932" s="194" t="s">
        <v>139</v>
      </c>
      <c r="E932" s="195" t="s">
        <v>19</v>
      </c>
      <c r="F932" s="196" t="s">
        <v>2045</v>
      </c>
      <c r="G932" s="193"/>
      <c r="H932" s="197">
        <v>0.67700000000000005</v>
      </c>
      <c r="I932" s="198"/>
      <c r="J932" s="193"/>
      <c r="K932" s="193"/>
      <c r="L932" s="199"/>
      <c r="M932" s="200"/>
      <c r="N932" s="201"/>
      <c r="O932" s="201"/>
      <c r="P932" s="201"/>
      <c r="Q932" s="201"/>
      <c r="R932" s="201"/>
      <c r="S932" s="201"/>
      <c r="T932" s="202"/>
      <c r="AT932" s="203" t="s">
        <v>139</v>
      </c>
      <c r="AU932" s="203" t="s">
        <v>82</v>
      </c>
      <c r="AV932" s="13" t="s">
        <v>82</v>
      </c>
      <c r="AW932" s="13" t="s">
        <v>34</v>
      </c>
      <c r="AX932" s="13" t="s">
        <v>72</v>
      </c>
      <c r="AY932" s="203" t="s">
        <v>128</v>
      </c>
    </row>
    <row r="933" spans="1:65" s="13" customFormat="1" ht="10">
      <c r="B933" s="192"/>
      <c r="C933" s="193"/>
      <c r="D933" s="194" t="s">
        <v>139</v>
      </c>
      <c r="E933" s="195" t="s">
        <v>19</v>
      </c>
      <c r="F933" s="196" t="s">
        <v>2046</v>
      </c>
      <c r="G933" s="193"/>
      <c r="H933" s="197">
        <v>0.67700000000000005</v>
      </c>
      <c r="I933" s="198"/>
      <c r="J933" s="193"/>
      <c r="K933" s="193"/>
      <c r="L933" s="199"/>
      <c r="M933" s="200"/>
      <c r="N933" s="201"/>
      <c r="O933" s="201"/>
      <c r="P933" s="201"/>
      <c r="Q933" s="201"/>
      <c r="R933" s="201"/>
      <c r="S933" s="201"/>
      <c r="T933" s="202"/>
      <c r="AT933" s="203" t="s">
        <v>139</v>
      </c>
      <c r="AU933" s="203" t="s">
        <v>82</v>
      </c>
      <c r="AV933" s="13" t="s">
        <v>82</v>
      </c>
      <c r="AW933" s="13" t="s">
        <v>34</v>
      </c>
      <c r="AX933" s="13" t="s">
        <v>72</v>
      </c>
      <c r="AY933" s="203" t="s">
        <v>128</v>
      </c>
    </row>
    <row r="934" spans="1:65" s="13" customFormat="1" ht="10">
      <c r="B934" s="192"/>
      <c r="C934" s="193"/>
      <c r="D934" s="194" t="s">
        <v>139</v>
      </c>
      <c r="E934" s="195" t="s">
        <v>19</v>
      </c>
      <c r="F934" s="196" t="s">
        <v>2047</v>
      </c>
      <c r="G934" s="193"/>
      <c r="H934" s="197">
        <v>0.372</v>
      </c>
      <c r="I934" s="198"/>
      <c r="J934" s="193"/>
      <c r="K934" s="193"/>
      <c r="L934" s="199"/>
      <c r="M934" s="200"/>
      <c r="N934" s="201"/>
      <c r="O934" s="201"/>
      <c r="P934" s="201"/>
      <c r="Q934" s="201"/>
      <c r="R934" s="201"/>
      <c r="S934" s="201"/>
      <c r="T934" s="202"/>
      <c r="AT934" s="203" t="s">
        <v>139</v>
      </c>
      <c r="AU934" s="203" t="s">
        <v>82</v>
      </c>
      <c r="AV934" s="13" t="s">
        <v>82</v>
      </c>
      <c r="AW934" s="13" t="s">
        <v>34</v>
      </c>
      <c r="AX934" s="13" t="s">
        <v>72</v>
      </c>
      <c r="AY934" s="203" t="s">
        <v>128</v>
      </c>
    </row>
    <row r="935" spans="1:65" s="13" customFormat="1" ht="10">
      <c r="B935" s="192"/>
      <c r="C935" s="193"/>
      <c r="D935" s="194" t="s">
        <v>139</v>
      </c>
      <c r="E935" s="195" t="s">
        <v>19</v>
      </c>
      <c r="F935" s="196" t="s">
        <v>2048</v>
      </c>
      <c r="G935" s="193"/>
      <c r="H935" s="197">
        <v>0.252</v>
      </c>
      <c r="I935" s="198"/>
      <c r="J935" s="193"/>
      <c r="K935" s="193"/>
      <c r="L935" s="199"/>
      <c r="M935" s="200"/>
      <c r="N935" s="201"/>
      <c r="O935" s="201"/>
      <c r="P935" s="201"/>
      <c r="Q935" s="201"/>
      <c r="R935" s="201"/>
      <c r="S935" s="201"/>
      <c r="T935" s="202"/>
      <c r="AT935" s="203" t="s">
        <v>139</v>
      </c>
      <c r="AU935" s="203" t="s">
        <v>82</v>
      </c>
      <c r="AV935" s="13" t="s">
        <v>82</v>
      </c>
      <c r="AW935" s="13" t="s">
        <v>34</v>
      </c>
      <c r="AX935" s="13" t="s">
        <v>72</v>
      </c>
      <c r="AY935" s="203" t="s">
        <v>128</v>
      </c>
    </row>
    <row r="936" spans="1:65" s="13" customFormat="1" ht="10">
      <c r="B936" s="192"/>
      <c r="C936" s="193"/>
      <c r="D936" s="194" t="s">
        <v>139</v>
      </c>
      <c r="E936" s="195" t="s">
        <v>19</v>
      </c>
      <c r="F936" s="196" t="s">
        <v>2049</v>
      </c>
      <c r="G936" s="193"/>
      <c r="H936" s="197">
        <v>0.432</v>
      </c>
      <c r="I936" s="198"/>
      <c r="J936" s="193"/>
      <c r="K936" s="193"/>
      <c r="L936" s="199"/>
      <c r="M936" s="200"/>
      <c r="N936" s="201"/>
      <c r="O936" s="201"/>
      <c r="P936" s="201"/>
      <c r="Q936" s="201"/>
      <c r="R936" s="201"/>
      <c r="S936" s="201"/>
      <c r="T936" s="202"/>
      <c r="AT936" s="203" t="s">
        <v>139</v>
      </c>
      <c r="AU936" s="203" t="s">
        <v>82</v>
      </c>
      <c r="AV936" s="13" t="s">
        <v>82</v>
      </c>
      <c r="AW936" s="13" t="s">
        <v>34</v>
      </c>
      <c r="AX936" s="13" t="s">
        <v>72</v>
      </c>
      <c r="AY936" s="203" t="s">
        <v>128</v>
      </c>
    </row>
    <row r="937" spans="1:65" s="14" customFormat="1" ht="10">
      <c r="B937" s="204"/>
      <c r="C937" s="205"/>
      <c r="D937" s="194" t="s">
        <v>139</v>
      </c>
      <c r="E937" s="206" t="s">
        <v>19</v>
      </c>
      <c r="F937" s="207" t="s">
        <v>153</v>
      </c>
      <c r="G937" s="205"/>
      <c r="H937" s="208">
        <v>3.7259999999999995</v>
      </c>
      <c r="I937" s="209"/>
      <c r="J937" s="205"/>
      <c r="K937" s="205"/>
      <c r="L937" s="210"/>
      <c r="M937" s="211"/>
      <c r="N937" s="212"/>
      <c r="O937" s="212"/>
      <c r="P937" s="212"/>
      <c r="Q937" s="212"/>
      <c r="R937" s="212"/>
      <c r="S937" s="212"/>
      <c r="T937" s="213"/>
      <c r="AT937" s="214" t="s">
        <v>139</v>
      </c>
      <c r="AU937" s="214" t="s">
        <v>82</v>
      </c>
      <c r="AV937" s="14" t="s">
        <v>135</v>
      </c>
      <c r="AW937" s="14" t="s">
        <v>34</v>
      </c>
      <c r="AX937" s="14" t="s">
        <v>80</v>
      </c>
      <c r="AY937" s="214" t="s">
        <v>128</v>
      </c>
    </row>
    <row r="938" spans="1:65" s="13" customFormat="1" ht="10">
      <c r="B938" s="192"/>
      <c r="C938" s="193"/>
      <c r="D938" s="194" t="s">
        <v>139</v>
      </c>
      <c r="E938" s="193"/>
      <c r="F938" s="196" t="s">
        <v>2050</v>
      </c>
      <c r="G938" s="193"/>
      <c r="H938" s="197">
        <v>4.0990000000000002</v>
      </c>
      <c r="I938" s="198"/>
      <c r="J938" s="193"/>
      <c r="K938" s="193"/>
      <c r="L938" s="199"/>
      <c r="M938" s="200"/>
      <c r="N938" s="201"/>
      <c r="O938" s="201"/>
      <c r="P938" s="201"/>
      <c r="Q938" s="201"/>
      <c r="R938" s="201"/>
      <c r="S938" s="201"/>
      <c r="T938" s="202"/>
      <c r="AT938" s="203" t="s">
        <v>139</v>
      </c>
      <c r="AU938" s="203" t="s">
        <v>82</v>
      </c>
      <c r="AV938" s="13" t="s">
        <v>82</v>
      </c>
      <c r="AW938" s="13" t="s">
        <v>4</v>
      </c>
      <c r="AX938" s="13" t="s">
        <v>80</v>
      </c>
      <c r="AY938" s="203" t="s">
        <v>128</v>
      </c>
    </row>
    <row r="939" spans="1:65" s="2" customFormat="1" ht="16.5" customHeight="1">
      <c r="A939" s="35"/>
      <c r="B939" s="36"/>
      <c r="C939" s="215" t="s">
        <v>2051</v>
      </c>
      <c r="D939" s="215" t="s">
        <v>414</v>
      </c>
      <c r="E939" s="216" t="s">
        <v>2052</v>
      </c>
      <c r="F939" s="217" t="s">
        <v>2053</v>
      </c>
      <c r="G939" s="218" t="s">
        <v>174</v>
      </c>
      <c r="H939" s="219">
        <v>2.867</v>
      </c>
      <c r="I939" s="220"/>
      <c r="J939" s="221">
        <f>ROUND(I939*H939,2)</f>
        <v>0</v>
      </c>
      <c r="K939" s="217" t="s">
        <v>134</v>
      </c>
      <c r="L939" s="222"/>
      <c r="M939" s="223" t="s">
        <v>19</v>
      </c>
      <c r="N939" s="224" t="s">
        <v>43</v>
      </c>
      <c r="O939" s="65"/>
      <c r="P939" s="183">
        <f>O939*H939</f>
        <v>0</v>
      </c>
      <c r="Q939" s="183">
        <v>1</v>
      </c>
      <c r="R939" s="183">
        <f>Q939*H939</f>
        <v>2.867</v>
      </c>
      <c r="S939" s="183">
        <v>0</v>
      </c>
      <c r="T939" s="184">
        <f>S939*H939</f>
        <v>0</v>
      </c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R939" s="185" t="s">
        <v>334</v>
      </c>
      <c r="AT939" s="185" t="s">
        <v>414</v>
      </c>
      <c r="AU939" s="185" t="s">
        <v>82</v>
      </c>
      <c r="AY939" s="18" t="s">
        <v>128</v>
      </c>
      <c r="BE939" s="186">
        <f>IF(N939="základní",J939,0)</f>
        <v>0</v>
      </c>
      <c r="BF939" s="186">
        <f>IF(N939="snížená",J939,0)</f>
        <v>0</v>
      </c>
      <c r="BG939" s="186">
        <f>IF(N939="zákl. přenesená",J939,0)</f>
        <v>0</v>
      </c>
      <c r="BH939" s="186">
        <f>IF(N939="sníž. přenesená",J939,0)</f>
        <v>0</v>
      </c>
      <c r="BI939" s="186">
        <f>IF(N939="nulová",J939,0)</f>
        <v>0</v>
      </c>
      <c r="BJ939" s="18" t="s">
        <v>80</v>
      </c>
      <c r="BK939" s="186">
        <f>ROUND(I939*H939,2)</f>
        <v>0</v>
      </c>
      <c r="BL939" s="18" t="s">
        <v>230</v>
      </c>
      <c r="BM939" s="185" t="s">
        <v>2054</v>
      </c>
    </row>
    <row r="940" spans="1:65" s="13" customFormat="1" ht="10">
      <c r="B940" s="192"/>
      <c r="C940" s="193"/>
      <c r="D940" s="194" t="s">
        <v>139</v>
      </c>
      <c r="E940" s="195" t="s">
        <v>19</v>
      </c>
      <c r="F940" s="196" t="s">
        <v>2055</v>
      </c>
      <c r="G940" s="193"/>
      <c r="H940" s="197">
        <v>2.6059999999999999</v>
      </c>
      <c r="I940" s="198"/>
      <c r="J940" s="193"/>
      <c r="K940" s="193"/>
      <c r="L940" s="199"/>
      <c r="M940" s="200"/>
      <c r="N940" s="201"/>
      <c r="O940" s="201"/>
      <c r="P940" s="201"/>
      <c r="Q940" s="201"/>
      <c r="R940" s="201"/>
      <c r="S940" s="201"/>
      <c r="T940" s="202"/>
      <c r="AT940" s="203" t="s">
        <v>139</v>
      </c>
      <c r="AU940" s="203" t="s">
        <v>82</v>
      </c>
      <c r="AV940" s="13" t="s">
        <v>82</v>
      </c>
      <c r="AW940" s="13" t="s">
        <v>34</v>
      </c>
      <c r="AX940" s="13" t="s">
        <v>80</v>
      </c>
      <c r="AY940" s="203" t="s">
        <v>128</v>
      </c>
    </row>
    <row r="941" spans="1:65" s="13" customFormat="1" ht="10">
      <c r="B941" s="192"/>
      <c r="C941" s="193"/>
      <c r="D941" s="194" t="s">
        <v>139</v>
      </c>
      <c r="E941" s="193"/>
      <c r="F941" s="196" t="s">
        <v>2056</v>
      </c>
      <c r="G941" s="193"/>
      <c r="H941" s="197">
        <v>2.867</v>
      </c>
      <c r="I941" s="198"/>
      <c r="J941" s="193"/>
      <c r="K941" s="193"/>
      <c r="L941" s="199"/>
      <c r="M941" s="200"/>
      <c r="N941" s="201"/>
      <c r="O941" s="201"/>
      <c r="P941" s="201"/>
      <c r="Q941" s="201"/>
      <c r="R941" s="201"/>
      <c r="S941" s="201"/>
      <c r="T941" s="202"/>
      <c r="AT941" s="203" t="s">
        <v>139</v>
      </c>
      <c r="AU941" s="203" t="s">
        <v>82</v>
      </c>
      <c r="AV941" s="13" t="s">
        <v>82</v>
      </c>
      <c r="AW941" s="13" t="s">
        <v>4</v>
      </c>
      <c r="AX941" s="13" t="s">
        <v>80</v>
      </c>
      <c r="AY941" s="203" t="s">
        <v>128</v>
      </c>
    </row>
    <row r="942" spans="1:65" s="2" customFormat="1" ht="16.5" customHeight="1">
      <c r="A942" s="35"/>
      <c r="B942" s="36"/>
      <c r="C942" s="215" t="s">
        <v>2057</v>
      </c>
      <c r="D942" s="215" t="s">
        <v>414</v>
      </c>
      <c r="E942" s="216" t="s">
        <v>2058</v>
      </c>
      <c r="F942" s="217" t="s">
        <v>2059</v>
      </c>
      <c r="G942" s="218" t="s">
        <v>174</v>
      </c>
      <c r="H942" s="219">
        <v>20.95</v>
      </c>
      <c r="I942" s="220"/>
      <c r="J942" s="221">
        <f>ROUND(I942*H942,2)</f>
        <v>0</v>
      </c>
      <c r="K942" s="217" t="s">
        <v>134</v>
      </c>
      <c r="L942" s="222"/>
      <c r="M942" s="223" t="s">
        <v>19</v>
      </c>
      <c r="N942" s="224" t="s">
        <v>43</v>
      </c>
      <c r="O942" s="65"/>
      <c r="P942" s="183">
        <f>O942*H942</f>
        <v>0</v>
      </c>
      <c r="Q942" s="183">
        <v>1</v>
      </c>
      <c r="R942" s="183">
        <f>Q942*H942</f>
        <v>20.95</v>
      </c>
      <c r="S942" s="183">
        <v>0</v>
      </c>
      <c r="T942" s="184">
        <f>S942*H942</f>
        <v>0</v>
      </c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R942" s="185" t="s">
        <v>334</v>
      </c>
      <c r="AT942" s="185" t="s">
        <v>414</v>
      </c>
      <c r="AU942" s="185" t="s">
        <v>82</v>
      </c>
      <c r="AY942" s="18" t="s">
        <v>128</v>
      </c>
      <c r="BE942" s="186">
        <f>IF(N942="základní",J942,0)</f>
        <v>0</v>
      </c>
      <c r="BF942" s="186">
        <f>IF(N942="snížená",J942,0)</f>
        <v>0</v>
      </c>
      <c r="BG942" s="186">
        <f>IF(N942="zákl. přenesená",J942,0)</f>
        <v>0</v>
      </c>
      <c r="BH942" s="186">
        <f>IF(N942="sníž. přenesená",J942,0)</f>
        <v>0</v>
      </c>
      <c r="BI942" s="186">
        <f>IF(N942="nulová",J942,0)</f>
        <v>0</v>
      </c>
      <c r="BJ942" s="18" t="s">
        <v>80</v>
      </c>
      <c r="BK942" s="186">
        <f>ROUND(I942*H942,2)</f>
        <v>0</v>
      </c>
      <c r="BL942" s="18" t="s">
        <v>230</v>
      </c>
      <c r="BM942" s="185" t="s">
        <v>2060</v>
      </c>
    </row>
    <row r="943" spans="1:65" s="13" customFormat="1" ht="10">
      <c r="B943" s="192"/>
      <c r="C943" s="193"/>
      <c r="D943" s="194" t="s">
        <v>139</v>
      </c>
      <c r="E943" s="195" t="s">
        <v>19</v>
      </c>
      <c r="F943" s="196" t="s">
        <v>2061</v>
      </c>
      <c r="G943" s="193"/>
      <c r="H943" s="197">
        <v>0.16600000000000001</v>
      </c>
      <c r="I943" s="198"/>
      <c r="J943" s="193"/>
      <c r="K943" s="193"/>
      <c r="L943" s="199"/>
      <c r="M943" s="200"/>
      <c r="N943" s="201"/>
      <c r="O943" s="201"/>
      <c r="P943" s="201"/>
      <c r="Q943" s="201"/>
      <c r="R943" s="201"/>
      <c r="S943" s="201"/>
      <c r="T943" s="202"/>
      <c r="AT943" s="203" t="s">
        <v>139</v>
      </c>
      <c r="AU943" s="203" t="s">
        <v>82</v>
      </c>
      <c r="AV943" s="13" t="s">
        <v>82</v>
      </c>
      <c r="AW943" s="13" t="s">
        <v>34</v>
      </c>
      <c r="AX943" s="13" t="s">
        <v>72</v>
      </c>
      <c r="AY943" s="203" t="s">
        <v>128</v>
      </c>
    </row>
    <row r="944" spans="1:65" s="13" customFormat="1" ht="10">
      <c r="B944" s="192"/>
      <c r="C944" s="193"/>
      <c r="D944" s="194" t="s">
        <v>139</v>
      </c>
      <c r="E944" s="195" t="s">
        <v>19</v>
      </c>
      <c r="F944" s="196" t="s">
        <v>2062</v>
      </c>
      <c r="G944" s="193"/>
      <c r="H944" s="197">
        <v>2.7040000000000002</v>
      </c>
      <c r="I944" s="198"/>
      <c r="J944" s="193"/>
      <c r="K944" s="193"/>
      <c r="L944" s="199"/>
      <c r="M944" s="200"/>
      <c r="N944" s="201"/>
      <c r="O944" s="201"/>
      <c r="P944" s="201"/>
      <c r="Q944" s="201"/>
      <c r="R944" s="201"/>
      <c r="S944" s="201"/>
      <c r="T944" s="202"/>
      <c r="AT944" s="203" t="s">
        <v>139</v>
      </c>
      <c r="AU944" s="203" t="s">
        <v>82</v>
      </c>
      <c r="AV944" s="13" t="s">
        <v>82</v>
      </c>
      <c r="AW944" s="13" t="s">
        <v>34</v>
      </c>
      <c r="AX944" s="13" t="s">
        <v>72</v>
      </c>
      <c r="AY944" s="203" t="s">
        <v>128</v>
      </c>
    </row>
    <row r="945" spans="2:51" s="13" customFormat="1" ht="10">
      <c r="B945" s="192"/>
      <c r="C945" s="193"/>
      <c r="D945" s="194" t="s">
        <v>139</v>
      </c>
      <c r="E945" s="195" t="s">
        <v>19</v>
      </c>
      <c r="F945" s="196" t="s">
        <v>2063</v>
      </c>
      <c r="G945" s="193"/>
      <c r="H945" s="197">
        <v>2.7040000000000002</v>
      </c>
      <c r="I945" s="198"/>
      <c r="J945" s="193"/>
      <c r="K945" s="193"/>
      <c r="L945" s="199"/>
      <c r="M945" s="200"/>
      <c r="N945" s="201"/>
      <c r="O945" s="201"/>
      <c r="P945" s="201"/>
      <c r="Q945" s="201"/>
      <c r="R945" s="201"/>
      <c r="S945" s="201"/>
      <c r="T945" s="202"/>
      <c r="AT945" s="203" t="s">
        <v>139</v>
      </c>
      <c r="AU945" s="203" t="s">
        <v>82</v>
      </c>
      <c r="AV945" s="13" t="s">
        <v>82</v>
      </c>
      <c r="AW945" s="13" t="s">
        <v>34</v>
      </c>
      <c r="AX945" s="13" t="s">
        <v>72</v>
      </c>
      <c r="AY945" s="203" t="s">
        <v>128</v>
      </c>
    </row>
    <row r="946" spans="2:51" s="13" customFormat="1" ht="10">
      <c r="B946" s="192"/>
      <c r="C946" s="193"/>
      <c r="D946" s="194" t="s">
        <v>139</v>
      </c>
      <c r="E946" s="195" t="s">
        <v>19</v>
      </c>
      <c r="F946" s="196" t="s">
        <v>2064</v>
      </c>
      <c r="G946" s="193"/>
      <c r="H946" s="197">
        <v>0.91600000000000004</v>
      </c>
      <c r="I946" s="198"/>
      <c r="J946" s="193"/>
      <c r="K946" s="193"/>
      <c r="L946" s="199"/>
      <c r="M946" s="200"/>
      <c r="N946" s="201"/>
      <c r="O946" s="201"/>
      <c r="P946" s="201"/>
      <c r="Q946" s="201"/>
      <c r="R946" s="201"/>
      <c r="S946" s="201"/>
      <c r="T946" s="202"/>
      <c r="AT946" s="203" t="s">
        <v>139</v>
      </c>
      <c r="AU946" s="203" t="s">
        <v>82</v>
      </c>
      <c r="AV946" s="13" t="s">
        <v>82</v>
      </c>
      <c r="AW946" s="13" t="s">
        <v>34</v>
      </c>
      <c r="AX946" s="13" t="s">
        <v>72</v>
      </c>
      <c r="AY946" s="203" t="s">
        <v>128</v>
      </c>
    </row>
    <row r="947" spans="2:51" s="13" customFormat="1" ht="10">
      <c r="B947" s="192"/>
      <c r="C947" s="193"/>
      <c r="D947" s="194" t="s">
        <v>139</v>
      </c>
      <c r="E947" s="195" t="s">
        <v>19</v>
      </c>
      <c r="F947" s="196" t="s">
        <v>2065</v>
      </c>
      <c r="G947" s="193"/>
      <c r="H947" s="197">
        <v>0.91600000000000004</v>
      </c>
      <c r="I947" s="198"/>
      <c r="J947" s="193"/>
      <c r="K947" s="193"/>
      <c r="L947" s="199"/>
      <c r="M947" s="200"/>
      <c r="N947" s="201"/>
      <c r="O947" s="201"/>
      <c r="P947" s="201"/>
      <c r="Q947" s="201"/>
      <c r="R947" s="201"/>
      <c r="S947" s="201"/>
      <c r="T947" s="202"/>
      <c r="AT947" s="203" t="s">
        <v>139</v>
      </c>
      <c r="AU947" s="203" t="s">
        <v>82</v>
      </c>
      <c r="AV947" s="13" t="s">
        <v>82</v>
      </c>
      <c r="AW947" s="13" t="s">
        <v>34</v>
      </c>
      <c r="AX947" s="13" t="s">
        <v>72</v>
      </c>
      <c r="AY947" s="203" t="s">
        <v>128</v>
      </c>
    </row>
    <row r="948" spans="2:51" s="13" customFormat="1" ht="10">
      <c r="B948" s="192"/>
      <c r="C948" s="193"/>
      <c r="D948" s="194" t="s">
        <v>139</v>
      </c>
      <c r="E948" s="195" t="s">
        <v>19</v>
      </c>
      <c r="F948" s="196" t="s">
        <v>2066</v>
      </c>
      <c r="G948" s="193"/>
      <c r="H948" s="197">
        <v>0.91600000000000004</v>
      </c>
      <c r="I948" s="198"/>
      <c r="J948" s="193"/>
      <c r="K948" s="193"/>
      <c r="L948" s="199"/>
      <c r="M948" s="200"/>
      <c r="N948" s="201"/>
      <c r="O948" s="201"/>
      <c r="P948" s="201"/>
      <c r="Q948" s="201"/>
      <c r="R948" s="201"/>
      <c r="S948" s="201"/>
      <c r="T948" s="202"/>
      <c r="AT948" s="203" t="s">
        <v>139</v>
      </c>
      <c r="AU948" s="203" t="s">
        <v>82</v>
      </c>
      <c r="AV948" s="13" t="s">
        <v>82</v>
      </c>
      <c r="AW948" s="13" t="s">
        <v>34</v>
      </c>
      <c r="AX948" s="13" t="s">
        <v>72</v>
      </c>
      <c r="AY948" s="203" t="s">
        <v>128</v>
      </c>
    </row>
    <row r="949" spans="2:51" s="13" customFormat="1" ht="10">
      <c r="B949" s="192"/>
      <c r="C949" s="193"/>
      <c r="D949" s="194" t="s">
        <v>139</v>
      </c>
      <c r="E949" s="195" t="s">
        <v>19</v>
      </c>
      <c r="F949" s="196" t="s">
        <v>2067</v>
      </c>
      <c r="G949" s="193"/>
      <c r="H949" s="197">
        <v>1.0029999999999999</v>
      </c>
      <c r="I949" s="198"/>
      <c r="J949" s="193"/>
      <c r="K949" s="193"/>
      <c r="L949" s="199"/>
      <c r="M949" s="200"/>
      <c r="N949" s="201"/>
      <c r="O949" s="201"/>
      <c r="P949" s="201"/>
      <c r="Q949" s="201"/>
      <c r="R949" s="201"/>
      <c r="S949" s="201"/>
      <c r="T949" s="202"/>
      <c r="AT949" s="203" t="s">
        <v>139</v>
      </c>
      <c r="AU949" s="203" t="s">
        <v>82</v>
      </c>
      <c r="AV949" s="13" t="s">
        <v>82</v>
      </c>
      <c r="AW949" s="13" t="s">
        <v>34</v>
      </c>
      <c r="AX949" s="13" t="s">
        <v>72</v>
      </c>
      <c r="AY949" s="203" t="s">
        <v>128</v>
      </c>
    </row>
    <row r="950" spans="2:51" s="13" customFormat="1" ht="10">
      <c r="B950" s="192"/>
      <c r="C950" s="193"/>
      <c r="D950" s="194" t="s">
        <v>139</v>
      </c>
      <c r="E950" s="195" t="s">
        <v>19</v>
      </c>
      <c r="F950" s="196" t="s">
        <v>2068</v>
      </c>
      <c r="G950" s="193"/>
      <c r="H950" s="197">
        <v>1.0960000000000001</v>
      </c>
      <c r="I950" s="198"/>
      <c r="J950" s="193"/>
      <c r="K950" s="193"/>
      <c r="L950" s="199"/>
      <c r="M950" s="200"/>
      <c r="N950" s="201"/>
      <c r="O950" s="201"/>
      <c r="P950" s="201"/>
      <c r="Q950" s="201"/>
      <c r="R950" s="201"/>
      <c r="S950" s="201"/>
      <c r="T950" s="202"/>
      <c r="AT950" s="203" t="s">
        <v>139</v>
      </c>
      <c r="AU950" s="203" t="s">
        <v>82</v>
      </c>
      <c r="AV950" s="13" t="s">
        <v>82</v>
      </c>
      <c r="AW950" s="13" t="s">
        <v>34</v>
      </c>
      <c r="AX950" s="13" t="s">
        <v>72</v>
      </c>
      <c r="AY950" s="203" t="s">
        <v>128</v>
      </c>
    </row>
    <row r="951" spans="2:51" s="13" customFormat="1" ht="10">
      <c r="B951" s="192"/>
      <c r="C951" s="193"/>
      <c r="D951" s="194" t="s">
        <v>139</v>
      </c>
      <c r="E951" s="195" t="s">
        <v>19</v>
      </c>
      <c r="F951" s="196" t="s">
        <v>2069</v>
      </c>
      <c r="G951" s="193"/>
      <c r="H951" s="197">
        <v>1.0960000000000001</v>
      </c>
      <c r="I951" s="198"/>
      <c r="J951" s="193"/>
      <c r="K951" s="193"/>
      <c r="L951" s="199"/>
      <c r="M951" s="200"/>
      <c r="N951" s="201"/>
      <c r="O951" s="201"/>
      <c r="P951" s="201"/>
      <c r="Q951" s="201"/>
      <c r="R951" s="201"/>
      <c r="S951" s="201"/>
      <c r="T951" s="202"/>
      <c r="AT951" s="203" t="s">
        <v>139</v>
      </c>
      <c r="AU951" s="203" t="s">
        <v>82</v>
      </c>
      <c r="AV951" s="13" t="s">
        <v>82</v>
      </c>
      <c r="AW951" s="13" t="s">
        <v>34</v>
      </c>
      <c r="AX951" s="13" t="s">
        <v>72</v>
      </c>
      <c r="AY951" s="203" t="s">
        <v>128</v>
      </c>
    </row>
    <row r="952" spans="2:51" s="13" customFormat="1" ht="10">
      <c r="B952" s="192"/>
      <c r="C952" s="193"/>
      <c r="D952" s="194" t="s">
        <v>139</v>
      </c>
      <c r="E952" s="195" t="s">
        <v>19</v>
      </c>
      <c r="F952" s="196" t="s">
        <v>2070</v>
      </c>
      <c r="G952" s="193"/>
      <c r="H952" s="197">
        <v>0.86299999999999999</v>
      </c>
      <c r="I952" s="198"/>
      <c r="J952" s="193"/>
      <c r="K952" s="193"/>
      <c r="L952" s="199"/>
      <c r="M952" s="200"/>
      <c r="N952" s="201"/>
      <c r="O952" s="201"/>
      <c r="P952" s="201"/>
      <c r="Q952" s="201"/>
      <c r="R952" s="201"/>
      <c r="S952" s="201"/>
      <c r="T952" s="202"/>
      <c r="AT952" s="203" t="s">
        <v>139</v>
      </c>
      <c r="AU952" s="203" t="s">
        <v>82</v>
      </c>
      <c r="AV952" s="13" t="s">
        <v>82</v>
      </c>
      <c r="AW952" s="13" t="s">
        <v>34</v>
      </c>
      <c r="AX952" s="13" t="s">
        <v>72</v>
      </c>
      <c r="AY952" s="203" t="s">
        <v>128</v>
      </c>
    </row>
    <row r="953" spans="2:51" s="13" customFormat="1" ht="10">
      <c r="B953" s="192"/>
      <c r="C953" s="193"/>
      <c r="D953" s="194" t="s">
        <v>139</v>
      </c>
      <c r="E953" s="195" t="s">
        <v>19</v>
      </c>
      <c r="F953" s="196" t="s">
        <v>2071</v>
      </c>
      <c r="G953" s="193"/>
      <c r="H953" s="197">
        <v>0.86299999999999999</v>
      </c>
      <c r="I953" s="198"/>
      <c r="J953" s="193"/>
      <c r="K953" s="193"/>
      <c r="L953" s="199"/>
      <c r="M953" s="200"/>
      <c r="N953" s="201"/>
      <c r="O953" s="201"/>
      <c r="P953" s="201"/>
      <c r="Q953" s="201"/>
      <c r="R953" s="201"/>
      <c r="S953" s="201"/>
      <c r="T953" s="202"/>
      <c r="AT953" s="203" t="s">
        <v>139</v>
      </c>
      <c r="AU953" s="203" t="s">
        <v>82</v>
      </c>
      <c r="AV953" s="13" t="s">
        <v>82</v>
      </c>
      <c r="AW953" s="13" t="s">
        <v>34</v>
      </c>
      <c r="AX953" s="13" t="s">
        <v>72</v>
      </c>
      <c r="AY953" s="203" t="s">
        <v>128</v>
      </c>
    </row>
    <row r="954" spans="2:51" s="13" customFormat="1" ht="10">
      <c r="B954" s="192"/>
      <c r="C954" s="193"/>
      <c r="D954" s="194" t="s">
        <v>139</v>
      </c>
      <c r="E954" s="195" t="s">
        <v>19</v>
      </c>
      <c r="F954" s="196" t="s">
        <v>2072</v>
      </c>
      <c r="G954" s="193"/>
      <c r="H954" s="197">
        <v>1.135</v>
      </c>
      <c r="I954" s="198"/>
      <c r="J954" s="193"/>
      <c r="K954" s="193"/>
      <c r="L954" s="199"/>
      <c r="M954" s="200"/>
      <c r="N954" s="201"/>
      <c r="O954" s="201"/>
      <c r="P954" s="201"/>
      <c r="Q954" s="201"/>
      <c r="R954" s="201"/>
      <c r="S954" s="201"/>
      <c r="T954" s="202"/>
      <c r="AT954" s="203" t="s">
        <v>139</v>
      </c>
      <c r="AU954" s="203" t="s">
        <v>82</v>
      </c>
      <c r="AV954" s="13" t="s">
        <v>82</v>
      </c>
      <c r="AW954" s="13" t="s">
        <v>34</v>
      </c>
      <c r="AX954" s="13" t="s">
        <v>72</v>
      </c>
      <c r="AY954" s="203" t="s">
        <v>128</v>
      </c>
    </row>
    <row r="955" spans="2:51" s="13" customFormat="1" ht="10">
      <c r="B955" s="192"/>
      <c r="C955" s="193"/>
      <c r="D955" s="194" t="s">
        <v>139</v>
      </c>
      <c r="E955" s="195" t="s">
        <v>19</v>
      </c>
      <c r="F955" s="196" t="s">
        <v>2073</v>
      </c>
      <c r="G955" s="193"/>
      <c r="H955" s="197">
        <v>1.135</v>
      </c>
      <c r="I955" s="198"/>
      <c r="J955" s="193"/>
      <c r="K955" s="193"/>
      <c r="L955" s="199"/>
      <c r="M955" s="200"/>
      <c r="N955" s="201"/>
      <c r="O955" s="201"/>
      <c r="P955" s="201"/>
      <c r="Q955" s="201"/>
      <c r="R955" s="201"/>
      <c r="S955" s="201"/>
      <c r="T955" s="202"/>
      <c r="AT955" s="203" t="s">
        <v>139</v>
      </c>
      <c r="AU955" s="203" t="s">
        <v>82</v>
      </c>
      <c r="AV955" s="13" t="s">
        <v>82</v>
      </c>
      <c r="AW955" s="13" t="s">
        <v>34</v>
      </c>
      <c r="AX955" s="13" t="s">
        <v>72</v>
      </c>
      <c r="AY955" s="203" t="s">
        <v>128</v>
      </c>
    </row>
    <row r="956" spans="2:51" s="13" customFormat="1" ht="10">
      <c r="B956" s="192"/>
      <c r="C956" s="193"/>
      <c r="D956" s="194" t="s">
        <v>139</v>
      </c>
      <c r="E956" s="195" t="s">
        <v>19</v>
      </c>
      <c r="F956" s="196" t="s">
        <v>2074</v>
      </c>
      <c r="G956" s="193"/>
      <c r="H956" s="197">
        <v>0.86299999999999999</v>
      </c>
      <c r="I956" s="198"/>
      <c r="J956" s="193"/>
      <c r="K956" s="193"/>
      <c r="L956" s="199"/>
      <c r="M956" s="200"/>
      <c r="N956" s="201"/>
      <c r="O956" s="201"/>
      <c r="P956" s="201"/>
      <c r="Q956" s="201"/>
      <c r="R956" s="201"/>
      <c r="S956" s="201"/>
      <c r="T956" s="202"/>
      <c r="AT956" s="203" t="s">
        <v>139</v>
      </c>
      <c r="AU956" s="203" t="s">
        <v>82</v>
      </c>
      <c r="AV956" s="13" t="s">
        <v>82</v>
      </c>
      <c r="AW956" s="13" t="s">
        <v>34</v>
      </c>
      <c r="AX956" s="13" t="s">
        <v>72</v>
      </c>
      <c r="AY956" s="203" t="s">
        <v>128</v>
      </c>
    </row>
    <row r="957" spans="2:51" s="13" customFormat="1" ht="10">
      <c r="B957" s="192"/>
      <c r="C957" s="193"/>
      <c r="D957" s="194" t="s">
        <v>139</v>
      </c>
      <c r="E957" s="195" t="s">
        <v>19</v>
      </c>
      <c r="F957" s="196" t="s">
        <v>2075</v>
      </c>
      <c r="G957" s="193"/>
      <c r="H957" s="197">
        <v>0.86299999999999999</v>
      </c>
      <c r="I957" s="198"/>
      <c r="J957" s="193"/>
      <c r="K957" s="193"/>
      <c r="L957" s="199"/>
      <c r="M957" s="200"/>
      <c r="N957" s="201"/>
      <c r="O957" s="201"/>
      <c r="P957" s="201"/>
      <c r="Q957" s="201"/>
      <c r="R957" s="201"/>
      <c r="S957" s="201"/>
      <c r="T957" s="202"/>
      <c r="AT957" s="203" t="s">
        <v>139</v>
      </c>
      <c r="AU957" s="203" t="s">
        <v>82</v>
      </c>
      <c r="AV957" s="13" t="s">
        <v>82</v>
      </c>
      <c r="AW957" s="13" t="s">
        <v>34</v>
      </c>
      <c r="AX957" s="13" t="s">
        <v>72</v>
      </c>
      <c r="AY957" s="203" t="s">
        <v>128</v>
      </c>
    </row>
    <row r="958" spans="2:51" s="13" customFormat="1" ht="10">
      <c r="B958" s="192"/>
      <c r="C958" s="193"/>
      <c r="D958" s="194" t="s">
        <v>139</v>
      </c>
      <c r="E958" s="195" t="s">
        <v>19</v>
      </c>
      <c r="F958" s="196" t="s">
        <v>2076</v>
      </c>
      <c r="G958" s="193"/>
      <c r="H958" s="197">
        <v>0.90300000000000002</v>
      </c>
      <c r="I958" s="198"/>
      <c r="J958" s="193"/>
      <c r="K958" s="193"/>
      <c r="L958" s="199"/>
      <c r="M958" s="200"/>
      <c r="N958" s="201"/>
      <c r="O958" s="201"/>
      <c r="P958" s="201"/>
      <c r="Q958" s="201"/>
      <c r="R958" s="201"/>
      <c r="S958" s="201"/>
      <c r="T958" s="202"/>
      <c r="AT958" s="203" t="s">
        <v>139</v>
      </c>
      <c r="AU958" s="203" t="s">
        <v>82</v>
      </c>
      <c r="AV958" s="13" t="s">
        <v>82</v>
      </c>
      <c r="AW958" s="13" t="s">
        <v>34</v>
      </c>
      <c r="AX958" s="13" t="s">
        <v>72</v>
      </c>
      <c r="AY958" s="203" t="s">
        <v>128</v>
      </c>
    </row>
    <row r="959" spans="2:51" s="13" customFormat="1" ht="10">
      <c r="B959" s="192"/>
      <c r="C959" s="193"/>
      <c r="D959" s="194" t="s">
        <v>139</v>
      </c>
      <c r="E959" s="195" t="s">
        <v>19</v>
      </c>
      <c r="F959" s="196" t="s">
        <v>2077</v>
      </c>
      <c r="G959" s="193"/>
      <c r="H959" s="197">
        <v>0.90300000000000002</v>
      </c>
      <c r="I959" s="198"/>
      <c r="J959" s="193"/>
      <c r="K959" s="193"/>
      <c r="L959" s="199"/>
      <c r="M959" s="200"/>
      <c r="N959" s="201"/>
      <c r="O959" s="201"/>
      <c r="P959" s="201"/>
      <c r="Q959" s="201"/>
      <c r="R959" s="201"/>
      <c r="S959" s="201"/>
      <c r="T959" s="202"/>
      <c r="AT959" s="203" t="s">
        <v>139</v>
      </c>
      <c r="AU959" s="203" t="s">
        <v>82</v>
      </c>
      <c r="AV959" s="13" t="s">
        <v>82</v>
      </c>
      <c r="AW959" s="13" t="s">
        <v>34</v>
      </c>
      <c r="AX959" s="13" t="s">
        <v>72</v>
      </c>
      <c r="AY959" s="203" t="s">
        <v>128</v>
      </c>
    </row>
    <row r="960" spans="2:51" s="14" customFormat="1" ht="10">
      <c r="B960" s="204"/>
      <c r="C960" s="205"/>
      <c r="D960" s="194" t="s">
        <v>139</v>
      </c>
      <c r="E960" s="206" t="s">
        <v>19</v>
      </c>
      <c r="F960" s="207" t="s">
        <v>153</v>
      </c>
      <c r="G960" s="205"/>
      <c r="H960" s="208">
        <v>19.044999999999998</v>
      </c>
      <c r="I960" s="209"/>
      <c r="J960" s="205"/>
      <c r="K960" s="205"/>
      <c r="L960" s="210"/>
      <c r="M960" s="211"/>
      <c r="N960" s="212"/>
      <c r="O960" s="212"/>
      <c r="P960" s="212"/>
      <c r="Q960" s="212"/>
      <c r="R960" s="212"/>
      <c r="S960" s="212"/>
      <c r="T960" s="213"/>
      <c r="AT960" s="214" t="s">
        <v>139</v>
      </c>
      <c r="AU960" s="214" t="s">
        <v>82</v>
      </c>
      <c r="AV960" s="14" t="s">
        <v>135</v>
      </c>
      <c r="AW960" s="14" t="s">
        <v>34</v>
      </c>
      <c r="AX960" s="14" t="s">
        <v>80</v>
      </c>
      <c r="AY960" s="214" t="s">
        <v>128</v>
      </c>
    </row>
    <row r="961" spans="1:65" s="13" customFormat="1" ht="10">
      <c r="B961" s="192"/>
      <c r="C961" s="193"/>
      <c r="D961" s="194" t="s">
        <v>139</v>
      </c>
      <c r="E961" s="193"/>
      <c r="F961" s="196" t="s">
        <v>2078</v>
      </c>
      <c r="G961" s="193"/>
      <c r="H961" s="197">
        <v>20.95</v>
      </c>
      <c r="I961" s="198"/>
      <c r="J961" s="193"/>
      <c r="K961" s="193"/>
      <c r="L961" s="199"/>
      <c r="M961" s="200"/>
      <c r="N961" s="201"/>
      <c r="O961" s="201"/>
      <c r="P961" s="201"/>
      <c r="Q961" s="201"/>
      <c r="R961" s="201"/>
      <c r="S961" s="201"/>
      <c r="T961" s="202"/>
      <c r="AT961" s="203" t="s">
        <v>139</v>
      </c>
      <c r="AU961" s="203" t="s">
        <v>82</v>
      </c>
      <c r="AV961" s="13" t="s">
        <v>82</v>
      </c>
      <c r="AW961" s="13" t="s">
        <v>4</v>
      </c>
      <c r="AX961" s="13" t="s">
        <v>80</v>
      </c>
      <c r="AY961" s="203" t="s">
        <v>128</v>
      </c>
    </row>
    <row r="962" spans="1:65" s="2" customFormat="1" ht="16.5" customHeight="1">
      <c r="A962" s="35"/>
      <c r="B962" s="36"/>
      <c r="C962" s="215" t="s">
        <v>2079</v>
      </c>
      <c r="D962" s="215" t="s">
        <v>414</v>
      </c>
      <c r="E962" s="216" t="s">
        <v>2080</v>
      </c>
      <c r="F962" s="217" t="s">
        <v>2081</v>
      </c>
      <c r="G962" s="218" t="s">
        <v>174</v>
      </c>
      <c r="H962" s="219">
        <v>0.13</v>
      </c>
      <c r="I962" s="220"/>
      <c r="J962" s="221">
        <f>ROUND(I962*H962,2)</f>
        <v>0</v>
      </c>
      <c r="K962" s="217" t="s">
        <v>134</v>
      </c>
      <c r="L962" s="222"/>
      <c r="M962" s="223" t="s">
        <v>19</v>
      </c>
      <c r="N962" s="224" t="s">
        <v>43</v>
      </c>
      <c r="O962" s="65"/>
      <c r="P962" s="183">
        <f>O962*H962</f>
        <v>0</v>
      </c>
      <c r="Q962" s="183">
        <v>1</v>
      </c>
      <c r="R962" s="183">
        <f>Q962*H962</f>
        <v>0.13</v>
      </c>
      <c r="S962" s="183">
        <v>0</v>
      </c>
      <c r="T962" s="184">
        <f>S962*H962</f>
        <v>0</v>
      </c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R962" s="185" t="s">
        <v>334</v>
      </c>
      <c r="AT962" s="185" t="s">
        <v>414</v>
      </c>
      <c r="AU962" s="185" t="s">
        <v>82</v>
      </c>
      <c r="AY962" s="18" t="s">
        <v>128</v>
      </c>
      <c r="BE962" s="186">
        <f>IF(N962="základní",J962,0)</f>
        <v>0</v>
      </c>
      <c r="BF962" s="186">
        <f>IF(N962="snížená",J962,0)</f>
        <v>0</v>
      </c>
      <c r="BG962" s="186">
        <f>IF(N962="zákl. přenesená",J962,0)</f>
        <v>0</v>
      </c>
      <c r="BH962" s="186">
        <f>IF(N962="sníž. přenesená",J962,0)</f>
        <v>0</v>
      </c>
      <c r="BI962" s="186">
        <f>IF(N962="nulová",J962,0)</f>
        <v>0</v>
      </c>
      <c r="BJ962" s="18" t="s">
        <v>80</v>
      </c>
      <c r="BK962" s="186">
        <f>ROUND(I962*H962,2)</f>
        <v>0</v>
      </c>
      <c r="BL962" s="18" t="s">
        <v>230</v>
      </c>
      <c r="BM962" s="185" t="s">
        <v>2082</v>
      </c>
    </row>
    <row r="963" spans="1:65" s="13" customFormat="1" ht="10">
      <c r="B963" s="192"/>
      <c r="C963" s="193"/>
      <c r="D963" s="194" t="s">
        <v>139</v>
      </c>
      <c r="E963" s="195" t="s">
        <v>19</v>
      </c>
      <c r="F963" s="196" t="s">
        <v>2083</v>
      </c>
      <c r="G963" s="193"/>
      <c r="H963" s="197">
        <v>0.11799999999999999</v>
      </c>
      <c r="I963" s="198"/>
      <c r="J963" s="193"/>
      <c r="K963" s="193"/>
      <c r="L963" s="199"/>
      <c r="M963" s="200"/>
      <c r="N963" s="201"/>
      <c r="O963" s="201"/>
      <c r="P963" s="201"/>
      <c r="Q963" s="201"/>
      <c r="R963" s="201"/>
      <c r="S963" s="201"/>
      <c r="T963" s="202"/>
      <c r="AT963" s="203" t="s">
        <v>139</v>
      </c>
      <c r="AU963" s="203" t="s">
        <v>82</v>
      </c>
      <c r="AV963" s="13" t="s">
        <v>82</v>
      </c>
      <c r="AW963" s="13" t="s">
        <v>34</v>
      </c>
      <c r="AX963" s="13" t="s">
        <v>80</v>
      </c>
      <c r="AY963" s="203" t="s">
        <v>128</v>
      </c>
    </row>
    <row r="964" spans="1:65" s="13" customFormat="1" ht="10">
      <c r="B964" s="192"/>
      <c r="C964" s="193"/>
      <c r="D964" s="194" t="s">
        <v>139</v>
      </c>
      <c r="E964" s="193"/>
      <c r="F964" s="196" t="s">
        <v>2084</v>
      </c>
      <c r="G964" s="193"/>
      <c r="H964" s="197">
        <v>0.13</v>
      </c>
      <c r="I964" s="198"/>
      <c r="J964" s="193"/>
      <c r="K964" s="193"/>
      <c r="L964" s="199"/>
      <c r="M964" s="200"/>
      <c r="N964" s="201"/>
      <c r="O964" s="201"/>
      <c r="P964" s="201"/>
      <c r="Q964" s="201"/>
      <c r="R964" s="201"/>
      <c r="S964" s="201"/>
      <c r="T964" s="202"/>
      <c r="AT964" s="203" t="s">
        <v>139</v>
      </c>
      <c r="AU964" s="203" t="s">
        <v>82</v>
      </c>
      <c r="AV964" s="13" t="s">
        <v>82</v>
      </c>
      <c r="AW964" s="13" t="s">
        <v>4</v>
      </c>
      <c r="AX964" s="13" t="s">
        <v>80</v>
      </c>
      <c r="AY964" s="203" t="s">
        <v>128</v>
      </c>
    </row>
    <row r="965" spans="1:65" s="2" customFormat="1" ht="16.5" customHeight="1">
      <c r="A965" s="35"/>
      <c r="B965" s="36"/>
      <c r="C965" s="215" t="s">
        <v>2085</v>
      </c>
      <c r="D965" s="215" t="s">
        <v>414</v>
      </c>
      <c r="E965" s="216" t="s">
        <v>2086</v>
      </c>
      <c r="F965" s="217" t="s">
        <v>2087</v>
      </c>
      <c r="G965" s="218" t="s">
        <v>174</v>
      </c>
      <c r="H965" s="219">
        <v>0.77100000000000002</v>
      </c>
      <c r="I965" s="220"/>
      <c r="J965" s="221">
        <f>ROUND(I965*H965,2)</f>
        <v>0</v>
      </c>
      <c r="K965" s="217" t="s">
        <v>134</v>
      </c>
      <c r="L965" s="222"/>
      <c r="M965" s="223" t="s">
        <v>19</v>
      </c>
      <c r="N965" s="224" t="s">
        <v>43</v>
      </c>
      <c r="O965" s="65"/>
      <c r="P965" s="183">
        <f>O965*H965</f>
        <v>0</v>
      </c>
      <c r="Q965" s="183">
        <v>1</v>
      </c>
      <c r="R965" s="183">
        <f>Q965*H965</f>
        <v>0.77100000000000002</v>
      </c>
      <c r="S965" s="183">
        <v>0</v>
      </c>
      <c r="T965" s="184">
        <f>S965*H965</f>
        <v>0</v>
      </c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R965" s="185" t="s">
        <v>334</v>
      </c>
      <c r="AT965" s="185" t="s">
        <v>414</v>
      </c>
      <c r="AU965" s="185" t="s">
        <v>82</v>
      </c>
      <c r="AY965" s="18" t="s">
        <v>128</v>
      </c>
      <c r="BE965" s="186">
        <f>IF(N965="základní",J965,0)</f>
        <v>0</v>
      </c>
      <c r="BF965" s="186">
        <f>IF(N965="snížená",J965,0)</f>
        <v>0</v>
      </c>
      <c r="BG965" s="186">
        <f>IF(N965="zákl. přenesená",J965,0)</f>
        <v>0</v>
      </c>
      <c r="BH965" s="186">
        <f>IF(N965="sníž. přenesená",J965,0)</f>
        <v>0</v>
      </c>
      <c r="BI965" s="186">
        <f>IF(N965="nulová",J965,0)</f>
        <v>0</v>
      </c>
      <c r="BJ965" s="18" t="s">
        <v>80</v>
      </c>
      <c r="BK965" s="186">
        <f>ROUND(I965*H965,2)</f>
        <v>0</v>
      </c>
      <c r="BL965" s="18" t="s">
        <v>230</v>
      </c>
      <c r="BM965" s="185" t="s">
        <v>2088</v>
      </c>
    </row>
    <row r="966" spans="1:65" s="13" customFormat="1" ht="10">
      <c r="B966" s="192"/>
      <c r="C966" s="193"/>
      <c r="D966" s="194" t="s">
        <v>139</v>
      </c>
      <c r="E966" s="195" t="s">
        <v>19</v>
      </c>
      <c r="F966" s="196" t="s">
        <v>2089</v>
      </c>
      <c r="G966" s="193"/>
      <c r="H966" s="197">
        <v>0.129</v>
      </c>
      <c r="I966" s="198"/>
      <c r="J966" s="193"/>
      <c r="K966" s="193"/>
      <c r="L966" s="199"/>
      <c r="M966" s="200"/>
      <c r="N966" s="201"/>
      <c r="O966" s="201"/>
      <c r="P966" s="201"/>
      <c r="Q966" s="201"/>
      <c r="R966" s="201"/>
      <c r="S966" s="201"/>
      <c r="T966" s="202"/>
      <c r="AT966" s="203" t="s">
        <v>139</v>
      </c>
      <c r="AU966" s="203" t="s">
        <v>82</v>
      </c>
      <c r="AV966" s="13" t="s">
        <v>82</v>
      </c>
      <c r="AW966" s="13" t="s">
        <v>34</v>
      </c>
      <c r="AX966" s="13" t="s">
        <v>72</v>
      </c>
      <c r="AY966" s="203" t="s">
        <v>128</v>
      </c>
    </row>
    <row r="967" spans="1:65" s="13" customFormat="1" ht="10">
      <c r="B967" s="192"/>
      <c r="C967" s="193"/>
      <c r="D967" s="194" t="s">
        <v>139</v>
      </c>
      <c r="E967" s="195" t="s">
        <v>19</v>
      </c>
      <c r="F967" s="196" t="s">
        <v>2090</v>
      </c>
      <c r="G967" s="193"/>
      <c r="H967" s="197">
        <v>0.57199999999999995</v>
      </c>
      <c r="I967" s="198"/>
      <c r="J967" s="193"/>
      <c r="K967" s="193"/>
      <c r="L967" s="199"/>
      <c r="M967" s="200"/>
      <c r="N967" s="201"/>
      <c r="O967" s="201"/>
      <c r="P967" s="201"/>
      <c r="Q967" s="201"/>
      <c r="R967" s="201"/>
      <c r="S967" s="201"/>
      <c r="T967" s="202"/>
      <c r="AT967" s="203" t="s">
        <v>139</v>
      </c>
      <c r="AU967" s="203" t="s">
        <v>82</v>
      </c>
      <c r="AV967" s="13" t="s">
        <v>82</v>
      </c>
      <c r="AW967" s="13" t="s">
        <v>34</v>
      </c>
      <c r="AX967" s="13" t="s">
        <v>72</v>
      </c>
      <c r="AY967" s="203" t="s">
        <v>128</v>
      </c>
    </row>
    <row r="968" spans="1:65" s="14" customFormat="1" ht="10">
      <c r="B968" s="204"/>
      <c r="C968" s="205"/>
      <c r="D968" s="194" t="s">
        <v>139</v>
      </c>
      <c r="E968" s="206" t="s">
        <v>19</v>
      </c>
      <c r="F968" s="207" t="s">
        <v>153</v>
      </c>
      <c r="G968" s="205"/>
      <c r="H968" s="208">
        <v>0.70099999999999996</v>
      </c>
      <c r="I968" s="209"/>
      <c r="J968" s="205"/>
      <c r="K968" s="205"/>
      <c r="L968" s="210"/>
      <c r="M968" s="211"/>
      <c r="N968" s="212"/>
      <c r="O968" s="212"/>
      <c r="P968" s="212"/>
      <c r="Q968" s="212"/>
      <c r="R968" s="212"/>
      <c r="S968" s="212"/>
      <c r="T968" s="213"/>
      <c r="AT968" s="214" t="s">
        <v>139</v>
      </c>
      <c r="AU968" s="214" t="s">
        <v>82</v>
      </c>
      <c r="AV968" s="14" t="s">
        <v>135</v>
      </c>
      <c r="AW968" s="14" t="s">
        <v>34</v>
      </c>
      <c r="AX968" s="14" t="s">
        <v>80</v>
      </c>
      <c r="AY968" s="214" t="s">
        <v>128</v>
      </c>
    </row>
    <row r="969" spans="1:65" s="13" customFormat="1" ht="10">
      <c r="B969" s="192"/>
      <c r="C969" s="193"/>
      <c r="D969" s="194" t="s">
        <v>139</v>
      </c>
      <c r="E969" s="193"/>
      <c r="F969" s="196" t="s">
        <v>2091</v>
      </c>
      <c r="G969" s="193"/>
      <c r="H969" s="197">
        <v>0.77100000000000002</v>
      </c>
      <c r="I969" s="198"/>
      <c r="J969" s="193"/>
      <c r="K969" s="193"/>
      <c r="L969" s="199"/>
      <c r="M969" s="200"/>
      <c r="N969" s="201"/>
      <c r="O969" s="201"/>
      <c r="P969" s="201"/>
      <c r="Q969" s="201"/>
      <c r="R969" s="201"/>
      <c r="S969" s="201"/>
      <c r="T969" s="202"/>
      <c r="AT969" s="203" t="s">
        <v>139</v>
      </c>
      <c r="AU969" s="203" t="s">
        <v>82</v>
      </c>
      <c r="AV969" s="13" t="s">
        <v>82</v>
      </c>
      <c r="AW969" s="13" t="s">
        <v>4</v>
      </c>
      <c r="AX969" s="13" t="s">
        <v>80</v>
      </c>
      <c r="AY969" s="203" t="s">
        <v>128</v>
      </c>
    </row>
    <row r="970" spans="1:65" s="2" customFormat="1" ht="16.5" customHeight="1">
      <c r="A970" s="35"/>
      <c r="B970" s="36"/>
      <c r="C970" s="215" t="s">
        <v>2092</v>
      </c>
      <c r="D970" s="215" t="s">
        <v>414</v>
      </c>
      <c r="E970" s="216" t="s">
        <v>2093</v>
      </c>
      <c r="F970" s="217" t="s">
        <v>2094</v>
      </c>
      <c r="G970" s="218" t="s">
        <v>174</v>
      </c>
      <c r="H970" s="219">
        <v>1.3069999999999999</v>
      </c>
      <c r="I970" s="220"/>
      <c r="J970" s="221">
        <f>ROUND(I970*H970,2)</f>
        <v>0</v>
      </c>
      <c r="K970" s="217" t="s">
        <v>134</v>
      </c>
      <c r="L970" s="222"/>
      <c r="M970" s="223" t="s">
        <v>19</v>
      </c>
      <c r="N970" s="224" t="s">
        <v>43</v>
      </c>
      <c r="O970" s="65"/>
      <c r="P970" s="183">
        <f>O970*H970</f>
        <v>0</v>
      </c>
      <c r="Q970" s="183">
        <v>1</v>
      </c>
      <c r="R970" s="183">
        <f>Q970*H970</f>
        <v>1.3069999999999999</v>
      </c>
      <c r="S970" s="183">
        <v>0</v>
      </c>
      <c r="T970" s="184">
        <f>S970*H970</f>
        <v>0</v>
      </c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R970" s="185" t="s">
        <v>334</v>
      </c>
      <c r="AT970" s="185" t="s">
        <v>414</v>
      </c>
      <c r="AU970" s="185" t="s">
        <v>82</v>
      </c>
      <c r="AY970" s="18" t="s">
        <v>128</v>
      </c>
      <c r="BE970" s="186">
        <f>IF(N970="základní",J970,0)</f>
        <v>0</v>
      </c>
      <c r="BF970" s="186">
        <f>IF(N970="snížená",J970,0)</f>
        <v>0</v>
      </c>
      <c r="BG970" s="186">
        <f>IF(N970="zákl. přenesená",J970,0)</f>
        <v>0</v>
      </c>
      <c r="BH970" s="186">
        <f>IF(N970="sníž. přenesená",J970,0)</f>
        <v>0</v>
      </c>
      <c r="BI970" s="186">
        <f>IF(N970="nulová",J970,0)</f>
        <v>0</v>
      </c>
      <c r="BJ970" s="18" t="s">
        <v>80</v>
      </c>
      <c r="BK970" s="186">
        <f>ROUND(I970*H970,2)</f>
        <v>0</v>
      </c>
      <c r="BL970" s="18" t="s">
        <v>230</v>
      </c>
      <c r="BM970" s="185" t="s">
        <v>2095</v>
      </c>
    </row>
    <row r="971" spans="1:65" s="13" customFormat="1" ht="10">
      <c r="B971" s="192"/>
      <c r="C971" s="193"/>
      <c r="D971" s="194" t="s">
        <v>139</v>
      </c>
      <c r="E971" s="195" t="s">
        <v>19</v>
      </c>
      <c r="F971" s="196" t="s">
        <v>2096</v>
      </c>
      <c r="G971" s="193"/>
      <c r="H971" s="197">
        <v>1.1879999999999999</v>
      </c>
      <c r="I971" s="198"/>
      <c r="J971" s="193"/>
      <c r="K971" s="193"/>
      <c r="L971" s="199"/>
      <c r="M971" s="200"/>
      <c r="N971" s="201"/>
      <c r="O971" s="201"/>
      <c r="P971" s="201"/>
      <c r="Q971" s="201"/>
      <c r="R971" s="201"/>
      <c r="S971" s="201"/>
      <c r="T971" s="202"/>
      <c r="AT971" s="203" t="s">
        <v>139</v>
      </c>
      <c r="AU971" s="203" t="s">
        <v>82</v>
      </c>
      <c r="AV971" s="13" t="s">
        <v>82</v>
      </c>
      <c r="AW971" s="13" t="s">
        <v>34</v>
      </c>
      <c r="AX971" s="13" t="s">
        <v>80</v>
      </c>
      <c r="AY971" s="203" t="s">
        <v>128</v>
      </c>
    </row>
    <row r="972" spans="1:65" s="13" customFormat="1" ht="10">
      <c r="B972" s="192"/>
      <c r="C972" s="193"/>
      <c r="D972" s="194" t="s">
        <v>139</v>
      </c>
      <c r="E972" s="193"/>
      <c r="F972" s="196" t="s">
        <v>2097</v>
      </c>
      <c r="G972" s="193"/>
      <c r="H972" s="197">
        <v>1.3069999999999999</v>
      </c>
      <c r="I972" s="198"/>
      <c r="J972" s="193"/>
      <c r="K972" s="193"/>
      <c r="L972" s="199"/>
      <c r="M972" s="200"/>
      <c r="N972" s="201"/>
      <c r="O972" s="201"/>
      <c r="P972" s="201"/>
      <c r="Q972" s="201"/>
      <c r="R972" s="201"/>
      <c r="S972" s="201"/>
      <c r="T972" s="202"/>
      <c r="AT972" s="203" t="s">
        <v>139</v>
      </c>
      <c r="AU972" s="203" t="s">
        <v>82</v>
      </c>
      <c r="AV972" s="13" t="s">
        <v>82</v>
      </c>
      <c r="AW972" s="13" t="s">
        <v>4</v>
      </c>
      <c r="AX972" s="13" t="s">
        <v>80</v>
      </c>
      <c r="AY972" s="203" t="s">
        <v>128</v>
      </c>
    </row>
    <row r="973" spans="1:65" s="2" customFormat="1" ht="16.5" customHeight="1">
      <c r="A973" s="35"/>
      <c r="B973" s="36"/>
      <c r="C973" s="215" t="s">
        <v>2098</v>
      </c>
      <c r="D973" s="215" t="s">
        <v>414</v>
      </c>
      <c r="E973" s="216" t="s">
        <v>2099</v>
      </c>
      <c r="F973" s="217" t="s">
        <v>2100</v>
      </c>
      <c r="G973" s="218" t="s">
        <v>174</v>
      </c>
      <c r="H973" s="219">
        <v>3.0609999999999999</v>
      </c>
      <c r="I973" s="220"/>
      <c r="J973" s="221">
        <f>ROUND(I973*H973,2)</f>
        <v>0</v>
      </c>
      <c r="K973" s="217" t="s">
        <v>134</v>
      </c>
      <c r="L973" s="222"/>
      <c r="M973" s="223" t="s">
        <v>19</v>
      </c>
      <c r="N973" s="224" t="s">
        <v>43</v>
      </c>
      <c r="O973" s="65"/>
      <c r="P973" s="183">
        <f>O973*H973</f>
        <v>0</v>
      </c>
      <c r="Q973" s="183">
        <v>1</v>
      </c>
      <c r="R973" s="183">
        <f>Q973*H973</f>
        <v>3.0609999999999999</v>
      </c>
      <c r="S973" s="183">
        <v>0</v>
      </c>
      <c r="T973" s="184">
        <f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185" t="s">
        <v>334</v>
      </c>
      <c r="AT973" s="185" t="s">
        <v>414</v>
      </c>
      <c r="AU973" s="185" t="s">
        <v>82</v>
      </c>
      <c r="AY973" s="18" t="s">
        <v>128</v>
      </c>
      <c r="BE973" s="186">
        <f>IF(N973="základní",J973,0)</f>
        <v>0</v>
      </c>
      <c r="BF973" s="186">
        <f>IF(N973="snížená",J973,0)</f>
        <v>0</v>
      </c>
      <c r="BG973" s="186">
        <f>IF(N973="zákl. přenesená",J973,0)</f>
        <v>0</v>
      </c>
      <c r="BH973" s="186">
        <f>IF(N973="sníž. přenesená",J973,0)</f>
        <v>0</v>
      </c>
      <c r="BI973" s="186">
        <f>IF(N973="nulová",J973,0)</f>
        <v>0</v>
      </c>
      <c r="BJ973" s="18" t="s">
        <v>80</v>
      </c>
      <c r="BK973" s="186">
        <f>ROUND(I973*H973,2)</f>
        <v>0</v>
      </c>
      <c r="BL973" s="18" t="s">
        <v>230</v>
      </c>
      <c r="BM973" s="185" t="s">
        <v>2101</v>
      </c>
    </row>
    <row r="974" spans="1:65" s="13" customFormat="1" ht="10">
      <c r="B974" s="192"/>
      <c r="C974" s="193"/>
      <c r="D974" s="194" t="s">
        <v>139</v>
      </c>
      <c r="E974" s="195" t="s">
        <v>19</v>
      </c>
      <c r="F974" s="196" t="s">
        <v>2102</v>
      </c>
      <c r="G974" s="193"/>
      <c r="H974" s="197">
        <v>0.115</v>
      </c>
      <c r="I974" s="198"/>
      <c r="J974" s="193"/>
      <c r="K974" s="193"/>
      <c r="L974" s="199"/>
      <c r="M974" s="200"/>
      <c r="N974" s="201"/>
      <c r="O974" s="201"/>
      <c r="P974" s="201"/>
      <c r="Q974" s="201"/>
      <c r="R974" s="201"/>
      <c r="S974" s="201"/>
      <c r="T974" s="202"/>
      <c r="AT974" s="203" t="s">
        <v>139</v>
      </c>
      <c r="AU974" s="203" t="s">
        <v>82</v>
      </c>
      <c r="AV974" s="13" t="s">
        <v>82</v>
      </c>
      <c r="AW974" s="13" t="s">
        <v>34</v>
      </c>
      <c r="AX974" s="13" t="s">
        <v>72</v>
      </c>
      <c r="AY974" s="203" t="s">
        <v>128</v>
      </c>
    </row>
    <row r="975" spans="1:65" s="13" customFormat="1" ht="10">
      <c r="B975" s="192"/>
      <c r="C975" s="193"/>
      <c r="D975" s="194" t="s">
        <v>139</v>
      </c>
      <c r="E975" s="195" t="s">
        <v>19</v>
      </c>
      <c r="F975" s="196" t="s">
        <v>2103</v>
      </c>
      <c r="G975" s="193"/>
      <c r="H975" s="197">
        <v>2.6680000000000001</v>
      </c>
      <c r="I975" s="198"/>
      <c r="J975" s="193"/>
      <c r="K975" s="193"/>
      <c r="L975" s="199"/>
      <c r="M975" s="200"/>
      <c r="N975" s="201"/>
      <c r="O975" s="201"/>
      <c r="P975" s="201"/>
      <c r="Q975" s="201"/>
      <c r="R975" s="201"/>
      <c r="S975" s="201"/>
      <c r="T975" s="202"/>
      <c r="AT975" s="203" t="s">
        <v>139</v>
      </c>
      <c r="AU975" s="203" t="s">
        <v>82</v>
      </c>
      <c r="AV975" s="13" t="s">
        <v>82</v>
      </c>
      <c r="AW975" s="13" t="s">
        <v>34</v>
      </c>
      <c r="AX975" s="13" t="s">
        <v>72</v>
      </c>
      <c r="AY975" s="203" t="s">
        <v>128</v>
      </c>
    </row>
    <row r="976" spans="1:65" s="14" customFormat="1" ht="10">
      <c r="B976" s="204"/>
      <c r="C976" s="205"/>
      <c r="D976" s="194" t="s">
        <v>139</v>
      </c>
      <c r="E976" s="206" t="s">
        <v>19</v>
      </c>
      <c r="F976" s="207" t="s">
        <v>153</v>
      </c>
      <c r="G976" s="205"/>
      <c r="H976" s="208">
        <v>2.7830000000000004</v>
      </c>
      <c r="I976" s="209"/>
      <c r="J976" s="205"/>
      <c r="K976" s="205"/>
      <c r="L976" s="210"/>
      <c r="M976" s="211"/>
      <c r="N976" s="212"/>
      <c r="O976" s="212"/>
      <c r="P976" s="212"/>
      <c r="Q976" s="212"/>
      <c r="R976" s="212"/>
      <c r="S976" s="212"/>
      <c r="T976" s="213"/>
      <c r="AT976" s="214" t="s">
        <v>139</v>
      </c>
      <c r="AU976" s="214" t="s">
        <v>82</v>
      </c>
      <c r="AV976" s="14" t="s">
        <v>135</v>
      </c>
      <c r="AW976" s="14" t="s">
        <v>34</v>
      </c>
      <c r="AX976" s="14" t="s">
        <v>80</v>
      </c>
      <c r="AY976" s="214" t="s">
        <v>128</v>
      </c>
    </row>
    <row r="977" spans="1:65" s="13" customFormat="1" ht="10">
      <c r="B977" s="192"/>
      <c r="C977" s="193"/>
      <c r="D977" s="194" t="s">
        <v>139</v>
      </c>
      <c r="E977" s="193"/>
      <c r="F977" s="196" t="s">
        <v>2104</v>
      </c>
      <c r="G977" s="193"/>
      <c r="H977" s="197">
        <v>3.0609999999999999</v>
      </c>
      <c r="I977" s="198"/>
      <c r="J977" s="193"/>
      <c r="K977" s="193"/>
      <c r="L977" s="199"/>
      <c r="M977" s="200"/>
      <c r="N977" s="201"/>
      <c r="O977" s="201"/>
      <c r="P977" s="201"/>
      <c r="Q977" s="201"/>
      <c r="R977" s="201"/>
      <c r="S977" s="201"/>
      <c r="T977" s="202"/>
      <c r="AT977" s="203" t="s">
        <v>139</v>
      </c>
      <c r="AU977" s="203" t="s">
        <v>82</v>
      </c>
      <c r="AV977" s="13" t="s">
        <v>82</v>
      </c>
      <c r="AW977" s="13" t="s">
        <v>4</v>
      </c>
      <c r="AX977" s="13" t="s">
        <v>80</v>
      </c>
      <c r="AY977" s="203" t="s">
        <v>128</v>
      </c>
    </row>
    <row r="978" spans="1:65" s="2" customFormat="1" ht="16.5" customHeight="1">
      <c r="A978" s="35"/>
      <c r="B978" s="36"/>
      <c r="C978" s="215" t="s">
        <v>2105</v>
      </c>
      <c r="D978" s="215" t="s">
        <v>414</v>
      </c>
      <c r="E978" s="216" t="s">
        <v>2106</v>
      </c>
      <c r="F978" s="217" t="s">
        <v>2107</v>
      </c>
      <c r="G978" s="218" t="s">
        <v>174</v>
      </c>
      <c r="H978" s="219">
        <v>1.4259999999999999</v>
      </c>
      <c r="I978" s="220"/>
      <c r="J978" s="221">
        <f>ROUND(I978*H978,2)</f>
        <v>0</v>
      </c>
      <c r="K978" s="217" t="s">
        <v>134</v>
      </c>
      <c r="L978" s="222"/>
      <c r="M978" s="223" t="s">
        <v>19</v>
      </c>
      <c r="N978" s="224" t="s">
        <v>43</v>
      </c>
      <c r="O978" s="65"/>
      <c r="P978" s="183">
        <f>O978*H978</f>
        <v>0</v>
      </c>
      <c r="Q978" s="183">
        <v>1</v>
      </c>
      <c r="R978" s="183">
        <f>Q978*H978</f>
        <v>1.4259999999999999</v>
      </c>
      <c r="S978" s="183">
        <v>0</v>
      </c>
      <c r="T978" s="184">
        <f>S978*H978</f>
        <v>0</v>
      </c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R978" s="185" t="s">
        <v>334</v>
      </c>
      <c r="AT978" s="185" t="s">
        <v>414</v>
      </c>
      <c r="AU978" s="185" t="s">
        <v>82</v>
      </c>
      <c r="AY978" s="18" t="s">
        <v>128</v>
      </c>
      <c r="BE978" s="186">
        <f>IF(N978="základní",J978,0)</f>
        <v>0</v>
      </c>
      <c r="BF978" s="186">
        <f>IF(N978="snížená",J978,0)</f>
        <v>0</v>
      </c>
      <c r="BG978" s="186">
        <f>IF(N978="zákl. přenesená",J978,0)</f>
        <v>0</v>
      </c>
      <c r="BH978" s="186">
        <f>IF(N978="sníž. přenesená",J978,0)</f>
        <v>0</v>
      </c>
      <c r="BI978" s="186">
        <f>IF(N978="nulová",J978,0)</f>
        <v>0</v>
      </c>
      <c r="BJ978" s="18" t="s">
        <v>80</v>
      </c>
      <c r="BK978" s="186">
        <f>ROUND(I978*H978,2)</f>
        <v>0</v>
      </c>
      <c r="BL978" s="18" t="s">
        <v>230</v>
      </c>
      <c r="BM978" s="185" t="s">
        <v>2108</v>
      </c>
    </row>
    <row r="979" spans="1:65" s="13" customFormat="1" ht="10">
      <c r="B979" s="192"/>
      <c r="C979" s="193"/>
      <c r="D979" s="194" t="s">
        <v>139</v>
      </c>
      <c r="E979" s="195" t="s">
        <v>19</v>
      </c>
      <c r="F979" s="196" t="s">
        <v>2109</v>
      </c>
      <c r="G979" s="193"/>
      <c r="H979" s="197">
        <v>1.296</v>
      </c>
      <c r="I979" s="198"/>
      <c r="J979" s="193"/>
      <c r="K979" s="193"/>
      <c r="L979" s="199"/>
      <c r="M979" s="200"/>
      <c r="N979" s="201"/>
      <c r="O979" s="201"/>
      <c r="P979" s="201"/>
      <c r="Q979" s="201"/>
      <c r="R979" s="201"/>
      <c r="S979" s="201"/>
      <c r="T979" s="202"/>
      <c r="AT979" s="203" t="s">
        <v>139</v>
      </c>
      <c r="AU979" s="203" t="s">
        <v>82</v>
      </c>
      <c r="AV979" s="13" t="s">
        <v>82</v>
      </c>
      <c r="AW979" s="13" t="s">
        <v>34</v>
      </c>
      <c r="AX979" s="13" t="s">
        <v>80</v>
      </c>
      <c r="AY979" s="203" t="s">
        <v>128</v>
      </c>
    </row>
    <row r="980" spans="1:65" s="13" customFormat="1" ht="10">
      <c r="B980" s="192"/>
      <c r="C980" s="193"/>
      <c r="D980" s="194" t="s">
        <v>139</v>
      </c>
      <c r="E980" s="193"/>
      <c r="F980" s="196" t="s">
        <v>2110</v>
      </c>
      <c r="G980" s="193"/>
      <c r="H980" s="197">
        <v>1.4259999999999999</v>
      </c>
      <c r="I980" s="198"/>
      <c r="J980" s="193"/>
      <c r="K980" s="193"/>
      <c r="L980" s="199"/>
      <c r="M980" s="200"/>
      <c r="N980" s="201"/>
      <c r="O980" s="201"/>
      <c r="P980" s="201"/>
      <c r="Q980" s="201"/>
      <c r="R980" s="201"/>
      <c r="S980" s="201"/>
      <c r="T980" s="202"/>
      <c r="AT980" s="203" t="s">
        <v>139</v>
      </c>
      <c r="AU980" s="203" t="s">
        <v>82</v>
      </c>
      <c r="AV980" s="13" t="s">
        <v>82</v>
      </c>
      <c r="AW980" s="13" t="s">
        <v>4</v>
      </c>
      <c r="AX980" s="13" t="s">
        <v>80</v>
      </c>
      <c r="AY980" s="203" t="s">
        <v>128</v>
      </c>
    </row>
    <row r="981" spans="1:65" s="2" customFormat="1" ht="16.5" customHeight="1">
      <c r="A981" s="35"/>
      <c r="B981" s="36"/>
      <c r="C981" s="174" t="s">
        <v>2111</v>
      </c>
      <c r="D981" s="174" t="s">
        <v>130</v>
      </c>
      <c r="E981" s="175" t="s">
        <v>2112</v>
      </c>
      <c r="F981" s="176" t="s">
        <v>2113</v>
      </c>
      <c r="G981" s="177" t="s">
        <v>305</v>
      </c>
      <c r="H981" s="178">
        <v>6</v>
      </c>
      <c r="I981" s="179"/>
      <c r="J981" s="180">
        <f>ROUND(I981*H981,2)</f>
        <v>0</v>
      </c>
      <c r="K981" s="176" t="s">
        <v>19</v>
      </c>
      <c r="L981" s="40"/>
      <c r="M981" s="181" t="s">
        <v>19</v>
      </c>
      <c r="N981" s="182" t="s">
        <v>43</v>
      </c>
      <c r="O981" s="65"/>
      <c r="P981" s="183">
        <f>O981*H981</f>
        <v>0</v>
      </c>
      <c r="Q981" s="183">
        <v>0</v>
      </c>
      <c r="R981" s="183">
        <f>Q981*H981</f>
        <v>0</v>
      </c>
      <c r="S981" s="183">
        <v>0</v>
      </c>
      <c r="T981" s="184">
        <f>S981*H981</f>
        <v>0</v>
      </c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R981" s="185" t="s">
        <v>230</v>
      </c>
      <c r="AT981" s="185" t="s">
        <v>130</v>
      </c>
      <c r="AU981" s="185" t="s">
        <v>82</v>
      </c>
      <c r="AY981" s="18" t="s">
        <v>128</v>
      </c>
      <c r="BE981" s="186">
        <f>IF(N981="základní",J981,0)</f>
        <v>0</v>
      </c>
      <c r="BF981" s="186">
        <f>IF(N981="snížená",J981,0)</f>
        <v>0</v>
      </c>
      <c r="BG981" s="186">
        <f>IF(N981="zákl. přenesená",J981,0)</f>
        <v>0</v>
      </c>
      <c r="BH981" s="186">
        <f>IF(N981="sníž. přenesená",J981,0)</f>
        <v>0</v>
      </c>
      <c r="BI981" s="186">
        <f>IF(N981="nulová",J981,0)</f>
        <v>0</v>
      </c>
      <c r="BJ981" s="18" t="s">
        <v>80</v>
      </c>
      <c r="BK981" s="186">
        <f>ROUND(I981*H981,2)</f>
        <v>0</v>
      </c>
      <c r="BL981" s="18" t="s">
        <v>230</v>
      </c>
      <c r="BM981" s="185" t="s">
        <v>2114</v>
      </c>
    </row>
    <row r="982" spans="1:65" s="13" customFormat="1" ht="10">
      <c r="B982" s="192"/>
      <c r="C982" s="193"/>
      <c r="D982" s="194" t="s">
        <v>139</v>
      </c>
      <c r="E982" s="195" t="s">
        <v>19</v>
      </c>
      <c r="F982" s="196" t="s">
        <v>2115</v>
      </c>
      <c r="G982" s="193"/>
      <c r="H982" s="197">
        <v>6</v>
      </c>
      <c r="I982" s="198"/>
      <c r="J982" s="193"/>
      <c r="K982" s="193"/>
      <c r="L982" s="199"/>
      <c r="M982" s="200"/>
      <c r="N982" s="201"/>
      <c r="O982" s="201"/>
      <c r="P982" s="201"/>
      <c r="Q982" s="201"/>
      <c r="R982" s="201"/>
      <c r="S982" s="201"/>
      <c r="T982" s="202"/>
      <c r="AT982" s="203" t="s">
        <v>139</v>
      </c>
      <c r="AU982" s="203" t="s">
        <v>82</v>
      </c>
      <c r="AV982" s="13" t="s">
        <v>82</v>
      </c>
      <c r="AW982" s="13" t="s">
        <v>34</v>
      </c>
      <c r="AX982" s="13" t="s">
        <v>80</v>
      </c>
      <c r="AY982" s="203" t="s">
        <v>128</v>
      </c>
    </row>
    <row r="983" spans="1:65" s="2" customFormat="1" ht="16.5" customHeight="1">
      <c r="A983" s="35"/>
      <c r="B983" s="36"/>
      <c r="C983" s="174" t="s">
        <v>2116</v>
      </c>
      <c r="D983" s="174" t="s">
        <v>130</v>
      </c>
      <c r="E983" s="175" t="s">
        <v>2117</v>
      </c>
      <c r="F983" s="176" t="s">
        <v>2118</v>
      </c>
      <c r="G983" s="177" t="s">
        <v>305</v>
      </c>
      <c r="H983" s="178">
        <v>1</v>
      </c>
      <c r="I983" s="179"/>
      <c r="J983" s="180">
        <f>ROUND(I983*H983,2)</f>
        <v>0</v>
      </c>
      <c r="K983" s="176" t="s">
        <v>19</v>
      </c>
      <c r="L983" s="40"/>
      <c r="M983" s="181" t="s">
        <v>19</v>
      </c>
      <c r="N983" s="182" t="s">
        <v>43</v>
      </c>
      <c r="O983" s="65"/>
      <c r="P983" s="183">
        <f>O983*H983</f>
        <v>0</v>
      </c>
      <c r="Q983" s="183">
        <v>0</v>
      </c>
      <c r="R983" s="183">
        <f>Q983*H983</f>
        <v>0</v>
      </c>
      <c r="S983" s="183">
        <v>0</v>
      </c>
      <c r="T983" s="184">
        <f>S983*H983</f>
        <v>0</v>
      </c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R983" s="185" t="s">
        <v>230</v>
      </c>
      <c r="AT983" s="185" t="s">
        <v>130</v>
      </c>
      <c r="AU983" s="185" t="s">
        <v>82</v>
      </c>
      <c r="AY983" s="18" t="s">
        <v>128</v>
      </c>
      <c r="BE983" s="186">
        <f>IF(N983="základní",J983,0)</f>
        <v>0</v>
      </c>
      <c r="BF983" s="186">
        <f>IF(N983="snížená",J983,0)</f>
        <v>0</v>
      </c>
      <c r="BG983" s="186">
        <f>IF(N983="zákl. přenesená",J983,0)</f>
        <v>0</v>
      </c>
      <c r="BH983" s="186">
        <f>IF(N983="sníž. přenesená",J983,0)</f>
        <v>0</v>
      </c>
      <c r="BI983" s="186">
        <f>IF(N983="nulová",J983,0)</f>
        <v>0</v>
      </c>
      <c r="BJ983" s="18" t="s">
        <v>80</v>
      </c>
      <c r="BK983" s="186">
        <f>ROUND(I983*H983,2)</f>
        <v>0</v>
      </c>
      <c r="BL983" s="18" t="s">
        <v>230</v>
      </c>
      <c r="BM983" s="185" t="s">
        <v>2119</v>
      </c>
    </row>
    <row r="984" spans="1:65" s="13" customFormat="1" ht="10">
      <c r="B984" s="192"/>
      <c r="C984" s="193"/>
      <c r="D984" s="194" t="s">
        <v>139</v>
      </c>
      <c r="E984" s="195" t="s">
        <v>19</v>
      </c>
      <c r="F984" s="196" t="s">
        <v>2120</v>
      </c>
      <c r="G984" s="193"/>
      <c r="H984" s="197">
        <v>1</v>
      </c>
      <c r="I984" s="198"/>
      <c r="J984" s="193"/>
      <c r="K984" s="193"/>
      <c r="L984" s="199"/>
      <c r="M984" s="200"/>
      <c r="N984" s="201"/>
      <c r="O984" s="201"/>
      <c r="P984" s="201"/>
      <c r="Q984" s="201"/>
      <c r="R984" s="201"/>
      <c r="S984" s="201"/>
      <c r="T984" s="202"/>
      <c r="AT984" s="203" t="s">
        <v>139</v>
      </c>
      <c r="AU984" s="203" t="s">
        <v>82</v>
      </c>
      <c r="AV984" s="13" t="s">
        <v>82</v>
      </c>
      <c r="AW984" s="13" t="s">
        <v>34</v>
      </c>
      <c r="AX984" s="13" t="s">
        <v>80</v>
      </c>
      <c r="AY984" s="203" t="s">
        <v>128</v>
      </c>
    </row>
    <row r="985" spans="1:65" s="2" customFormat="1" ht="16.5" customHeight="1">
      <c r="A985" s="35"/>
      <c r="B985" s="36"/>
      <c r="C985" s="174" t="s">
        <v>2121</v>
      </c>
      <c r="D985" s="174" t="s">
        <v>130</v>
      </c>
      <c r="E985" s="175" t="s">
        <v>2122</v>
      </c>
      <c r="F985" s="176" t="s">
        <v>2123</v>
      </c>
      <c r="G985" s="177" t="s">
        <v>305</v>
      </c>
      <c r="H985" s="178">
        <v>5</v>
      </c>
      <c r="I985" s="179"/>
      <c r="J985" s="180">
        <f>ROUND(I985*H985,2)</f>
        <v>0</v>
      </c>
      <c r="K985" s="176" t="s">
        <v>19</v>
      </c>
      <c r="L985" s="40"/>
      <c r="M985" s="181" t="s">
        <v>19</v>
      </c>
      <c r="N985" s="182" t="s">
        <v>43</v>
      </c>
      <c r="O985" s="65"/>
      <c r="P985" s="183">
        <f>O985*H985</f>
        <v>0</v>
      </c>
      <c r="Q985" s="183">
        <v>0</v>
      </c>
      <c r="R985" s="183">
        <f>Q985*H985</f>
        <v>0</v>
      </c>
      <c r="S985" s="183">
        <v>0</v>
      </c>
      <c r="T985" s="184">
        <f>S985*H985</f>
        <v>0</v>
      </c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R985" s="185" t="s">
        <v>230</v>
      </c>
      <c r="AT985" s="185" t="s">
        <v>130</v>
      </c>
      <c r="AU985" s="185" t="s">
        <v>82</v>
      </c>
      <c r="AY985" s="18" t="s">
        <v>128</v>
      </c>
      <c r="BE985" s="186">
        <f>IF(N985="základní",J985,0)</f>
        <v>0</v>
      </c>
      <c r="BF985" s="186">
        <f>IF(N985="snížená",J985,0)</f>
        <v>0</v>
      </c>
      <c r="BG985" s="186">
        <f>IF(N985="zákl. přenesená",J985,0)</f>
        <v>0</v>
      </c>
      <c r="BH985" s="186">
        <f>IF(N985="sníž. přenesená",J985,0)</f>
        <v>0</v>
      </c>
      <c r="BI985" s="186">
        <f>IF(N985="nulová",J985,0)</f>
        <v>0</v>
      </c>
      <c r="BJ985" s="18" t="s">
        <v>80</v>
      </c>
      <c r="BK985" s="186">
        <f>ROUND(I985*H985,2)</f>
        <v>0</v>
      </c>
      <c r="BL985" s="18" t="s">
        <v>230</v>
      </c>
      <c r="BM985" s="185" t="s">
        <v>2124</v>
      </c>
    </row>
    <row r="986" spans="1:65" s="13" customFormat="1" ht="10">
      <c r="B986" s="192"/>
      <c r="C986" s="193"/>
      <c r="D986" s="194" t="s">
        <v>139</v>
      </c>
      <c r="E986" s="195" t="s">
        <v>19</v>
      </c>
      <c r="F986" s="196" t="s">
        <v>2125</v>
      </c>
      <c r="G986" s="193"/>
      <c r="H986" s="197">
        <v>5</v>
      </c>
      <c r="I986" s="198"/>
      <c r="J986" s="193"/>
      <c r="K986" s="193"/>
      <c r="L986" s="199"/>
      <c r="M986" s="200"/>
      <c r="N986" s="201"/>
      <c r="O986" s="201"/>
      <c r="P986" s="201"/>
      <c r="Q986" s="201"/>
      <c r="R986" s="201"/>
      <c r="S986" s="201"/>
      <c r="T986" s="202"/>
      <c r="AT986" s="203" t="s">
        <v>139</v>
      </c>
      <c r="AU986" s="203" t="s">
        <v>82</v>
      </c>
      <c r="AV986" s="13" t="s">
        <v>82</v>
      </c>
      <c r="AW986" s="13" t="s">
        <v>34</v>
      </c>
      <c r="AX986" s="13" t="s">
        <v>80</v>
      </c>
      <c r="AY986" s="203" t="s">
        <v>128</v>
      </c>
    </row>
    <row r="987" spans="1:65" s="2" customFormat="1" ht="16.5" customHeight="1">
      <c r="A987" s="35"/>
      <c r="B987" s="36"/>
      <c r="C987" s="174" t="s">
        <v>2126</v>
      </c>
      <c r="D987" s="174" t="s">
        <v>130</v>
      </c>
      <c r="E987" s="175" t="s">
        <v>2127</v>
      </c>
      <c r="F987" s="176" t="s">
        <v>2128</v>
      </c>
      <c r="G987" s="177" t="s">
        <v>305</v>
      </c>
      <c r="H987" s="178">
        <v>1</v>
      </c>
      <c r="I987" s="179"/>
      <c r="J987" s="180">
        <f>ROUND(I987*H987,2)</f>
        <v>0</v>
      </c>
      <c r="K987" s="176" t="s">
        <v>19</v>
      </c>
      <c r="L987" s="40"/>
      <c r="M987" s="181" t="s">
        <v>19</v>
      </c>
      <c r="N987" s="182" t="s">
        <v>43</v>
      </c>
      <c r="O987" s="65"/>
      <c r="P987" s="183">
        <f>O987*H987</f>
        <v>0</v>
      </c>
      <c r="Q987" s="183">
        <v>0</v>
      </c>
      <c r="R987" s="183">
        <f>Q987*H987</f>
        <v>0</v>
      </c>
      <c r="S987" s="183">
        <v>0</v>
      </c>
      <c r="T987" s="184">
        <f>S987*H987</f>
        <v>0</v>
      </c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R987" s="185" t="s">
        <v>230</v>
      </c>
      <c r="AT987" s="185" t="s">
        <v>130</v>
      </c>
      <c r="AU987" s="185" t="s">
        <v>82</v>
      </c>
      <c r="AY987" s="18" t="s">
        <v>128</v>
      </c>
      <c r="BE987" s="186">
        <f>IF(N987="základní",J987,0)</f>
        <v>0</v>
      </c>
      <c r="BF987" s="186">
        <f>IF(N987="snížená",J987,0)</f>
        <v>0</v>
      </c>
      <c r="BG987" s="186">
        <f>IF(N987="zákl. přenesená",J987,0)</f>
        <v>0</v>
      </c>
      <c r="BH987" s="186">
        <f>IF(N987="sníž. přenesená",J987,0)</f>
        <v>0</v>
      </c>
      <c r="BI987" s="186">
        <f>IF(N987="nulová",J987,0)</f>
        <v>0</v>
      </c>
      <c r="BJ987" s="18" t="s">
        <v>80</v>
      </c>
      <c r="BK987" s="186">
        <f>ROUND(I987*H987,2)</f>
        <v>0</v>
      </c>
      <c r="BL987" s="18" t="s">
        <v>230</v>
      </c>
      <c r="BM987" s="185" t="s">
        <v>2129</v>
      </c>
    </row>
    <row r="988" spans="1:65" s="13" customFormat="1" ht="10">
      <c r="B988" s="192"/>
      <c r="C988" s="193"/>
      <c r="D988" s="194" t="s">
        <v>139</v>
      </c>
      <c r="E988" s="195" t="s">
        <v>19</v>
      </c>
      <c r="F988" s="196" t="s">
        <v>2130</v>
      </c>
      <c r="G988" s="193"/>
      <c r="H988" s="197">
        <v>1</v>
      </c>
      <c r="I988" s="198"/>
      <c r="J988" s="193"/>
      <c r="K988" s="193"/>
      <c r="L988" s="199"/>
      <c r="M988" s="200"/>
      <c r="N988" s="201"/>
      <c r="O988" s="201"/>
      <c r="P988" s="201"/>
      <c r="Q988" s="201"/>
      <c r="R988" s="201"/>
      <c r="S988" s="201"/>
      <c r="T988" s="202"/>
      <c r="AT988" s="203" t="s">
        <v>139</v>
      </c>
      <c r="AU988" s="203" t="s">
        <v>82</v>
      </c>
      <c r="AV988" s="13" t="s">
        <v>82</v>
      </c>
      <c r="AW988" s="13" t="s">
        <v>34</v>
      </c>
      <c r="AX988" s="13" t="s">
        <v>80</v>
      </c>
      <c r="AY988" s="203" t="s">
        <v>128</v>
      </c>
    </row>
    <row r="989" spans="1:65" s="2" customFormat="1" ht="16.5" customHeight="1">
      <c r="A989" s="35"/>
      <c r="B989" s="36"/>
      <c r="C989" s="174" t="s">
        <v>2131</v>
      </c>
      <c r="D989" s="174" t="s">
        <v>130</v>
      </c>
      <c r="E989" s="175" t="s">
        <v>2132</v>
      </c>
      <c r="F989" s="176" t="s">
        <v>2133</v>
      </c>
      <c r="G989" s="177" t="s">
        <v>192</v>
      </c>
      <c r="H989" s="178">
        <v>1</v>
      </c>
      <c r="I989" s="179"/>
      <c r="J989" s="180">
        <f>ROUND(I989*H989,2)</f>
        <v>0</v>
      </c>
      <c r="K989" s="176" t="s">
        <v>19</v>
      </c>
      <c r="L989" s="40"/>
      <c r="M989" s="181" t="s">
        <v>19</v>
      </c>
      <c r="N989" s="182" t="s">
        <v>43</v>
      </c>
      <c r="O989" s="65"/>
      <c r="P989" s="183">
        <f>O989*H989</f>
        <v>0</v>
      </c>
      <c r="Q989" s="183">
        <v>0</v>
      </c>
      <c r="R989" s="183">
        <f>Q989*H989</f>
        <v>0</v>
      </c>
      <c r="S989" s="183">
        <v>0</v>
      </c>
      <c r="T989" s="184">
        <f>S989*H989</f>
        <v>0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R989" s="185" t="s">
        <v>230</v>
      </c>
      <c r="AT989" s="185" t="s">
        <v>130</v>
      </c>
      <c r="AU989" s="185" t="s">
        <v>82</v>
      </c>
      <c r="AY989" s="18" t="s">
        <v>128</v>
      </c>
      <c r="BE989" s="186">
        <f>IF(N989="základní",J989,0)</f>
        <v>0</v>
      </c>
      <c r="BF989" s="186">
        <f>IF(N989="snížená",J989,0)</f>
        <v>0</v>
      </c>
      <c r="BG989" s="186">
        <f>IF(N989="zákl. přenesená",J989,0)</f>
        <v>0</v>
      </c>
      <c r="BH989" s="186">
        <f>IF(N989="sníž. přenesená",J989,0)</f>
        <v>0</v>
      </c>
      <c r="BI989" s="186">
        <f>IF(N989="nulová",J989,0)</f>
        <v>0</v>
      </c>
      <c r="BJ989" s="18" t="s">
        <v>80</v>
      </c>
      <c r="BK989" s="186">
        <f>ROUND(I989*H989,2)</f>
        <v>0</v>
      </c>
      <c r="BL989" s="18" t="s">
        <v>230</v>
      </c>
      <c r="BM989" s="185" t="s">
        <v>2134</v>
      </c>
    </row>
    <row r="990" spans="1:65" s="13" customFormat="1" ht="10">
      <c r="B990" s="192"/>
      <c r="C990" s="193"/>
      <c r="D990" s="194" t="s">
        <v>139</v>
      </c>
      <c r="E990" s="195" t="s">
        <v>19</v>
      </c>
      <c r="F990" s="196" t="s">
        <v>2135</v>
      </c>
      <c r="G990" s="193"/>
      <c r="H990" s="197">
        <v>1</v>
      </c>
      <c r="I990" s="198"/>
      <c r="J990" s="193"/>
      <c r="K990" s="193"/>
      <c r="L990" s="199"/>
      <c r="M990" s="200"/>
      <c r="N990" s="201"/>
      <c r="O990" s="201"/>
      <c r="P990" s="201"/>
      <c r="Q990" s="201"/>
      <c r="R990" s="201"/>
      <c r="S990" s="201"/>
      <c r="T990" s="202"/>
      <c r="AT990" s="203" t="s">
        <v>139</v>
      </c>
      <c r="AU990" s="203" t="s">
        <v>82</v>
      </c>
      <c r="AV990" s="13" t="s">
        <v>82</v>
      </c>
      <c r="AW990" s="13" t="s">
        <v>34</v>
      </c>
      <c r="AX990" s="13" t="s">
        <v>80</v>
      </c>
      <c r="AY990" s="203" t="s">
        <v>128</v>
      </c>
    </row>
    <row r="991" spans="1:65" s="2" customFormat="1" ht="16.5" customHeight="1">
      <c r="A991" s="35"/>
      <c r="B991" s="36"/>
      <c r="C991" s="174" t="s">
        <v>2136</v>
      </c>
      <c r="D991" s="174" t="s">
        <v>130</v>
      </c>
      <c r="E991" s="175" t="s">
        <v>2137</v>
      </c>
      <c r="F991" s="176" t="s">
        <v>2138</v>
      </c>
      <c r="G991" s="177" t="s">
        <v>305</v>
      </c>
      <c r="H991" s="178">
        <v>1</v>
      </c>
      <c r="I991" s="179"/>
      <c r="J991" s="180">
        <f>ROUND(I991*H991,2)</f>
        <v>0</v>
      </c>
      <c r="K991" s="176" t="s">
        <v>19</v>
      </c>
      <c r="L991" s="40"/>
      <c r="M991" s="181" t="s">
        <v>19</v>
      </c>
      <c r="N991" s="182" t="s">
        <v>43</v>
      </c>
      <c r="O991" s="65"/>
      <c r="P991" s="183">
        <f>O991*H991</f>
        <v>0</v>
      </c>
      <c r="Q991" s="183">
        <v>0</v>
      </c>
      <c r="R991" s="183">
        <f>Q991*H991</f>
        <v>0</v>
      </c>
      <c r="S991" s="183">
        <v>0</v>
      </c>
      <c r="T991" s="184">
        <f>S991*H991</f>
        <v>0</v>
      </c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R991" s="185" t="s">
        <v>230</v>
      </c>
      <c r="AT991" s="185" t="s">
        <v>130</v>
      </c>
      <c r="AU991" s="185" t="s">
        <v>82</v>
      </c>
      <c r="AY991" s="18" t="s">
        <v>128</v>
      </c>
      <c r="BE991" s="186">
        <f>IF(N991="základní",J991,0)</f>
        <v>0</v>
      </c>
      <c r="BF991" s="186">
        <f>IF(N991="snížená",J991,0)</f>
        <v>0</v>
      </c>
      <c r="BG991" s="186">
        <f>IF(N991="zákl. přenesená",J991,0)</f>
        <v>0</v>
      </c>
      <c r="BH991" s="186">
        <f>IF(N991="sníž. přenesená",J991,0)</f>
        <v>0</v>
      </c>
      <c r="BI991" s="186">
        <f>IF(N991="nulová",J991,0)</f>
        <v>0</v>
      </c>
      <c r="BJ991" s="18" t="s">
        <v>80</v>
      </c>
      <c r="BK991" s="186">
        <f>ROUND(I991*H991,2)</f>
        <v>0</v>
      </c>
      <c r="BL991" s="18" t="s">
        <v>230</v>
      </c>
      <c r="BM991" s="185" t="s">
        <v>2139</v>
      </c>
    </row>
    <row r="992" spans="1:65" s="13" customFormat="1" ht="10">
      <c r="B992" s="192"/>
      <c r="C992" s="193"/>
      <c r="D992" s="194" t="s">
        <v>139</v>
      </c>
      <c r="E992" s="195" t="s">
        <v>19</v>
      </c>
      <c r="F992" s="196" t="s">
        <v>2140</v>
      </c>
      <c r="G992" s="193"/>
      <c r="H992" s="197">
        <v>1</v>
      </c>
      <c r="I992" s="198"/>
      <c r="J992" s="193"/>
      <c r="K992" s="193"/>
      <c r="L992" s="199"/>
      <c r="M992" s="200"/>
      <c r="N992" s="201"/>
      <c r="O992" s="201"/>
      <c r="P992" s="201"/>
      <c r="Q992" s="201"/>
      <c r="R992" s="201"/>
      <c r="S992" s="201"/>
      <c r="T992" s="202"/>
      <c r="AT992" s="203" t="s">
        <v>139</v>
      </c>
      <c r="AU992" s="203" t="s">
        <v>82</v>
      </c>
      <c r="AV992" s="13" t="s">
        <v>82</v>
      </c>
      <c r="AW992" s="13" t="s">
        <v>34</v>
      </c>
      <c r="AX992" s="13" t="s">
        <v>80</v>
      </c>
      <c r="AY992" s="203" t="s">
        <v>128</v>
      </c>
    </row>
    <row r="993" spans="1:65" s="2" customFormat="1" ht="16.5" customHeight="1">
      <c r="A993" s="35"/>
      <c r="B993" s="36"/>
      <c r="C993" s="174" t="s">
        <v>2141</v>
      </c>
      <c r="D993" s="174" t="s">
        <v>130</v>
      </c>
      <c r="E993" s="175" t="s">
        <v>2142</v>
      </c>
      <c r="F993" s="176" t="s">
        <v>2143</v>
      </c>
      <c r="G993" s="177" t="s">
        <v>192</v>
      </c>
      <c r="H993" s="178">
        <v>1</v>
      </c>
      <c r="I993" s="179"/>
      <c r="J993" s="180">
        <f t="shared" ref="J993:J1001" si="10">ROUND(I993*H993,2)</f>
        <v>0</v>
      </c>
      <c r="K993" s="176" t="s">
        <v>19</v>
      </c>
      <c r="L993" s="40"/>
      <c r="M993" s="181" t="s">
        <v>19</v>
      </c>
      <c r="N993" s="182" t="s">
        <v>43</v>
      </c>
      <c r="O993" s="65"/>
      <c r="P993" s="183">
        <f t="shared" ref="P993:P1001" si="11">O993*H993</f>
        <v>0</v>
      </c>
      <c r="Q993" s="183">
        <v>0</v>
      </c>
      <c r="R993" s="183">
        <f t="shared" ref="R993:R1001" si="12">Q993*H993</f>
        <v>0</v>
      </c>
      <c r="S993" s="183">
        <v>0</v>
      </c>
      <c r="T993" s="184">
        <f t="shared" ref="T993:T1001" si="13">S993*H993</f>
        <v>0</v>
      </c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R993" s="185" t="s">
        <v>230</v>
      </c>
      <c r="AT993" s="185" t="s">
        <v>130</v>
      </c>
      <c r="AU993" s="185" t="s">
        <v>82</v>
      </c>
      <c r="AY993" s="18" t="s">
        <v>128</v>
      </c>
      <c r="BE993" s="186">
        <f t="shared" ref="BE993:BE1001" si="14">IF(N993="základní",J993,0)</f>
        <v>0</v>
      </c>
      <c r="BF993" s="186">
        <f t="shared" ref="BF993:BF1001" si="15">IF(N993="snížená",J993,0)</f>
        <v>0</v>
      </c>
      <c r="BG993" s="186">
        <f t="shared" ref="BG993:BG1001" si="16">IF(N993="zákl. přenesená",J993,0)</f>
        <v>0</v>
      </c>
      <c r="BH993" s="186">
        <f t="shared" ref="BH993:BH1001" si="17">IF(N993="sníž. přenesená",J993,0)</f>
        <v>0</v>
      </c>
      <c r="BI993" s="186">
        <f t="shared" ref="BI993:BI1001" si="18">IF(N993="nulová",J993,0)</f>
        <v>0</v>
      </c>
      <c r="BJ993" s="18" t="s">
        <v>80</v>
      </c>
      <c r="BK993" s="186">
        <f t="shared" ref="BK993:BK1001" si="19">ROUND(I993*H993,2)</f>
        <v>0</v>
      </c>
      <c r="BL993" s="18" t="s">
        <v>230</v>
      </c>
      <c r="BM993" s="185" t="s">
        <v>2144</v>
      </c>
    </row>
    <row r="994" spans="1:65" s="2" customFormat="1" ht="16.5" customHeight="1">
      <c r="A994" s="35"/>
      <c r="B994" s="36"/>
      <c r="C994" s="215" t="s">
        <v>2145</v>
      </c>
      <c r="D994" s="215" t="s">
        <v>414</v>
      </c>
      <c r="E994" s="216" t="s">
        <v>2146</v>
      </c>
      <c r="F994" s="217" t="s">
        <v>2147</v>
      </c>
      <c r="G994" s="218" t="s">
        <v>258</v>
      </c>
      <c r="H994" s="219">
        <v>45</v>
      </c>
      <c r="I994" s="220"/>
      <c r="J994" s="221">
        <f t="shared" si="10"/>
        <v>0</v>
      </c>
      <c r="K994" s="217" t="s">
        <v>134</v>
      </c>
      <c r="L994" s="222"/>
      <c r="M994" s="223" t="s">
        <v>19</v>
      </c>
      <c r="N994" s="224" t="s">
        <v>43</v>
      </c>
      <c r="O994" s="65"/>
      <c r="P994" s="183">
        <f t="shared" si="11"/>
        <v>0</v>
      </c>
      <c r="Q994" s="183">
        <v>2.1000000000000001E-4</v>
      </c>
      <c r="R994" s="183">
        <f t="shared" si="12"/>
        <v>9.4500000000000001E-3</v>
      </c>
      <c r="S994" s="183">
        <v>0</v>
      </c>
      <c r="T994" s="184">
        <f t="shared" si="13"/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185" t="s">
        <v>334</v>
      </c>
      <c r="AT994" s="185" t="s">
        <v>414</v>
      </c>
      <c r="AU994" s="185" t="s">
        <v>82</v>
      </c>
      <c r="AY994" s="18" t="s">
        <v>128</v>
      </c>
      <c r="BE994" s="186">
        <f t="shared" si="14"/>
        <v>0</v>
      </c>
      <c r="BF994" s="186">
        <f t="shared" si="15"/>
        <v>0</v>
      </c>
      <c r="BG994" s="186">
        <f t="shared" si="16"/>
        <v>0</v>
      </c>
      <c r="BH994" s="186">
        <f t="shared" si="17"/>
        <v>0</v>
      </c>
      <c r="BI994" s="186">
        <f t="shared" si="18"/>
        <v>0</v>
      </c>
      <c r="BJ994" s="18" t="s">
        <v>80</v>
      </c>
      <c r="BK994" s="186">
        <f t="shared" si="19"/>
        <v>0</v>
      </c>
      <c r="BL994" s="18" t="s">
        <v>230</v>
      </c>
      <c r="BM994" s="185" t="s">
        <v>2148</v>
      </c>
    </row>
    <row r="995" spans="1:65" s="2" customFormat="1" ht="16.5" customHeight="1">
      <c r="A995" s="35"/>
      <c r="B995" s="36"/>
      <c r="C995" s="215" t="s">
        <v>2149</v>
      </c>
      <c r="D995" s="215" t="s">
        <v>414</v>
      </c>
      <c r="E995" s="216" t="s">
        <v>2150</v>
      </c>
      <c r="F995" s="217" t="s">
        <v>2151</v>
      </c>
      <c r="G995" s="218" t="s">
        <v>258</v>
      </c>
      <c r="H995" s="219">
        <v>40</v>
      </c>
      <c r="I995" s="220"/>
      <c r="J995" s="221">
        <f t="shared" si="10"/>
        <v>0</v>
      </c>
      <c r="K995" s="217" t="s">
        <v>134</v>
      </c>
      <c r="L995" s="222"/>
      <c r="M995" s="223" t="s">
        <v>19</v>
      </c>
      <c r="N995" s="224" t="s">
        <v>43</v>
      </c>
      <c r="O995" s="65"/>
      <c r="P995" s="183">
        <f t="shared" si="11"/>
        <v>0</v>
      </c>
      <c r="Q995" s="183">
        <v>1.2999999999999999E-4</v>
      </c>
      <c r="R995" s="183">
        <f t="shared" si="12"/>
        <v>5.1999999999999998E-3</v>
      </c>
      <c r="S995" s="183">
        <v>0</v>
      </c>
      <c r="T995" s="184">
        <f t="shared" si="13"/>
        <v>0</v>
      </c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R995" s="185" t="s">
        <v>334</v>
      </c>
      <c r="AT995" s="185" t="s">
        <v>414</v>
      </c>
      <c r="AU995" s="185" t="s">
        <v>82</v>
      </c>
      <c r="AY995" s="18" t="s">
        <v>128</v>
      </c>
      <c r="BE995" s="186">
        <f t="shared" si="14"/>
        <v>0</v>
      </c>
      <c r="BF995" s="186">
        <f t="shared" si="15"/>
        <v>0</v>
      </c>
      <c r="BG995" s="186">
        <f t="shared" si="16"/>
        <v>0</v>
      </c>
      <c r="BH995" s="186">
        <f t="shared" si="17"/>
        <v>0</v>
      </c>
      <c r="BI995" s="186">
        <f t="shared" si="18"/>
        <v>0</v>
      </c>
      <c r="BJ995" s="18" t="s">
        <v>80</v>
      </c>
      <c r="BK995" s="186">
        <f t="shared" si="19"/>
        <v>0</v>
      </c>
      <c r="BL995" s="18" t="s">
        <v>230</v>
      </c>
      <c r="BM995" s="185" t="s">
        <v>2152</v>
      </c>
    </row>
    <row r="996" spans="1:65" s="2" customFormat="1" ht="16.5" customHeight="1">
      <c r="A996" s="35"/>
      <c r="B996" s="36"/>
      <c r="C996" s="215" t="s">
        <v>2153</v>
      </c>
      <c r="D996" s="215" t="s">
        <v>414</v>
      </c>
      <c r="E996" s="216" t="s">
        <v>2154</v>
      </c>
      <c r="F996" s="217" t="s">
        <v>2155</v>
      </c>
      <c r="G996" s="218" t="s">
        <v>305</v>
      </c>
      <c r="H996" s="219">
        <v>2</v>
      </c>
      <c r="I996" s="220"/>
      <c r="J996" s="221">
        <f t="shared" si="10"/>
        <v>0</v>
      </c>
      <c r="K996" s="217" t="s">
        <v>19</v>
      </c>
      <c r="L996" s="222"/>
      <c r="M996" s="223" t="s">
        <v>19</v>
      </c>
      <c r="N996" s="224" t="s">
        <v>43</v>
      </c>
      <c r="O996" s="65"/>
      <c r="P996" s="183">
        <f t="shared" si="11"/>
        <v>0</v>
      </c>
      <c r="Q996" s="183">
        <v>0</v>
      </c>
      <c r="R996" s="183">
        <f t="shared" si="12"/>
        <v>0</v>
      </c>
      <c r="S996" s="183">
        <v>0</v>
      </c>
      <c r="T996" s="184">
        <f t="shared" si="13"/>
        <v>0</v>
      </c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R996" s="185" t="s">
        <v>334</v>
      </c>
      <c r="AT996" s="185" t="s">
        <v>414</v>
      </c>
      <c r="AU996" s="185" t="s">
        <v>82</v>
      </c>
      <c r="AY996" s="18" t="s">
        <v>128</v>
      </c>
      <c r="BE996" s="186">
        <f t="shared" si="14"/>
        <v>0</v>
      </c>
      <c r="BF996" s="186">
        <f t="shared" si="15"/>
        <v>0</v>
      </c>
      <c r="BG996" s="186">
        <f t="shared" si="16"/>
        <v>0</v>
      </c>
      <c r="BH996" s="186">
        <f t="shared" si="17"/>
        <v>0</v>
      </c>
      <c r="BI996" s="186">
        <f t="shared" si="18"/>
        <v>0</v>
      </c>
      <c r="BJ996" s="18" t="s">
        <v>80</v>
      </c>
      <c r="BK996" s="186">
        <f t="shared" si="19"/>
        <v>0</v>
      </c>
      <c r="BL996" s="18" t="s">
        <v>230</v>
      </c>
      <c r="BM996" s="185" t="s">
        <v>2156</v>
      </c>
    </row>
    <row r="997" spans="1:65" s="2" customFormat="1" ht="16.5" customHeight="1">
      <c r="A997" s="35"/>
      <c r="B997" s="36"/>
      <c r="C997" s="215" t="s">
        <v>2157</v>
      </c>
      <c r="D997" s="215" t="s">
        <v>414</v>
      </c>
      <c r="E997" s="216" t="s">
        <v>2158</v>
      </c>
      <c r="F997" s="217" t="s">
        <v>2159</v>
      </c>
      <c r="G997" s="218" t="s">
        <v>305</v>
      </c>
      <c r="H997" s="219">
        <v>2</v>
      </c>
      <c r="I997" s="220"/>
      <c r="J997" s="221">
        <f t="shared" si="10"/>
        <v>0</v>
      </c>
      <c r="K997" s="217" t="s">
        <v>19</v>
      </c>
      <c r="L997" s="222"/>
      <c r="M997" s="223" t="s">
        <v>19</v>
      </c>
      <c r="N997" s="224" t="s">
        <v>43</v>
      </c>
      <c r="O997" s="65"/>
      <c r="P997" s="183">
        <f t="shared" si="11"/>
        <v>0</v>
      </c>
      <c r="Q997" s="183">
        <v>0</v>
      </c>
      <c r="R997" s="183">
        <f t="shared" si="12"/>
        <v>0</v>
      </c>
      <c r="S997" s="183">
        <v>0</v>
      </c>
      <c r="T997" s="184">
        <f t="shared" si="13"/>
        <v>0</v>
      </c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R997" s="185" t="s">
        <v>334</v>
      </c>
      <c r="AT997" s="185" t="s">
        <v>414</v>
      </c>
      <c r="AU997" s="185" t="s">
        <v>82</v>
      </c>
      <c r="AY997" s="18" t="s">
        <v>128</v>
      </c>
      <c r="BE997" s="186">
        <f t="shared" si="14"/>
        <v>0</v>
      </c>
      <c r="BF997" s="186">
        <f t="shared" si="15"/>
        <v>0</v>
      </c>
      <c r="BG997" s="186">
        <f t="shared" si="16"/>
        <v>0</v>
      </c>
      <c r="BH997" s="186">
        <f t="shared" si="17"/>
        <v>0</v>
      </c>
      <c r="BI997" s="186">
        <f t="shared" si="18"/>
        <v>0</v>
      </c>
      <c r="BJ997" s="18" t="s">
        <v>80</v>
      </c>
      <c r="BK997" s="186">
        <f t="shared" si="19"/>
        <v>0</v>
      </c>
      <c r="BL997" s="18" t="s">
        <v>230</v>
      </c>
      <c r="BM997" s="185" t="s">
        <v>2160</v>
      </c>
    </row>
    <row r="998" spans="1:65" s="2" customFormat="1" ht="16.5" customHeight="1">
      <c r="A998" s="35"/>
      <c r="B998" s="36"/>
      <c r="C998" s="215" t="s">
        <v>2161</v>
      </c>
      <c r="D998" s="215" t="s">
        <v>414</v>
      </c>
      <c r="E998" s="216" t="s">
        <v>2162</v>
      </c>
      <c r="F998" s="217" t="s">
        <v>2163</v>
      </c>
      <c r="G998" s="218" t="s">
        <v>192</v>
      </c>
      <c r="H998" s="219">
        <v>1</v>
      </c>
      <c r="I998" s="220"/>
      <c r="J998" s="221">
        <f t="shared" si="10"/>
        <v>0</v>
      </c>
      <c r="K998" s="217" t="s">
        <v>19</v>
      </c>
      <c r="L998" s="222"/>
      <c r="M998" s="223" t="s">
        <v>19</v>
      </c>
      <c r="N998" s="224" t="s">
        <v>43</v>
      </c>
      <c r="O998" s="65"/>
      <c r="P998" s="183">
        <f t="shared" si="11"/>
        <v>0</v>
      </c>
      <c r="Q998" s="183">
        <v>0</v>
      </c>
      <c r="R998" s="183">
        <f t="shared" si="12"/>
        <v>0</v>
      </c>
      <c r="S998" s="183">
        <v>0</v>
      </c>
      <c r="T998" s="184">
        <f t="shared" si="13"/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185" t="s">
        <v>334</v>
      </c>
      <c r="AT998" s="185" t="s">
        <v>414</v>
      </c>
      <c r="AU998" s="185" t="s">
        <v>82</v>
      </c>
      <c r="AY998" s="18" t="s">
        <v>128</v>
      </c>
      <c r="BE998" s="186">
        <f t="shared" si="14"/>
        <v>0</v>
      </c>
      <c r="BF998" s="186">
        <f t="shared" si="15"/>
        <v>0</v>
      </c>
      <c r="BG998" s="186">
        <f t="shared" si="16"/>
        <v>0</v>
      </c>
      <c r="BH998" s="186">
        <f t="shared" si="17"/>
        <v>0</v>
      </c>
      <c r="BI998" s="186">
        <f t="shared" si="18"/>
        <v>0</v>
      </c>
      <c r="BJ998" s="18" t="s">
        <v>80</v>
      </c>
      <c r="BK998" s="186">
        <f t="shared" si="19"/>
        <v>0</v>
      </c>
      <c r="BL998" s="18" t="s">
        <v>230</v>
      </c>
      <c r="BM998" s="185" t="s">
        <v>2164</v>
      </c>
    </row>
    <row r="999" spans="1:65" s="2" customFormat="1" ht="16.5" customHeight="1">
      <c r="A999" s="35"/>
      <c r="B999" s="36"/>
      <c r="C999" s="215" t="s">
        <v>2165</v>
      </c>
      <c r="D999" s="215" t="s">
        <v>414</v>
      </c>
      <c r="E999" s="216" t="s">
        <v>2166</v>
      </c>
      <c r="F999" s="217" t="s">
        <v>2167</v>
      </c>
      <c r="G999" s="218" t="s">
        <v>192</v>
      </c>
      <c r="H999" s="219">
        <v>1</v>
      </c>
      <c r="I999" s="220"/>
      <c r="J999" s="221">
        <f t="shared" si="10"/>
        <v>0</v>
      </c>
      <c r="K999" s="217" t="s">
        <v>19</v>
      </c>
      <c r="L999" s="222"/>
      <c r="M999" s="223" t="s">
        <v>19</v>
      </c>
      <c r="N999" s="224" t="s">
        <v>43</v>
      </c>
      <c r="O999" s="65"/>
      <c r="P999" s="183">
        <f t="shared" si="11"/>
        <v>0</v>
      </c>
      <c r="Q999" s="183">
        <v>0</v>
      </c>
      <c r="R999" s="183">
        <f t="shared" si="12"/>
        <v>0</v>
      </c>
      <c r="S999" s="183">
        <v>0</v>
      </c>
      <c r="T999" s="184">
        <f t="shared" si="13"/>
        <v>0</v>
      </c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R999" s="185" t="s">
        <v>334</v>
      </c>
      <c r="AT999" s="185" t="s">
        <v>414</v>
      </c>
      <c r="AU999" s="185" t="s">
        <v>82</v>
      </c>
      <c r="AY999" s="18" t="s">
        <v>128</v>
      </c>
      <c r="BE999" s="186">
        <f t="shared" si="14"/>
        <v>0</v>
      </c>
      <c r="BF999" s="186">
        <f t="shared" si="15"/>
        <v>0</v>
      </c>
      <c r="BG999" s="186">
        <f t="shared" si="16"/>
        <v>0</v>
      </c>
      <c r="BH999" s="186">
        <f t="shared" si="17"/>
        <v>0</v>
      </c>
      <c r="BI999" s="186">
        <f t="shared" si="18"/>
        <v>0</v>
      </c>
      <c r="BJ999" s="18" t="s">
        <v>80</v>
      </c>
      <c r="BK999" s="186">
        <f t="shared" si="19"/>
        <v>0</v>
      </c>
      <c r="BL999" s="18" t="s">
        <v>230</v>
      </c>
      <c r="BM999" s="185" t="s">
        <v>2168</v>
      </c>
    </row>
    <row r="1000" spans="1:65" s="2" customFormat="1" ht="16.5" customHeight="1">
      <c r="A1000" s="35"/>
      <c r="B1000" s="36"/>
      <c r="C1000" s="174" t="s">
        <v>2169</v>
      </c>
      <c r="D1000" s="174" t="s">
        <v>130</v>
      </c>
      <c r="E1000" s="175" t="s">
        <v>2170</v>
      </c>
      <c r="F1000" s="176" t="s">
        <v>2171</v>
      </c>
      <c r="G1000" s="177" t="s">
        <v>192</v>
      </c>
      <c r="H1000" s="178">
        <v>1</v>
      </c>
      <c r="I1000" s="179"/>
      <c r="J1000" s="180">
        <f t="shared" si="10"/>
        <v>0</v>
      </c>
      <c r="K1000" s="176" t="s">
        <v>19</v>
      </c>
      <c r="L1000" s="40"/>
      <c r="M1000" s="181" t="s">
        <v>19</v>
      </c>
      <c r="N1000" s="182" t="s">
        <v>43</v>
      </c>
      <c r="O1000" s="65"/>
      <c r="P1000" s="183">
        <f t="shared" si="11"/>
        <v>0</v>
      </c>
      <c r="Q1000" s="183">
        <v>0</v>
      </c>
      <c r="R1000" s="183">
        <f t="shared" si="12"/>
        <v>0</v>
      </c>
      <c r="S1000" s="183">
        <v>0</v>
      </c>
      <c r="T1000" s="184">
        <f t="shared" si="13"/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185" t="s">
        <v>230</v>
      </c>
      <c r="AT1000" s="185" t="s">
        <v>130</v>
      </c>
      <c r="AU1000" s="185" t="s">
        <v>82</v>
      </c>
      <c r="AY1000" s="18" t="s">
        <v>128</v>
      </c>
      <c r="BE1000" s="186">
        <f t="shared" si="14"/>
        <v>0</v>
      </c>
      <c r="BF1000" s="186">
        <f t="shared" si="15"/>
        <v>0</v>
      </c>
      <c r="BG1000" s="186">
        <f t="shared" si="16"/>
        <v>0</v>
      </c>
      <c r="BH1000" s="186">
        <f t="shared" si="17"/>
        <v>0</v>
      </c>
      <c r="BI1000" s="186">
        <f t="shared" si="18"/>
        <v>0</v>
      </c>
      <c r="BJ1000" s="18" t="s">
        <v>80</v>
      </c>
      <c r="BK1000" s="186">
        <f t="shared" si="19"/>
        <v>0</v>
      </c>
      <c r="BL1000" s="18" t="s">
        <v>230</v>
      </c>
      <c r="BM1000" s="185" t="s">
        <v>2172</v>
      </c>
    </row>
    <row r="1001" spans="1:65" s="2" customFormat="1" ht="24.15" customHeight="1">
      <c r="A1001" s="35"/>
      <c r="B1001" s="36"/>
      <c r="C1001" s="174" t="s">
        <v>2173</v>
      </c>
      <c r="D1001" s="174" t="s">
        <v>130</v>
      </c>
      <c r="E1001" s="175" t="s">
        <v>2174</v>
      </c>
      <c r="F1001" s="176" t="s">
        <v>2175</v>
      </c>
      <c r="G1001" s="177" t="s">
        <v>426</v>
      </c>
      <c r="H1001" s="225"/>
      <c r="I1001" s="179"/>
      <c r="J1001" s="180">
        <f t="shared" si="10"/>
        <v>0</v>
      </c>
      <c r="K1001" s="176" t="s">
        <v>134</v>
      </c>
      <c r="L1001" s="40"/>
      <c r="M1001" s="181" t="s">
        <v>19</v>
      </c>
      <c r="N1001" s="182" t="s">
        <v>43</v>
      </c>
      <c r="O1001" s="65"/>
      <c r="P1001" s="183">
        <f t="shared" si="11"/>
        <v>0</v>
      </c>
      <c r="Q1001" s="183">
        <v>0</v>
      </c>
      <c r="R1001" s="183">
        <f t="shared" si="12"/>
        <v>0</v>
      </c>
      <c r="S1001" s="183">
        <v>0</v>
      </c>
      <c r="T1001" s="184">
        <f t="shared" si="13"/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185" t="s">
        <v>230</v>
      </c>
      <c r="AT1001" s="185" t="s">
        <v>130</v>
      </c>
      <c r="AU1001" s="185" t="s">
        <v>82</v>
      </c>
      <c r="AY1001" s="18" t="s">
        <v>128</v>
      </c>
      <c r="BE1001" s="186">
        <f t="shared" si="14"/>
        <v>0</v>
      </c>
      <c r="BF1001" s="186">
        <f t="shared" si="15"/>
        <v>0</v>
      </c>
      <c r="BG1001" s="186">
        <f t="shared" si="16"/>
        <v>0</v>
      </c>
      <c r="BH1001" s="186">
        <f t="shared" si="17"/>
        <v>0</v>
      </c>
      <c r="BI1001" s="186">
        <f t="shared" si="18"/>
        <v>0</v>
      </c>
      <c r="BJ1001" s="18" t="s">
        <v>80</v>
      </c>
      <c r="BK1001" s="186">
        <f t="shared" si="19"/>
        <v>0</v>
      </c>
      <c r="BL1001" s="18" t="s">
        <v>230</v>
      </c>
      <c r="BM1001" s="185" t="s">
        <v>2176</v>
      </c>
    </row>
    <row r="1002" spans="1:65" s="2" customFormat="1" ht="10">
      <c r="A1002" s="35"/>
      <c r="B1002" s="36"/>
      <c r="C1002" s="37"/>
      <c r="D1002" s="187" t="s">
        <v>137</v>
      </c>
      <c r="E1002" s="37"/>
      <c r="F1002" s="188" t="s">
        <v>2177</v>
      </c>
      <c r="G1002" s="37"/>
      <c r="H1002" s="37"/>
      <c r="I1002" s="189"/>
      <c r="J1002" s="37"/>
      <c r="K1002" s="37"/>
      <c r="L1002" s="40"/>
      <c r="M1002" s="190"/>
      <c r="N1002" s="191"/>
      <c r="O1002" s="65"/>
      <c r="P1002" s="65"/>
      <c r="Q1002" s="65"/>
      <c r="R1002" s="65"/>
      <c r="S1002" s="65"/>
      <c r="T1002" s="66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T1002" s="18" t="s">
        <v>137</v>
      </c>
      <c r="AU1002" s="18" t="s">
        <v>82</v>
      </c>
    </row>
    <row r="1003" spans="1:65" s="12" customFormat="1" ht="22.75" customHeight="1">
      <c r="B1003" s="158"/>
      <c r="C1003" s="159"/>
      <c r="D1003" s="160" t="s">
        <v>71</v>
      </c>
      <c r="E1003" s="172" t="s">
        <v>611</v>
      </c>
      <c r="F1003" s="172" t="s">
        <v>612</v>
      </c>
      <c r="G1003" s="159"/>
      <c r="H1003" s="159"/>
      <c r="I1003" s="162"/>
      <c r="J1003" s="173">
        <f>BK1003</f>
        <v>0</v>
      </c>
      <c r="K1003" s="159"/>
      <c r="L1003" s="164"/>
      <c r="M1003" s="165"/>
      <c r="N1003" s="166"/>
      <c r="O1003" s="166"/>
      <c r="P1003" s="167">
        <f>SUM(P1004:P1099)</f>
        <v>0</v>
      </c>
      <c r="Q1003" s="166"/>
      <c r="R1003" s="167">
        <f>SUM(R1004:R1099)</f>
        <v>3.9527280899999986</v>
      </c>
      <c r="S1003" s="166"/>
      <c r="T1003" s="168">
        <f>SUM(T1004:T1099)</f>
        <v>0</v>
      </c>
      <c r="AR1003" s="169" t="s">
        <v>82</v>
      </c>
      <c r="AT1003" s="170" t="s">
        <v>71</v>
      </c>
      <c r="AU1003" s="170" t="s">
        <v>80</v>
      </c>
      <c r="AY1003" s="169" t="s">
        <v>128</v>
      </c>
      <c r="BK1003" s="171">
        <f>SUM(BK1004:BK1099)</f>
        <v>0</v>
      </c>
    </row>
    <row r="1004" spans="1:65" s="2" customFormat="1" ht="16.5" customHeight="1">
      <c r="A1004" s="35"/>
      <c r="B1004" s="36"/>
      <c r="C1004" s="174" t="s">
        <v>2178</v>
      </c>
      <c r="D1004" s="174" t="s">
        <v>130</v>
      </c>
      <c r="E1004" s="175" t="s">
        <v>2179</v>
      </c>
      <c r="F1004" s="176" t="s">
        <v>2180</v>
      </c>
      <c r="G1004" s="177" t="s">
        <v>133</v>
      </c>
      <c r="H1004" s="178">
        <v>59.747999999999998</v>
      </c>
      <c r="I1004" s="179"/>
      <c r="J1004" s="180">
        <f>ROUND(I1004*H1004,2)</f>
        <v>0</v>
      </c>
      <c r="K1004" s="176" t="s">
        <v>134</v>
      </c>
      <c r="L1004" s="40"/>
      <c r="M1004" s="181" t="s">
        <v>19</v>
      </c>
      <c r="N1004" s="182" t="s">
        <v>43</v>
      </c>
      <c r="O1004" s="65"/>
      <c r="P1004" s="183">
        <f>O1004*H1004</f>
        <v>0</v>
      </c>
      <c r="Q1004" s="183">
        <v>0</v>
      </c>
      <c r="R1004" s="183">
        <f>Q1004*H1004</f>
        <v>0</v>
      </c>
      <c r="S1004" s="183">
        <v>0</v>
      </c>
      <c r="T1004" s="184">
        <f>S1004*H1004</f>
        <v>0</v>
      </c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R1004" s="185" t="s">
        <v>230</v>
      </c>
      <c r="AT1004" s="185" t="s">
        <v>130</v>
      </c>
      <c r="AU1004" s="185" t="s">
        <v>82</v>
      </c>
      <c r="AY1004" s="18" t="s">
        <v>128</v>
      </c>
      <c r="BE1004" s="186">
        <f>IF(N1004="základní",J1004,0)</f>
        <v>0</v>
      </c>
      <c r="BF1004" s="186">
        <f>IF(N1004="snížená",J1004,0)</f>
        <v>0</v>
      </c>
      <c r="BG1004" s="186">
        <f>IF(N1004="zákl. přenesená",J1004,0)</f>
        <v>0</v>
      </c>
      <c r="BH1004" s="186">
        <f>IF(N1004="sníž. přenesená",J1004,0)</f>
        <v>0</v>
      </c>
      <c r="BI1004" s="186">
        <f>IF(N1004="nulová",J1004,0)</f>
        <v>0</v>
      </c>
      <c r="BJ1004" s="18" t="s">
        <v>80</v>
      </c>
      <c r="BK1004" s="186">
        <f>ROUND(I1004*H1004,2)</f>
        <v>0</v>
      </c>
      <c r="BL1004" s="18" t="s">
        <v>230</v>
      </c>
      <c r="BM1004" s="185" t="s">
        <v>2181</v>
      </c>
    </row>
    <row r="1005" spans="1:65" s="2" customFormat="1" ht="10">
      <c r="A1005" s="35"/>
      <c r="B1005" s="36"/>
      <c r="C1005" s="37"/>
      <c r="D1005" s="187" t="s">
        <v>137</v>
      </c>
      <c r="E1005" s="37"/>
      <c r="F1005" s="188" t="s">
        <v>2182</v>
      </c>
      <c r="G1005" s="37"/>
      <c r="H1005" s="37"/>
      <c r="I1005" s="189"/>
      <c r="J1005" s="37"/>
      <c r="K1005" s="37"/>
      <c r="L1005" s="40"/>
      <c r="M1005" s="190"/>
      <c r="N1005" s="191"/>
      <c r="O1005" s="65"/>
      <c r="P1005" s="65"/>
      <c r="Q1005" s="65"/>
      <c r="R1005" s="65"/>
      <c r="S1005" s="65"/>
      <c r="T1005" s="66"/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T1005" s="18" t="s">
        <v>137</v>
      </c>
      <c r="AU1005" s="18" t="s">
        <v>82</v>
      </c>
    </row>
    <row r="1006" spans="1:65" s="13" customFormat="1" ht="10">
      <c r="B1006" s="192"/>
      <c r="C1006" s="193"/>
      <c r="D1006" s="194" t="s">
        <v>139</v>
      </c>
      <c r="E1006" s="195" t="s">
        <v>19</v>
      </c>
      <c r="F1006" s="196" t="s">
        <v>654</v>
      </c>
      <c r="G1006" s="193"/>
      <c r="H1006" s="197">
        <v>15.648</v>
      </c>
      <c r="I1006" s="198"/>
      <c r="J1006" s="193"/>
      <c r="K1006" s="193"/>
      <c r="L1006" s="199"/>
      <c r="M1006" s="200"/>
      <c r="N1006" s="201"/>
      <c r="O1006" s="201"/>
      <c r="P1006" s="201"/>
      <c r="Q1006" s="201"/>
      <c r="R1006" s="201"/>
      <c r="S1006" s="201"/>
      <c r="T1006" s="202"/>
      <c r="AT1006" s="203" t="s">
        <v>139</v>
      </c>
      <c r="AU1006" s="203" t="s">
        <v>82</v>
      </c>
      <c r="AV1006" s="13" t="s">
        <v>82</v>
      </c>
      <c r="AW1006" s="13" t="s">
        <v>34</v>
      </c>
      <c r="AX1006" s="13" t="s">
        <v>72</v>
      </c>
      <c r="AY1006" s="203" t="s">
        <v>128</v>
      </c>
    </row>
    <row r="1007" spans="1:65" s="13" customFormat="1" ht="10">
      <c r="B1007" s="192"/>
      <c r="C1007" s="193"/>
      <c r="D1007" s="194" t="s">
        <v>139</v>
      </c>
      <c r="E1007" s="195" t="s">
        <v>19</v>
      </c>
      <c r="F1007" s="196" t="s">
        <v>2183</v>
      </c>
      <c r="G1007" s="193"/>
      <c r="H1007" s="197">
        <v>21.84</v>
      </c>
      <c r="I1007" s="198"/>
      <c r="J1007" s="193"/>
      <c r="K1007" s="193"/>
      <c r="L1007" s="199"/>
      <c r="M1007" s="200"/>
      <c r="N1007" s="201"/>
      <c r="O1007" s="201"/>
      <c r="P1007" s="201"/>
      <c r="Q1007" s="201"/>
      <c r="R1007" s="201"/>
      <c r="S1007" s="201"/>
      <c r="T1007" s="202"/>
      <c r="AT1007" s="203" t="s">
        <v>139</v>
      </c>
      <c r="AU1007" s="203" t="s">
        <v>82</v>
      </c>
      <c r="AV1007" s="13" t="s">
        <v>82</v>
      </c>
      <c r="AW1007" s="13" t="s">
        <v>34</v>
      </c>
      <c r="AX1007" s="13" t="s">
        <v>72</v>
      </c>
      <c r="AY1007" s="203" t="s">
        <v>128</v>
      </c>
    </row>
    <row r="1008" spans="1:65" s="13" customFormat="1" ht="10">
      <c r="B1008" s="192"/>
      <c r="C1008" s="193"/>
      <c r="D1008" s="194" t="s">
        <v>139</v>
      </c>
      <c r="E1008" s="195" t="s">
        <v>19</v>
      </c>
      <c r="F1008" s="196" t="s">
        <v>2184</v>
      </c>
      <c r="G1008" s="193"/>
      <c r="H1008" s="197">
        <v>22.26</v>
      </c>
      <c r="I1008" s="198"/>
      <c r="J1008" s="193"/>
      <c r="K1008" s="193"/>
      <c r="L1008" s="199"/>
      <c r="M1008" s="200"/>
      <c r="N1008" s="201"/>
      <c r="O1008" s="201"/>
      <c r="P1008" s="201"/>
      <c r="Q1008" s="201"/>
      <c r="R1008" s="201"/>
      <c r="S1008" s="201"/>
      <c r="T1008" s="202"/>
      <c r="AT1008" s="203" t="s">
        <v>139</v>
      </c>
      <c r="AU1008" s="203" t="s">
        <v>82</v>
      </c>
      <c r="AV1008" s="13" t="s">
        <v>82</v>
      </c>
      <c r="AW1008" s="13" t="s">
        <v>34</v>
      </c>
      <c r="AX1008" s="13" t="s">
        <v>72</v>
      </c>
      <c r="AY1008" s="203" t="s">
        <v>128</v>
      </c>
    </row>
    <row r="1009" spans="1:65" s="14" customFormat="1" ht="10">
      <c r="B1009" s="204"/>
      <c r="C1009" s="205"/>
      <c r="D1009" s="194" t="s">
        <v>139</v>
      </c>
      <c r="E1009" s="206" t="s">
        <v>19</v>
      </c>
      <c r="F1009" s="207" t="s">
        <v>153</v>
      </c>
      <c r="G1009" s="205"/>
      <c r="H1009" s="208">
        <v>59.748000000000005</v>
      </c>
      <c r="I1009" s="209"/>
      <c r="J1009" s="205"/>
      <c r="K1009" s="205"/>
      <c r="L1009" s="210"/>
      <c r="M1009" s="211"/>
      <c r="N1009" s="212"/>
      <c r="O1009" s="212"/>
      <c r="P1009" s="212"/>
      <c r="Q1009" s="212"/>
      <c r="R1009" s="212"/>
      <c r="S1009" s="212"/>
      <c r="T1009" s="213"/>
      <c r="AT1009" s="214" t="s">
        <v>139</v>
      </c>
      <c r="AU1009" s="214" t="s">
        <v>82</v>
      </c>
      <c r="AV1009" s="14" t="s">
        <v>135</v>
      </c>
      <c r="AW1009" s="14" t="s">
        <v>34</v>
      </c>
      <c r="AX1009" s="14" t="s">
        <v>80</v>
      </c>
      <c r="AY1009" s="214" t="s">
        <v>128</v>
      </c>
    </row>
    <row r="1010" spans="1:65" s="2" customFormat="1" ht="16.5" customHeight="1">
      <c r="A1010" s="35"/>
      <c r="B1010" s="36"/>
      <c r="C1010" s="174" t="s">
        <v>2185</v>
      </c>
      <c r="D1010" s="174" t="s">
        <v>130</v>
      </c>
      <c r="E1010" s="175" t="s">
        <v>2186</v>
      </c>
      <c r="F1010" s="176" t="s">
        <v>2187</v>
      </c>
      <c r="G1010" s="177" t="s">
        <v>258</v>
      </c>
      <c r="H1010" s="178">
        <v>100.1</v>
      </c>
      <c r="I1010" s="179"/>
      <c r="J1010" s="180">
        <f>ROUND(I1010*H1010,2)</f>
        <v>0</v>
      </c>
      <c r="K1010" s="176" t="s">
        <v>134</v>
      </c>
      <c r="L1010" s="40"/>
      <c r="M1010" s="181" t="s">
        <v>19</v>
      </c>
      <c r="N1010" s="182" t="s">
        <v>43</v>
      </c>
      <c r="O1010" s="65"/>
      <c r="P1010" s="183">
        <f>O1010*H1010</f>
        <v>0</v>
      </c>
      <c r="Q1010" s="183">
        <v>0</v>
      </c>
      <c r="R1010" s="183">
        <f>Q1010*H1010</f>
        <v>0</v>
      </c>
      <c r="S1010" s="183">
        <v>0</v>
      </c>
      <c r="T1010" s="184">
        <f>S1010*H1010</f>
        <v>0</v>
      </c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R1010" s="185" t="s">
        <v>230</v>
      </c>
      <c r="AT1010" s="185" t="s">
        <v>130</v>
      </c>
      <c r="AU1010" s="185" t="s">
        <v>82</v>
      </c>
      <c r="AY1010" s="18" t="s">
        <v>128</v>
      </c>
      <c r="BE1010" s="186">
        <f>IF(N1010="základní",J1010,0)</f>
        <v>0</v>
      </c>
      <c r="BF1010" s="186">
        <f>IF(N1010="snížená",J1010,0)</f>
        <v>0</v>
      </c>
      <c r="BG1010" s="186">
        <f>IF(N1010="zákl. přenesená",J1010,0)</f>
        <v>0</v>
      </c>
      <c r="BH1010" s="186">
        <f>IF(N1010="sníž. přenesená",J1010,0)</f>
        <v>0</v>
      </c>
      <c r="BI1010" s="186">
        <f>IF(N1010="nulová",J1010,0)</f>
        <v>0</v>
      </c>
      <c r="BJ1010" s="18" t="s">
        <v>80</v>
      </c>
      <c r="BK1010" s="186">
        <f>ROUND(I1010*H1010,2)</f>
        <v>0</v>
      </c>
      <c r="BL1010" s="18" t="s">
        <v>230</v>
      </c>
      <c r="BM1010" s="185" t="s">
        <v>2188</v>
      </c>
    </row>
    <row r="1011" spans="1:65" s="2" customFormat="1" ht="10">
      <c r="A1011" s="35"/>
      <c r="B1011" s="36"/>
      <c r="C1011" s="37"/>
      <c r="D1011" s="187" t="s">
        <v>137</v>
      </c>
      <c r="E1011" s="37"/>
      <c r="F1011" s="188" t="s">
        <v>2189</v>
      </c>
      <c r="G1011" s="37"/>
      <c r="H1011" s="37"/>
      <c r="I1011" s="189"/>
      <c r="J1011" s="37"/>
      <c r="K1011" s="37"/>
      <c r="L1011" s="40"/>
      <c r="M1011" s="190"/>
      <c r="N1011" s="191"/>
      <c r="O1011" s="65"/>
      <c r="P1011" s="65"/>
      <c r="Q1011" s="65"/>
      <c r="R1011" s="65"/>
      <c r="S1011" s="65"/>
      <c r="T1011" s="66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T1011" s="18" t="s">
        <v>137</v>
      </c>
      <c r="AU1011" s="18" t="s">
        <v>82</v>
      </c>
    </row>
    <row r="1012" spans="1:65" s="13" customFormat="1" ht="10">
      <c r="B1012" s="192"/>
      <c r="C1012" s="193"/>
      <c r="D1012" s="194" t="s">
        <v>139</v>
      </c>
      <c r="E1012" s="195" t="s">
        <v>19</v>
      </c>
      <c r="F1012" s="196" t="s">
        <v>2190</v>
      </c>
      <c r="G1012" s="193"/>
      <c r="H1012" s="197">
        <v>100.1</v>
      </c>
      <c r="I1012" s="198"/>
      <c r="J1012" s="193"/>
      <c r="K1012" s="193"/>
      <c r="L1012" s="199"/>
      <c r="M1012" s="200"/>
      <c r="N1012" s="201"/>
      <c r="O1012" s="201"/>
      <c r="P1012" s="201"/>
      <c r="Q1012" s="201"/>
      <c r="R1012" s="201"/>
      <c r="S1012" s="201"/>
      <c r="T1012" s="202"/>
      <c r="AT1012" s="203" t="s">
        <v>139</v>
      </c>
      <c r="AU1012" s="203" t="s">
        <v>82</v>
      </c>
      <c r="AV1012" s="13" t="s">
        <v>82</v>
      </c>
      <c r="AW1012" s="13" t="s">
        <v>34</v>
      </c>
      <c r="AX1012" s="13" t="s">
        <v>80</v>
      </c>
      <c r="AY1012" s="203" t="s">
        <v>128</v>
      </c>
    </row>
    <row r="1013" spans="1:65" s="2" customFormat="1" ht="16.5" customHeight="1">
      <c r="A1013" s="35"/>
      <c r="B1013" s="36"/>
      <c r="C1013" s="174" t="s">
        <v>2191</v>
      </c>
      <c r="D1013" s="174" t="s">
        <v>130</v>
      </c>
      <c r="E1013" s="175" t="s">
        <v>2192</v>
      </c>
      <c r="F1013" s="176" t="s">
        <v>2193</v>
      </c>
      <c r="G1013" s="177" t="s">
        <v>133</v>
      </c>
      <c r="H1013" s="178">
        <v>87.275999999999996</v>
      </c>
      <c r="I1013" s="179"/>
      <c r="J1013" s="180">
        <f>ROUND(I1013*H1013,2)</f>
        <v>0</v>
      </c>
      <c r="K1013" s="176" t="s">
        <v>134</v>
      </c>
      <c r="L1013" s="40"/>
      <c r="M1013" s="181" t="s">
        <v>19</v>
      </c>
      <c r="N1013" s="182" t="s">
        <v>43</v>
      </c>
      <c r="O1013" s="65"/>
      <c r="P1013" s="183">
        <f>O1013*H1013</f>
        <v>0</v>
      </c>
      <c r="Q1013" s="183">
        <v>2.9999999999999997E-4</v>
      </c>
      <c r="R1013" s="183">
        <f>Q1013*H1013</f>
        <v>2.6182799999999996E-2</v>
      </c>
      <c r="S1013" s="183">
        <v>0</v>
      </c>
      <c r="T1013" s="184">
        <f>S1013*H1013</f>
        <v>0</v>
      </c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R1013" s="185" t="s">
        <v>230</v>
      </c>
      <c r="AT1013" s="185" t="s">
        <v>130</v>
      </c>
      <c r="AU1013" s="185" t="s">
        <v>82</v>
      </c>
      <c r="AY1013" s="18" t="s">
        <v>128</v>
      </c>
      <c r="BE1013" s="186">
        <f>IF(N1013="základní",J1013,0)</f>
        <v>0</v>
      </c>
      <c r="BF1013" s="186">
        <f>IF(N1013="snížená",J1013,0)</f>
        <v>0</v>
      </c>
      <c r="BG1013" s="186">
        <f>IF(N1013="zákl. přenesená",J1013,0)</f>
        <v>0</v>
      </c>
      <c r="BH1013" s="186">
        <f>IF(N1013="sníž. přenesená",J1013,0)</f>
        <v>0</v>
      </c>
      <c r="BI1013" s="186">
        <f>IF(N1013="nulová",J1013,0)</f>
        <v>0</v>
      </c>
      <c r="BJ1013" s="18" t="s">
        <v>80</v>
      </c>
      <c r="BK1013" s="186">
        <f>ROUND(I1013*H1013,2)</f>
        <v>0</v>
      </c>
      <c r="BL1013" s="18" t="s">
        <v>230</v>
      </c>
      <c r="BM1013" s="185" t="s">
        <v>2194</v>
      </c>
    </row>
    <row r="1014" spans="1:65" s="2" customFormat="1" ht="10">
      <c r="A1014" s="35"/>
      <c r="B1014" s="36"/>
      <c r="C1014" s="37"/>
      <c r="D1014" s="187" t="s">
        <v>137</v>
      </c>
      <c r="E1014" s="37"/>
      <c r="F1014" s="188" t="s">
        <v>2195</v>
      </c>
      <c r="G1014" s="37"/>
      <c r="H1014" s="37"/>
      <c r="I1014" s="189"/>
      <c r="J1014" s="37"/>
      <c r="K1014" s="37"/>
      <c r="L1014" s="40"/>
      <c r="M1014" s="190"/>
      <c r="N1014" s="191"/>
      <c r="O1014" s="65"/>
      <c r="P1014" s="65"/>
      <c r="Q1014" s="65"/>
      <c r="R1014" s="65"/>
      <c r="S1014" s="65"/>
      <c r="T1014" s="66"/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T1014" s="18" t="s">
        <v>137</v>
      </c>
      <c r="AU1014" s="18" t="s">
        <v>82</v>
      </c>
    </row>
    <row r="1015" spans="1:65" s="13" customFormat="1" ht="10">
      <c r="B1015" s="192"/>
      <c r="C1015" s="193"/>
      <c r="D1015" s="194" t="s">
        <v>139</v>
      </c>
      <c r="E1015" s="195" t="s">
        <v>19</v>
      </c>
      <c r="F1015" s="196" t="s">
        <v>654</v>
      </c>
      <c r="G1015" s="193"/>
      <c r="H1015" s="197">
        <v>15.648</v>
      </c>
      <c r="I1015" s="198"/>
      <c r="J1015" s="193"/>
      <c r="K1015" s="193"/>
      <c r="L1015" s="199"/>
      <c r="M1015" s="200"/>
      <c r="N1015" s="201"/>
      <c r="O1015" s="201"/>
      <c r="P1015" s="201"/>
      <c r="Q1015" s="201"/>
      <c r="R1015" s="201"/>
      <c r="S1015" s="201"/>
      <c r="T1015" s="202"/>
      <c r="AT1015" s="203" t="s">
        <v>139</v>
      </c>
      <c r="AU1015" s="203" t="s">
        <v>82</v>
      </c>
      <c r="AV1015" s="13" t="s">
        <v>82</v>
      </c>
      <c r="AW1015" s="13" t="s">
        <v>34</v>
      </c>
      <c r="AX1015" s="13" t="s">
        <v>72</v>
      </c>
      <c r="AY1015" s="203" t="s">
        <v>128</v>
      </c>
    </row>
    <row r="1016" spans="1:65" s="13" customFormat="1" ht="10">
      <c r="B1016" s="192"/>
      <c r="C1016" s="193"/>
      <c r="D1016" s="194" t="s">
        <v>139</v>
      </c>
      <c r="E1016" s="195" t="s">
        <v>19</v>
      </c>
      <c r="F1016" s="196" t="s">
        <v>2196</v>
      </c>
      <c r="G1016" s="193"/>
      <c r="H1016" s="197">
        <v>27.527999999999999</v>
      </c>
      <c r="I1016" s="198"/>
      <c r="J1016" s="193"/>
      <c r="K1016" s="193"/>
      <c r="L1016" s="199"/>
      <c r="M1016" s="200"/>
      <c r="N1016" s="201"/>
      <c r="O1016" s="201"/>
      <c r="P1016" s="201"/>
      <c r="Q1016" s="201"/>
      <c r="R1016" s="201"/>
      <c r="S1016" s="201"/>
      <c r="T1016" s="202"/>
      <c r="AT1016" s="203" t="s">
        <v>139</v>
      </c>
      <c r="AU1016" s="203" t="s">
        <v>82</v>
      </c>
      <c r="AV1016" s="13" t="s">
        <v>82</v>
      </c>
      <c r="AW1016" s="13" t="s">
        <v>34</v>
      </c>
      <c r="AX1016" s="13" t="s">
        <v>72</v>
      </c>
      <c r="AY1016" s="203" t="s">
        <v>128</v>
      </c>
    </row>
    <row r="1017" spans="1:65" s="13" customFormat="1" ht="10">
      <c r="B1017" s="192"/>
      <c r="C1017" s="193"/>
      <c r="D1017" s="194" t="s">
        <v>139</v>
      </c>
      <c r="E1017" s="195" t="s">
        <v>19</v>
      </c>
      <c r="F1017" s="196" t="s">
        <v>2183</v>
      </c>
      <c r="G1017" s="193"/>
      <c r="H1017" s="197">
        <v>21.84</v>
      </c>
      <c r="I1017" s="198"/>
      <c r="J1017" s="193"/>
      <c r="K1017" s="193"/>
      <c r="L1017" s="199"/>
      <c r="M1017" s="200"/>
      <c r="N1017" s="201"/>
      <c r="O1017" s="201"/>
      <c r="P1017" s="201"/>
      <c r="Q1017" s="201"/>
      <c r="R1017" s="201"/>
      <c r="S1017" s="201"/>
      <c r="T1017" s="202"/>
      <c r="AT1017" s="203" t="s">
        <v>139</v>
      </c>
      <c r="AU1017" s="203" t="s">
        <v>82</v>
      </c>
      <c r="AV1017" s="13" t="s">
        <v>82</v>
      </c>
      <c r="AW1017" s="13" t="s">
        <v>34</v>
      </c>
      <c r="AX1017" s="13" t="s">
        <v>72</v>
      </c>
      <c r="AY1017" s="203" t="s">
        <v>128</v>
      </c>
    </row>
    <row r="1018" spans="1:65" s="13" customFormat="1" ht="10">
      <c r="B1018" s="192"/>
      <c r="C1018" s="193"/>
      <c r="D1018" s="194" t="s">
        <v>139</v>
      </c>
      <c r="E1018" s="195" t="s">
        <v>19</v>
      </c>
      <c r="F1018" s="196" t="s">
        <v>2184</v>
      </c>
      <c r="G1018" s="193"/>
      <c r="H1018" s="197">
        <v>22.26</v>
      </c>
      <c r="I1018" s="198"/>
      <c r="J1018" s="193"/>
      <c r="K1018" s="193"/>
      <c r="L1018" s="199"/>
      <c r="M1018" s="200"/>
      <c r="N1018" s="201"/>
      <c r="O1018" s="201"/>
      <c r="P1018" s="201"/>
      <c r="Q1018" s="201"/>
      <c r="R1018" s="201"/>
      <c r="S1018" s="201"/>
      <c r="T1018" s="202"/>
      <c r="AT1018" s="203" t="s">
        <v>139</v>
      </c>
      <c r="AU1018" s="203" t="s">
        <v>82</v>
      </c>
      <c r="AV1018" s="13" t="s">
        <v>82</v>
      </c>
      <c r="AW1018" s="13" t="s">
        <v>34</v>
      </c>
      <c r="AX1018" s="13" t="s">
        <v>72</v>
      </c>
      <c r="AY1018" s="203" t="s">
        <v>128</v>
      </c>
    </row>
    <row r="1019" spans="1:65" s="14" customFormat="1" ht="10">
      <c r="B1019" s="204"/>
      <c r="C1019" s="205"/>
      <c r="D1019" s="194" t="s">
        <v>139</v>
      </c>
      <c r="E1019" s="206" t="s">
        <v>19</v>
      </c>
      <c r="F1019" s="207" t="s">
        <v>153</v>
      </c>
      <c r="G1019" s="205"/>
      <c r="H1019" s="208">
        <v>87.27600000000001</v>
      </c>
      <c r="I1019" s="209"/>
      <c r="J1019" s="205"/>
      <c r="K1019" s="205"/>
      <c r="L1019" s="210"/>
      <c r="M1019" s="211"/>
      <c r="N1019" s="212"/>
      <c r="O1019" s="212"/>
      <c r="P1019" s="212"/>
      <c r="Q1019" s="212"/>
      <c r="R1019" s="212"/>
      <c r="S1019" s="212"/>
      <c r="T1019" s="213"/>
      <c r="AT1019" s="214" t="s">
        <v>139</v>
      </c>
      <c r="AU1019" s="214" t="s">
        <v>82</v>
      </c>
      <c r="AV1019" s="14" t="s">
        <v>135</v>
      </c>
      <c r="AW1019" s="14" t="s">
        <v>34</v>
      </c>
      <c r="AX1019" s="14" t="s">
        <v>80</v>
      </c>
      <c r="AY1019" s="214" t="s">
        <v>128</v>
      </c>
    </row>
    <row r="1020" spans="1:65" s="2" customFormat="1" ht="24.15" customHeight="1">
      <c r="A1020" s="35"/>
      <c r="B1020" s="36"/>
      <c r="C1020" s="174" t="s">
        <v>2197</v>
      </c>
      <c r="D1020" s="174" t="s">
        <v>130</v>
      </c>
      <c r="E1020" s="175" t="s">
        <v>2198</v>
      </c>
      <c r="F1020" s="176" t="s">
        <v>2199</v>
      </c>
      <c r="G1020" s="177" t="s">
        <v>133</v>
      </c>
      <c r="H1020" s="178">
        <v>65.016000000000005</v>
      </c>
      <c r="I1020" s="179"/>
      <c r="J1020" s="180">
        <f>ROUND(I1020*H1020,2)</f>
        <v>0</v>
      </c>
      <c r="K1020" s="176" t="s">
        <v>134</v>
      </c>
      <c r="L1020" s="40"/>
      <c r="M1020" s="181" t="s">
        <v>19</v>
      </c>
      <c r="N1020" s="182" t="s">
        <v>43</v>
      </c>
      <c r="O1020" s="65"/>
      <c r="P1020" s="183">
        <f>O1020*H1020</f>
        <v>0</v>
      </c>
      <c r="Q1020" s="183">
        <v>7.5799999999999999E-3</v>
      </c>
      <c r="R1020" s="183">
        <f>Q1020*H1020</f>
        <v>0.49282128000000003</v>
      </c>
      <c r="S1020" s="183">
        <v>0</v>
      </c>
      <c r="T1020" s="184">
        <f>S1020*H1020</f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185" t="s">
        <v>230</v>
      </c>
      <c r="AT1020" s="185" t="s">
        <v>130</v>
      </c>
      <c r="AU1020" s="185" t="s">
        <v>82</v>
      </c>
      <c r="AY1020" s="18" t="s">
        <v>128</v>
      </c>
      <c r="BE1020" s="186">
        <f>IF(N1020="základní",J1020,0)</f>
        <v>0</v>
      </c>
      <c r="BF1020" s="186">
        <f>IF(N1020="snížená",J1020,0)</f>
        <v>0</v>
      </c>
      <c r="BG1020" s="186">
        <f>IF(N1020="zákl. přenesená",J1020,0)</f>
        <v>0</v>
      </c>
      <c r="BH1020" s="186">
        <f>IF(N1020="sníž. přenesená",J1020,0)</f>
        <v>0</v>
      </c>
      <c r="BI1020" s="186">
        <f>IF(N1020="nulová",J1020,0)</f>
        <v>0</v>
      </c>
      <c r="BJ1020" s="18" t="s">
        <v>80</v>
      </c>
      <c r="BK1020" s="186">
        <f>ROUND(I1020*H1020,2)</f>
        <v>0</v>
      </c>
      <c r="BL1020" s="18" t="s">
        <v>230</v>
      </c>
      <c r="BM1020" s="185" t="s">
        <v>2200</v>
      </c>
    </row>
    <row r="1021" spans="1:65" s="2" customFormat="1" ht="10">
      <c r="A1021" s="35"/>
      <c r="B1021" s="36"/>
      <c r="C1021" s="37"/>
      <c r="D1021" s="187" t="s">
        <v>137</v>
      </c>
      <c r="E1021" s="37"/>
      <c r="F1021" s="188" t="s">
        <v>2201</v>
      </c>
      <c r="G1021" s="37"/>
      <c r="H1021" s="37"/>
      <c r="I1021" s="189"/>
      <c r="J1021" s="37"/>
      <c r="K1021" s="37"/>
      <c r="L1021" s="40"/>
      <c r="M1021" s="190"/>
      <c r="N1021" s="191"/>
      <c r="O1021" s="65"/>
      <c r="P1021" s="65"/>
      <c r="Q1021" s="65"/>
      <c r="R1021" s="65"/>
      <c r="S1021" s="65"/>
      <c r="T1021" s="66"/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T1021" s="18" t="s">
        <v>137</v>
      </c>
      <c r="AU1021" s="18" t="s">
        <v>82</v>
      </c>
    </row>
    <row r="1022" spans="1:65" s="13" customFormat="1" ht="10">
      <c r="B1022" s="192"/>
      <c r="C1022" s="193"/>
      <c r="D1022" s="194" t="s">
        <v>139</v>
      </c>
      <c r="E1022" s="195" t="s">
        <v>19</v>
      </c>
      <c r="F1022" s="196" t="s">
        <v>654</v>
      </c>
      <c r="G1022" s="193"/>
      <c r="H1022" s="197">
        <v>15.648</v>
      </c>
      <c r="I1022" s="198"/>
      <c r="J1022" s="193"/>
      <c r="K1022" s="193"/>
      <c r="L1022" s="199"/>
      <c r="M1022" s="200"/>
      <c r="N1022" s="201"/>
      <c r="O1022" s="201"/>
      <c r="P1022" s="201"/>
      <c r="Q1022" s="201"/>
      <c r="R1022" s="201"/>
      <c r="S1022" s="201"/>
      <c r="T1022" s="202"/>
      <c r="AT1022" s="203" t="s">
        <v>139</v>
      </c>
      <c r="AU1022" s="203" t="s">
        <v>82</v>
      </c>
      <c r="AV1022" s="13" t="s">
        <v>82</v>
      </c>
      <c r="AW1022" s="13" t="s">
        <v>34</v>
      </c>
      <c r="AX1022" s="13" t="s">
        <v>72</v>
      </c>
      <c r="AY1022" s="203" t="s">
        <v>128</v>
      </c>
    </row>
    <row r="1023" spans="1:65" s="13" customFormat="1" ht="10">
      <c r="B1023" s="192"/>
      <c r="C1023" s="193"/>
      <c r="D1023" s="194" t="s">
        <v>139</v>
      </c>
      <c r="E1023" s="195" t="s">
        <v>19</v>
      </c>
      <c r="F1023" s="196" t="s">
        <v>2196</v>
      </c>
      <c r="G1023" s="193"/>
      <c r="H1023" s="197">
        <v>27.527999999999999</v>
      </c>
      <c r="I1023" s="198"/>
      <c r="J1023" s="193"/>
      <c r="K1023" s="193"/>
      <c r="L1023" s="199"/>
      <c r="M1023" s="200"/>
      <c r="N1023" s="201"/>
      <c r="O1023" s="201"/>
      <c r="P1023" s="201"/>
      <c r="Q1023" s="201"/>
      <c r="R1023" s="201"/>
      <c r="S1023" s="201"/>
      <c r="T1023" s="202"/>
      <c r="AT1023" s="203" t="s">
        <v>139</v>
      </c>
      <c r="AU1023" s="203" t="s">
        <v>82</v>
      </c>
      <c r="AV1023" s="13" t="s">
        <v>82</v>
      </c>
      <c r="AW1023" s="13" t="s">
        <v>34</v>
      </c>
      <c r="AX1023" s="13" t="s">
        <v>72</v>
      </c>
      <c r="AY1023" s="203" t="s">
        <v>128</v>
      </c>
    </row>
    <row r="1024" spans="1:65" s="13" customFormat="1" ht="10">
      <c r="B1024" s="192"/>
      <c r="C1024" s="193"/>
      <c r="D1024" s="194" t="s">
        <v>139</v>
      </c>
      <c r="E1024" s="195" t="s">
        <v>19</v>
      </c>
      <c r="F1024" s="196" t="s">
        <v>2183</v>
      </c>
      <c r="G1024" s="193"/>
      <c r="H1024" s="197">
        <v>21.84</v>
      </c>
      <c r="I1024" s="198"/>
      <c r="J1024" s="193"/>
      <c r="K1024" s="193"/>
      <c r="L1024" s="199"/>
      <c r="M1024" s="200"/>
      <c r="N1024" s="201"/>
      <c r="O1024" s="201"/>
      <c r="P1024" s="201"/>
      <c r="Q1024" s="201"/>
      <c r="R1024" s="201"/>
      <c r="S1024" s="201"/>
      <c r="T1024" s="202"/>
      <c r="AT1024" s="203" t="s">
        <v>139</v>
      </c>
      <c r="AU1024" s="203" t="s">
        <v>82</v>
      </c>
      <c r="AV1024" s="13" t="s">
        <v>82</v>
      </c>
      <c r="AW1024" s="13" t="s">
        <v>34</v>
      </c>
      <c r="AX1024" s="13" t="s">
        <v>72</v>
      </c>
      <c r="AY1024" s="203" t="s">
        <v>128</v>
      </c>
    </row>
    <row r="1025" spans="1:65" s="14" customFormat="1" ht="10">
      <c r="B1025" s="204"/>
      <c r="C1025" s="205"/>
      <c r="D1025" s="194" t="s">
        <v>139</v>
      </c>
      <c r="E1025" s="206" t="s">
        <v>19</v>
      </c>
      <c r="F1025" s="207" t="s">
        <v>153</v>
      </c>
      <c r="G1025" s="205"/>
      <c r="H1025" s="208">
        <v>65.016000000000005</v>
      </c>
      <c r="I1025" s="209"/>
      <c r="J1025" s="205"/>
      <c r="K1025" s="205"/>
      <c r="L1025" s="210"/>
      <c r="M1025" s="211"/>
      <c r="N1025" s="212"/>
      <c r="O1025" s="212"/>
      <c r="P1025" s="212"/>
      <c r="Q1025" s="212"/>
      <c r="R1025" s="212"/>
      <c r="S1025" s="212"/>
      <c r="T1025" s="213"/>
      <c r="AT1025" s="214" t="s">
        <v>139</v>
      </c>
      <c r="AU1025" s="214" t="s">
        <v>82</v>
      </c>
      <c r="AV1025" s="14" t="s">
        <v>135</v>
      </c>
      <c r="AW1025" s="14" t="s">
        <v>34</v>
      </c>
      <c r="AX1025" s="14" t="s">
        <v>80</v>
      </c>
      <c r="AY1025" s="214" t="s">
        <v>128</v>
      </c>
    </row>
    <row r="1026" spans="1:65" s="2" customFormat="1" ht="24.15" customHeight="1">
      <c r="A1026" s="35"/>
      <c r="B1026" s="36"/>
      <c r="C1026" s="174" t="s">
        <v>2202</v>
      </c>
      <c r="D1026" s="174" t="s">
        <v>130</v>
      </c>
      <c r="E1026" s="175" t="s">
        <v>2203</v>
      </c>
      <c r="F1026" s="176" t="s">
        <v>2204</v>
      </c>
      <c r="G1026" s="177" t="s">
        <v>258</v>
      </c>
      <c r="H1026" s="178">
        <v>100.1</v>
      </c>
      <c r="I1026" s="179"/>
      <c r="J1026" s="180">
        <f>ROUND(I1026*H1026,2)</f>
        <v>0</v>
      </c>
      <c r="K1026" s="176" t="s">
        <v>134</v>
      </c>
      <c r="L1026" s="40"/>
      <c r="M1026" s="181" t="s">
        <v>19</v>
      </c>
      <c r="N1026" s="182" t="s">
        <v>43</v>
      </c>
      <c r="O1026" s="65"/>
      <c r="P1026" s="183">
        <f>O1026*H1026</f>
        <v>0</v>
      </c>
      <c r="Q1026" s="183">
        <v>3.4000000000000002E-4</v>
      </c>
      <c r="R1026" s="183">
        <f>Q1026*H1026</f>
        <v>3.4034000000000002E-2</v>
      </c>
      <c r="S1026" s="183">
        <v>0</v>
      </c>
      <c r="T1026" s="184">
        <f>S1026*H1026</f>
        <v>0</v>
      </c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R1026" s="185" t="s">
        <v>230</v>
      </c>
      <c r="AT1026" s="185" t="s">
        <v>130</v>
      </c>
      <c r="AU1026" s="185" t="s">
        <v>82</v>
      </c>
      <c r="AY1026" s="18" t="s">
        <v>128</v>
      </c>
      <c r="BE1026" s="186">
        <f>IF(N1026="základní",J1026,0)</f>
        <v>0</v>
      </c>
      <c r="BF1026" s="186">
        <f>IF(N1026="snížená",J1026,0)</f>
        <v>0</v>
      </c>
      <c r="BG1026" s="186">
        <f>IF(N1026="zákl. přenesená",J1026,0)</f>
        <v>0</v>
      </c>
      <c r="BH1026" s="186">
        <f>IF(N1026="sníž. přenesená",J1026,0)</f>
        <v>0</v>
      </c>
      <c r="BI1026" s="186">
        <f>IF(N1026="nulová",J1026,0)</f>
        <v>0</v>
      </c>
      <c r="BJ1026" s="18" t="s">
        <v>80</v>
      </c>
      <c r="BK1026" s="186">
        <f>ROUND(I1026*H1026,2)</f>
        <v>0</v>
      </c>
      <c r="BL1026" s="18" t="s">
        <v>230</v>
      </c>
      <c r="BM1026" s="185" t="s">
        <v>2205</v>
      </c>
    </row>
    <row r="1027" spans="1:65" s="2" customFormat="1" ht="10">
      <c r="A1027" s="35"/>
      <c r="B1027" s="36"/>
      <c r="C1027" s="37"/>
      <c r="D1027" s="187" t="s">
        <v>137</v>
      </c>
      <c r="E1027" s="37"/>
      <c r="F1027" s="188" t="s">
        <v>2206</v>
      </c>
      <c r="G1027" s="37"/>
      <c r="H1027" s="37"/>
      <c r="I1027" s="189"/>
      <c r="J1027" s="37"/>
      <c r="K1027" s="37"/>
      <c r="L1027" s="40"/>
      <c r="M1027" s="190"/>
      <c r="N1027" s="191"/>
      <c r="O1027" s="65"/>
      <c r="P1027" s="65"/>
      <c r="Q1027" s="65"/>
      <c r="R1027" s="65"/>
      <c r="S1027" s="65"/>
      <c r="T1027" s="66"/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T1027" s="18" t="s">
        <v>137</v>
      </c>
      <c r="AU1027" s="18" t="s">
        <v>82</v>
      </c>
    </row>
    <row r="1028" spans="1:65" s="13" customFormat="1" ht="10">
      <c r="B1028" s="192"/>
      <c r="C1028" s="193"/>
      <c r="D1028" s="194" t="s">
        <v>139</v>
      </c>
      <c r="E1028" s="195" t="s">
        <v>19</v>
      </c>
      <c r="F1028" s="196" t="s">
        <v>2190</v>
      </c>
      <c r="G1028" s="193"/>
      <c r="H1028" s="197">
        <v>100.1</v>
      </c>
      <c r="I1028" s="198"/>
      <c r="J1028" s="193"/>
      <c r="K1028" s="193"/>
      <c r="L1028" s="199"/>
      <c r="M1028" s="200"/>
      <c r="N1028" s="201"/>
      <c r="O1028" s="201"/>
      <c r="P1028" s="201"/>
      <c r="Q1028" s="201"/>
      <c r="R1028" s="201"/>
      <c r="S1028" s="201"/>
      <c r="T1028" s="202"/>
      <c r="AT1028" s="203" t="s">
        <v>139</v>
      </c>
      <c r="AU1028" s="203" t="s">
        <v>82</v>
      </c>
      <c r="AV1028" s="13" t="s">
        <v>82</v>
      </c>
      <c r="AW1028" s="13" t="s">
        <v>34</v>
      </c>
      <c r="AX1028" s="13" t="s">
        <v>80</v>
      </c>
      <c r="AY1028" s="203" t="s">
        <v>128</v>
      </c>
    </row>
    <row r="1029" spans="1:65" s="2" customFormat="1" ht="16.5" customHeight="1">
      <c r="A1029" s="35"/>
      <c r="B1029" s="36"/>
      <c r="C1029" s="215" t="s">
        <v>2207</v>
      </c>
      <c r="D1029" s="215" t="s">
        <v>414</v>
      </c>
      <c r="E1029" s="216" t="s">
        <v>2208</v>
      </c>
      <c r="F1029" s="217" t="s">
        <v>2209</v>
      </c>
      <c r="G1029" s="218" t="s">
        <v>258</v>
      </c>
      <c r="H1029" s="219">
        <v>110.11</v>
      </c>
      <c r="I1029" s="220"/>
      <c r="J1029" s="221">
        <f>ROUND(I1029*H1029,2)</f>
        <v>0</v>
      </c>
      <c r="K1029" s="217" t="s">
        <v>134</v>
      </c>
      <c r="L1029" s="222"/>
      <c r="M1029" s="223" t="s">
        <v>19</v>
      </c>
      <c r="N1029" s="224" t="s">
        <v>43</v>
      </c>
      <c r="O1029" s="65"/>
      <c r="P1029" s="183">
        <f>O1029*H1029</f>
        <v>0</v>
      </c>
      <c r="Q1029" s="183">
        <v>3.8999999999999999E-4</v>
      </c>
      <c r="R1029" s="183">
        <f>Q1029*H1029</f>
        <v>4.2942899999999999E-2</v>
      </c>
      <c r="S1029" s="183">
        <v>0</v>
      </c>
      <c r="T1029" s="184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185" t="s">
        <v>334</v>
      </c>
      <c r="AT1029" s="185" t="s">
        <v>414</v>
      </c>
      <c r="AU1029" s="185" t="s">
        <v>82</v>
      </c>
      <c r="AY1029" s="18" t="s">
        <v>128</v>
      </c>
      <c r="BE1029" s="186">
        <f>IF(N1029="základní",J1029,0)</f>
        <v>0</v>
      </c>
      <c r="BF1029" s="186">
        <f>IF(N1029="snížená",J1029,0)</f>
        <v>0</v>
      </c>
      <c r="BG1029" s="186">
        <f>IF(N1029="zákl. přenesená",J1029,0)</f>
        <v>0</v>
      </c>
      <c r="BH1029" s="186">
        <f>IF(N1029="sníž. přenesená",J1029,0)</f>
        <v>0</v>
      </c>
      <c r="BI1029" s="186">
        <f>IF(N1029="nulová",J1029,0)</f>
        <v>0</v>
      </c>
      <c r="BJ1029" s="18" t="s">
        <v>80</v>
      </c>
      <c r="BK1029" s="186">
        <f>ROUND(I1029*H1029,2)</f>
        <v>0</v>
      </c>
      <c r="BL1029" s="18" t="s">
        <v>230</v>
      </c>
      <c r="BM1029" s="185" t="s">
        <v>2210</v>
      </c>
    </row>
    <row r="1030" spans="1:65" s="13" customFormat="1" ht="10">
      <c r="B1030" s="192"/>
      <c r="C1030" s="193"/>
      <c r="D1030" s="194" t="s">
        <v>139</v>
      </c>
      <c r="E1030" s="193"/>
      <c r="F1030" s="196" t="s">
        <v>2211</v>
      </c>
      <c r="G1030" s="193"/>
      <c r="H1030" s="197">
        <v>110.11</v>
      </c>
      <c r="I1030" s="198"/>
      <c r="J1030" s="193"/>
      <c r="K1030" s="193"/>
      <c r="L1030" s="199"/>
      <c r="M1030" s="200"/>
      <c r="N1030" s="201"/>
      <c r="O1030" s="201"/>
      <c r="P1030" s="201"/>
      <c r="Q1030" s="201"/>
      <c r="R1030" s="201"/>
      <c r="S1030" s="201"/>
      <c r="T1030" s="202"/>
      <c r="AT1030" s="203" t="s">
        <v>139</v>
      </c>
      <c r="AU1030" s="203" t="s">
        <v>82</v>
      </c>
      <c r="AV1030" s="13" t="s">
        <v>82</v>
      </c>
      <c r="AW1030" s="13" t="s">
        <v>4</v>
      </c>
      <c r="AX1030" s="13" t="s">
        <v>80</v>
      </c>
      <c r="AY1030" s="203" t="s">
        <v>128</v>
      </c>
    </row>
    <row r="1031" spans="1:65" s="2" customFormat="1" ht="24.15" customHeight="1">
      <c r="A1031" s="35"/>
      <c r="B1031" s="36"/>
      <c r="C1031" s="174" t="s">
        <v>2212</v>
      </c>
      <c r="D1031" s="174" t="s">
        <v>130</v>
      </c>
      <c r="E1031" s="175" t="s">
        <v>2213</v>
      </c>
      <c r="F1031" s="176" t="s">
        <v>2214</v>
      </c>
      <c r="G1031" s="177" t="s">
        <v>258</v>
      </c>
      <c r="H1031" s="178">
        <v>100.1</v>
      </c>
      <c r="I1031" s="179"/>
      <c r="J1031" s="180">
        <f>ROUND(I1031*H1031,2)</f>
        <v>0</v>
      </c>
      <c r="K1031" s="176" t="s">
        <v>134</v>
      </c>
      <c r="L1031" s="40"/>
      <c r="M1031" s="181" t="s">
        <v>19</v>
      </c>
      <c r="N1031" s="182" t="s">
        <v>43</v>
      </c>
      <c r="O1031" s="65"/>
      <c r="P1031" s="183">
        <f>O1031*H1031</f>
        <v>0</v>
      </c>
      <c r="Q1031" s="183">
        <v>1.5299999999999999E-3</v>
      </c>
      <c r="R1031" s="183">
        <f>Q1031*H1031</f>
        <v>0.15315299999999998</v>
      </c>
      <c r="S1031" s="183">
        <v>0</v>
      </c>
      <c r="T1031" s="184">
        <f>S1031*H1031</f>
        <v>0</v>
      </c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R1031" s="185" t="s">
        <v>230</v>
      </c>
      <c r="AT1031" s="185" t="s">
        <v>130</v>
      </c>
      <c r="AU1031" s="185" t="s">
        <v>82</v>
      </c>
      <c r="AY1031" s="18" t="s">
        <v>128</v>
      </c>
      <c r="BE1031" s="186">
        <f>IF(N1031="základní",J1031,0)</f>
        <v>0</v>
      </c>
      <c r="BF1031" s="186">
        <f>IF(N1031="snížená",J1031,0)</f>
        <v>0</v>
      </c>
      <c r="BG1031" s="186">
        <f>IF(N1031="zákl. přenesená",J1031,0)</f>
        <v>0</v>
      </c>
      <c r="BH1031" s="186">
        <f>IF(N1031="sníž. přenesená",J1031,0)</f>
        <v>0</v>
      </c>
      <c r="BI1031" s="186">
        <f>IF(N1031="nulová",J1031,0)</f>
        <v>0</v>
      </c>
      <c r="BJ1031" s="18" t="s">
        <v>80</v>
      </c>
      <c r="BK1031" s="186">
        <f>ROUND(I1031*H1031,2)</f>
        <v>0</v>
      </c>
      <c r="BL1031" s="18" t="s">
        <v>230</v>
      </c>
      <c r="BM1031" s="185" t="s">
        <v>2215</v>
      </c>
    </row>
    <row r="1032" spans="1:65" s="2" customFormat="1" ht="10">
      <c r="A1032" s="35"/>
      <c r="B1032" s="36"/>
      <c r="C1032" s="37"/>
      <c r="D1032" s="187" t="s">
        <v>137</v>
      </c>
      <c r="E1032" s="37"/>
      <c r="F1032" s="188" t="s">
        <v>2216</v>
      </c>
      <c r="G1032" s="37"/>
      <c r="H1032" s="37"/>
      <c r="I1032" s="189"/>
      <c r="J1032" s="37"/>
      <c r="K1032" s="37"/>
      <c r="L1032" s="40"/>
      <c r="M1032" s="190"/>
      <c r="N1032" s="191"/>
      <c r="O1032" s="65"/>
      <c r="P1032" s="65"/>
      <c r="Q1032" s="65"/>
      <c r="R1032" s="65"/>
      <c r="S1032" s="65"/>
      <c r="T1032" s="66"/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T1032" s="18" t="s">
        <v>137</v>
      </c>
      <c r="AU1032" s="18" t="s">
        <v>82</v>
      </c>
    </row>
    <row r="1033" spans="1:65" s="13" customFormat="1" ht="10">
      <c r="B1033" s="192"/>
      <c r="C1033" s="193"/>
      <c r="D1033" s="194" t="s">
        <v>139</v>
      </c>
      <c r="E1033" s="195" t="s">
        <v>19</v>
      </c>
      <c r="F1033" s="196" t="s">
        <v>2190</v>
      </c>
      <c r="G1033" s="193"/>
      <c r="H1033" s="197">
        <v>100.1</v>
      </c>
      <c r="I1033" s="198"/>
      <c r="J1033" s="193"/>
      <c r="K1033" s="193"/>
      <c r="L1033" s="199"/>
      <c r="M1033" s="200"/>
      <c r="N1033" s="201"/>
      <c r="O1033" s="201"/>
      <c r="P1033" s="201"/>
      <c r="Q1033" s="201"/>
      <c r="R1033" s="201"/>
      <c r="S1033" s="201"/>
      <c r="T1033" s="202"/>
      <c r="AT1033" s="203" t="s">
        <v>139</v>
      </c>
      <c r="AU1033" s="203" t="s">
        <v>82</v>
      </c>
      <c r="AV1033" s="13" t="s">
        <v>82</v>
      </c>
      <c r="AW1033" s="13" t="s">
        <v>34</v>
      </c>
      <c r="AX1033" s="13" t="s">
        <v>80</v>
      </c>
      <c r="AY1033" s="203" t="s">
        <v>128</v>
      </c>
    </row>
    <row r="1034" spans="1:65" s="2" customFormat="1" ht="24.15" customHeight="1">
      <c r="A1034" s="35"/>
      <c r="B1034" s="36"/>
      <c r="C1034" s="215" t="s">
        <v>2217</v>
      </c>
      <c r="D1034" s="215" t="s">
        <v>414</v>
      </c>
      <c r="E1034" s="216" t="s">
        <v>2218</v>
      </c>
      <c r="F1034" s="217" t="s">
        <v>2219</v>
      </c>
      <c r="G1034" s="218" t="s">
        <v>133</v>
      </c>
      <c r="H1034" s="219">
        <v>33.033999999999999</v>
      </c>
      <c r="I1034" s="220"/>
      <c r="J1034" s="221">
        <f>ROUND(I1034*H1034,2)</f>
        <v>0</v>
      </c>
      <c r="K1034" s="217" t="s">
        <v>134</v>
      </c>
      <c r="L1034" s="222"/>
      <c r="M1034" s="223" t="s">
        <v>19</v>
      </c>
      <c r="N1034" s="224" t="s">
        <v>43</v>
      </c>
      <c r="O1034" s="65"/>
      <c r="P1034" s="183">
        <f>O1034*H1034</f>
        <v>0</v>
      </c>
      <c r="Q1034" s="183">
        <v>1.9199999999999998E-2</v>
      </c>
      <c r="R1034" s="183">
        <f>Q1034*H1034</f>
        <v>0.63425279999999995</v>
      </c>
      <c r="S1034" s="183">
        <v>0</v>
      </c>
      <c r="T1034" s="184">
        <f>S1034*H1034</f>
        <v>0</v>
      </c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R1034" s="185" t="s">
        <v>334</v>
      </c>
      <c r="AT1034" s="185" t="s">
        <v>414</v>
      </c>
      <c r="AU1034" s="185" t="s">
        <v>82</v>
      </c>
      <c r="AY1034" s="18" t="s">
        <v>128</v>
      </c>
      <c r="BE1034" s="186">
        <f>IF(N1034="základní",J1034,0)</f>
        <v>0</v>
      </c>
      <c r="BF1034" s="186">
        <f>IF(N1034="snížená",J1034,0)</f>
        <v>0</v>
      </c>
      <c r="BG1034" s="186">
        <f>IF(N1034="zákl. přenesená",J1034,0)</f>
        <v>0</v>
      </c>
      <c r="BH1034" s="186">
        <f>IF(N1034="sníž. přenesená",J1034,0)</f>
        <v>0</v>
      </c>
      <c r="BI1034" s="186">
        <f>IF(N1034="nulová",J1034,0)</f>
        <v>0</v>
      </c>
      <c r="BJ1034" s="18" t="s">
        <v>80</v>
      </c>
      <c r="BK1034" s="186">
        <f>ROUND(I1034*H1034,2)</f>
        <v>0</v>
      </c>
      <c r="BL1034" s="18" t="s">
        <v>230</v>
      </c>
      <c r="BM1034" s="185" t="s">
        <v>2220</v>
      </c>
    </row>
    <row r="1035" spans="1:65" s="13" customFormat="1" ht="10">
      <c r="B1035" s="192"/>
      <c r="C1035" s="193"/>
      <c r="D1035" s="194" t="s">
        <v>139</v>
      </c>
      <c r="E1035" s="195" t="s">
        <v>19</v>
      </c>
      <c r="F1035" s="196" t="s">
        <v>2196</v>
      </c>
      <c r="G1035" s="193"/>
      <c r="H1035" s="197">
        <v>27.527999999999999</v>
      </c>
      <c r="I1035" s="198"/>
      <c r="J1035" s="193"/>
      <c r="K1035" s="193"/>
      <c r="L1035" s="199"/>
      <c r="M1035" s="200"/>
      <c r="N1035" s="201"/>
      <c r="O1035" s="201"/>
      <c r="P1035" s="201"/>
      <c r="Q1035" s="201"/>
      <c r="R1035" s="201"/>
      <c r="S1035" s="201"/>
      <c r="T1035" s="202"/>
      <c r="AT1035" s="203" t="s">
        <v>139</v>
      </c>
      <c r="AU1035" s="203" t="s">
        <v>82</v>
      </c>
      <c r="AV1035" s="13" t="s">
        <v>82</v>
      </c>
      <c r="AW1035" s="13" t="s">
        <v>34</v>
      </c>
      <c r="AX1035" s="13" t="s">
        <v>80</v>
      </c>
      <c r="AY1035" s="203" t="s">
        <v>128</v>
      </c>
    </row>
    <row r="1036" spans="1:65" s="13" customFormat="1" ht="10">
      <c r="B1036" s="192"/>
      <c r="C1036" s="193"/>
      <c r="D1036" s="194" t="s">
        <v>139</v>
      </c>
      <c r="E1036" s="193"/>
      <c r="F1036" s="196" t="s">
        <v>2221</v>
      </c>
      <c r="G1036" s="193"/>
      <c r="H1036" s="197">
        <v>33.033999999999999</v>
      </c>
      <c r="I1036" s="198"/>
      <c r="J1036" s="193"/>
      <c r="K1036" s="193"/>
      <c r="L1036" s="199"/>
      <c r="M1036" s="200"/>
      <c r="N1036" s="201"/>
      <c r="O1036" s="201"/>
      <c r="P1036" s="201"/>
      <c r="Q1036" s="201"/>
      <c r="R1036" s="201"/>
      <c r="S1036" s="201"/>
      <c r="T1036" s="202"/>
      <c r="AT1036" s="203" t="s">
        <v>139</v>
      </c>
      <c r="AU1036" s="203" t="s">
        <v>82</v>
      </c>
      <c r="AV1036" s="13" t="s">
        <v>82</v>
      </c>
      <c r="AW1036" s="13" t="s">
        <v>4</v>
      </c>
      <c r="AX1036" s="13" t="s">
        <v>80</v>
      </c>
      <c r="AY1036" s="203" t="s">
        <v>128</v>
      </c>
    </row>
    <row r="1037" spans="1:65" s="2" customFormat="1" ht="24.15" customHeight="1">
      <c r="A1037" s="35"/>
      <c r="B1037" s="36"/>
      <c r="C1037" s="174" t="s">
        <v>2222</v>
      </c>
      <c r="D1037" s="174" t="s">
        <v>130</v>
      </c>
      <c r="E1037" s="175" t="s">
        <v>2223</v>
      </c>
      <c r="F1037" s="176" t="s">
        <v>2224</v>
      </c>
      <c r="G1037" s="177" t="s">
        <v>258</v>
      </c>
      <c r="H1037" s="178">
        <v>100.1</v>
      </c>
      <c r="I1037" s="179"/>
      <c r="J1037" s="180">
        <f>ROUND(I1037*H1037,2)</f>
        <v>0</v>
      </c>
      <c r="K1037" s="176" t="s">
        <v>134</v>
      </c>
      <c r="L1037" s="40"/>
      <c r="M1037" s="181" t="s">
        <v>19</v>
      </c>
      <c r="N1037" s="182" t="s">
        <v>43</v>
      </c>
      <c r="O1037" s="65"/>
      <c r="P1037" s="183">
        <f>O1037*H1037</f>
        <v>0</v>
      </c>
      <c r="Q1037" s="183">
        <v>1.0200000000000001E-3</v>
      </c>
      <c r="R1037" s="183">
        <f>Q1037*H1037</f>
        <v>0.102102</v>
      </c>
      <c r="S1037" s="183">
        <v>0</v>
      </c>
      <c r="T1037" s="184">
        <f>S1037*H1037</f>
        <v>0</v>
      </c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R1037" s="185" t="s">
        <v>230</v>
      </c>
      <c r="AT1037" s="185" t="s">
        <v>130</v>
      </c>
      <c r="AU1037" s="185" t="s">
        <v>82</v>
      </c>
      <c r="AY1037" s="18" t="s">
        <v>128</v>
      </c>
      <c r="BE1037" s="186">
        <f>IF(N1037="základní",J1037,0)</f>
        <v>0</v>
      </c>
      <c r="BF1037" s="186">
        <f>IF(N1037="snížená",J1037,0)</f>
        <v>0</v>
      </c>
      <c r="BG1037" s="186">
        <f>IF(N1037="zákl. přenesená",J1037,0)</f>
        <v>0</v>
      </c>
      <c r="BH1037" s="186">
        <f>IF(N1037="sníž. přenesená",J1037,0)</f>
        <v>0</v>
      </c>
      <c r="BI1037" s="186">
        <f>IF(N1037="nulová",J1037,0)</f>
        <v>0</v>
      </c>
      <c r="BJ1037" s="18" t="s">
        <v>80</v>
      </c>
      <c r="BK1037" s="186">
        <f>ROUND(I1037*H1037,2)</f>
        <v>0</v>
      </c>
      <c r="BL1037" s="18" t="s">
        <v>230</v>
      </c>
      <c r="BM1037" s="185" t="s">
        <v>2225</v>
      </c>
    </row>
    <row r="1038" spans="1:65" s="2" customFormat="1" ht="10">
      <c r="A1038" s="35"/>
      <c r="B1038" s="36"/>
      <c r="C1038" s="37"/>
      <c r="D1038" s="187" t="s">
        <v>137</v>
      </c>
      <c r="E1038" s="37"/>
      <c r="F1038" s="188" t="s">
        <v>2226</v>
      </c>
      <c r="G1038" s="37"/>
      <c r="H1038" s="37"/>
      <c r="I1038" s="189"/>
      <c r="J1038" s="37"/>
      <c r="K1038" s="37"/>
      <c r="L1038" s="40"/>
      <c r="M1038" s="190"/>
      <c r="N1038" s="191"/>
      <c r="O1038" s="65"/>
      <c r="P1038" s="65"/>
      <c r="Q1038" s="65"/>
      <c r="R1038" s="65"/>
      <c r="S1038" s="65"/>
      <c r="T1038" s="66"/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T1038" s="18" t="s">
        <v>137</v>
      </c>
      <c r="AU1038" s="18" t="s">
        <v>82</v>
      </c>
    </row>
    <row r="1039" spans="1:65" s="13" customFormat="1" ht="10">
      <c r="B1039" s="192"/>
      <c r="C1039" s="193"/>
      <c r="D1039" s="194" t="s">
        <v>139</v>
      </c>
      <c r="E1039" s="195" t="s">
        <v>19</v>
      </c>
      <c r="F1039" s="196" t="s">
        <v>2190</v>
      </c>
      <c r="G1039" s="193"/>
      <c r="H1039" s="197">
        <v>100.1</v>
      </c>
      <c r="I1039" s="198"/>
      <c r="J1039" s="193"/>
      <c r="K1039" s="193"/>
      <c r="L1039" s="199"/>
      <c r="M1039" s="200"/>
      <c r="N1039" s="201"/>
      <c r="O1039" s="201"/>
      <c r="P1039" s="201"/>
      <c r="Q1039" s="201"/>
      <c r="R1039" s="201"/>
      <c r="S1039" s="201"/>
      <c r="T1039" s="202"/>
      <c r="AT1039" s="203" t="s">
        <v>139</v>
      </c>
      <c r="AU1039" s="203" t="s">
        <v>82</v>
      </c>
      <c r="AV1039" s="13" t="s">
        <v>82</v>
      </c>
      <c r="AW1039" s="13" t="s">
        <v>34</v>
      </c>
      <c r="AX1039" s="13" t="s">
        <v>80</v>
      </c>
      <c r="AY1039" s="203" t="s">
        <v>128</v>
      </c>
    </row>
    <row r="1040" spans="1:65" s="2" customFormat="1" ht="24.15" customHeight="1">
      <c r="A1040" s="35"/>
      <c r="B1040" s="36"/>
      <c r="C1040" s="215" t="s">
        <v>2227</v>
      </c>
      <c r="D1040" s="215" t="s">
        <v>414</v>
      </c>
      <c r="E1040" s="216" t="s">
        <v>2218</v>
      </c>
      <c r="F1040" s="217" t="s">
        <v>2219</v>
      </c>
      <c r="G1040" s="218" t="s">
        <v>133</v>
      </c>
      <c r="H1040" s="219">
        <v>20.481000000000002</v>
      </c>
      <c r="I1040" s="220"/>
      <c r="J1040" s="221">
        <f>ROUND(I1040*H1040,2)</f>
        <v>0</v>
      </c>
      <c r="K1040" s="217" t="s">
        <v>134</v>
      </c>
      <c r="L1040" s="222"/>
      <c r="M1040" s="223" t="s">
        <v>19</v>
      </c>
      <c r="N1040" s="224" t="s">
        <v>43</v>
      </c>
      <c r="O1040" s="65"/>
      <c r="P1040" s="183">
        <f>O1040*H1040</f>
        <v>0</v>
      </c>
      <c r="Q1040" s="183">
        <v>1.9199999999999998E-2</v>
      </c>
      <c r="R1040" s="183">
        <f>Q1040*H1040</f>
        <v>0.39323520000000001</v>
      </c>
      <c r="S1040" s="183">
        <v>0</v>
      </c>
      <c r="T1040" s="184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185" t="s">
        <v>334</v>
      </c>
      <c r="AT1040" s="185" t="s">
        <v>414</v>
      </c>
      <c r="AU1040" s="185" t="s">
        <v>82</v>
      </c>
      <c r="AY1040" s="18" t="s">
        <v>128</v>
      </c>
      <c r="BE1040" s="186">
        <f>IF(N1040="základní",J1040,0)</f>
        <v>0</v>
      </c>
      <c r="BF1040" s="186">
        <f>IF(N1040="snížená",J1040,0)</f>
        <v>0</v>
      </c>
      <c r="BG1040" s="186">
        <f>IF(N1040="zákl. přenesená",J1040,0)</f>
        <v>0</v>
      </c>
      <c r="BH1040" s="186">
        <f>IF(N1040="sníž. přenesená",J1040,0)</f>
        <v>0</v>
      </c>
      <c r="BI1040" s="186">
        <f>IF(N1040="nulová",J1040,0)</f>
        <v>0</v>
      </c>
      <c r="BJ1040" s="18" t="s">
        <v>80</v>
      </c>
      <c r="BK1040" s="186">
        <f>ROUND(I1040*H1040,2)</f>
        <v>0</v>
      </c>
      <c r="BL1040" s="18" t="s">
        <v>230</v>
      </c>
      <c r="BM1040" s="185" t="s">
        <v>2228</v>
      </c>
    </row>
    <row r="1041" spans="1:65" s="13" customFormat="1" ht="10">
      <c r="B1041" s="192"/>
      <c r="C1041" s="193"/>
      <c r="D1041" s="194" t="s">
        <v>139</v>
      </c>
      <c r="E1041" s="195" t="s">
        <v>19</v>
      </c>
      <c r="F1041" s="196" t="s">
        <v>810</v>
      </c>
      <c r="G1041" s="193"/>
      <c r="H1041" s="197">
        <v>18.619</v>
      </c>
      <c r="I1041" s="198"/>
      <c r="J1041" s="193"/>
      <c r="K1041" s="193"/>
      <c r="L1041" s="199"/>
      <c r="M1041" s="200"/>
      <c r="N1041" s="201"/>
      <c r="O1041" s="201"/>
      <c r="P1041" s="201"/>
      <c r="Q1041" s="201"/>
      <c r="R1041" s="201"/>
      <c r="S1041" s="201"/>
      <c r="T1041" s="202"/>
      <c r="AT1041" s="203" t="s">
        <v>139</v>
      </c>
      <c r="AU1041" s="203" t="s">
        <v>82</v>
      </c>
      <c r="AV1041" s="13" t="s">
        <v>82</v>
      </c>
      <c r="AW1041" s="13" t="s">
        <v>34</v>
      </c>
      <c r="AX1041" s="13" t="s">
        <v>80</v>
      </c>
      <c r="AY1041" s="203" t="s">
        <v>128</v>
      </c>
    </row>
    <row r="1042" spans="1:65" s="13" customFormat="1" ht="10">
      <c r="B1042" s="192"/>
      <c r="C1042" s="193"/>
      <c r="D1042" s="194" t="s">
        <v>139</v>
      </c>
      <c r="E1042" s="193"/>
      <c r="F1042" s="196" t="s">
        <v>2229</v>
      </c>
      <c r="G1042" s="193"/>
      <c r="H1042" s="197">
        <v>20.481000000000002</v>
      </c>
      <c r="I1042" s="198"/>
      <c r="J1042" s="193"/>
      <c r="K1042" s="193"/>
      <c r="L1042" s="199"/>
      <c r="M1042" s="200"/>
      <c r="N1042" s="201"/>
      <c r="O1042" s="201"/>
      <c r="P1042" s="201"/>
      <c r="Q1042" s="201"/>
      <c r="R1042" s="201"/>
      <c r="S1042" s="201"/>
      <c r="T1042" s="202"/>
      <c r="AT1042" s="203" t="s">
        <v>139</v>
      </c>
      <c r="AU1042" s="203" t="s">
        <v>82</v>
      </c>
      <c r="AV1042" s="13" t="s">
        <v>82</v>
      </c>
      <c r="AW1042" s="13" t="s">
        <v>4</v>
      </c>
      <c r="AX1042" s="13" t="s">
        <v>80</v>
      </c>
      <c r="AY1042" s="203" t="s">
        <v>128</v>
      </c>
    </row>
    <row r="1043" spans="1:65" s="2" customFormat="1" ht="21.75" customHeight="1">
      <c r="A1043" s="35"/>
      <c r="B1043" s="36"/>
      <c r="C1043" s="174" t="s">
        <v>2230</v>
      </c>
      <c r="D1043" s="174" t="s">
        <v>130</v>
      </c>
      <c r="E1043" s="175" t="s">
        <v>2231</v>
      </c>
      <c r="F1043" s="176" t="s">
        <v>2232</v>
      </c>
      <c r="G1043" s="177" t="s">
        <v>258</v>
      </c>
      <c r="H1043" s="178">
        <v>49.616</v>
      </c>
      <c r="I1043" s="179"/>
      <c r="J1043" s="180">
        <f>ROUND(I1043*H1043,2)</f>
        <v>0</v>
      </c>
      <c r="K1043" s="176" t="s">
        <v>134</v>
      </c>
      <c r="L1043" s="40"/>
      <c r="M1043" s="181" t="s">
        <v>19</v>
      </c>
      <c r="N1043" s="182" t="s">
        <v>43</v>
      </c>
      <c r="O1043" s="65"/>
      <c r="P1043" s="183">
        <f>O1043*H1043</f>
        <v>0</v>
      </c>
      <c r="Q1043" s="183">
        <v>5.8E-4</v>
      </c>
      <c r="R1043" s="183">
        <f>Q1043*H1043</f>
        <v>2.8777279999999999E-2</v>
      </c>
      <c r="S1043" s="183">
        <v>0</v>
      </c>
      <c r="T1043" s="184">
        <f>S1043*H1043</f>
        <v>0</v>
      </c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R1043" s="185" t="s">
        <v>230</v>
      </c>
      <c r="AT1043" s="185" t="s">
        <v>130</v>
      </c>
      <c r="AU1043" s="185" t="s">
        <v>82</v>
      </c>
      <c r="AY1043" s="18" t="s">
        <v>128</v>
      </c>
      <c r="BE1043" s="186">
        <f>IF(N1043="základní",J1043,0)</f>
        <v>0</v>
      </c>
      <c r="BF1043" s="186">
        <f>IF(N1043="snížená",J1043,0)</f>
        <v>0</v>
      </c>
      <c r="BG1043" s="186">
        <f>IF(N1043="zákl. přenesená",J1043,0)</f>
        <v>0</v>
      </c>
      <c r="BH1043" s="186">
        <f>IF(N1043="sníž. přenesená",J1043,0)</f>
        <v>0</v>
      </c>
      <c r="BI1043" s="186">
        <f>IF(N1043="nulová",J1043,0)</f>
        <v>0</v>
      </c>
      <c r="BJ1043" s="18" t="s">
        <v>80</v>
      </c>
      <c r="BK1043" s="186">
        <f>ROUND(I1043*H1043,2)</f>
        <v>0</v>
      </c>
      <c r="BL1043" s="18" t="s">
        <v>230</v>
      </c>
      <c r="BM1043" s="185" t="s">
        <v>2233</v>
      </c>
    </row>
    <row r="1044" spans="1:65" s="2" customFormat="1" ht="10">
      <c r="A1044" s="35"/>
      <c r="B1044" s="36"/>
      <c r="C1044" s="37"/>
      <c r="D1044" s="187" t="s">
        <v>137</v>
      </c>
      <c r="E1044" s="37"/>
      <c r="F1044" s="188" t="s">
        <v>2234</v>
      </c>
      <c r="G1044" s="37"/>
      <c r="H1044" s="37"/>
      <c r="I1044" s="189"/>
      <c r="J1044" s="37"/>
      <c r="K1044" s="37"/>
      <c r="L1044" s="40"/>
      <c r="M1044" s="190"/>
      <c r="N1044" s="191"/>
      <c r="O1044" s="65"/>
      <c r="P1044" s="65"/>
      <c r="Q1044" s="65"/>
      <c r="R1044" s="65"/>
      <c r="S1044" s="65"/>
      <c r="T1044" s="66"/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T1044" s="18" t="s">
        <v>137</v>
      </c>
      <c r="AU1044" s="18" t="s">
        <v>82</v>
      </c>
    </row>
    <row r="1045" spans="1:65" s="13" customFormat="1" ht="10">
      <c r="B1045" s="192"/>
      <c r="C1045" s="193"/>
      <c r="D1045" s="194" t="s">
        <v>139</v>
      </c>
      <c r="E1045" s="195" t="s">
        <v>19</v>
      </c>
      <c r="F1045" s="196" t="s">
        <v>972</v>
      </c>
      <c r="G1045" s="193"/>
      <c r="H1045" s="197">
        <v>17.216000000000001</v>
      </c>
      <c r="I1045" s="198"/>
      <c r="J1045" s="193"/>
      <c r="K1045" s="193"/>
      <c r="L1045" s="199"/>
      <c r="M1045" s="200"/>
      <c r="N1045" s="201"/>
      <c r="O1045" s="201"/>
      <c r="P1045" s="201"/>
      <c r="Q1045" s="201"/>
      <c r="R1045" s="201"/>
      <c r="S1045" s="201"/>
      <c r="T1045" s="202"/>
      <c r="AT1045" s="203" t="s">
        <v>139</v>
      </c>
      <c r="AU1045" s="203" t="s">
        <v>82</v>
      </c>
      <c r="AV1045" s="13" t="s">
        <v>82</v>
      </c>
      <c r="AW1045" s="13" t="s">
        <v>34</v>
      </c>
      <c r="AX1045" s="13" t="s">
        <v>72</v>
      </c>
      <c r="AY1045" s="203" t="s">
        <v>128</v>
      </c>
    </row>
    <row r="1046" spans="1:65" s="13" customFormat="1" ht="10">
      <c r="B1046" s="192"/>
      <c r="C1046" s="193"/>
      <c r="D1046" s="194" t="s">
        <v>139</v>
      </c>
      <c r="E1046" s="195" t="s">
        <v>19</v>
      </c>
      <c r="F1046" s="196" t="s">
        <v>973</v>
      </c>
      <c r="G1046" s="193"/>
      <c r="H1046" s="197">
        <v>32.4</v>
      </c>
      <c r="I1046" s="198"/>
      <c r="J1046" s="193"/>
      <c r="K1046" s="193"/>
      <c r="L1046" s="199"/>
      <c r="M1046" s="200"/>
      <c r="N1046" s="201"/>
      <c r="O1046" s="201"/>
      <c r="P1046" s="201"/>
      <c r="Q1046" s="201"/>
      <c r="R1046" s="201"/>
      <c r="S1046" s="201"/>
      <c r="T1046" s="202"/>
      <c r="AT1046" s="203" t="s">
        <v>139</v>
      </c>
      <c r="AU1046" s="203" t="s">
        <v>82</v>
      </c>
      <c r="AV1046" s="13" t="s">
        <v>82</v>
      </c>
      <c r="AW1046" s="13" t="s">
        <v>34</v>
      </c>
      <c r="AX1046" s="13" t="s">
        <v>72</v>
      </c>
      <c r="AY1046" s="203" t="s">
        <v>128</v>
      </c>
    </row>
    <row r="1047" spans="1:65" s="14" customFormat="1" ht="10">
      <c r="B1047" s="204"/>
      <c r="C1047" s="205"/>
      <c r="D1047" s="194" t="s">
        <v>139</v>
      </c>
      <c r="E1047" s="206" t="s">
        <v>19</v>
      </c>
      <c r="F1047" s="207" t="s">
        <v>153</v>
      </c>
      <c r="G1047" s="205"/>
      <c r="H1047" s="208">
        <v>49.616</v>
      </c>
      <c r="I1047" s="209"/>
      <c r="J1047" s="205"/>
      <c r="K1047" s="205"/>
      <c r="L1047" s="210"/>
      <c r="M1047" s="211"/>
      <c r="N1047" s="212"/>
      <c r="O1047" s="212"/>
      <c r="P1047" s="212"/>
      <c r="Q1047" s="212"/>
      <c r="R1047" s="212"/>
      <c r="S1047" s="212"/>
      <c r="T1047" s="213"/>
      <c r="AT1047" s="214" t="s">
        <v>139</v>
      </c>
      <c r="AU1047" s="214" t="s">
        <v>82</v>
      </c>
      <c r="AV1047" s="14" t="s">
        <v>135</v>
      </c>
      <c r="AW1047" s="14" t="s">
        <v>34</v>
      </c>
      <c r="AX1047" s="14" t="s">
        <v>80</v>
      </c>
      <c r="AY1047" s="214" t="s">
        <v>128</v>
      </c>
    </row>
    <row r="1048" spans="1:65" s="2" customFormat="1" ht="24.15" customHeight="1">
      <c r="A1048" s="35"/>
      <c r="B1048" s="36"/>
      <c r="C1048" s="215" t="s">
        <v>2235</v>
      </c>
      <c r="D1048" s="215" t="s">
        <v>414</v>
      </c>
      <c r="E1048" s="216" t="s">
        <v>2218</v>
      </c>
      <c r="F1048" s="217" t="s">
        <v>2219</v>
      </c>
      <c r="G1048" s="218" t="s">
        <v>133</v>
      </c>
      <c r="H1048" s="219">
        <v>7.1449999999999996</v>
      </c>
      <c r="I1048" s="220"/>
      <c r="J1048" s="221">
        <f>ROUND(I1048*H1048,2)</f>
        <v>0</v>
      </c>
      <c r="K1048" s="217" t="s">
        <v>134</v>
      </c>
      <c r="L1048" s="222"/>
      <c r="M1048" s="223" t="s">
        <v>19</v>
      </c>
      <c r="N1048" s="224" t="s">
        <v>43</v>
      </c>
      <c r="O1048" s="65"/>
      <c r="P1048" s="183">
        <f>O1048*H1048</f>
        <v>0</v>
      </c>
      <c r="Q1048" s="183">
        <v>1.9199999999999998E-2</v>
      </c>
      <c r="R1048" s="183">
        <f>Q1048*H1048</f>
        <v>0.13718399999999997</v>
      </c>
      <c r="S1048" s="183">
        <v>0</v>
      </c>
      <c r="T1048" s="184">
        <f>S1048*H1048</f>
        <v>0</v>
      </c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R1048" s="185" t="s">
        <v>334</v>
      </c>
      <c r="AT1048" s="185" t="s">
        <v>414</v>
      </c>
      <c r="AU1048" s="185" t="s">
        <v>82</v>
      </c>
      <c r="AY1048" s="18" t="s">
        <v>128</v>
      </c>
      <c r="BE1048" s="186">
        <f>IF(N1048="základní",J1048,0)</f>
        <v>0</v>
      </c>
      <c r="BF1048" s="186">
        <f>IF(N1048="snížená",J1048,0)</f>
        <v>0</v>
      </c>
      <c r="BG1048" s="186">
        <f>IF(N1048="zákl. přenesená",J1048,0)</f>
        <v>0</v>
      </c>
      <c r="BH1048" s="186">
        <f>IF(N1048="sníž. přenesená",J1048,0)</f>
        <v>0</v>
      </c>
      <c r="BI1048" s="186">
        <f>IF(N1048="nulová",J1048,0)</f>
        <v>0</v>
      </c>
      <c r="BJ1048" s="18" t="s">
        <v>80</v>
      </c>
      <c r="BK1048" s="186">
        <f>ROUND(I1048*H1048,2)</f>
        <v>0</v>
      </c>
      <c r="BL1048" s="18" t="s">
        <v>230</v>
      </c>
      <c r="BM1048" s="185" t="s">
        <v>2236</v>
      </c>
    </row>
    <row r="1049" spans="1:65" s="13" customFormat="1" ht="10">
      <c r="B1049" s="192"/>
      <c r="C1049" s="193"/>
      <c r="D1049" s="194" t="s">
        <v>139</v>
      </c>
      <c r="E1049" s="193"/>
      <c r="F1049" s="196" t="s">
        <v>2237</v>
      </c>
      <c r="G1049" s="193"/>
      <c r="H1049" s="197">
        <v>7.1449999999999996</v>
      </c>
      <c r="I1049" s="198"/>
      <c r="J1049" s="193"/>
      <c r="K1049" s="193"/>
      <c r="L1049" s="199"/>
      <c r="M1049" s="200"/>
      <c r="N1049" s="201"/>
      <c r="O1049" s="201"/>
      <c r="P1049" s="201"/>
      <c r="Q1049" s="201"/>
      <c r="R1049" s="201"/>
      <c r="S1049" s="201"/>
      <c r="T1049" s="202"/>
      <c r="AT1049" s="203" t="s">
        <v>139</v>
      </c>
      <c r="AU1049" s="203" t="s">
        <v>82</v>
      </c>
      <c r="AV1049" s="13" t="s">
        <v>82</v>
      </c>
      <c r="AW1049" s="13" t="s">
        <v>4</v>
      </c>
      <c r="AX1049" s="13" t="s">
        <v>80</v>
      </c>
      <c r="AY1049" s="203" t="s">
        <v>128</v>
      </c>
    </row>
    <row r="1050" spans="1:65" s="2" customFormat="1" ht="24.15" customHeight="1">
      <c r="A1050" s="35"/>
      <c r="B1050" s="36"/>
      <c r="C1050" s="174" t="s">
        <v>2238</v>
      </c>
      <c r="D1050" s="174" t="s">
        <v>130</v>
      </c>
      <c r="E1050" s="175" t="s">
        <v>2239</v>
      </c>
      <c r="F1050" s="176" t="s">
        <v>2240</v>
      </c>
      <c r="G1050" s="177" t="s">
        <v>258</v>
      </c>
      <c r="H1050" s="178">
        <v>44.737000000000002</v>
      </c>
      <c r="I1050" s="179"/>
      <c r="J1050" s="180">
        <f>ROUND(I1050*H1050,2)</f>
        <v>0</v>
      </c>
      <c r="K1050" s="176" t="s">
        <v>134</v>
      </c>
      <c r="L1050" s="40"/>
      <c r="M1050" s="181" t="s">
        <v>19</v>
      </c>
      <c r="N1050" s="182" t="s">
        <v>43</v>
      </c>
      <c r="O1050" s="65"/>
      <c r="P1050" s="183">
        <f>O1050*H1050</f>
        <v>0</v>
      </c>
      <c r="Q1050" s="183">
        <v>5.8E-4</v>
      </c>
      <c r="R1050" s="183">
        <f>Q1050*H1050</f>
        <v>2.5947460000000002E-2</v>
      </c>
      <c r="S1050" s="183">
        <v>0</v>
      </c>
      <c r="T1050" s="184">
        <f>S1050*H1050</f>
        <v>0</v>
      </c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R1050" s="185" t="s">
        <v>230</v>
      </c>
      <c r="AT1050" s="185" t="s">
        <v>130</v>
      </c>
      <c r="AU1050" s="185" t="s">
        <v>82</v>
      </c>
      <c r="AY1050" s="18" t="s">
        <v>128</v>
      </c>
      <c r="BE1050" s="186">
        <f>IF(N1050="základní",J1050,0)</f>
        <v>0</v>
      </c>
      <c r="BF1050" s="186">
        <f>IF(N1050="snížená",J1050,0)</f>
        <v>0</v>
      </c>
      <c r="BG1050" s="186">
        <f>IF(N1050="zákl. přenesená",J1050,0)</f>
        <v>0</v>
      </c>
      <c r="BH1050" s="186">
        <f>IF(N1050="sníž. přenesená",J1050,0)</f>
        <v>0</v>
      </c>
      <c r="BI1050" s="186">
        <f>IF(N1050="nulová",J1050,0)</f>
        <v>0</v>
      </c>
      <c r="BJ1050" s="18" t="s">
        <v>80</v>
      </c>
      <c r="BK1050" s="186">
        <f>ROUND(I1050*H1050,2)</f>
        <v>0</v>
      </c>
      <c r="BL1050" s="18" t="s">
        <v>230</v>
      </c>
      <c r="BM1050" s="185" t="s">
        <v>2241</v>
      </c>
    </row>
    <row r="1051" spans="1:65" s="2" customFormat="1" ht="10">
      <c r="A1051" s="35"/>
      <c r="B1051" s="36"/>
      <c r="C1051" s="37"/>
      <c r="D1051" s="187" t="s">
        <v>137</v>
      </c>
      <c r="E1051" s="37"/>
      <c r="F1051" s="188" t="s">
        <v>2242</v>
      </c>
      <c r="G1051" s="37"/>
      <c r="H1051" s="37"/>
      <c r="I1051" s="189"/>
      <c r="J1051" s="37"/>
      <c r="K1051" s="37"/>
      <c r="L1051" s="40"/>
      <c r="M1051" s="190"/>
      <c r="N1051" s="191"/>
      <c r="O1051" s="65"/>
      <c r="P1051" s="65"/>
      <c r="Q1051" s="65"/>
      <c r="R1051" s="65"/>
      <c r="S1051" s="65"/>
      <c r="T1051" s="66"/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T1051" s="18" t="s">
        <v>137</v>
      </c>
      <c r="AU1051" s="18" t="s">
        <v>82</v>
      </c>
    </row>
    <row r="1052" spans="1:65" s="13" customFormat="1" ht="10">
      <c r="B1052" s="192"/>
      <c r="C1052" s="193"/>
      <c r="D1052" s="194" t="s">
        <v>139</v>
      </c>
      <c r="E1052" s="195" t="s">
        <v>19</v>
      </c>
      <c r="F1052" s="196" t="s">
        <v>2243</v>
      </c>
      <c r="G1052" s="193"/>
      <c r="H1052" s="197">
        <v>44.737000000000002</v>
      </c>
      <c r="I1052" s="198"/>
      <c r="J1052" s="193"/>
      <c r="K1052" s="193"/>
      <c r="L1052" s="199"/>
      <c r="M1052" s="200"/>
      <c r="N1052" s="201"/>
      <c r="O1052" s="201"/>
      <c r="P1052" s="201"/>
      <c r="Q1052" s="201"/>
      <c r="R1052" s="201"/>
      <c r="S1052" s="201"/>
      <c r="T1052" s="202"/>
      <c r="AT1052" s="203" t="s">
        <v>139</v>
      </c>
      <c r="AU1052" s="203" t="s">
        <v>82</v>
      </c>
      <c r="AV1052" s="13" t="s">
        <v>82</v>
      </c>
      <c r="AW1052" s="13" t="s">
        <v>34</v>
      </c>
      <c r="AX1052" s="13" t="s">
        <v>80</v>
      </c>
      <c r="AY1052" s="203" t="s">
        <v>128</v>
      </c>
    </row>
    <row r="1053" spans="1:65" s="2" customFormat="1" ht="24.15" customHeight="1">
      <c r="A1053" s="35"/>
      <c r="B1053" s="36"/>
      <c r="C1053" s="215" t="s">
        <v>2244</v>
      </c>
      <c r="D1053" s="215" t="s">
        <v>414</v>
      </c>
      <c r="E1053" s="216" t="s">
        <v>2218</v>
      </c>
      <c r="F1053" s="217" t="s">
        <v>2219</v>
      </c>
      <c r="G1053" s="218" t="s">
        <v>133</v>
      </c>
      <c r="H1053" s="219">
        <v>6.4420000000000002</v>
      </c>
      <c r="I1053" s="220"/>
      <c r="J1053" s="221">
        <f>ROUND(I1053*H1053,2)</f>
        <v>0</v>
      </c>
      <c r="K1053" s="217" t="s">
        <v>134</v>
      </c>
      <c r="L1053" s="222"/>
      <c r="M1053" s="223" t="s">
        <v>19</v>
      </c>
      <c r="N1053" s="224" t="s">
        <v>43</v>
      </c>
      <c r="O1053" s="65"/>
      <c r="P1053" s="183">
        <f>O1053*H1053</f>
        <v>0</v>
      </c>
      <c r="Q1053" s="183">
        <v>1.9199999999999998E-2</v>
      </c>
      <c r="R1053" s="183">
        <f>Q1053*H1053</f>
        <v>0.12368639999999999</v>
      </c>
      <c r="S1053" s="183">
        <v>0</v>
      </c>
      <c r="T1053" s="184">
        <f>S1053*H1053</f>
        <v>0</v>
      </c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R1053" s="185" t="s">
        <v>334</v>
      </c>
      <c r="AT1053" s="185" t="s">
        <v>414</v>
      </c>
      <c r="AU1053" s="185" t="s">
        <v>82</v>
      </c>
      <c r="AY1053" s="18" t="s">
        <v>128</v>
      </c>
      <c r="BE1053" s="186">
        <f>IF(N1053="základní",J1053,0)</f>
        <v>0</v>
      </c>
      <c r="BF1053" s="186">
        <f>IF(N1053="snížená",J1053,0)</f>
        <v>0</v>
      </c>
      <c r="BG1053" s="186">
        <f>IF(N1053="zákl. přenesená",J1053,0)</f>
        <v>0</v>
      </c>
      <c r="BH1053" s="186">
        <f>IF(N1053="sníž. přenesená",J1053,0)</f>
        <v>0</v>
      </c>
      <c r="BI1053" s="186">
        <f>IF(N1053="nulová",J1053,0)</f>
        <v>0</v>
      </c>
      <c r="BJ1053" s="18" t="s">
        <v>80</v>
      </c>
      <c r="BK1053" s="186">
        <f>ROUND(I1053*H1053,2)</f>
        <v>0</v>
      </c>
      <c r="BL1053" s="18" t="s">
        <v>230</v>
      </c>
      <c r="BM1053" s="185" t="s">
        <v>2245</v>
      </c>
    </row>
    <row r="1054" spans="1:65" s="13" customFormat="1" ht="10">
      <c r="B1054" s="192"/>
      <c r="C1054" s="193"/>
      <c r="D1054" s="194" t="s">
        <v>139</v>
      </c>
      <c r="E1054" s="193"/>
      <c r="F1054" s="196" t="s">
        <v>2246</v>
      </c>
      <c r="G1054" s="193"/>
      <c r="H1054" s="197">
        <v>6.4420000000000002</v>
      </c>
      <c r="I1054" s="198"/>
      <c r="J1054" s="193"/>
      <c r="K1054" s="193"/>
      <c r="L1054" s="199"/>
      <c r="M1054" s="200"/>
      <c r="N1054" s="201"/>
      <c r="O1054" s="201"/>
      <c r="P1054" s="201"/>
      <c r="Q1054" s="201"/>
      <c r="R1054" s="201"/>
      <c r="S1054" s="201"/>
      <c r="T1054" s="202"/>
      <c r="AT1054" s="203" t="s">
        <v>139</v>
      </c>
      <c r="AU1054" s="203" t="s">
        <v>82</v>
      </c>
      <c r="AV1054" s="13" t="s">
        <v>82</v>
      </c>
      <c r="AW1054" s="13" t="s">
        <v>4</v>
      </c>
      <c r="AX1054" s="13" t="s">
        <v>80</v>
      </c>
      <c r="AY1054" s="203" t="s">
        <v>128</v>
      </c>
    </row>
    <row r="1055" spans="1:65" s="2" customFormat="1" ht="24.15" customHeight="1">
      <c r="A1055" s="35"/>
      <c r="B1055" s="36"/>
      <c r="C1055" s="174" t="s">
        <v>2247</v>
      </c>
      <c r="D1055" s="174" t="s">
        <v>130</v>
      </c>
      <c r="E1055" s="175" t="s">
        <v>2248</v>
      </c>
      <c r="F1055" s="176" t="s">
        <v>2249</v>
      </c>
      <c r="G1055" s="177" t="s">
        <v>133</v>
      </c>
      <c r="H1055" s="178">
        <v>59.747999999999998</v>
      </c>
      <c r="I1055" s="179"/>
      <c r="J1055" s="180">
        <f>ROUND(I1055*H1055,2)</f>
        <v>0</v>
      </c>
      <c r="K1055" s="176" t="s">
        <v>134</v>
      </c>
      <c r="L1055" s="40"/>
      <c r="M1055" s="181" t="s">
        <v>19</v>
      </c>
      <c r="N1055" s="182" t="s">
        <v>43</v>
      </c>
      <c r="O1055" s="65"/>
      <c r="P1055" s="183">
        <f>O1055*H1055</f>
        <v>0</v>
      </c>
      <c r="Q1055" s="183">
        <v>6.8900000000000003E-3</v>
      </c>
      <c r="R1055" s="183">
        <f>Q1055*H1055</f>
        <v>0.41166372000000001</v>
      </c>
      <c r="S1055" s="183">
        <v>0</v>
      </c>
      <c r="T1055" s="184">
        <f>S1055*H1055</f>
        <v>0</v>
      </c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R1055" s="185" t="s">
        <v>230</v>
      </c>
      <c r="AT1055" s="185" t="s">
        <v>130</v>
      </c>
      <c r="AU1055" s="185" t="s">
        <v>82</v>
      </c>
      <c r="AY1055" s="18" t="s">
        <v>128</v>
      </c>
      <c r="BE1055" s="186">
        <f>IF(N1055="základní",J1055,0)</f>
        <v>0</v>
      </c>
      <c r="BF1055" s="186">
        <f>IF(N1055="snížená",J1055,0)</f>
        <v>0</v>
      </c>
      <c r="BG1055" s="186">
        <f>IF(N1055="zákl. přenesená",J1055,0)</f>
        <v>0</v>
      </c>
      <c r="BH1055" s="186">
        <f>IF(N1055="sníž. přenesená",J1055,0)</f>
        <v>0</v>
      </c>
      <c r="BI1055" s="186">
        <f>IF(N1055="nulová",J1055,0)</f>
        <v>0</v>
      </c>
      <c r="BJ1055" s="18" t="s">
        <v>80</v>
      </c>
      <c r="BK1055" s="186">
        <f>ROUND(I1055*H1055,2)</f>
        <v>0</v>
      </c>
      <c r="BL1055" s="18" t="s">
        <v>230</v>
      </c>
      <c r="BM1055" s="185" t="s">
        <v>2250</v>
      </c>
    </row>
    <row r="1056" spans="1:65" s="2" customFormat="1" ht="10">
      <c r="A1056" s="35"/>
      <c r="B1056" s="36"/>
      <c r="C1056" s="37"/>
      <c r="D1056" s="187" t="s">
        <v>137</v>
      </c>
      <c r="E1056" s="37"/>
      <c r="F1056" s="188" t="s">
        <v>2251</v>
      </c>
      <c r="G1056" s="37"/>
      <c r="H1056" s="37"/>
      <c r="I1056" s="189"/>
      <c r="J1056" s="37"/>
      <c r="K1056" s="37"/>
      <c r="L1056" s="40"/>
      <c r="M1056" s="190"/>
      <c r="N1056" s="191"/>
      <c r="O1056" s="65"/>
      <c r="P1056" s="65"/>
      <c r="Q1056" s="65"/>
      <c r="R1056" s="65"/>
      <c r="S1056" s="65"/>
      <c r="T1056" s="66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T1056" s="18" t="s">
        <v>137</v>
      </c>
      <c r="AU1056" s="18" t="s">
        <v>82</v>
      </c>
    </row>
    <row r="1057" spans="1:65" s="13" customFormat="1" ht="10">
      <c r="B1057" s="192"/>
      <c r="C1057" s="193"/>
      <c r="D1057" s="194" t="s">
        <v>139</v>
      </c>
      <c r="E1057" s="195" t="s">
        <v>19</v>
      </c>
      <c r="F1057" s="196" t="s">
        <v>654</v>
      </c>
      <c r="G1057" s="193"/>
      <c r="H1057" s="197">
        <v>15.648</v>
      </c>
      <c r="I1057" s="198"/>
      <c r="J1057" s="193"/>
      <c r="K1057" s="193"/>
      <c r="L1057" s="199"/>
      <c r="M1057" s="200"/>
      <c r="N1057" s="201"/>
      <c r="O1057" s="201"/>
      <c r="P1057" s="201"/>
      <c r="Q1057" s="201"/>
      <c r="R1057" s="201"/>
      <c r="S1057" s="201"/>
      <c r="T1057" s="202"/>
      <c r="AT1057" s="203" t="s">
        <v>139</v>
      </c>
      <c r="AU1057" s="203" t="s">
        <v>82</v>
      </c>
      <c r="AV1057" s="13" t="s">
        <v>82</v>
      </c>
      <c r="AW1057" s="13" t="s">
        <v>34</v>
      </c>
      <c r="AX1057" s="13" t="s">
        <v>72</v>
      </c>
      <c r="AY1057" s="203" t="s">
        <v>128</v>
      </c>
    </row>
    <row r="1058" spans="1:65" s="13" customFormat="1" ht="10">
      <c r="B1058" s="192"/>
      <c r="C1058" s="193"/>
      <c r="D1058" s="194" t="s">
        <v>139</v>
      </c>
      <c r="E1058" s="195" t="s">
        <v>19</v>
      </c>
      <c r="F1058" s="196" t="s">
        <v>2183</v>
      </c>
      <c r="G1058" s="193"/>
      <c r="H1058" s="197">
        <v>21.84</v>
      </c>
      <c r="I1058" s="198"/>
      <c r="J1058" s="193"/>
      <c r="K1058" s="193"/>
      <c r="L1058" s="199"/>
      <c r="M1058" s="200"/>
      <c r="N1058" s="201"/>
      <c r="O1058" s="201"/>
      <c r="P1058" s="201"/>
      <c r="Q1058" s="201"/>
      <c r="R1058" s="201"/>
      <c r="S1058" s="201"/>
      <c r="T1058" s="202"/>
      <c r="AT1058" s="203" t="s">
        <v>139</v>
      </c>
      <c r="AU1058" s="203" t="s">
        <v>82</v>
      </c>
      <c r="AV1058" s="13" t="s">
        <v>82</v>
      </c>
      <c r="AW1058" s="13" t="s">
        <v>34</v>
      </c>
      <c r="AX1058" s="13" t="s">
        <v>72</v>
      </c>
      <c r="AY1058" s="203" t="s">
        <v>128</v>
      </c>
    </row>
    <row r="1059" spans="1:65" s="13" customFormat="1" ht="10">
      <c r="B1059" s="192"/>
      <c r="C1059" s="193"/>
      <c r="D1059" s="194" t="s">
        <v>139</v>
      </c>
      <c r="E1059" s="195" t="s">
        <v>19</v>
      </c>
      <c r="F1059" s="196" t="s">
        <v>2184</v>
      </c>
      <c r="G1059" s="193"/>
      <c r="H1059" s="197">
        <v>22.26</v>
      </c>
      <c r="I1059" s="198"/>
      <c r="J1059" s="193"/>
      <c r="K1059" s="193"/>
      <c r="L1059" s="199"/>
      <c r="M1059" s="200"/>
      <c r="N1059" s="201"/>
      <c r="O1059" s="201"/>
      <c r="P1059" s="201"/>
      <c r="Q1059" s="201"/>
      <c r="R1059" s="201"/>
      <c r="S1059" s="201"/>
      <c r="T1059" s="202"/>
      <c r="AT1059" s="203" t="s">
        <v>139</v>
      </c>
      <c r="AU1059" s="203" t="s">
        <v>82</v>
      </c>
      <c r="AV1059" s="13" t="s">
        <v>82</v>
      </c>
      <c r="AW1059" s="13" t="s">
        <v>34</v>
      </c>
      <c r="AX1059" s="13" t="s">
        <v>72</v>
      </c>
      <c r="AY1059" s="203" t="s">
        <v>128</v>
      </c>
    </row>
    <row r="1060" spans="1:65" s="14" customFormat="1" ht="10">
      <c r="B1060" s="204"/>
      <c r="C1060" s="205"/>
      <c r="D1060" s="194" t="s">
        <v>139</v>
      </c>
      <c r="E1060" s="206" t="s">
        <v>19</v>
      </c>
      <c r="F1060" s="207" t="s">
        <v>153</v>
      </c>
      <c r="G1060" s="205"/>
      <c r="H1060" s="208">
        <v>59.748000000000005</v>
      </c>
      <c r="I1060" s="209"/>
      <c r="J1060" s="205"/>
      <c r="K1060" s="205"/>
      <c r="L1060" s="210"/>
      <c r="M1060" s="211"/>
      <c r="N1060" s="212"/>
      <c r="O1060" s="212"/>
      <c r="P1060" s="212"/>
      <c r="Q1060" s="212"/>
      <c r="R1060" s="212"/>
      <c r="S1060" s="212"/>
      <c r="T1060" s="213"/>
      <c r="AT1060" s="214" t="s">
        <v>139</v>
      </c>
      <c r="AU1060" s="214" t="s">
        <v>82</v>
      </c>
      <c r="AV1060" s="14" t="s">
        <v>135</v>
      </c>
      <c r="AW1060" s="14" t="s">
        <v>34</v>
      </c>
      <c r="AX1060" s="14" t="s">
        <v>80</v>
      </c>
      <c r="AY1060" s="214" t="s">
        <v>128</v>
      </c>
    </row>
    <row r="1061" spans="1:65" s="2" customFormat="1" ht="24.15" customHeight="1">
      <c r="A1061" s="35"/>
      <c r="B1061" s="36"/>
      <c r="C1061" s="215" t="s">
        <v>2252</v>
      </c>
      <c r="D1061" s="215" t="s">
        <v>414</v>
      </c>
      <c r="E1061" s="216" t="s">
        <v>2218</v>
      </c>
      <c r="F1061" s="217" t="s">
        <v>2219</v>
      </c>
      <c r="G1061" s="218" t="s">
        <v>133</v>
      </c>
      <c r="H1061" s="219">
        <v>65.722999999999999</v>
      </c>
      <c r="I1061" s="220"/>
      <c r="J1061" s="221">
        <f>ROUND(I1061*H1061,2)</f>
        <v>0</v>
      </c>
      <c r="K1061" s="217" t="s">
        <v>134</v>
      </c>
      <c r="L1061" s="222"/>
      <c r="M1061" s="223" t="s">
        <v>19</v>
      </c>
      <c r="N1061" s="224" t="s">
        <v>43</v>
      </c>
      <c r="O1061" s="65"/>
      <c r="P1061" s="183">
        <f>O1061*H1061</f>
        <v>0</v>
      </c>
      <c r="Q1061" s="183">
        <v>1.9199999999999998E-2</v>
      </c>
      <c r="R1061" s="183">
        <f>Q1061*H1061</f>
        <v>1.2618815999999999</v>
      </c>
      <c r="S1061" s="183">
        <v>0</v>
      </c>
      <c r="T1061" s="184">
        <f>S1061*H1061</f>
        <v>0</v>
      </c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R1061" s="185" t="s">
        <v>334</v>
      </c>
      <c r="AT1061" s="185" t="s">
        <v>414</v>
      </c>
      <c r="AU1061" s="185" t="s">
        <v>82</v>
      </c>
      <c r="AY1061" s="18" t="s">
        <v>128</v>
      </c>
      <c r="BE1061" s="186">
        <f>IF(N1061="základní",J1061,0)</f>
        <v>0</v>
      </c>
      <c r="BF1061" s="186">
        <f>IF(N1061="snížená",J1061,0)</f>
        <v>0</v>
      </c>
      <c r="BG1061" s="186">
        <f>IF(N1061="zákl. přenesená",J1061,0)</f>
        <v>0</v>
      </c>
      <c r="BH1061" s="186">
        <f>IF(N1061="sníž. přenesená",J1061,0)</f>
        <v>0</v>
      </c>
      <c r="BI1061" s="186">
        <f>IF(N1061="nulová",J1061,0)</f>
        <v>0</v>
      </c>
      <c r="BJ1061" s="18" t="s">
        <v>80</v>
      </c>
      <c r="BK1061" s="186">
        <f>ROUND(I1061*H1061,2)</f>
        <v>0</v>
      </c>
      <c r="BL1061" s="18" t="s">
        <v>230</v>
      </c>
      <c r="BM1061" s="185" t="s">
        <v>2253</v>
      </c>
    </row>
    <row r="1062" spans="1:65" s="13" customFormat="1" ht="10">
      <c r="B1062" s="192"/>
      <c r="C1062" s="193"/>
      <c r="D1062" s="194" t="s">
        <v>139</v>
      </c>
      <c r="E1062" s="193"/>
      <c r="F1062" s="196" t="s">
        <v>2254</v>
      </c>
      <c r="G1062" s="193"/>
      <c r="H1062" s="197">
        <v>65.722999999999999</v>
      </c>
      <c r="I1062" s="198"/>
      <c r="J1062" s="193"/>
      <c r="K1062" s="193"/>
      <c r="L1062" s="199"/>
      <c r="M1062" s="200"/>
      <c r="N1062" s="201"/>
      <c r="O1062" s="201"/>
      <c r="P1062" s="201"/>
      <c r="Q1062" s="201"/>
      <c r="R1062" s="201"/>
      <c r="S1062" s="201"/>
      <c r="T1062" s="202"/>
      <c r="AT1062" s="203" t="s">
        <v>139</v>
      </c>
      <c r="AU1062" s="203" t="s">
        <v>82</v>
      </c>
      <c r="AV1062" s="13" t="s">
        <v>82</v>
      </c>
      <c r="AW1062" s="13" t="s">
        <v>4</v>
      </c>
      <c r="AX1062" s="13" t="s">
        <v>80</v>
      </c>
      <c r="AY1062" s="203" t="s">
        <v>128</v>
      </c>
    </row>
    <row r="1063" spans="1:65" s="2" customFormat="1" ht="16.5" customHeight="1">
      <c r="A1063" s="35"/>
      <c r="B1063" s="36"/>
      <c r="C1063" s="174" t="s">
        <v>2255</v>
      </c>
      <c r="D1063" s="174" t="s">
        <v>130</v>
      </c>
      <c r="E1063" s="175" t="s">
        <v>2256</v>
      </c>
      <c r="F1063" s="176" t="s">
        <v>2257</v>
      </c>
      <c r="G1063" s="177" t="s">
        <v>133</v>
      </c>
      <c r="H1063" s="178">
        <v>27.314</v>
      </c>
      <c r="I1063" s="179"/>
      <c r="J1063" s="180">
        <f>ROUND(I1063*H1063,2)</f>
        <v>0</v>
      </c>
      <c r="K1063" s="176" t="s">
        <v>134</v>
      </c>
      <c r="L1063" s="40"/>
      <c r="M1063" s="181" t="s">
        <v>19</v>
      </c>
      <c r="N1063" s="182" t="s">
        <v>43</v>
      </c>
      <c r="O1063" s="65"/>
      <c r="P1063" s="183">
        <f>O1063*H1063</f>
        <v>0</v>
      </c>
      <c r="Q1063" s="183">
        <v>1.5E-3</v>
      </c>
      <c r="R1063" s="183">
        <f>Q1063*H1063</f>
        <v>4.0971E-2</v>
      </c>
      <c r="S1063" s="183">
        <v>0</v>
      </c>
      <c r="T1063" s="184">
        <f>S1063*H1063</f>
        <v>0</v>
      </c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R1063" s="185" t="s">
        <v>230</v>
      </c>
      <c r="AT1063" s="185" t="s">
        <v>130</v>
      </c>
      <c r="AU1063" s="185" t="s">
        <v>82</v>
      </c>
      <c r="AY1063" s="18" t="s">
        <v>128</v>
      </c>
      <c r="BE1063" s="186">
        <f>IF(N1063="základní",J1063,0)</f>
        <v>0</v>
      </c>
      <c r="BF1063" s="186">
        <f>IF(N1063="snížená",J1063,0)</f>
        <v>0</v>
      </c>
      <c r="BG1063" s="186">
        <f>IF(N1063="zákl. přenesená",J1063,0)</f>
        <v>0</v>
      </c>
      <c r="BH1063" s="186">
        <f>IF(N1063="sníž. přenesená",J1063,0)</f>
        <v>0</v>
      </c>
      <c r="BI1063" s="186">
        <f>IF(N1063="nulová",J1063,0)</f>
        <v>0</v>
      </c>
      <c r="BJ1063" s="18" t="s">
        <v>80</v>
      </c>
      <c r="BK1063" s="186">
        <f>ROUND(I1063*H1063,2)</f>
        <v>0</v>
      </c>
      <c r="BL1063" s="18" t="s">
        <v>230</v>
      </c>
      <c r="BM1063" s="185" t="s">
        <v>2258</v>
      </c>
    </row>
    <row r="1064" spans="1:65" s="2" customFormat="1" ht="10">
      <c r="A1064" s="35"/>
      <c r="B1064" s="36"/>
      <c r="C1064" s="37"/>
      <c r="D1064" s="187" t="s">
        <v>137</v>
      </c>
      <c r="E1064" s="37"/>
      <c r="F1064" s="188" t="s">
        <v>2259</v>
      </c>
      <c r="G1064" s="37"/>
      <c r="H1064" s="37"/>
      <c r="I1064" s="189"/>
      <c r="J1064" s="37"/>
      <c r="K1064" s="37"/>
      <c r="L1064" s="40"/>
      <c r="M1064" s="190"/>
      <c r="N1064" s="191"/>
      <c r="O1064" s="65"/>
      <c r="P1064" s="65"/>
      <c r="Q1064" s="65"/>
      <c r="R1064" s="65"/>
      <c r="S1064" s="65"/>
      <c r="T1064" s="66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T1064" s="18" t="s">
        <v>137</v>
      </c>
      <c r="AU1064" s="18" t="s">
        <v>82</v>
      </c>
    </row>
    <row r="1065" spans="1:65" s="13" customFormat="1" ht="10">
      <c r="B1065" s="192"/>
      <c r="C1065" s="193"/>
      <c r="D1065" s="194" t="s">
        <v>139</v>
      </c>
      <c r="E1065" s="195" t="s">
        <v>19</v>
      </c>
      <c r="F1065" s="196" t="s">
        <v>2184</v>
      </c>
      <c r="G1065" s="193"/>
      <c r="H1065" s="197">
        <v>22.26</v>
      </c>
      <c r="I1065" s="198"/>
      <c r="J1065" s="193"/>
      <c r="K1065" s="193"/>
      <c r="L1065" s="199"/>
      <c r="M1065" s="200"/>
      <c r="N1065" s="201"/>
      <c r="O1065" s="201"/>
      <c r="P1065" s="201"/>
      <c r="Q1065" s="201"/>
      <c r="R1065" s="201"/>
      <c r="S1065" s="201"/>
      <c r="T1065" s="202"/>
      <c r="AT1065" s="203" t="s">
        <v>139</v>
      </c>
      <c r="AU1065" s="203" t="s">
        <v>82</v>
      </c>
      <c r="AV1065" s="13" t="s">
        <v>82</v>
      </c>
      <c r="AW1065" s="13" t="s">
        <v>34</v>
      </c>
      <c r="AX1065" s="13" t="s">
        <v>72</v>
      </c>
      <c r="AY1065" s="203" t="s">
        <v>128</v>
      </c>
    </row>
    <row r="1066" spans="1:65" s="13" customFormat="1" ht="10">
      <c r="B1066" s="192"/>
      <c r="C1066" s="193"/>
      <c r="D1066" s="194" t="s">
        <v>139</v>
      </c>
      <c r="E1066" s="195" t="s">
        <v>19</v>
      </c>
      <c r="F1066" s="196" t="s">
        <v>2260</v>
      </c>
      <c r="G1066" s="193"/>
      <c r="H1066" s="197">
        <v>5.0540000000000003</v>
      </c>
      <c r="I1066" s="198"/>
      <c r="J1066" s="193"/>
      <c r="K1066" s="193"/>
      <c r="L1066" s="199"/>
      <c r="M1066" s="200"/>
      <c r="N1066" s="201"/>
      <c r="O1066" s="201"/>
      <c r="P1066" s="201"/>
      <c r="Q1066" s="201"/>
      <c r="R1066" s="201"/>
      <c r="S1066" s="201"/>
      <c r="T1066" s="202"/>
      <c r="AT1066" s="203" t="s">
        <v>139</v>
      </c>
      <c r="AU1066" s="203" t="s">
        <v>82</v>
      </c>
      <c r="AV1066" s="13" t="s">
        <v>82</v>
      </c>
      <c r="AW1066" s="13" t="s">
        <v>34</v>
      </c>
      <c r="AX1066" s="13" t="s">
        <v>72</v>
      </c>
      <c r="AY1066" s="203" t="s">
        <v>128</v>
      </c>
    </row>
    <row r="1067" spans="1:65" s="14" customFormat="1" ht="10">
      <c r="B1067" s="204"/>
      <c r="C1067" s="205"/>
      <c r="D1067" s="194" t="s">
        <v>139</v>
      </c>
      <c r="E1067" s="206" t="s">
        <v>19</v>
      </c>
      <c r="F1067" s="207" t="s">
        <v>153</v>
      </c>
      <c r="G1067" s="205"/>
      <c r="H1067" s="208">
        <v>27.314</v>
      </c>
      <c r="I1067" s="209"/>
      <c r="J1067" s="205"/>
      <c r="K1067" s="205"/>
      <c r="L1067" s="210"/>
      <c r="M1067" s="211"/>
      <c r="N1067" s="212"/>
      <c r="O1067" s="212"/>
      <c r="P1067" s="212"/>
      <c r="Q1067" s="212"/>
      <c r="R1067" s="212"/>
      <c r="S1067" s="212"/>
      <c r="T1067" s="213"/>
      <c r="AT1067" s="214" t="s">
        <v>139</v>
      </c>
      <c r="AU1067" s="214" t="s">
        <v>82</v>
      </c>
      <c r="AV1067" s="14" t="s">
        <v>135</v>
      </c>
      <c r="AW1067" s="14" t="s">
        <v>34</v>
      </c>
      <c r="AX1067" s="14" t="s">
        <v>80</v>
      </c>
      <c r="AY1067" s="214" t="s">
        <v>128</v>
      </c>
    </row>
    <row r="1068" spans="1:65" s="2" customFormat="1" ht="16.5" customHeight="1">
      <c r="A1068" s="35"/>
      <c r="B1068" s="36"/>
      <c r="C1068" s="174" t="s">
        <v>2261</v>
      </c>
      <c r="D1068" s="174" t="s">
        <v>130</v>
      </c>
      <c r="E1068" s="175" t="s">
        <v>2262</v>
      </c>
      <c r="F1068" s="176" t="s">
        <v>2263</v>
      </c>
      <c r="G1068" s="177" t="s">
        <v>258</v>
      </c>
      <c r="H1068" s="178">
        <v>236.57300000000001</v>
      </c>
      <c r="I1068" s="179"/>
      <c r="J1068" s="180">
        <f>ROUND(I1068*H1068,2)</f>
        <v>0</v>
      </c>
      <c r="K1068" s="176" t="s">
        <v>134</v>
      </c>
      <c r="L1068" s="40"/>
      <c r="M1068" s="181" t="s">
        <v>19</v>
      </c>
      <c r="N1068" s="182" t="s">
        <v>43</v>
      </c>
      <c r="O1068" s="65"/>
      <c r="P1068" s="183">
        <f>O1068*H1068</f>
        <v>0</v>
      </c>
      <c r="Q1068" s="183">
        <v>3.0000000000000001E-5</v>
      </c>
      <c r="R1068" s="183">
        <f>Q1068*H1068</f>
        <v>7.0971900000000006E-3</v>
      </c>
      <c r="S1068" s="183">
        <v>0</v>
      </c>
      <c r="T1068" s="184">
        <f>S1068*H1068</f>
        <v>0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185" t="s">
        <v>230</v>
      </c>
      <c r="AT1068" s="185" t="s">
        <v>130</v>
      </c>
      <c r="AU1068" s="185" t="s">
        <v>82</v>
      </c>
      <c r="AY1068" s="18" t="s">
        <v>128</v>
      </c>
      <c r="BE1068" s="186">
        <f>IF(N1068="základní",J1068,0)</f>
        <v>0</v>
      </c>
      <c r="BF1068" s="186">
        <f>IF(N1068="snížená",J1068,0)</f>
        <v>0</v>
      </c>
      <c r="BG1068" s="186">
        <f>IF(N1068="zákl. přenesená",J1068,0)</f>
        <v>0</v>
      </c>
      <c r="BH1068" s="186">
        <f>IF(N1068="sníž. přenesená",J1068,0)</f>
        <v>0</v>
      </c>
      <c r="BI1068" s="186">
        <f>IF(N1068="nulová",J1068,0)</f>
        <v>0</v>
      </c>
      <c r="BJ1068" s="18" t="s">
        <v>80</v>
      </c>
      <c r="BK1068" s="186">
        <f>ROUND(I1068*H1068,2)</f>
        <v>0</v>
      </c>
      <c r="BL1068" s="18" t="s">
        <v>230</v>
      </c>
      <c r="BM1068" s="185" t="s">
        <v>2264</v>
      </c>
    </row>
    <row r="1069" spans="1:65" s="2" customFormat="1" ht="10">
      <c r="A1069" s="35"/>
      <c r="B1069" s="36"/>
      <c r="C1069" s="37"/>
      <c r="D1069" s="187" t="s">
        <v>137</v>
      </c>
      <c r="E1069" s="37"/>
      <c r="F1069" s="188" t="s">
        <v>2265</v>
      </c>
      <c r="G1069" s="37"/>
      <c r="H1069" s="37"/>
      <c r="I1069" s="189"/>
      <c r="J1069" s="37"/>
      <c r="K1069" s="37"/>
      <c r="L1069" s="40"/>
      <c r="M1069" s="190"/>
      <c r="N1069" s="191"/>
      <c r="O1069" s="65"/>
      <c r="P1069" s="65"/>
      <c r="Q1069" s="65"/>
      <c r="R1069" s="65"/>
      <c r="S1069" s="65"/>
      <c r="T1069" s="66"/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T1069" s="18" t="s">
        <v>137</v>
      </c>
      <c r="AU1069" s="18" t="s">
        <v>82</v>
      </c>
    </row>
    <row r="1070" spans="1:65" s="13" customFormat="1" ht="10">
      <c r="B1070" s="192"/>
      <c r="C1070" s="193"/>
      <c r="D1070" s="194" t="s">
        <v>139</v>
      </c>
      <c r="E1070" s="195" t="s">
        <v>19</v>
      </c>
      <c r="F1070" s="196" t="s">
        <v>2266</v>
      </c>
      <c r="G1070" s="193"/>
      <c r="H1070" s="197">
        <v>17.216000000000001</v>
      </c>
      <c r="I1070" s="198"/>
      <c r="J1070" s="193"/>
      <c r="K1070" s="193"/>
      <c r="L1070" s="199"/>
      <c r="M1070" s="200"/>
      <c r="N1070" s="201"/>
      <c r="O1070" s="201"/>
      <c r="P1070" s="201"/>
      <c r="Q1070" s="201"/>
      <c r="R1070" s="201"/>
      <c r="S1070" s="201"/>
      <c r="T1070" s="202"/>
      <c r="AT1070" s="203" t="s">
        <v>139</v>
      </c>
      <c r="AU1070" s="203" t="s">
        <v>82</v>
      </c>
      <c r="AV1070" s="13" t="s">
        <v>82</v>
      </c>
      <c r="AW1070" s="13" t="s">
        <v>34</v>
      </c>
      <c r="AX1070" s="13" t="s">
        <v>72</v>
      </c>
      <c r="AY1070" s="203" t="s">
        <v>128</v>
      </c>
    </row>
    <row r="1071" spans="1:65" s="13" customFormat="1" ht="10">
      <c r="B1071" s="192"/>
      <c r="C1071" s="193"/>
      <c r="D1071" s="194" t="s">
        <v>139</v>
      </c>
      <c r="E1071" s="195" t="s">
        <v>19</v>
      </c>
      <c r="F1071" s="196" t="s">
        <v>2267</v>
      </c>
      <c r="G1071" s="193"/>
      <c r="H1071" s="197">
        <v>100.1</v>
      </c>
      <c r="I1071" s="198"/>
      <c r="J1071" s="193"/>
      <c r="K1071" s="193"/>
      <c r="L1071" s="199"/>
      <c r="M1071" s="200"/>
      <c r="N1071" s="201"/>
      <c r="O1071" s="201"/>
      <c r="P1071" s="201"/>
      <c r="Q1071" s="201"/>
      <c r="R1071" s="201"/>
      <c r="S1071" s="201"/>
      <c r="T1071" s="202"/>
      <c r="AT1071" s="203" t="s">
        <v>139</v>
      </c>
      <c r="AU1071" s="203" t="s">
        <v>82</v>
      </c>
      <c r="AV1071" s="13" t="s">
        <v>82</v>
      </c>
      <c r="AW1071" s="13" t="s">
        <v>34</v>
      </c>
      <c r="AX1071" s="13" t="s">
        <v>72</v>
      </c>
      <c r="AY1071" s="203" t="s">
        <v>128</v>
      </c>
    </row>
    <row r="1072" spans="1:65" s="13" customFormat="1" ht="10">
      <c r="B1072" s="192"/>
      <c r="C1072" s="193"/>
      <c r="D1072" s="194" t="s">
        <v>139</v>
      </c>
      <c r="E1072" s="195" t="s">
        <v>19</v>
      </c>
      <c r="F1072" s="196" t="s">
        <v>2268</v>
      </c>
      <c r="G1072" s="193"/>
      <c r="H1072" s="197">
        <v>44.737000000000002</v>
      </c>
      <c r="I1072" s="198"/>
      <c r="J1072" s="193"/>
      <c r="K1072" s="193"/>
      <c r="L1072" s="199"/>
      <c r="M1072" s="200"/>
      <c r="N1072" s="201"/>
      <c r="O1072" s="201"/>
      <c r="P1072" s="201"/>
      <c r="Q1072" s="201"/>
      <c r="R1072" s="201"/>
      <c r="S1072" s="201"/>
      <c r="T1072" s="202"/>
      <c r="AT1072" s="203" t="s">
        <v>139</v>
      </c>
      <c r="AU1072" s="203" t="s">
        <v>82</v>
      </c>
      <c r="AV1072" s="13" t="s">
        <v>82</v>
      </c>
      <c r="AW1072" s="13" t="s">
        <v>34</v>
      </c>
      <c r="AX1072" s="13" t="s">
        <v>72</v>
      </c>
      <c r="AY1072" s="203" t="s">
        <v>128</v>
      </c>
    </row>
    <row r="1073" spans="1:65" s="13" customFormat="1" ht="10">
      <c r="B1073" s="192"/>
      <c r="C1073" s="193"/>
      <c r="D1073" s="194" t="s">
        <v>139</v>
      </c>
      <c r="E1073" s="195" t="s">
        <v>19</v>
      </c>
      <c r="F1073" s="196" t="s">
        <v>2269</v>
      </c>
      <c r="G1073" s="193"/>
      <c r="H1073" s="197">
        <v>32.4</v>
      </c>
      <c r="I1073" s="198"/>
      <c r="J1073" s="193"/>
      <c r="K1073" s="193"/>
      <c r="L1073" s="199"/>
      <c r="M1073" s="200"/>
      <c r="N1073" s="201"/>
      <c r="O1073" s="201"/>
      <c r="P1073" s="201"/>
      <c r="Q1073" s="201"/>
      <c r="R1073" s="201"/>
      <c r="S1073" s="201"/>
      <c r="T1073" s="202"/>
      <c r="AT1073" s="203" t="s">
        <v>139</v>
      </c>
      <c r="AU1073" s="203" t="s">
        <v>82</v>
      </c>
      <c r="AV1073" s="13" t="s">
        <v>82</v>
      </c>
      <c r="AW1073" s="13" t="s">
        <v>34</v>
      </c>
      <c r="AX1073" s="13" t="s">
        <v>72</v>
      </c>
      <c r="AY1073" s="203" t="s">
        <v>128</v>
      </c>
    </row>
    <row r="1074" spans="1:65" s="13" customFormat="1" ht="10">
      <c r="B1074" s="192"/>
      <c r="C1074" s="193"/>
      <c r="D1074" s="194" t="s">
        <v>139</v>
      </c>
      <c r="E1074" s="195" t="s">
        <v>19</v>
      </c>
      <c r="F1074" s="196" t="s">
        <v>2270</v>
      </c>
      <c r="G1074" s="193"/>
      <c r="H1074" s="197">
        <v>42.12</v>
      </c>
      <c r="I1074" s="198"/>
      <c r="J1074" s="193"/>
      <c r="K1074" s="193"/>
      <c r="L1074" s="199"/>
      <c r="M1074" s="200"/>
      <c r="N1074" s="201"/>
      <c r="O1074" s="201"/>
      <c r="P1074" s="201"/>
      <c r="Q1074" s="201"/>
      <c r="R1074" s="201"/>
      <c r="S1074" s="201"/>
      <c r="T1074" s="202"/>
      <c r="AT1074" s="203" t="s">
        <v>139</v>
      </c>
      <c r="AU1074" s="203" t="s">
        <v>82</v>
      </c>
      <c r="AV1074" s="13" t="s">
        <v>82</v>
      </c>
      <c r="AW1074" s="13" t="s">
        <v>34</v>
      </c>
      <c r="AX1074" s="13" t="s">
        <v>72</v>
      </c>
      <c r="AY1074" s="203" t="s">
        <v>128</v>
      </c>
    </row>
    <row r="1075" spans="1:65" s="14" customFormat="1" ht="10">
      <c r="B1075" s="204"/>
      <c r="C1075" s="205"/>
      <c r="D1075" s="194" t="s">
        <v>139</v>
      </c>
      <c r="E1075" s="206" t="s">
        <v>19</v>
      </c>
      <c r="F1075" s="207" t="s">
        <v>153</v>
      </c>
      <c r="G1075" s="205"/>
      <c r="H1075" s="208">
        <v>236.57300000000001</v>
      </c>
      <c r="I1075" s="209"/>
      <c r="J1075" s="205"/>
      <c r="K1075" s="205"/>
      <c r="L1075" s="210"/>
      <c r="M1075" s="211"/>
      <c r="N1075" s="212"/>
      <c r="O1075" s="212"/>
      <c r="P1075" s="212"/>
      <c r="Q1075" s="212"/>
      <c r="R1075" s="212"/>
      <c r="S1075" s="212"/>
      <c r="T1075" s="213"/>
      <c r="AT1075" s="214" t="s">
        <v>139</v>
      </c>
      <c r="AU1075" s="214" t="s">
        <v>82</v>
      </c>
      <c r="AV1075" s="14" t="s">
        <v>135</v>
      </c>
      <c r="AW1075" s="14" t="s">
        <v>34</v>
      </c>
      <c r="AX1075" s="14" t="s">
        <v>80</v>
      </c>
      <c r="AY1075" s="214" t="s">
        <v>128</v>
      </c>
    </row>
    <row r="1076" spans="1:65" s="2" customFormat="1" ht="16.5" customHeight="1">
      <c r="A1076" s="35"/>
      <c r="B1076" s="36"/>
      <c r="C1076" s="174" t="s">
        <v>2271</v>
      </c>
      <c r="D1076" s="174" t="s">
        <v>130</v>
      </c>
      <c r="E1076" s="175" t="s">
        <v>2272</v>
      </c>
      <c r="F1076" s="176" t="s">
        <v>2273</v>
      </c>
      <c r="G1076" s="177" t="s">
        <v>258</v>
      </c>
      <c r="H1076" s="178">
        <v>94.352999999999994</v>
      </c>
      <c r="I1076" s="179"/>
      <c r="J1076" s="180">
        <f>ROUND(I1076*H1076,2)</f>
        <v>0</v>
      </c>
      <c r="K1076" s="176" t="s">
        <v>134</v>
      </c>
      <c r="L1076" s="40"/>
      <c r="M1076" s="181" t="s">
        <v>19</v>
      </c>
      <c r="N1076" s="182" t="s">
        <v>43</v>
      </c>
      <c r="O1076" s="65"/>
      <c r="P1076" s="183">
        <f>O1076*H1076</f>
        <v>0</v>
      </c>
      <c r="Q1076" s="183">
        <v>1.2E-4</v>
      </c>
      <c r="R1076" s="183">
        <f>Q1076*H1076</f>
        <v>1.132236E-2</v>
      </c>
      <c r="S1076" s="183">
        <v>0</v>
      </c>
      <c r="T1076" s="184">
        <f>S1076*H1076</f>
        <v>0</v>
      </c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R1076" s="185" t="s">
        <v>230</v>
      </c>
      <c r="AT1076" s="185" t="s">
        <v>130</v>
      </c>
      <c r="AU1076" s="185" t="s">
        <v>82</v>
      </c>
      <c r="AY1076" s="18" t="s">
        <v>128</v>
      </c>
      <c r="BE1076" s="186">
        <f>IF(N1076="základní",J1076,0)</f>
        <v>0</v>
      </c>
      <c r="BF1076" s="186">
        <f>IF(N1076="snížená",J1076,0)</f>
        <v>0</v>
      </c>
      <c r="BG1076" s="186">
        <f>IF(N1076="zákl. přenesená",J1076,0)</f>
        <v>0</v>
      </c>
      <c r="BH1076" s="186">
        <f>IF(N1076="sníž. přenesená",J1076,0)</f>
        <v>0</v>
      </c>
      <c r="BI1076" s="186">
        <f>IF(N1076="nulová",J1076,0)</f>
        <v>0</v>
      </c>
      <c r="BJ1076" s="18" t="s">
        <v>80</v>
      </c>
      <c r="BK1076" s="186">
        <f>ROUND(I1076*H1076,2)</f>
        <v>0</v>
      </c>
      <c r="BL1076" s="18" t="s">
        <v>230</v>
      </c>
      <c r="BM1076" s="185" t="s">
        <v>2274</v>
      </c>
    </row>
    <row r="1077" spans="1:65" s="2" customFormat="1" ht="10">
      <c r="A1077" s="35"/>
      <c r="B1077" s="36"/>
      <c r="C1077" s="37"/>
      <c r="D1077" s="187" t="s">
        <v>137</v>
      </c>
      <c r="E1077" s="37"/>
      <c r="F1077" s="188" t="s">
        <v>2275</v>
      </c>
      <c r="G1077" s="37"/>
      <c r="H1077" s="37"/>
      <c r="I1077" s="189"/>
      <c r="J1077" s="37"/>
      <c r="K1077" s="37"/>
      <c r="L1077" s="40"/>
      <c r="M1077" s="190"/>
      <c r="N1077" s="191"/>
      <c r="O1077" s="65"/>
      <c r="P1077" s="65"/>
      <c r="Q1077" s="65"/>
      <c r="R1077" s="65"/>
      <c r="S1077" s="65"/>
      <c r="T1077" s="66"/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T1077" s="18" t="s">
        <v>137</v>
      </c>
      <c r="AU1077" s="18" t="s">
        <v>82</v>
      </c>
    </row>
    <row r="1078" spans="1:65" s="13" customFormat="1" ht="10">
      <c r="B1078" s="192"/>
      <c r="C1078" s="193"/>
      <c r="D1078" s="194" t="s">
        <v>139</v>
      </c>
      <c r="E1078" s="195" t="s">
        <v>19</v>
      </c>
      <c r="F1078" s="196" t="s">
        <v>2276</v>
      </c>
      <c r="G1078" s="193"/>
      <c r="H1078" s="197">
        <v>17.216000000000001</v>
      </c>
      <c r="I1078" s="198"/>
      <c r="J1078" s="193"/>
      <c r="K1078" s="193"/>
      <c r="L1078" s="199"/>
      <c r="M1078" s="200"/>
      <c r="N1078" s="201"/>
      <c r="O1078" s="201"/>
      <c r="P1078" s="201"/>
      <c r="Q1078" s="201"/>
      <c r="R1078" s="201"/>
      <c r="S1078" s="201"/>
      <c r="T1078" s="202"/>
      <c r="AT1078" s="203" t="s">
        <v>139</v>
      </c>
      <c r="AU1078" s="203" t="s">
        <v>82</v>
      </c>
      <c r="AV1078" s="13" t="s">
        <v>82</v>
      </c>
      <c r="AW1078" s="13" t="s">
        <v>34</v>
      </c>
      <c r="AX1078" s="13" t="s">
        <v>72</v>
      </c>
      <c r="AY1078" s="203" t="s">
        <v>128</v>
      </c>
    </row>
    <row r="1079" spans="1:65" s="13" customFormat="1" ht="10">
      <c r="B1079" s="192"/>
      <c r="C1079" s="193"/>
      <c r="D1079" s="194" t="s">
        <v>139</v>
      </c>
      <c r="E1079" s="195" t="s">
        <v>19</v>
      </c>
      <c r="F1079" s="196" t="s">
        <v>2277</v>
      </c>
      <c r="G1079" s="193"/>
      <c r="H1079" s="197">
        <v>44.737000000000002</v>
      </c>
      <c r="I1079" s="198"/>
      <c r="J1079" s="193"/>
      <c r="K1079" s="193"/>
      <c r="L1079" s="199"/>
      <c r="M1079" s="200"/>
      <c r="N1079" s="201"/>
      <c r="O1079" s="201"/>
      <c r="P1079" s="201"/>
      <c r="Q1079" s="201"/>
      <c r="R1079" s="201"/>
      <c r="S1079" s="201"/>
      <c r="T1079" s="202"/>
      <c r="AT1079" s="203" t="s">
        <v>139</v>
      </c>
      <c r="AU1079" s="203" t="s">
        <v>82</v>
      </c>
      <c r="AV1079" s="13" t="s">
        <v>82</v>
      </c>
      <c r="AW1079" s="13" t="s">
        <v>34</v>
      </c>
      <c r="AX1079" s="13" t="s">
        <v>72</v>
      </c>
      <c r="AY1079" s="203" t="s">
        <v>128</v>
      </c>
    </row>
    <row r="1080" spans="1:65" s="13" customFormat="1" ht="10">
      <c r="B1080" s="192"/>
      <c r="C1080" s="193"/>
      <c r="D1080" s="194" t="s">
        <v>139</v>
      </c>
      <c r="E1080" s="195" t="s">
        <v>19</v>
      </c>
      <c r="F1080" s="196" t="s">
        <v>2278</v>
      </c>
      <c r="G1080" s="193"/>
      <c r="H1080" s="197">
        <v>32.4</v>
      </c>
      <c r="I1080" s="198"/>
      <c r="J1080" s="193"/>
      <c r="K1080" s="193"/>
      <c r="L1080" s="199"/>
      <c r="M1080" s="200"/>
      <c r="N1080" s="201"/>
      <c r="O1080" s="201"/>
      <c r="P1080" s="201"/>
      <c r="Q1080" s="201"/>
      <c r="R1080" s="201"/>
      <c r="S1080" s="201"/>
      <c r="T1080" s="202"/>
      <c r="AT1080" s="203" t="s">
        <v>139</v>
      </c>
      <c r="AU1080" s="203" t="s">
        <v>82</v>
      </c>
      <c r="AV1080" s="13" t="s">
        <v>82</v>
      </c>
      <c r="AW1080" s="13" t="s">
        <v>34</v>
      </c>
      <c r="AX1080" s="13" t="s">
        <v>72</v>
      </c>
      <c r="AY1080" s="203" t="s">
        <v>128</v>
      </c>
    </row>
    <row r="1081" spans="1:65" s="14" customFormat="1" ht="10">
      <c r="B1081" s="204"/>
      <c r="C1081" s="205"/>
      <c r="D1081" s="194" t="s">
        <v>139</v>
      </c>
      <c r="E1081" s="206" t="s">
        <v>19</v>
      </c>
      <c r="F1081" s="207" t="s">
        <v>153</v>
      </c>
      <c r="G1081" s="205"/>
      <c r="H1081" s="208">
        <v>94.353000000000009</v>
      </c>
      <c r="I1081" s="209"/>
      <c r="J1081" s="205"/>
      <c r="K1081" s="205"/>
      <c r="L1081" s="210"/>
      <c r="M1081" s="211"/>
      <c r="N1081" s="212"/>
      <c r="O1081" s="212"/>
      <c r="P1081" s="212"/>
      <c r="Q1081" s="212"/>
      <c r="R1081" s="212"/>
      <c r="S1081" s="212"/>
      <c r="T1081" s="213"/>
      <c r="AT1081" s="214" t="s">
        <v>139</v>
      </c>
      <c r="AU1081" s="214" t="s">
        <v>82</v>
      </c>
      <c r="AV1081" s="14" t="s">
        <v>135</v>
      </c>
      <c r="AW1081" s="14" t="s">
        <v>34</v>
      </c>
      <c r="AX1081" s="14" t="s">
        <v>80</v>
      </c>
      <c r="AY1081" s="214" t="s">
        <v>128</v>
      </c>
    </row>
    <row r="1082" spans="1:65" s="2" customFormat="1" ht="16.5" customHeight="1">
      <c r="A1082" s="35"/>
      <c r="B1082" s="36"/>
      <c r="C1082" s="174" t="s">
        <v>2279</v>
      </c>
      <c r="D1082" s="174" t="s">
        <v>130</v>
      </c>
      <c r="E1082" s="175" t="s">
        <v>2280</v>
      </c>
      <c r="F1082" s="176" t="s">
        <v>2281</v>
      </c>
      <c r="G1082" s="177" t="s">
        <v>305</v>
      </c>
      <c r="H1082" s="178">
        <v>30</v>
      </c>
      <c r="I1082" s="179"/>
      <c r="J1082" s="180">
        <f>ROUND(I1082*H1082,2)</f>
        <v>0</v>
      </c>
      <c r="K1082" s="176" t="s">
        <v>134</v>
      </c>
      <c r="L1082" s="40"/>
      <c r="M1082" s="181" t="s">
        <v>19</v>
      </c>
      <c r="N1082" s="182" t="s">
        <v>43</v>
      </c>
      <c r="O1082" s="65"/>
      <c r="P1082" s="183">
        <f>O1082*H1082</f>
        <v>0</v>
      </c>
      <c r="Q1082" s="183">
        <v>2.1000000000000001E-4</v>
      </c>
      <c r="R1082" s="183">
        <f>Q1082*H1082</f>
        <v>6.3E-3</v>
      </c>
      <c r="S1082" s="183">
        <v>0</v>
      </c>
      <c r="T1082" s="184">
        <f>S1082*H1082</f>
        <v>0</v>
      </c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R1082" s="185" t="s">
        <v>230</v>
      </c>
      <c r="AT1082" s="185" t="s">
        <v>130</v>
      </c>
      <c r="AU1082" s="185" t="s">
        <v>82</v>
      </c>
      <c r="AY1082" s="18" t="s">
        <v>128</v>
      </c>
      <c r="BE1082" s="186">
        <f>IF(N1082="základní",J1082,0)</f>
        <v>0</v>
      </c>
      <c r="BF1082" s="186">
        <f>IF(N1082="snížená",J1082,0)</f>
        <v>0</v>
      </c>
      <c r="BG1082" s="186">
        <f>IF(N1082="zákl. přenesená",J1082,0)</f>
        <v>0</v>
      </c>
      <c r="BH1082" s="186">
        <f>IF(N1082="sníž. přenesená",J1082,0)</f>
        <v>0</v>
      </c>
      <c r="BI1082" s="186">
        <f>IF(N1082="nulová",J1082,0)</f>
        <v>0</v>
      </c>
      <c r="BJ1082" s="18" t="s">
        <v>80</v>
      </c>
      <c r="BK1082" s="186">
        <f>ROUND(I1082*H1082,2)</f>
        <v>0</v>
      </c>
      <c r="BL1082" s="18" t="s">
        <v>230</v>
      </c>
      <c r="BM1082" s="185" t="s">
        <v>2282</v>
      </c>
    </row>
    <row r="1083" spans="1:65" s="2" customFormat="1" ht="10">
      <c r="A1083" s="35"/>
      <c r="B1083" s="36"/>
      <c r="C1083" s="37"/>
      <c r="D1083" s="187" t="s">
        <v>137</v>
      </c>
      <c r="E1083" s="37"/>
      <c r="F1083" s="188" t="s">
        <v>2283</v>
      </c>
      <c r="G1083" s="37"/>
      <c r="H1083" s="37"/>
      <c r="I1083" s="189"/>
      <c r="J1083" s="37"/>
      <c r="K1083" s="37"/>
      <c r="L1083" s="40"/>
      <c r="M1083" s="190"/>
      <c r="N1083" s="191"/>
      <c r="O1083" s="65"/>
      <c r="P1083" s="65"/>
      <c r="Q1083" s="65"/>
      <c r="R1083" s="65"/>
      <c r="S1083" s="65"/>
      <c r="T1083" s="66"/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T1083" s="18" t="s">
        <v>137</v>
      </c>
      <c r="AU1083" s="18" t="s">
        <v>82</v>
      </c>
    </row>
    <row r="1084" spans="1:65" s="13" customFormat="1" ht="10">
      <c r="B1084" s="192"/>
      <c r="C1084" s="193"/>
      <c r="D1084" s="194" t="s">
        <v>139</v>
      </c>
      <c r="E1084" s="195" t="s">
        <v>19</v>
      </c>
      <c r="F1084" s="196" t="s">
        <v>2284</v>
      </c>
      <c r="G1084" s="193"/>
      <c r="H1084" s="197">
        <v>30</v>
      </c>
      <c r="I1084" s="198"/>
      <c r="J1084" s="193"/>
      <c r="K1084" s="193"/>
      <c r="L1084" s="199"/>
      <c r="M1084" s="200"/>
      <c r="N1084" s="201"/>
      <c r="O1084" s="201"/>
      <c r="P1084" s="201"/>
      <c r="Q1084" s="201"/>
      <c r="R1084" s="201"/>
      <c r="S1084" s="201"/>
      <c r="T1084" s="202"/>
      <c r="AT1084" s="203" t="s">
        <v>139</v>
      </c>
      <c r="AU1084" s="203" t="s">
        <v>82</v>
      </c>
      <c r="AV1084" s="13" t="s">
        <v>82</v>
      </c>
      <c r="AW1084" s="13" t="s">
        <v>34</v>
      </c>
      <c r="AX1084" s="13" t="s">
        <v>80</v>
      </c>
      <c r="AY1084" s="203" t="s">
        <v>128</v>
      </c>
    </row>
    <row r="1085" spans="1:65" s="2" customFormat="1" ht="16.5" customHeight="1">
      <c r="A1085" s="35"/>
      <c r="B1085" s="36"/>
      <c r="C1085" s="174" t="s">
        <v>2285</v>
      </c>
      <c r="D1085" s="174" t="s">
        <v>130</v>
      </c>
      <c r="E1085" s="175" t="s">
        <v>2286</v>
      </c>
      <c r="F1085" s="176" t="s">
        <v>2287</v>
      </c>
      <c r="G1085" s="177" t="s">
        <v>305</v>
      </c>
      <c r="H1085" s="178">
        <v>2</v>
      </c>
      <c r="I1085" s="179"/>
      <c r="J1085" s="180">
        <f>ROUND(I1085*H1085,2)</f>
        <v>0</v>
      </c>
      <c r="K1085" s="176" t="s">
        <v>134</v>
      </c>
      <c r="L1085" s="40"/>
      <c r="M1085" s="181" t="s">
        <v>19</v>
      </c>
      <c r="N1085" s="182" t="s">
        <v>43</v>
      </c>
      <c r="O1085" s="65"/>
      <c r="P1085" s="183">
        <f>O1085*H1085</f>
        <v>0</v>
      </c>
      <c r="Q1085" s="183">
        <v>2.0000000000000001E-4</v>
      </c>
      <c r="R1085" s="183">
        <f>Q1085*H1085</f>
        <v>4.0000000000000002E-4</v>
      </c>
      <c r="S1085" s="183">
        <v>0</v>
      </c>
      <c r="T1085" s="184">
        <f>S1085*H1085</f>
        <v>0</v>
      </c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R1085" s="185" t="s">
        <v>230</v>
      </c>
      <c r="AT1085" s="185" t="s">
        <v>130</v>
      </c>
      <c r="AU1085" s="185" t="s">
        <v>82</v>
      </c>
      <c r="AY1085" s="18" t="s">
        <v>128</v>
      </c>
      <c r="BE1085" s="186">
        <f>IF(N1085="základní",J1085,0)</f>
        <v>0</v>
      </c>
      <c r="BF1085" s="186">
        <f>IF(N1085="snížená",J1085,0)</f>
        <v>0</v>
      </c>
      <c r="BG1085" s="186">
        <f>IF(N1085="zákl. přenesená",J1085,0)</f>
        <v>0</v>
      </c>
      <c r="BH1085" s="186">
        <f>IF(N1085="sníž. přenesená",J1085,0)</f>
        <v>0</v>
      </c>
      <c r="BI1085" s="186">
        <f>IF(N1085="nulová",J1085,0)</f>
        <v>0</v>
      </c>
      <c r="BJ1085" s="18" t="s">
        <v>80</v>
      </c>
      <c r="BK1085" s="186">
        <f>ROUND(I1085*H1085,2)</f>
        <v>0</v>
      </c>
      <c r="BL1085" s="18" t="s">
        <v>230</v>
      </c>
      <c r="BM1085" s="185" t="s">
        <v>2288</v>
      </c>
    </row>
    <row r="1086" spans="1:65" s="2" customFormat="1" ht="10">
      <c r="A1086" s="35"/>
      <c r="B1086" s="36"/>
      <c r="C1086" s="37"/>
      <c r="D1086" s="187" t="s">
        <v>137</v>
      </c>
      <c r="E1086" s="37"/>
      <c r="F1086" s="188" t="s">
        <v>2289</v>
      </c>
      <c r="G1086" s="37"/>
      <c r="H1086" s="37"/>
      <c r="I1086" s="189"/>
      <c r="J1086" s="37"/>
      <c r="K1086" s="37"/>
      <c r="L1086" s="40"/>
      <c r="M1086" s="190"/>
      <c r="N1086" s="191"/>
      <c r="O1086" s="65"/>
      <c r="P1086" s="65"/>
      <c r="Q1086" s="65"/>
      <c r="R1086" s="65"/>
      <c r="S1086" s="65"/>
      <c r="T1086" s="66"/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T1086" s="18" t="s">
        <v>137</v>
      </c>
      <c r="AU1086" s="18" t="s">
        <v>82</v>
      </c>
    </row>
    <row r="1087" spans="1:65" s="13" customFormat="1" ht="10">
      <c r="B1087" s="192"/>
      <c r="C1087" s="193"/>
      <c r="D1087" s="194" t="s">
        <v>139</v>
      </c>
      <c r="E1087" s="195" t="s">
        <v>19</v>
      </c>
      <c r="F1087" s="196" t="s">
        <v>2290</v>
      </c>
      <c r="G1087" s="193"/>
      <c r="H1087" s="197">
        <v>2</v>
      </c>
      <c r="I1087" s="198"/>
      <c r="J1087" s="193"/>
      <c r="K1087" s="193"/>
      <c r="L1087" s="199"/>
      <c r="M1087" s="200"/>
      <c r="N1087" s="201"/>
      <c r="O1087" s="201"/>
      <c r="P1087" s="201"/>
      <c r="Q1087" s="201"/>
      <c r="R1087" s="201"/>
      <c r="S1087" s="201"/>
      <c r="T1087" s="202"/>
      <c r="AT1087" s="203" t="s">
        <v>139</v>
      </c>
      <c r="AU1087" s="203" t="s">
        <v>82</v>
      </c>
      <c r="AV1087" s="13" t="s">
        <v>82</v>
      </c>
      <c r="AW1087" s="13" t="s">
        <v>34</v>
      </c>
      <c r="AX1087" s="13" t="s">
        <v>80</v>
      </c>
      <c r="AY1087" s="203" t="s">
        <v>128</v>
      </c>
    </row>
    <row r="1088" spans="1:65" s="2" customFormat="1" ht="16.5" customHeight="1">
      <c r="A1088" s="35"/>
      <c r="B1088" s="36"/>
      <c r="C1088" s="174" t="s">
        <v>2291</v>
      </c>
      <c r="D1088" s="174" t="s">
        <v>130</v>
      </c>
      <c r="E1088" s="175" t="s">
        <v>2292</v>
      </c>
      <c r="F1088" s="176" t="s">
        <v>2293</v>
      </c>
      <c r="G1088" s="177" t="s">
        <v>258</v>
      </c>
      <c r="H1088" s="178">
        <v>42.12</v>
      </c>
      <c r="I1088" s="179"/>
      <c r="J1088" s="180">
        <f>ROUND(I1088*H1088,2)</f>
        <v>0</v>
      </c>
      <c r="K1088" s="176" t="s">
        <v>134</v>
      </c>
      <c r="L1088" s="40"/>
      <c r="M1088" s="181" t="s">
        <v>19</v>
      </c>
      <c r="N1088" s="182" t="s">
        <v>43</v>
      </c>
      <c r="O1088" s="65"/>
      <c r="P1088" s="183">
        <f>O1088*H1088</f>
        <v>0</v>
      </c>
      <c r="Q1088" s="183">
        <v>3.2000000000000003E-4</v>
      </c>
      <c r="R1088" s="183">
        <f>Q1088*H1088</f>
        <v>1.34784E-2</v>
      </c>
      <c r="S1088" s="183">
        <v>0</v>
      </c>
      <c r="T1088" s="184">
        <f>S1088*H1088</f>
        <v>0</v>
      </c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R1088" s="185" t="s">
        <v>230</v>
      </c>
      <c r="AT1088" s="185" t="s">
        <v>130</v>
      </c>
      <c r="AU1088" s="185" t="s">
        <v>82</v>
      </c>
      <c r="AY1088" s="18" t="s">
        <v>128</v>
      </c>
      <c r="BE1088" s="186">
        <f>IF(N1088="základní",J1088,0)</f>
        <v>0</v>
      </c>
      <c r="BF1088" s="186">
        <f>IF(N1088="snížená",J1088,0)</f>
        <v>0</v>
      </c>
      <c r="BG1088" s="186">
        <f>IF(N1088="zákl. přenesená",J1088,0)</f>
        <v>0</v>
      </c>
      <c r="BH1088" s="186">
        <f>IF(N1088="sníž. přenesená",J1088,0)</f>
        <v>0</v>
      </c>
      <c r="BI1088" s="186">
        <f>IF(N1088="nulová",J1088,0)</f>
        <v>0</v>
      </c>
      <c r="BJ1088" s="18" t="s">
        <v>80</v>
      </c>
      <c r="BK1088" s="186">
        <f>ROUND(I1088*H1088,2)</f>
        <v>0</v>
      </c>
      <c r="BL1088" s="18" t="s">
        <v>230</v>
      </c>
      <c r="BM1088" s="185" t="s">
        <v>2294</v>
      </c>
    </row>
    <row r="1089" spans="1:65" s="2" customFormat="1" ht="10">
      <c r="A1089" s="35"/>
      <c r="B1089" s="36"/>
      <c r="C1089" s="37"/>
      <c r="D1089" s="187" t="s">
        <v>137</v>
      </c>
      <c r="E1089" s="37"/>
      <c r="F1089" s="188" t="s">
        <v>2295</v>
      </c>
      <c r="G1089" s="37"/>
      <c r="H1089" s="37"/>
      <c r="I1089" s="189"/>
      <c r="J1089" s="37"/>
      <c r="K1089" s="37"/>
      <c r="L1089" s="40"/>
      <c r="M1089" s="190"/>
      <c r="N1089" s="191"/>
      <c r="O1089" s="65"/>
      <c r="P1089" s="65"/>
      <c r="Q1089" s="65"/>
      <c r="R1089" s="65"/>
      <c r="S1089" s="65"/>
      <c r="T1089" s="66"/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T1089" s="18" t="s">
        <v>137</v>
      </c>
      <c r="AU1089" s="18" t="s">
        <v>82</v>
      </c>
    </row>
    <row r="1090" spans="1:65" s="13" customFormat="1" ht="10">
      <c r="B1090" s="192"/>
      <c r="C1090" s="193"/>
      <c r="D1090" s="194" t="s">
        <v>139</v>
      </c>
      <c r="E1090" s="195" t="s">
        <v>19</v>
      </c>
      <c r="F1090" s="196" t="s">
        <v>2296</v>
      </c>
      <c r="G1090" s="193"/>
      <c r="H1090" s="197">
        <v>42.12</v>
      </c>
      <c r="I1090" s="198"/>
      <c r="J1090" s="193"/>
      <c r="K1090" s="193"/>
      <c r="L1090" s="199"/>
      <c r="M1090" s="200"/>
      <c r="N1090" s="201"/>
      <c r="O1090" s="201"/>
      <c r="P1090" s="201"/>
      <c r="Q1090" s="201"/>
      <c r="R1090" s="201"/>
      <c r="S1090" s="201"/>
      <c r="T1090" s="202"/>
      <c r="AT1090" s="203" t="s">
        <v>139</v>
      </c>
      <c r="AU1090" s="203" t="s">
        <v>82</v>
      </c>
      <c r="AV1090" s="13" t="s">
        <v>82</v>
      </c>
      <c r="AW1090" s="13" t="s">
        <v>34</v>
      </c>
      <c r="AX1090" s="13" t="s">
        <v>80</v>
      </c>
      <c r="AY1090" s="203" t="s">
        <v>128</v>
      </c>
    </row>
    <row r="1091" spans="1:65" s="2" customFormat="1" ht="16.5" customHeight="1">
      <c r="A1091" s="35"/>
      <c r="B1091" s="36"/>
      <c r="C1091" s="174" t="s">
        <v>2297</v>
      </c>
      <c r="D1091" s="174" t="s">
        <v>130</v>
      </c>
      <c r="E1091" s="175" t="s">
        <v>2298</v>
      </c>
      <c r="F1091" s="176" t="s">
        <v>2299</v>
      </c>
      <c r="G1091" s="177" t="s">
        <v>133</v>
      </c>
      <c r="H1091" s="178">
        <v>105.89400000000001</v>
      </c>
      <c r="I1091" s="179"/>
      <c r="J1091" s="180">
        <f>ROUND(I1091*H1091,2)</f>
        <v>0</v>
      </c>
      <c r="K1091" s="176" t="s">
        <v>134</v>
      </c>
      <c r="L1091" s="40"/>
      <c r="M1091" s="181" t="s">
        <v>19</v>
      </c>
      <c r="N1091" s="182" t="s">
        <v>43</v>
      </c>
      <c r="O1091" s="65"/>
      <c r="P1091" s="183">
        <f>O1091*H1091</f>
        <v>0</v>
      </c>
      <c r="Q1091" s="183">
        <v>5.0000000000000002E-5</v>
      </c>
      <c r="R1091" s="183">
        <f>Q1091*H1091</f>
        <v>5.2947000000000003E-3</v>
      </c>
      <c r="S1091" s="183">
        <v>0</v>
      </c>
      <c r="T1091" s="184">
        <f>S1091*H1091</f>
        <v>0</v>
      </c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R1091" s="185" t="s">
        <v>230</v>
      </c>
      <c r="AT1091" s="185" t="s">
        <v>130</v>
      </c>
      <c r="AU1091" s="185" t="s">
        <v>82</v>
      </c>
      <c r="AY1091" s="18" t="s">
        <v>128</v>
      </c>
      <c r="BE1091" s="186">
        <f>IF(N1091="základní",J1091,0)</f>
        <v>0</v>
      </c>
      <c r="BF1091" s="186">
        <f>IF(N1091="snížená",J1091,0)</f>
        <v>0</v>
      </c>
      <c r="BG1091" s="186">
        <f>IF(N1091="zákl. přenesená",J1091,0)</f>
        <v>0</v>
      </c>
      <c r="BH1091" s="186">
        <f>IF(N1091="sníž. přenesená",J1091,0)</f>
        <v>0</v>
      </c>
      <c r="BI1091" s="186">
        <f>IF(N1091="nulová",J1091,0)</f>
        <v>0</v>
      </c>
      <c r="BJ1091" s="18" t="s">
        <v>80</v>
      </c>
      <c r="BK1091" s="186">
        <f>ROUND(I1091*H1091,2)</f>
        <v>0</v>
      </c>
      <c r="BL1091" s="18" t="s">
        <v>230</v>
      </c>
      <c r="BM1091" s="185" t="s">
        <v>2300</v>
      </c>
    </row>
    <row r="1092" spans="1:65" s="2" customFormat="1" ht="10">
      <c r="A1092" s="35"/>
      <c r="B1092" s="36"/>
      <c r="C1092" s="37"/>
      <c r="D1092" s="187" t="s">
        <v>137</v>
      </c>
      <c r="E1092" s="37"/>
      <c r="F1092" s="188" t="s">
        <v>2301</v>
      </c>
      <c r="G1092" s="37"/>
      <c r="H1092" s="37"/>
      <c r="I1092" s="189"/>
      <c r="J1092" s="37"/>
      <c r="K1092" s="37"/>
      <c r="L1092" s="40"/>
      <c r="M1092" s="190"/>
      <c r="N1092" s="191"/>
      <c r="O1092" s="65"/>
      <c r="P1092" s="65"/>
      <c r="Q1092" s="65"/>
      <c r="R1092" s="65"/>
      <c r="S1092" s="65"/>
      <c r="T1092" s="66"/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T1092" s="18" t="s">
        <v>137</v>
      </c>
      <c r="AU1092" s="18" t="s">
        <v>82</v>
      </c>
    </row>
    <row r="1093" spans="1:65" s="13" customFormat="1" ht="10">
      <c r="B1093" s="192"/>
      <c r="C1093" s="193"/>
      <c r="D1093" s="194" t="s">
        <v>139</v>
      </c>
      <c r="E1093" s="195" t="s">
        <v>19</v>
      </c>
      <c r="F1093" s="196" t="s">
        <v>654</v>
      </c>
      <c r="G1093" s="193"/>
      <c r="H1093" s="197">
        <v>15.648</v>
      </c>
      <c r="I1093" s="198"/>
      <c r="J1093" s="193"/>
      <c r="K1093" s="193"/>
      <c r="L1093" s="199"/>
      <c r="M1093" s="200"/>
      <c r="N1093" s="201"/>
      <c r="O1093" s="201"/>
      <c r="P1093" s="201"/>
      <c r="Q1093" s="201"/>
      <c r="R1093" s="201"/>
      <c r="S1093" s="201"/>
      <c r="T1093" s="202"/>
      <c r="AT1093" s="203" t="s">
        <v>139</v>
      </c>
      <c r="AU1093" s="203" t="s">
        <v>82</v>
      </c>
      <c r="AV1093" s="13" t="s">
        <v>82</v>
      </c>
      <c r="AW1093" s="13" t="s">
        <v>34</v>
      </c>
      <c r="AX1093" s="13" t="s">
        <v>72</v>
      </c>
      <c r="AY1093" s="203" t="s">
        <v>128</v>
      </c>
    </row>
    <row r="1094" spans="1:65" s="13" customFormat="1" ht="10">
      <c r="B1094" s="192"/>
      <c r="C1094" s="193"/>
      <c r="D1094" s="194" t="s">
        <v>139</v>
      </c>
      <c r="E1094" s="195" t="s">
        <v>19</v>
      </c>
      <c r="F1094" s="196" t="s">
        <v>2302</v>
      </c>
      <c r="G1094" s="193"/>
      <c r="H1094" s="197">
        <v>46.146000000000001</v>
      </c>
      <c r="I1094" s="198"/>
      <c r="J1094" s="193"/>
      <c r="K1094" s="193"/>
      <c r="L1094" s="199"/>
      <c r="M1094" s="200"/>
      <c r="N1094" s="201"/>
      <c r="O1094" s="201"/>
      <c r="P1094" s="201"/>
      <c r="Q1094" s="201"/>
      <c r="R1094" s="201"/>
      <c r="S1094" s="201"/>
      <c r="T1094" s="202"/>
      <c r="AT1094" s="203" t="s">
        <v>139</v>
      </c>
      <c r="AU1094" s="203" t="s">
        <v>82</v>
      </c>
      <c r="AV1094" s="13" t="s">
        <v>82</v>
      </c>
      <c r="AW1094" s="13" t="s">
        <v>34</v>
      </c>
      <c r="AX1094" s="13" t="s">
        <v>72</v>
      </c>
      <c r="AY1094" s="203" t="s">
        <v>128</v>
      </c>
    </row>
    <row r="1095" spans="1:65" s="13" customFormat="1" ht="10">
      <c r="B1095" s="192"/>
      <c r="C1095" s="193"/>
      <c r="D1095" s="194" t="s">
        <v>139</v>
      </c>
      <c r="E1095" s="195" t="s">
        <v>19</v>
      </c>
      <c r="F1095" s="196" t="s">
        <v>2183</v>
      </c>
      <c r="G1095" s="193"/>
      <c r="H1095" s="197">
        <v>21.84</v>
      </c>
      <c r="I1095" s="198"/>
      <c r="J1095" s="193"/>
      <c r="K1095" s="193"/>
      <c r="L1095" s="199"/>
      <c r="M1095" s="200"/>
      <c r="N1095" s="201"/>
      <c r="O1095" s="201"/>
      <c r="P1095" s="201"/>
      <c r="Q1095" s="201"/>
      <c r="R1095" s="201"/>
      <c r="S1095" s="201"/>
      <c r="T1095" s="202"/>
      <c r="AT1095" s="203" t="s">
        <v>139</v>
      </c>
      <c r="AU1095" s="203" t="s">
        <v>82</v>
      </c>
      <c r="AV1095" s="13" t="s">
        <v>82</v>
      </c>
      <c r="AW1095" s="13" t="s">
        <v>34</v>
      </c>
      <c r="AX1095" s="13" t="s">
        <v>72</v>
      </c>
      <c r="AY1095" s="203" t="s">
        <v>128</v>
      </c>
    </row>
    <row r="1096" spans="1:65" s="13" customFormat="1" ht="10">
      <c r="B1096" s="192"/>
      <c r="C1096" s="193"/>
      <c r="D1096" s="194" t="s">
        <v>139</v>
      </c>
      <c r="E1096" s="195" t="s">
        <v>19</v>
      </c>
      <c r="F1096" s="196" t="s">
        <v>2184</v>
      </c>
      <c r="G1096" s="193"/>
      <c r="H1096" s="197">
        <v>22.26</v>
      </c>
      <c r="I1096" s="198"/>
      <c r="J1096" s="193"/>
      <c r="K1096" s="193"/>
      <c r="L1096" s="199"/>
      <c r="M1096" s="200"/>
      <c r="N1096" s="201"/>
      <c r="O1096" s="201"/>
      <c r="P1096" s="201"/>
      <c r="Q1096" s="201"/>
      <c r="R1096" s="201"/>
      <c r="S1096" s="201"/>
      <c r="T1096" s="202"/>
      <c r="AT1096" s="203" t="s">
        <v>139</v>
      </c>
      <c r="AU1096" s="203" t="s">
        <v>82</v>
      </c>
      <c r="AV1096" s="13" t="s">
        <v>82</v>
      </c>
      <c r="AW1096" s="13" t="s">
        <v>34</v>
      </c>
      <c r="AX1096" s="13" t="s">
        <v>72</v>
      </c>
      <c r="AY1096" s="203" t="s">
        <v>128</v>
      </c>
    </row>
    <row r="1097" spans="1:65" s="14" customFormat="1" ht="10">
      <c r="B1097" s="204"/>
      <c r="C1097" s="205"/>
      <c r="D1097" s="194" t="s">
        <v>139</v>
      </c>
      <c r="E1097" s="206" t="s">
        <v>19</v>
      </c>
      <c r="F1097" s="207" t="s">
        <v>153</v>
      </c>
      <c r="G1097" s="205"/>
      <c r="H1097" s="208">
        <v>105.89400000000001</v>
      </c>
      <c r="I1097" s="209"/>
      <c r="J1097" s="205"/>
      <c r="K1097" s="205"/>
      <c r="L1097" s="210"/>
      <c r="M1097" s="211"/>
      <c r="N1097" s="212"/>
      <c r="O1097" s="212"/>
      <c r="P1097" s="212"/>
      <c r="Q1097" s="212"/>
      <c r="R1097" s="212"/>
      <c r="S1097" s="212"/>
      <c r="T1097" s="213"/>
      <c r="AT1097" s="214" t="s">
        <v>139</v>
      </c>
      <c r="AU1097" s="214" t="s">
        <v>82</v>
      </c>
      <c r="AV1097" s="14" t="s">
        <v>135</v>
      </c>
      <c r="AW1097" s="14" t="s">
        <v>34</v>
      </c>
      <c r="AX1097" s="14" t="s">
        <v>80</v>
      </c>
      <c r="AY1097" s="214" t="s">
        <v>128</v>
      </c>
    </row>
    <row r="1098" spans="1:65" s="2" customFormat="1" ht="24.15" customHeight="1">
      <c r="A1098" s="35"/>
      <c r="B1098" s="36"/>
      <c r="C1098" s="174" t="s">
        <v>2303</v>
      </c>
      <c r="D1098" s="174" t="s">
        <v>130</v>
      </c>
      <c r="E1098" s="175" t="s">
        <v>2304</v>
      </c>
      <c r="F1098" s="176" t="s">
        <v>2305</v>
      </c>
      <c r="G1098" s="177" t="s">
        <v>426</v>
      </c>
      <c r="H1098" s="225"/>
      <c r="I1098" s="179"/>
      <c r="J1098" s="180">
        <f>ROUND(I1098*H1098,2)</f>
        <v>0</v>
      </c>
      <c r="K1098" s="176" t="s">
        <v>134</v>
      </c>
      <c r="L1098" s="40"/>
      <c r="M1098" s="181" t="s">
        <v>19</v>
      </c>
      <c r="N1098" s="182" t="s">
        <v>43</v>
      </c>
      <c r="O1098" s="65"/>
      <c r="P1098" s="183">
        <f>O1098*H1098</f>
        <v>0</v>
      </c>
      <c r="Q1098" s="183">
        <v>0</v>
      </c>
      <c r="R1098" s="183">
        <f>Q1098*H1098</f>
        <v>0</v>
      </c>
      <c r="S1098" s="183">
        <v>0</v>
      </c>
      <c r="T1098" s="184">
        <f>S1098*H1098</f>
        <v>0</v>
      </c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R1098" s="185" t="s">
        <v>230</v>
      </c>
      <c r="AT1098" s="185" t="s">
        <v>130</v>
      </c>
      <c r="AU1098" s="185" t="s">
        <v>82</v>
      </c>
      <c r="AY1098" s="18" t="s">
        <v>128</v>
      </c>
      <c r="BE1098" s="186">
        <f>IF(N1098="základní",J1098,0)</f>
        <v>0</v>
      </c>
      <c r="BF1098" s="186">
        <f>IF(N1098="snížená",J1098,0)</f>
        <v>0</v>
      </c>
      <c r="BG1098" s="186">
        <f>IF(N1098="zákl. přenesená",J1098,0)</f>
        <v>0</v>
      </c>
      <c r="BH1098" s="186">
        <f>IF(N1098="sníž. přenesená",J1098,0)</f>
        <v>0</v>
      </c>
      <c r="BI1098" s="186">
        <f>IF(N1098="nulová",J1098,0)</f>
        <v>0</v>
      </c>
      <c r="BJ1098" s="18" t="s">
        <v>80</v>
      </c>
      <c r="BK1098" s="186">
        <f>ROUND(I1098*H1098,2)</f>
        <v>0</v>
      </c>
      <c r="BL1098" s="18" t="s">
        <v>230</v>
      </c>
      <c r="BM1098" s="185" t="s">
        <v>2306</v>
      </c>
    </row>
    <row r="1099" spans="1:65" s="2" customFormat="1" ht="10">
      <c r="A1099" s="35"/>
      <c r="B1099" s="36"/>
      <c r="C1099" s="37"/>
      <c r="D1099" s="187" t="s">
        <v>137</v>
      </c>
      <c r="E1099" s="37"/>
      <c r="F1099" s="188" t="s">
        <v>2307</v>
      </c>
      <c r="G1099" s="37"/>
      <c r="H1099" s="37"/>
      <c r="I1099" s="189"/>
      <c r="J1099" s="37"/>
      <c r="K1099" s="37"/>
      <c r="L1099" s="40"/>
      <c r="M1099" s="190"/>
      <c r="N1099" s="191"/>
      <c r="O1099" s="65"/>
      <c r="P1099" s="65"/>
      <c r="Q1099" s="65"/>
      <c r="R1099" s="65"/>
      <c r="S1099" s="65"/>
      <c r="T1099" s="66"/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T1099" s="18" t="s">
        <v>137</v>
      </c>
      <c r="AU1099" s="18" t="s">
        <v>82</v>
      </c>
    </row>
    <row r="1100" spans="1:65" s="12" customFormat="1" ht="22.75" customHeight="1">
      <c r="B1100" s="158"/>
      <c r="C1100" s="159"/>
      <c r="D1100" s="160" t="s">
        <v>71</v>
      </c>
      <c r="E1100" s="172" t="s">
        <v>2308</v>
      </c>
      <c r="F1100" s="172" t="s">
        <v>2309</v>
      </c>
      <c r="G1100" s="159"/>
      <c r="H1100" s="159"/>
      <c r="I1100" s="162"/>
      <c r="J1100" s="173">
        <f>BK1100</f>
        <v>0</v>
      </c>
      <c r="K1100" s="159"/>
      <c r="L1100" s="164"/>
      <c r="M1100" s="165"/>
      <c r="N1100" s="166"/>
      <c r="O1100" s="166"/>
      <c r="P1100" s="167">
        <f>SUM(P1101:P1124)</f>
        <v>0</v>
      </c>
      <c r="Q1100" s="166"/>
      <c r="R1100" s="167">
        <f>SUM(R1101:R1124)</f>
        <v>7.3667780200000008</v>
      </c>
      <c r="S1100" s="166"/>
      <c r="T1100" s="168">
        <f>SUM(T1101:T1124)</f>
        <v>0</v>
      </c>
      <c r="AR1100" s="169" t="s">
        <v>82</v>
      </c>
      <c r="AT1100" s="170" t="s">
        <v>71</v>
      </c>
      <c r="AU1100" s="170" t="s">
        <v>80</v>
      </c>
      <c r="AY1100" s="169" t="s">
        <v>128</v>
      </c>
      <c r="BK1100" s="171">
        <f>SUM(BK1101:BK1124)</f>
        <v>0</v>
      </c>
    </row>
    <row r="1101" spans="1:65" s="2" customFormat="1" ht="16.5" customHeight="1">
      <c r="A1101" s="35"/>
      <c r="B1101" s="36"/>
      <c r="C1101" s="174" t="s">
        <v>2310</v>
      </c>
      <c r="D1101" s="174" t="s">
        <v>130</v>
      </c>
      <c r="E1101" s="175" t="s">
        <v>2311</v>
      </c>
      <c r="F1101" s="176" t="s">
        <v>2312</v>
      </c>
      <c r="G1101" s="177" t="s">
        <v>133</v>
      </c>
      <c r="H1101" s="178">
        <v>477.73</v>
      </c>
      <c r="I1101" s="179"/>
      <c r="J1101" s="180">
        <f>ROUND(I1101*H1101,2)</f>
        <v>0</v>
      </c>
      <c r="K1101" s="176" t="s">
        <v>134</v>
      </c>
      <c r="L1101" s="40"/>
      <c r="M1101" s="181" t="s">
        <v>19</v>
      </c>
      <c r="N1101" s="182" t="s">
        <v>43</v>
      </c>
      <c r="O1101" s="65"/>
      <c r="P1101" s="183">
        <f>O1101*H1101</f>
        <v>0</v>
      </c>
      <c r="Q1101" s="183">
        <v>0</v>
      </c>
      <c r="R1101" s="183">
        <f>Q1101*H1101</f>
        <v>0</v>
      </c>
      <c r="S1101" s="183">
        <v>0</v>
      </c>
      <c r="T1101" s="184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185" t="s">
        <v>230</v>
      </c>
      <c r="AT1101" s="185" t="s">
        <v>130</v>
      </c>
      <c r="AU1101" s="185" t="s">
        <v>82</v>
      </c>
      <c r="AY1101" s="18" t="s">
        <v>128</v>
      </c>
      <c r="BE1101" s="186">
        <f>IF(N1101="základní",J1101,0)</f>
        <v>0</v>
      </c>
      <c r="BF1101" s="186">
        <f>IF(N1101="snížená",J1101,0)</f>
        <v>0</v>
      </c>
      <c r="BG1101" s="186">
        <f>IF(N1101="zákl. přenesená",J1101,0)</f>
        <v>0</v>
      </c>
      <c r="BH1101" s="186">
        <f>IF(N1101="sníž. přenesená",J1101,0)</f>
        <v>0</v>
      </c>
      <c r="BI1101" s="186">
        <f>IF(N1101="nulová",J1101,0)</f>
        <v>0</v>
      </c>
      <c r="BJ1101" s="18" t="s">
        <v>80</v>
      </c>
      <c r="BK1101" s="186">
        <f>ROUND(I1101*H1101,2)</f>
        <v>0</v>
      </c>
      <c r="BL1101" s="18" t="s">
        <v>230</v>
      </c>
      <c r="BM1101" s="185" t="s">
        <v>2313</v>
      </c>
    </row>
    <row r="1102" spans="1:65" s="2" customFormat="1" ht="10">
      <c r="A1102" s="35"/>
      <c r="B1102" s="36"/>
      <c r="C1102" s="37"/>
      <c r="D1102" s="187" t="s">
        <v>137</v>
      </c>
      <c r="E1102" s="37"/>
      <c r="F1102" s="188" t="s">
        <v>2314</v>
      </c>
      <c r="G1102" s="37"/>
      <c r="H1102" s="37"/>
      <c r="I1102" s="189"/>
      <c r="J1102" s="37"/>
      <c r="K1102" s="37"/>
      <c r="L1102" s="40"/>
      <c r="M1102" s="190"/>
      <c r="N1102" s="191"/>
      <c r="O1102" s="65"/>
      <c r="P1102" s="65"/>
      <c r="Q1102" s="65"/>
      <c r="R1102" s="65"/>
      <c r="S1102" s="65"/>
      <c r="T1102" s="66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T1102" s="18" t="s">
        <v>137</v>
      </c>
      <c r="AU1102" s="18" t="s">
        <v>82</v>
      </c>
    </row>
    <row r="1103" spans="1:65" s="13" customFormat="1" ht="10">
      <c r="B1103" s="192"/>
      <c r="C1103" s="193"/>
      <c r="D1103" s="194" t="s">
        <v>139</v>
      </c>
      <c r="E1103" s="195" t="s">
        <v>19</v>
      </c>
      <c r="F1103" s="196" t="s">
        <v>2315</v>
      </c>
      <c r="G1103" s="193"/>
      <c r="H1103" s="197">
        <v>477.73</v>
      </c>
      <c r="I1103" s="198"/>
      <c r="J1103" s="193"/>
      <c r="K1103" s="193"/>
      <c r="L1103" s="199"/>
      <c r="M1103" s="200"/>
      <c r="N1103" s="201"/>
      <c r="O1103" s="201"/>
      <c r="P1103" s="201"/>
      <c r="Q1103" s="201"/>
      <c r="R1103" s="201"/>
      <c r="S1103" s="201"/>
      <c r="T1103" s="202"/>
      <c r="AT1103" s="203" t="s">
        <v>139</v>
      </c>
      <c r="AU1103" s="203" t="s">
        <v>82</v>
      </c>
      <c r="AV1103" s="13" t="s">
        <v>82</v>
      </c>
      <c r="AW1103" s="13" t="s">
        <v>34</v>
      </c>
      <c r="AX1103" s="13" t="s">
        <v>80</v>
      </c>
      <c r="AY1103" s="203" t="s">
        <v>128</v>
      </c>
    </row>
    <row r="1104" spans="1:65" s="2" customFormat="1" ht="16.5" customHeight="1">
      <c r="A1104" s="35"/>
      <c r="B1104" s="36"/>
      <c r="C1104" s="174" t="s">
        <v>2316</v>
      </c>
      <c r="D1104" s="174" t="s">
        <v>130</v>
      </c>
      <c r="E1104" s="175" t="s">
        <v>2317</v>
      </c>
      <c r="F1104" s="176" t="s">
        <v>2318</v>
      </c>
      <c r="G1104" s="177" t="s">
        <v>133</v>
      </c>
      <c r="H1104" s="178">
        <v>477.73</v>
      </c>
      <c r="I1104" s="179"/>
      <c r="J1104" s="180">
        <f>ROUND(I1104*H1104,2)</f>
        <v>0</v>
      </c>
      <c r="K1104" s="176" t="s">
        <v>134</v>
      </c>
      <c r="L1104" s="40"/>
      <c r="M1104" s="181" t="s">
        <v>19</v>
      </c>
      <c r="N1104" s="182" t="s">
        <v>43</v>
      </c>
      <c r="O1104" s="65"/>
      <c r="P1104" s="183">
        <f>O1104*H1104</f>
        <v>0</v>
      </c>
      <c r="Q1104" s="183">
        <v>3.0000000000000001E-5</v>
      </c>
      <c r="R1104" s="183">
        <f>Q1104*H1104</f>
        <v>1.4331900000000002E-2</v>
      </c>
      <c r="S1104" s="183">
        <v>0</v>
      </c>
      <c r="T1104" s="184">
        <f>S1104*H1104</f>
        <v>0</v>
      </c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R1104" s="185" t="s">
        <v>230</v>
      </c>
      <c r="AT1104" s="185" t="s">
        <v>130</v>
      </c>
      <c r="AU1104" s="185" t="s">
        <v>82</v>
      </c>
      <c r="AY1104" s="18" t="s">
        <v>128</v>
      </c>
      <c r="BE1104" s="186">
        <f>IF(N1104="základní",J1104,0)</f>
        <v>0</v>
      </c>
      <c r="BF1104" s="186">
        <f>IF(N1104="snížená",J1104,0)</f>
        <v>0</v>
      </c>
      <c r="BG1104" s="186">
        <f>IF(N1104="zákl. přenesená",J1104,0)</f>
        <v>0</v>
      </c>
      <c r="BH1104" s="186">
        <f>IF(N1104="sníž. přenesená",J1104,0)</f>
        <v>0</v>
      </c>
      <c r="BI1104" s="186">
        <f>IF(N1104="nulová",J1104,0)</f>
        <v>0</v>
      </c>
      <c r="BJ1104" s="18" t="s">
        <v>80</v>
      </c>
      <c r="BK1104" s="186">
        <f>ROUND(I1104*H1104,2)</f>
        <v>0</v>
      </c>
      <c r="BL1104" s="18" t="s">
        <v>230</v>
      </c>
      <c r="BM1104" s="185" t="s">
        <v>2319</v>
      </c>
    </row>
    <row r="1105" spans="1:65" s="2" customFormat="1" ht="10">
      <c r="A1105" s="35"/>
      <c r="B1105" s="36"/>
      <c r="C1105" s="37"/>
      <c r="D1105" s="187" t="s">
        <v>137</v>
      </c>
      <c r="E1105" s="37"/>
      <c r="F1105" s="188" t="s">
        <v>2320</v>
      </c>
      <c r="G1105" s="37"/>
      <c r="H1105" s="37"/>
      <c r="I1105" s="189"/>
      <c r="J1105" s="37"/>
      <c r="K1105" s="37"/>
      <c r="L1105" s="40"/>
      <c r="M1105" s="190"/>
      <c r="N1105" s="191"/>
      <c r="O1105" s="65"/>
      <c r="P1105" s="65"/>
      <c r="Q1105" s="65"/>
      <c r="R1105" s="65"/>
      <c r="S1105" s="65"/>
      <c r="T1105" s="66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T1105" s="18" t="s">
        <v>137</v>
      </c>
      <c r="AU1105" s="18" t="s">
        <v>82</v>
      </c>
    </row>
    <row r="1106" spans="1:65" s="13" customFormat="1" ht="10">
      <c r="B1106" s="192"/>
      <c r="C1106" s="193"/>
      <c r="D1106" s="194" t="s">
        <v>139</v>
      </c>
      <c r="E1106" s="195" t="s">
        <v>19</v>
      </c>
      <c r="F1106" s="196" t="s">
        <v>2315</v>
      </c>
      <c r="G1106" s="193"/>
      <c r="H1106" s="197">
        <v>477.73</v>
      </c>
      <c r="I1106" s="198"/>
      <c r="J1106" s="193"/>
      <c r="K1106" s="193"/>
      <c r="L1106" s="199"/>
      <c r="M1106" s="200"/>
      <c r="N1106" s="201"/>
      <c r="O1106" s="201"/>
      <c r="P1106" s="201"/>
      <c r="Q1106" s="201"/>
      <c r="R1106" s="201"/>
      <c r="S1106" s="201"/>
      <c r="T1106" s="202"/>
      <c r="AT1106" s="203" t="s">
        <v>139</v>
      </c>
      <c r="AU1106" s="203" t="s">
        <v>82</v>
      </c>
      <c r="AV1106" s="13" t="s">
        <v>82</v>
      </c>
      <c r="AW1106" s="13" t="s">
        <v>34</v>
      </c>
      <c r="AX1106" s="13" t="s">
        <v>80</v>
      </c>
      <c r="AY1106" s="203" t="s">
        <v>128</v>
      </c>
    </row>
    <row r="1107" spans="1:65" s="2" customFormat="1" ht="21.75" customHeight="1">
      <c r="A1107" s="35"/>
      <c r="B1107" s="36"/>
      <c r="C1107" s="174" t="s">
        <v>2321</v>
      </c>
      <c r="D1107" s="174" t="s">
        <v>130</v>
      </c>
      <c r="E1107" s="175" t="s">
        <v>2322</v>
      </c>
      <c r="F1107" s="176" t="s">
        <v>2323</v>
      </c>
      <c r="G1107" s="177" t="s">
        <v>133</v>
      </c>
      <c r="H1107" s="178">
        <v>477.73</v>
      </c>
      <c r="I1107" s="179"/>
      <c r="J1107" s="180">
        <f>ROUND(I1107*H1107,2)</f>
        <v>0</v>
      </c>
      <c r="K1107" s="176" t="s">
        <v>134</v>
      </c>
      <c r="L1107" s="40"/>
      <c r="M1107" s="181" t="s">
        <v>19</v>
      </c>
      <c r="N1107" s="182" t="s">
        <v>43</v>
      </c>
      <c r="O1107" s="65"/>
      <c r="P1107" s="183">
        <f>O1107*H1107</f>
        <v>0</v>
      </c>
      <c r="Q1107" s="183">
        <v>1.2E-2</v>
      </c>
      <c r="R1107" s="183">
        <f>Q1107*H1107</f>
        <v>5.7327600000000007</v>
      </c>
      <c r="S1107" s="183">
        <v>0</v>
      </c>
      <c r="T1107" s="184">
        <f>S1107*H1107</f>
        <v>0</v>
      </c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R1107" s="185" t="s">
        <v>230</v>
      </c>
      <c r="AT1107" s="185" t="s">
        <v>130</v>
      </c>
      <c r="AU1107" s="185" t="s">
        <v>82</v>
      </c>
      <c r="AY1107" s="18" t="s">
        <v>128</v>
      </c>
      <c r="BE1107" s="186">
        <f>IF(N1107="základní",J1107,0)</f>
        <v>0</v>
      </c>
      <c r="BF1107" s="186">
        <f>IF(N1107="snížená",J1107,0)</f>
        <v>0</v>
      </c>
      <c r="BG1107" s="186">
        <f>IF(N1107="zákl. přenesená",J1107,0)</f>
        <v>0</v>
      </c>
      <c r="BH1107" s="186">
        <f>IF(N1107="sníž. přenesená",J1107,0)</f>
        <v>0</v>
      </c>
      <c r="BI1107" s="186">
        <f>IF(N1107="nulová",J1107,0)</f>
        <v>0</v>
      </c>
      <c r="BJ1107" s="18" t="s">
        <v>80</v>
      </c>
      <c r="BK1107" s="186">
        <f>ROUND(I1107*H1107,2)</f>
        <v>0</v>
      </c>
      <c r="BL1107" s="18" t="s">
        <v>230</v>
      </c>
      <c r="BM1107" s="185" t="s">
        <v>2324</v>
      </c>
    </row>
    <row r="1108" spans="1:65" s="2" customFormat="1" ht="10">
      <c r="A1108" s="35"/>
      <c r="B1108" s="36"/>
      <c r="C1108" s="37"/>
      <c r="D1108" s="187" t="s">
        <v>137</v>
      </c>
      <c r="E1108" s="37"/>
      <c r="F1108" s="188" t="s">
        <v>2325</v>
      </c>
      <c r="G1108" s="37"/>
      <c r="H1108" s="37"/>
      <c r="I1108" s="189"/>
      <c r="J1108" s="37"/>
      <c r="K1108" s="37"/>
      <c r="L1108" s="40"/>
      <c r="M1108" s="190"/>
      <c r="N1108" s="191"/>
      <c r="O1108" s="65"/>
      <c r="P1108" s="65"/>
      <c r="Q1108" s="65"/>
      <c r="R1108" s="65"/>
      <c r="S1108" s="65"/>
      <c r="T1108" s="66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T1108" s="18" t="s">
        <v>137</v>
      </c>
      <c r="AU1108" s="18" t="s">
        <v>82</v>
      </c>
    </row>
    <row r="1109" spans="1:65" s="13" customFormat="1" ht="10">
      <c r="B1109" s="192"/>
      <c r="C1109" s="193"/>
      <c r="D1109" s="194" t="s">
        <v>139</v>
      </c>
      <c r="E1109" s="195" t="s">
        <v>19</v>
      </c>
      <c r="F1109" s="196" t="s">
        <v>2315</v>
      </c>
      <c r="G1109" s="193"/>
      <c r="H1109" s="197">
        <v>477.73</v>
      </c>
      <c r="I1109" s="198"/>
      <c r="J1109" s="193"/>
      <c r="K1109" s="193"/>
      <c r="L1109" s="199"/>
      <c r="M1109" s="200"/>
      <c r="N1109" s="201"/>
      <c r="O1109" s="201"/>
      <c r="P1109" s="201"/>
      <c r="Q1109" s="201"/>
      <c r="R1109" s="201"/>
      <c r="S1109" s="201"/>
      <c r="T1109" s="202"/>
      <c r="AT1109" s="203" t="s">
        <v>139</v>
      </c>
      <c r="AU1109" s="203" t="s">
        <v>82</v>
      </c>
      <c r="AV1109" s="13" t="s">
        <v>82</v>
      </c>
      <c r="AW1109" s="13" t="s">
        <v>34</v>
      </c>
      <c r="AX1109" s="13" t="s">
        <v>80</v>
      </c>
      <c r="AY1109" s="203" t="s">
        <v>128</v>
      </c>
    </row>
    <row r="1110" spans="1:65" s="2" customFormat="1" ht="16.5" customHeight="1">
      <c r="A1110" s="35"/>
      <c r="B1110" s="36"/>
      <c r="C1110" s="174" t="s">
        <v>2326</v>
      </c>
      <c r="D1110" s="174" t="s">
        <v>130</v>
      </c>
      <c r="E1110" s="175" t="s">
        <v>2327</v>
      </c>
      <c r="F1110" s="176" t="s">
        <v>2328</v>
      </c>
      <c r="G1110" s="177" t="s">
        <v>133</v>
      </c>
      <c r="H1110" s="178">
        <v>477.73</v>
      </c>
      <c r="I1110" s="179"/>
      <c r="J1110" s="180">
        <f>ROUND(I1110*H1110,2)</f>
        <v>0</v>
      </c>
      <c r="K1110" s="176" t="s">
        <v>134</v>
      </c>
      <c r="L1110" s="40"/>
      <c r="M1110" s="181" t="s">
        <v>19</v>
      </c>
      <c r="N1110" s="182" t="s">
        <v>43</v>
      </c>
      <c r="O1110" s="65"/>
      <c r="P1110" s="183">
        <f>O1110*H1110</f>
        <v>0</v>
      </c>
      <c r="Q1110" s="183">
        <v>2.9999999999999997E-4</v>
      </c>
      <c r="R1110" s="183">
        <f>Q1110*H1110</f>
        <v>0.143319</v>
      </c>
      <c r="S1110" s="183">
        <v>0</v>
      </c>
      <c r="T1110" s="184">
        <f>S1110*H1110</f>
        <v>0</v>
      </c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R1110" s="185" t="s">
        <v>230</v>
      </c>
      <c r="AT1110" s="185" t="s">
        <v>130</v>
      </c>
      <c r="AU1110" s="185" t="s">
        <v>82</v>
      </c>
      <c r="AY1110" s="18" t="s">
        <v>128</v>
      </c>
      <c r="BE1110" s="186">
        <f>IF(N1110="základní",J1110,0)</f>
        <v>0</v>
      </c>
      <c r="BF1110" s="186">
        <f>IF(N1110="snížená",J1110,0)</f>
        <v>0</v>
      </c>
      <c r="BG1110" s="186">
        <f>IF(N1110="zákl. přenesená",J1110,0)</f>
        <v>0</v>
      </c>
      <c r="BH1110" s="186">
        <f>IF(N1110="sníž. přenesená",J1110,0)</f>
        <v>0</v>
      </c>
      <c r="BI1110" s="186">
        <f>IF(N1110="nulová",J1110,0)</f>
        <v>0</v>
      </c>
      <c r="BJ1110" s="18" t="s">
        <v>80</v>
      </c>
      <c r="BK1110" s="186">
        <f>ROUND(I1110*H1110,2)</f>
        <v>0</v>
      </c>
      <c r="BL1110" s="18" t="s">
        <v>230</v>
      </c>
      <c r="BM1110" s="185" t="s">
        <v>2329</v>
      </c>
    </row>
    <row r="1111" spans="1:65" s="2" customFormat="1" ht="10">
      <c r="A1111" s="35"/>
      <c r="B1111" s="36"/>
      <c r="C1111" s="37"/>
      <c r="D1111" s="187" t="s">
        <v>137</v>
      </c>
      <c r="E1111" s="37"/>
      <c r="F1111" s="188" t="s">
        <v>2330</v>
      </c>
      <c r="G1111" s="37"/>
      <c r="H1111" s="37"/>
      <c r="I1111" s="189"/>
      <c r="J1111" s="37"/>
      <c r="K1111" s="37"/>
      <c r="L1111" s="40"/>
      <c r="M1111" s="190"/>
      <c r="N1111" s="191"/>
      <c r="O1111" s="65"/>
      <c r="P1111" s="65"/>
      <c r="Q1111" s="65"/>
      <c r="R1111" s="65"/>
      <c r="S1111" s="65"/>
      <c r="T1111" s="66"/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T1111" s="18" t="s">
        <v>137</v>
      </c>
      <c r="AU1111" s="18" t="s">
        <v>82</v>
      </c>
    </row>
    <row r="1112" spans="1:65" s="13" customFormat="1" ht="10">
      <c r="B1112" s="192"/>
      <c r="C1112" s="193"/>
      <c r="D1112" s="194" t="s">
        <v>139</v>
      </c>
      <c r="E1112" s="195" t="s">
        <v>19</v>
      </c>
      <c r="F1112" s="196" t="s">
        <v>2315</v>
      </c>
      <c r="G1112" s="193"/>
      <c r="H1112" s="197">
        <v>477.73</v>
      </c>
      <c r="I1112" s="198"/>
      <c r="J1112" s="193"/>
      <c r="K1112" s="193"/>
      <c r="L1112" s="199"/>
      <c r="M1112" s="200"/>
      <c r="N1112" s="201"/>
      <c r="O1112" s="201"/>
      <c r="P1112" s="201"/>
      <c r="Q1112" s="201"/>
      <c r="R1112" s="201"/>
      <c r="S1112" s="201"/>
      <c r="T1112" s="202"/>
      <c r="AT1112" s="203" t="s">
        <v>139</v>
      </c>
      <c r="AU1112" s="203" t="s">
        <v>82</v>
      </c>
      <c r="AV1112" s="13" t="s">
        <v>82</v>
      </c>
      <c r="AW1112" s="13" t="s">
        <v>34</v>
      </c>
      <c r="AX1112" s="13" t="s">
        <v>80</v>
      </c>
      <c r="AY1112" s="203" t="s">
        <v>128</v>
      </c>
    </row>
    <row r="1113" spans="1:65" s="2" customFormat="1" ht="16.5" customHeight="1">
      <c r="A1113" s="35"/>
      <c r="B1113" s="36"/>
      <c r="C1113" s="215" t="s">
        <v>2331</v>
      </c>
      <c r="D1113" s="215" t="s">
        <v>414</v>
      </c>
      <c r="E1113" s="216" t="s">
        <v>2332</v>
      </c>
      <c r="F1113" s="217" t="s">
        <v>2333</v>
      </c>
      <c r="G1113" s="218" t="s">
        <v>133</v>
      </c>
      <c r="H1113" s="219">
        <v>525.50300000000004</v>
      </c>
      <c r="I1113" s="220"/>
      <c r="J1113" s="221">
        <f>ROUND(I1113*H1113,2)</f>
        <v>0</v>
      </c>
      <c r="K1113" s="217" t="s">
        <v>134</v>
      </c>
      <c r="L1113" s="222"/>
      <c r="M1113" s="223" t="s">
        <v>19</v>
      </c>
      <c r="N1113" s="224" t="s">
        <v>43</v>
      </c>
      <c r="O1113" s="65"/>
      <c r="P1113" s="183">
        <f>O1113*H1113</f>
        <v>0</v>
      </c>
      <c r="Q1113" s="183">
        <v>2.64E-3</v>
      </c>
      <c r="R1113" s="183">
        <f>Q1113*H1113</f>
        <v>1.3873279200000002</v>
      </c>
      <c r="S1113" s="183">
        <v>0</v>
      </c>
      <c r="T1113" s="184">
        <f>S1113*H1113</f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185" t="s">
        <v>334</v>
      </c>
      <c r="AT1113" s="185" t="s">
        <v>414</v>
      </c>
      <c r="AU1113" s="185" t="s">
        <v>82</v>
      </c>
      <c r="AY1113" s="18" t="s">
        <v>128</v>
      </c>
      <c r="BE1113" s="186">
        <f>IF(N1113="základní",J1113,0)</f>
        <v>0</v>
      </c>
      <c r="BF1113" s="186">
        <f>IF(N1113="snížená",J1113,0)</f>
        <v>0</v>
      </c>
      <c r="BG1113" s="186">
        <f>IF(N1113="zákl. přenesená",J1113,0)</f>
        <v>0</v>
      </c>
      <c r="BH1113" s="186">
        <f>IF(N1113="sníž. přenesená",J1113,0)</f>
        <v>0</v>
      </c>
      <c r="BI1113" s="186">
        <f>IF(N1113="nulová",J1113,0)</f>
        <v>0</v>
      </c>
      <c r="BJ1113" s="18" t="s">
        <v>80</v>
      </c>
      <c r="BK1113" s="186">
        <f>ROUND(I1113*H1113,2)</f>
        <v>0</v>
      </c>
      <c r="BL1113" s="18" t="s">
        <v>230</v>
      </c>
      <c r="BM1113" s="185" t="s">
        <v>2334</v>
      </c>
    </row>
    <row r="1114" spans="1:65" s="13" customFormat="1" ht="10">
      <c r="B1114" s="192"/>
      <c r="C1114" s="193"/>
      <c r="D1114" s="194" t="s">
        <v>139</v>
      </c>
      <c r="E1114" s="193"/>
      <c r="F1114" s="196" t="s">
        <v>2335</v>
      </c>
      <c r="G1114" s="193"/>
      <c r="H1114" s="197">
        <v>525.50300000000004</v>
      </c>
      <c r="I1114" s="198"/>
      <c r="J1114" s="193"/>
      <c r="K1114" s="193"/>
      <c r="L1114" s="199"/>
      <c r="M1114" s="200"/>
      <c r="N1114" s="201"/>
      <c r="O1114" s="201"/>
      <c r="P1114" s="201"/>
      <c r="Q1114" s="201"/>
      <c r="R1114" s="201"/>
      <c r="S1114" s="201"/>
      <c r="T1114" s="202"/>
      <c r="AT1114" s="203" t="s">
        <v>139</v>
      </c>
      <c r="AU1114" s="203" t="s">
        <v>82</v>
      </c>
      <c r="AV1114" s="13" t="s">
        <v>82</v>
      </c>
      <c r="AW1114" s="13" t="s">
        <v>4</v>
      </c>
      <c r="AX1114" s="13" t="s">
        <v>80</v>
      </c>
      <c r="AY1114" s="203" t="s">
        <v>128</v>
      </c>
    </row>
    <row r="1115" spans="1:65" s="2" customFormat="1" ht="16.5" customHeight="1">
      <c r="A1115" s="35"/>
      <c r="B1115" s="36"/>
      <c r="C1115" s="174" t="s">
        <v>2336</v>
      </c>
      <c r="D1115" s="174" t="s">
        <v>130</v>
      </c>
      <c r="E1115" s="175" t="s">
        <v>2337</v>
      </c>
      <c r="F1115" s="176" t="s">
        <v>2338</v>
      </c>
      <c r="G1115" s="177" t="s">
        <v>258</v>
      </c>
      <c r="H1115" s="178">
        <v>261.88</v>
      </c>
      <c r="I1115" s="179"/>
      <c r="J1115" s="180">
        <f>ROUND(I1115*H1115,2)</f>
        <v>0</v>
      </c>
      <c r="K1115" s="176" t="s">
        <v>134</v>
      </c>
      <c r="L1115" s="40"/>
      <c r="M1115" s="181" t="s">
        <v>19</v>
      </c>
      <c r="N1115" s="182" t="s">
        <v>43</v>
      </c>
      <c r="O1115" s="65"/>
      <c r="P1115" s="183">
        <f>O1115*H1115</f>
        <v>0</v>
      </c>
      <c r="Q1115" s="183">
        <v>1.0000000000000001E-5</v>
      </c>
      <c r="R1115" s="183">
        <f>Q1115*H1115</f>
        <v>2.6188000000000001E-3</v>
      </c>
      <c r="S1115" s="183">
        <v>0</v>
      </c>
      <c r="T1115" s="184">
        <f>S1115*H1115</f>
        <v>0</v>
      </c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R1115" s="185" t="s">
        <v>230</v>
      </c>
      <c r="AT1115" s="185" t="s">
        <v>130</v>
      </c>
      <c r="AU1115" s="185" t="s">
        <v>82</v>
      </c>
      <c r="AY1115" s="18" t="s">
        <v>128</v>
      </c>
      <c r="BE1115" s="186">
        <f>IF(N1115="základní",J1115,0)</f>
        <v>0</v>
      </c>
      <c r="BF1115" s="186">
        <f>IF(N1115="snížená",J1115,0)</f>
        <v>0</v>
      </c>
      <c r="BG1115" s="186">
        <f>IF(N1115="zákl. přenesená",J1115,0)</f>
        <v>0</v>
      </c>
      <c r="BH1115" s="186">
        <f>IF(N1115="sníž. přenesená",J1115,0)</f>
        <v>0</v>
      </c>
      <c r="BI1115" s="186">
        <f>IF(N1115="nulová",J1115,0)</f>
        <v>0</v>
      </c>
      <c r="BJ1115" s="18" t="s">
        <v>80</v>
      </c>
      <c r="BK1115" s="186">
        <f>ROUND(I1115*H1115,2)</f>
        <v>0</v>
      </c>
      <c r="BL1115" s="18" t="s">
        <v>230</v>
      </c>
      <c r="BM1115" s="185" t="s">
        <v>2339</v>
      </c>
    </row>
    <row r="1116" spans="1:65" s="2" customFormat="1" ht="10">
      <c r="A1116" s="35"/>
      <c r="B1116" s="36"/>
      <c r="C1116" s="37"/>
      <c r="D1116" s="187" t="s">
        <v>137</v>
      </c>
      <c r="E1116" s="37"/>
      <c r="F1116" s="188" t="s">
        <v>2340</v>
      </c>
      <c r="G1116" s="37"/>
      <c r="H1116" s="37"/>
      <c r="I1116" s="189"/>
      <c r="J1116" s="37"/>
      <c r="K1116" s="37"/>
      <c r="L1116" s="40"/>
      <c r="M1116" s="190"/>
      <c r="N1116" s="191"/>
      <c r="O1116" s="65"/>
      <c r="P1116" s="65"/>
      <c r="Q1116" s="65"/>
      <c r="R1116" s="65"/>
      <c r="S1116" s="65"/>
      <c r="T1116" s="66"/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T1116" s="18" t="s">
        <v>137</v>
      </c>
      <c r="AU1116" s="18" t="s">
        <v>82</v>
      </c>
    </row>
    <row r="1117" spans="1:65" s="13" customFormat="1" ht="10">
      <c r="B1117" s="192"/>
      <c r="C1117" s="193"/>
      <c r="D1117" s="194" t="s">
        <v>139</v>
      </c>
      <c r="E1117" s="195" t="s">
        <v>19</v>
      </c>
      <c r="F1117" s="196" t="s">
        <v>2341</v>
      </c>
      <c r="G1117" s="193"/>
      <c r="H1117" s="197">
        <v>261.88</v>
      </c>
      <c r="I1117" s="198"/>
      <c r="J1117" s="193"/>
      <c r="K1117" s="193"/>
      <c r="L1117" s="199"/>
      <c r="M1117" s="200"/>
      <c r="N1117" s="201"/>
      <c r="O1117" s="201"/>
      <c r="P1117" s="201"/>
      <c r="Q1117" s="201"/>
      <c r="R1117" s="201"/>
      <c r="S1117" s="201"/>
      <c r="T1117" s="202"/>
      <c r="AT1117" s="203" t="s">
        <v>139</v>
      </c>
      <c r="AU1117" s="203" t="s">
        <v>82</v>
      </c>
      <c r="AV1117" s="13" t="s">
        <v>82</v>
      </c>
      <c r="AW1117" s="13" t="s">
        <v>34</v>
      </c>
      <c r="AX1117" s="13" t="s">
        <v>80</v>
      </c>
      <c r="AY1117" s="203" t="s">
        <v>128</v>
      </c>
    </row>
    <row r="1118" spans="1:65" s="2" customFormat="1" ht="16.5" customHeight="1">
      <c r="A1118" s="35"/>
      <c r="B1118" s="36"/>
      <c r="C1118" s="215" t="s">
        <v>2342</v>
      </c>
      <c r="D1118" s="215" t="s">
        <v>414</v>
      </c>
      <c r="E1118" s="216" t="s">
        <v>2343</v>
      </c>
      <c r="F1118" s="217" t="s">
        <v>2344</v>
      </c>
      <c r="G1118" s="218" t="s">
        <v>258</v>
      </c>
      <c r="H1118" s="219">
        <v>288.06799999999998</v>
      </c>
      <c r="I1118" s="220"/>
      <c r="J1118" s="221">
        <f>ROUND(I1118*H1118,2)</f>
        <v>0</v>
      </c>
      <c r="K1118" s="217" t="s">
        <v>134</v>
      </c>
      <c r="L1118" s="222"/>
      <c r="M1118" s="223" t="s">
        <v>19</v>
      </c>
      <c r="N1118" s="224" t="s">
        <v>43</v>
      </c>
      <c r="O1118" s="65"/>
      <c r="P1118" s="183">
        <f>O1118*H1118</f>
        <v>0</v>
      </c>
      <c r="Q1118" s="183">
        <v>2.9999999999999997E-4</v>
      </c>
      <c r="R1118" s="183">
        <f>Q1118*H1118</f>
        <v>8.6420399999999994E-2</v>
      </c>
      <c r="S1118" s="183">
        <v>0</v>
      </c>
      <c r="T1118" s="184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185" t="s">
        <v>334</v>
      </c>
      <c r="AT1118" s="185" t="s">
        <v>414</v>
      </c>
      <c r="AU1118" s="185" t="s">
        <v>82</v>
      </c>
      <c r="AY1118" s="18" t="s">
        <v>128</v>
      </c>
      <c r="BE1118" s="186">
        <f>IF(N1118="základní",J1118,0)</f>
        <v>0</v>
      </c>
      <c r="BF1118" s="186">
        <f>IF(N1118="snížená",J1118,0)</f>
        <v>0</v>
      </c>
      <c r="BG1118" s="186">
        <f>IF(N1118="zákl. přenesená",J1118,0)</f>
        <v>0</v>
      </c>
      <c r="BH1118" s="186">
        <f>IF(N1118="sníž. přenesená",J1118,0)</f>
        <v>0</v>
      </c>
      <c r="BI1118" s="186">
        <f>IF(N1118="nulová",J1118,0)</f>
        <v>0</v>
      </c>
      <c r="BJ1118" s="18" t="s">
        <v>80</v>
      </c>
      <c r="BK1118" s="186">
        <f>ROUND(I1118*H1118,2)</f>
        <v>0</v>
      </c>
      <c r="BL1118" s="18" t="s">
        <v>230</v>
      </c>
      <c r="BM1118" s="185" t="s">
        <v>2345</v>
      </c>
    </row>
    <row r="1119" spans="1:65" s="13" customFormat="1" ht="10">
      <c r="B1119" s="192"/>
      <c r="C1119" s="193"/>
      <c r="D1119" s="194" t="s">
        <v>139</v>
      </c>
      <c r="E1119" s="193"/>
      <c r="F1119" s="196" t="s">
        <v>2346</v>
      </c>
      <c r="G1119" s="193"/>
      <c r="H1119" s="197">
        <v>288.06799999999998</v>
      </c>
      <c r="I1119" s="198"/>
      <c r="J1119" s="193"/>
      <c r="K1119" s="193"/>
      <c r="L1119" s="199"/>
      <c r="M1119" s="200"/>
      <c r="N1119" s="201"/>
      <c r="O1119" s="201"/>
      <c r="P1119" s="201"/>
      <c r="Q1119" s="201"/>
      <c r="R1119" s="201"/>
      <c r="S1119" s="201"/>
      <c r="T1119" s="202"/>
      <c r="AT1119" s="203" t="s">
        <v>139</v>
      </c>
      <c r="AU1119" s="203" t="s">
        <v>82</v>
      </c>
      <c r="AV1119" s="13" t="s">
        <v>82</v>
      </c>
      <c r="AW1119" s="13" t="s">
        <v>4</v>
      </c>
      <c r="AX1119" s="13" t="s">
        <v>80</v>
      </c>
      <c r="AY1119" s="203" t="s">
        <v>128</v>
      </c>
    </row>
    <row r="1120" spans="1:65" s="2" customFormat="1" ht="16.5" customHeight="1">
      <c r="A1120" s="35"/>
      <c r="B1120" s="36"/>
      <c r="C1120" s="174" t="s">
        <v>2347</v>
      </c>
      <c r="D1120" s="174" t="s">
        <v>130</v>
      </c>
      <c r="E1120" s="175" t="s">
        <v>2348</v>
      </c>
      <c r="F1120" s="176" t="s">
        <v>2349</v>
      </c>
      <c r="G1120" s="177" t="s">
        <v>133</v>
      </c>
      <c r="H1120" s="178">
        <v>477.73</v>
      </c>
      <c r="I1120" s="179"/>
      <c r="J1120" s="180">
        <f>ROUND(I1120*H1120,2)</f>
        <v>0</v>
      </c>
      <c r="K1120" s="176" t="s">
        <v>134</v>
      </c>
      <c r="L1120" s="40"/>
      <c r="M1120" s="181" t="s">
        <v>19</v>
      </c>
      <c r="N1120" s="182" t="s">
        <v>43</v>
      </c>
      <c r="O1120" s="65"/>
      <c r="P1120" s="183">
        <f>O1120*H1120</f>
        <v>0</v>
      </c>
      <c r="Q1120" s="183">
        <v>0</v>
      </c>
      <c r="R1120" s="183">
        <f>Q1120*H1120</f>
        <v>0</v>
      </c>
      <c r="S1120" s="183">
        <v>0</v>
      </c>
      <c r="T1120" s="184">
        <f>S1120*H1120</f>
        <v>0</v>
      </c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R1120" s="185" t="s">
        <v>230</v>
      </c>
      <c r="AT1120" s="185" t="s">
        <v>130</v>
      </c>
      <c r="AU1120" s="185" t="s">
        <v>82</v>
      </c>
      <c r="AY1120" s="18" t="s">
        <v>128</v>
      </c>
      <c r="BE1120" s="186">
        <f>IF(N1120="základní",J1120,0)</f>
        <v>0</v>
      </c>
      <c r="BF1120" s="186">
        <f>IF(N1120="snížená",J1120,0)</f>
        <v>0</v>
      </c>
      <c r="BG1120" s="186">
        <f>IF(N1120="zákl. přenesená",J1120,0)</f>
        <v>0</v>
      </c>
      <c r="BH1120" s="186">
        <f>IF(N1120="sníž. přenesená",J1120,0)</f>
        <v>0</v>
      </c>
      <c r="BI1120" s="186">
        <f>IF(N1120="nulová",J1120,0)</f>
        <v>0</v>
      </c>
      <c r="BJ1120" s="18" t="s">
        <v>80</v>
      </c>
      <c r="BK1120" s="186">
        <f>ROUND(I1120*H1120,2)</f>
        <v>0</v>
      </c>
      <c r="BL1120" s="18" t="s">
        <v>230</v>
      </c>
      <c r="BM1120" s="185" t="s">
        <v>2350</v>
      </c>
    </row>
    <row r="1121" spans="1:65" s="2" customFormat="1" ht="10">
      <c r="A1121" s="35"/>
      <c r="B1121" s="36"/>
      <c r="C1121" s="37"/>
      <c r="D1121" s="187" t="s">
        <v>137</v>
      </c>
      <c r="E1121" s="37"/>
      <c r="F1121" s="188" t="s">
        <v>2351</v>
      </c>
      <c r="G1121" s="37"/>
      <c r="H1121" s="37"/>
      <c r="I1121" s="189"/>
      <c r="J1121" s="37"/>
      <c r="K1121" s="37"/>
      <c r="L1121" s="40"/>
      <c r="M1121" s="190"/>
      <c r="N1121" s="191"/>
      <c r="O1121" s="65"/>
      <c r="P1121" s="65"/>
      <c r="Q1121" s="65"/>
      <c r="R1121" s="65"/>
      <c r="S1121" s="65"/>
      <c r="T1121" s="66"/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T1121" s="18" t="s">
        <v>137</v>
      </c>
      <c r="AU1121" s="18" t="s">
        <v>82</v>
      </c>
    </row>
    <row r="1122" spans="1:65" s="13" customFormat="1" ht="10">
      <c r="B1122" s="192"/>
      <c r="C1122" s="193"/>
      <c r="D1122" s="194" t="s">
        <v>139</v>
      </c>
      <c r="E1122" s="195" t="s">
        <v>19</v>
      </c>
      <c r="F1122" s="196" t="s">
        <v>2315</v>
      </c>
      <c r="G1122" s="193"/>
      <c r="H1122" s="197">
        <v>477.73</v>
      </c>
      <c r="I1122" s="198"/>
      <c r="J1122" s="193"/>
      <c r="K1122" s="193"/>
      <c r="L1122" s="199"/>
      <c r="M1122" s="200"/>
      <c r="N1122" s="201"/>
      <c r="O1122" s="201"/>
      <c r="P1122" s="201"/>
      <c r="Q1122" s="201"/>
      <c r="R1122" s="201"/>
      <c r="S1122" s="201"/>
      <c r="T1122" s="202"/>
      <c r="AT1122" s="203" t="s">
        <v>139</v>
      </c>
      <c r="AU1122" s="203" t="s">
        <v>82</v>
      </c>
      <c r="AV1122" s="13" t="s">
        <v>82</v>
      </c>
      <c r="AW1122" s="13" t="s">
        <v>34</v>
      </c>
      <c r="AX1122" s="13" t="s">
        <v>80</v>
      </c>
      <c r="AY1122" s="203" t="s">
        <v>128</v>
      </c>
    </row>
    <row r="1123" spans="1:65" s="2" customFormat="1" ht="24.15" customHeight="1">
      <c r="A1123" s="35"/>
      <c r="B1123" s="36"/>
      <c r="C1123" s="174" t="s">
        <v>2352</v>
      </c>
      <c r="D1123" s="174" t="s">
        <v>130</v>
      </c>
      <c r="E1123" s="175" t="s">
        <v>2353</v>
      </c>
      <c r="F1123" s="176" t="s">
        <v>2354</v>
      </c>
      <c r="G1123" s="177" t="s">
        <v>426</v>
      </c>
      <c r="H1123" s="225"/>
      <c r="I1123" s="179"/>
      <c r="J1123" s="180">
        <f>ROUND(I1123*H1123,2)</f>
        <v>0</v>
      </c>
      <c r="K1123" s="176" t="s">
        <v>134</v>
      </c>
      <c r="L1123" s="40"/>
      <c r="M1123" s="181" t="s">
        <v>19</v>
      </c>
      <c r="N1123" s="182" t="s">
        <v>43</v>
      </c>
      <c r="O1123" s="65"/>
      <c r="P1123" s="183">
        <f>O1123*H1123</f>
        <v>0</v>
      </c>
      <c r="Q1123" s="183">
        <v>0</v>
      </c>
      <c r="R1123" s="183">
        <f>Q1123*H1123</f>
        <v>0</v>
      </c>
      <c r="S1123" s="183">
        <v>0</v>
      </c>
      <c r="T1123" s="184">
        <f>S1123*H1123</f>
        <v>0</v>
      </c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R1123" s="185" t="s">
        <v>230</v>
      </c>
      <c r="AT1123" s="185" t="s">
        <v>130</v>
      </c>
      <c r="AU1123" s="185" t="s">
        <v>82</v>
      </c>
      <c r="AY1123" s="18" t="s">
        <v>128</v>
      </c>
      <c r="BE1123" s="186">
        <f>IF(N1123="základní",J1123,0)</f>
        <v>0</v>
      </c>
      <c r="BF1123" s="186">
        <f>IF(N1123="snížená",J1123,0)</f>
        <v>0</v>
      </c>
      <c r="BG1123" s="186">
        <f>IF(N1123="zákl. přenesená",J1123,0)</f>
        <v>0</v>
      </c>
      <c r="BH1123" s="186">
        <f>IF(N1123="sníž. přenesená",J1123,0)</f>
        <v>0</v>
      </c>
      <c r="BI1123" s="186">
        <f>IF(N1123="nulová",J1123,0)</f>
        <v>0</v>
      </c>
      <c r="BJ1123" s="18" t="s">
        <v>80</v>
      </c>
      <c r="BK1123" s="186">
        <f>ROUND(I1123*H1123,2)</f>
        <v>0</v>
      </c>
      <c r="BL1123" s="18" t="s">
        <v>230</v>
      </c>
      <c r="BM1123" s="185" t="s">
        <v>2355</v>
      </c>
    </row>
    <row r="1124" spans="1:65" s="2" customFormat="1" ht="10">
      <c r="A1124" s="35"/>
      <c r="B1124" s="36"/>
      <c r="C1124" s="37"/>
      <c r="D1124" s="187" t="s">
        <v>137</v>
      </c>
      <c r="E1124" s="37"/>
      <c r="F1124" s="188" t="s">
        <v>2356</v>
      </c>
      <c r="G1124" s="37"/>
      <c r="H1124" s="37"/>
      <c r="I1124" s="189"/>
      <c r="J1124" s="37"/>
      <c r="K1124" s="37"/>
      <c r="L1124" s="40"/>
      <c r="M1124" s="190"/>
      <c r="N1124" s="191"/>
      <c r="O1124" s="65"/>
      <c r="P1124" s="65"/>
      <c r="Q1124" s="65"/>
      <c r="R1124" s="65"/>
      <c r="S1124" s="65"/>
      <c r="T1124" s="66"/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T1124" s="18" t="s">
        <v>137</v>
      </c>
      <c r="AU1124" s="18" t="s">
        <v>82</v>
      </c>
    </row>
    <row r="1125" spans="1:65" s="12" customFormat="1" ht="22.75" customHeight="1">
      <c r="B1125" s="158"/>
      <c r="C1125" s="159"/>
      <c r="D1125" s="160" t="s">
        <v>71</v>
      </c>
      <c r="E1125" s="172" t="s">
        <v>2357</v>
      </c>
      <c r="F1125" s="172" t="s">
        <v>2358</v>
      </c>
      <c r="G1125" s="159"/>
      <c r="H1125" s="159"/>
      <c r="I1125" s="162"/>
      <c r="J1125" s="173">
        <f>BK1125</f>
        <v>0</v>
      </c>
      <c r="K1125" s="159"/>
      <c r="L1125" s="164"/>
      <c r="M1125" s="165"/>
      <c r="N1125" s="166"/>
      <c r="O1125" s="166"/>
      <c r="P1125" s="167">
        <f>SUM(P1126:P1142)</f>
        <v>0</v>
      </c>
      <c r="Q1125" s="166"/>
      <c r="R1125" s="167">
        <f>SUM(R1126:R1142)</f>
        <v>0.20109399999999999</v>
      </c>
      <c r="S1125" s="166"/>
      <c r="T1125" s="168">
        <f>SUM(T1126:T1142)</f>
        <v>0</v>
      </c>
      <c r="AR1125" s="169" t="s">
        <v>82</v>
      </c>
      <c r="AT1125" s="170" t="s">
        <v>71</v>
      </c>
      <c r="AU1125" s="170" t="s">
        <v>80</v>
      </c>
      <c r="AY1125" s="169" t="s">
        <v>128</v>
      </c>
      <c r="BK1125" s="171">
        <f>SUM(BK1126:BK1142)</f>
        <v>0</v>
      </c>
    </row>
    <row r="1126" spans="1:65" s="2" customFormat="1" ht="16.5" customHeight="1">
      <c r="A1126" s="35"/>
      <c r="B1126" s="36"/>
      <c r="C1126" s="174" t="s">
        <v>2359</v>
      </c>
      <c r="D1126" s="174" t="s">
        <v>130</v>
      </c>
      <c r="E1126" s="175" t="s">
        <v>2360</v>
      </c>
      <c r="F1126" s="176" t="s">
        <v>2361</v>
      </c>
      <c r="G1126" s="177" t="s">
        <v>133</v>
      </c>
      <c r="H1126" s="178">
        <v>26.44</v>
      </c>
      <c r="I1126" s="179"/>
      <c r="J1126" s="180">
        <f>ROUND(I1126*H1126,2)</f>
        <v>0</v>
      </c>
      <c r="K1126" s="176" t="s">
        <v>134</v>
      </c>
      <c r="L1126" s="40"/>
      <c r="M1126" s="181" t="s">
        <v>19</v>
      </c>
      <c r="N1126" s="182" t="s">
        <v>43</v>
      </c>
      <c r="O1126" s="65"/>
      <c r="P1126" s="183">
        <f>O1126*H1126</f>
        <v>0</v>
      </c>
      <c r="Q1126" s="183">
        <v>0</v>
      </c>
      <c r="R1126" s="183">
        <f>Q1126*H1126</f>
        <v>0</v>
      </c>
      <c r="S1126" s="183">
        <v>0</v>
      </c>
      <c r="T1126" s="184">
        <f>S1126*H1126</f>
        <v>0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185" t="s">
        <v>230</v>
      </c>
      <c r="AT1126" s="185" t="s">
        <v>130</v>
      </c>
      <c r="AU1126" s="185" t="s">
        <v>82</v>
      </c>
      <c r="AY1126" s="18" t="s">
        <v>128</v>
      </c>
      <c r="BE1126" s="186">
        <f>IF(N1126="základní",J1126,0)</f>
        <v>0</v>
      </c>
      <c r="BF1126" s="186">
        <f>IF(N1126="snížená",J1126,0)</f>
        <v>0</v>
      </c>
      <c r="BG1126" s="186">
        <f>IF(N1126="zákl. přenesená",J1126,0)</f>
        <v>0</v>
      </c>
      <c r="BH1126" s="186">
        <f>IF(N1126="sníž. přenesená",J1126,0)</f>
        <v>0</v>
      </c>
      <c r="BI1126" s="186">
        <f>IF(N1126="nulová",J1126,0)</f>
        <v>0</v>
      </c>
      <c r="BJ1126" s="18" t="s">
        <v>80</v>
      </c>
      <c r="BK1126" s="186">
        <f>ROUND(I1126*H1126,2)</f>
        <v>0</v>
      </c>
      <c r="BL1126" s="18" t="s">
        <v>230</v>
      </c>
      <c r="BM1126" s="185" t="s">
        <v>2362</v>
      </c>
    </row>
    <row r="1127" spans="1:65" s="2" customFormat="1" ht="10">
      <c r="A1127" s="35"/>
      <c r="B1127" s="36"/>
      <c r="C1127" s="37"/>
      <c r="D1127" s="187" t="s">
        <v>137</v>
      </c>
      <c r="E1127" s="37"/>
      <c r="F1127" s="188" t="s">
        <v>2363</v>
      </c>
      <c r="G1127" s="37"/>
      <c r="H1127" s="37"/>
      <c r="I1127" s="189"/>
      <c r="J1127" s="37"/>
      <c r="K1127" s="37"/>
      <c r="L1127" s="40"/>
      <c r="M1127" s="190"/>
      <c r="N1127" s="191"/>
      <c r="O1127" s="65"/>
      <c r="P1127" s="65"/>
      <c r="Q1127" s="65"/>
      <c r="R1127" s="65"/>
      <c r="S1127" s="65"/>
      <c r="T1127" s="66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T1127" s="18" t="s">
        <v>137</v>
      </c>
      <c r="AU1127" s="18" t="s">
        <v>82</v>
      </c>
    </row>
    <row r="1128" spans="1:65" s="13" customFormat="1" ht="10">
      <c r="B1128" s="192"/>
      <c r="C1128" s="193"/>
      <c r="D1128" s="194" t="s">
        <v>139</v>
      </c>
      <c r="E1128" s="195" t="s">
        <v>19</v>
      </c>
      <c r="F1128" s="196" t="s">
        <v>2364</v>
      </c>
      <c r="G1128" s="193"/>
      <c r="H1128" s="197">
        <v>26.44</v>
      </c>
      <c r="I1128" s="198"/>
      <c r="J1128" s="193"/>
      <c r="K1128" s="193"/>
      <c r="L1128" s="199"/>
      <c r="M1128" s="200"/>
      <c r="N1128" s="201"/>
      <c r="O1128" s="201"/>
      <c r="P1128" s="201"/>
      <c r="Q1128" s="201"/>
      <c r="R1128" s="201"/>
      <c r="S1128" s="201"/>
      <c r="T1128" s="202"/>
      <c r="AT1128" s="203" t="s">
        <v>139</v>
      </c>
      <c r="AU1128" s="203" t="s">
        <v>82</v>
      </c>
      <c r="AV1128" s="13" t="s">
        <v>82</v>
      </c>
      <c r="AW1128" s="13" t="s">
        <v>34</v>
      </c>
      <c r="AX1128" s="13" t="s">
        <v>80</v>
      </c>
      <c r="AY1128" s="203" t="s">
        <v>128</v>
      </c>
    </row>
    <row r="1129" spans="1:65" s="2" customFormat="1" ht="16.5" customHeight="1">
      <c r="A1129" s="35"/>
      <c r="B1129" s="36"/>
      <c r="C1129" s="174" t="s">
        <v>2365</v>
      </c>
      <c r="D1129" s="174" t="s">
        <v>130</v>
      </c>
      <c r="E1129" s="175" t="s">
        <v>2366</v>
      </c>
      <c r="F1129" s="176" t="s">
        <v>2367</v>
      </c>
      <c r="G1129" s="177" t="s">
        <v>133</v>
      </c>
      <c r="H1129" s="178">
        <v>26.44</v>
      </c>
      <c r="I1129" s="179"/>
      <c r="J1129" s="180">
        <f>ROUND(I1129*H1129,2)</f>
        <v>0</v>
      </c>
      <c r="K1129" s="176" t="s">
        <v>134</v>
      </c>
      <c r="L1129" s="40"/>
      <c r="M1129" s="181" t="s">
        <v>19</v>
      </c>
      <c r="N1129" s="182" t="s">
        <v>43</v>
      </c>
      <c r="O1129" s="65"/>
      <c r="P1129" s="183">
        <f>O1129*H1129</f>
        <v>0</v>
      </c>
      <c r="Q1129" s="183">
        <v>2.9999999999999997E-4</v>
      </c>
      <c r="R1129" s="183">
        <f>Q1129*H1129</f>
        <v>7.9319999999999998E-3</v>
      </c>
      <c r="S1129" s="183">
        <v>0</v>
      </c>
      <c r="T1129" s="184">
        <f>S1129*H1129</f>
        <v>0</v>
      </c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R1129" s="185" t="s">
        <v>230</v>
      </c>
      <c r="AT1129" s="185" t="s">
        <v>130</v>
      </c>
      <c r="AU1129" s="185" t="s">
        <v>82</v>
      </c>
      <c r="AY1129" s="18" t="s">
        <v>128</v>
      </c>
      <c r="BE1129" s="186">
        <f>IF(N1129="základní",J1129,0)</f>
        <v>0</v>
      </c>
      <c r="BF1129" s="186">
        <f>IF(N1129="snížená",J1129,0)</f>
        <v>0</v>
      </c>
      <c r="BG1129" s="186">
        <f>IF(N1129="zákl. přenesená",J1129,0)</f>
        <v>0</v>
      </c>
      <c r="BH1129" s="186">
        <f>IF(N1129="sníž. přenesená",J1129,0)</f>
        <v>0</v>
      </c>
      <c r="BI1129" s="186">
        <f>IF(N1129="nulová",J1129,0)</f>
        <v>0</v>
      </c>
      <c r="BJ1129" s="18" t="s">
        <v>80</v>
      </c>
      <c r="BK1129" s="186">
        <f>ROUND(I1129*H1129,2)</f>
        <v>0</v>
      </c>
      <c r="BL1129" s="18" t="s">
        <v>230</v>
      </c>
      <c r="BM1129" s="185" t="s">
        <v>2368</v>
      </c>
    </row>
    <row r="1130" spans="1:65" s="2" customFormat="1" ht="10">
      <c r="A1130" s="35"/>
      <c r="B1130" s="36"/>
      <c r="C1130" s="37"/>
      <c r="D1130" s="187" t="s">
        <v>137</v>
      </c>
      <c r="E1130" s="37"/>
      <c r="F1130" s="188" t="s">
        <v>2369</v>
      </c>
      <c r="G1130" s="37"/>
      <c r="H1130" s="37"/>
      <c r="I1130" s="189"/>
      <c r="J1130" s="37"/>
      <c r="K1130" s="37"/>
      <c r="L1130" s="40"/>
      <c r="M1130" s="190"/>
      <c r="N1130" s="191"/>
      <c r="O1130" s="65"/>
      <c r="P1130" s="65"/>
      <c r="Q1130" s="65"/>
      <c r="R1130" s="65"/>
      <c r="S1130" s="65"/>
      <c r="T1130" s="66"/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T1130" s="18" t="s">
        <v>137</v>
      </c>
      <c r="AU1130" s="18" t="s">
        <v>82</v>
      </c>
    </row>
    <row r="1131" spans="1:65" s="13" customFormat="1" ht="10">
      <c r="B1131" s="192"/>
      <c r="C1131" s="193"/>
      <c r="D1131" s="194" t="s">
        <v>139</v>
      </c>
      <c r="E1131" s="195" t="s">
        <v>19</v>
      </c>
      <c r="F1131" s="196" t="s">
        <v>2364</v>
      </c>
      <c r="G1131" s="193"/>
      <c r="H1131" s="197">
        <v>26.44</v>
      </c>
      <c r="I1131" s="198"/>
      <c r="J1131" s="193"/>
      <c r="K1131" s="193"/>
      <c r="L1131" s="199"/>
      <c r="M1131" s="200"/>
      <c r="N1131" s="201"/>
      <c r="O1131" s="201"/>
      <c r="P1131" s="201"/>
      <c r="Q1131" s="201"/>
      <c r="R1131" s="201"/>
      <c r="S1131" s="201"/>
      <c r="T1131" s="202"/>
      <c r="AT1131" s="203" t="s">
        <v>139</v>
      </c>
      <c r="AU1131" s="203" t="s">
        <v>82</v>
      </c>
      <c r="AV1131" s="13" t="s">
        <v>82</v>
      </c>
      <c r="AW1131" s="13" t="s">
        <v>34</v>
      </c>
      <c r="AX1131" s="13" t="s">
        <v>80</v>
      </c>
      <c r="AY1131" s="203" t="s">
        <v>128</v>
      </c>
    </row>
    <row r="1132" spans="1:65" s="2" customFormat="1" ht="16.5" customHeight="1">
      <c r="A1132" s="35"/>
      <c r="B1132" s="36"/>
      <c r="C1132" s="174" t="s">
        <v>2370</v>
      </c>
      <c r="D1132" s="174" t="s">
        <v>130</v>
      </c>
      <c r="E1132" s="175" t="s">
        <v>2371</v>
      </c>
      <c r="F1132" s="176" t="s">
        <v>2372</v>
      </c>
      <c r="G1132" s="177" t="s">
        <v>133</v>
      </c>
      <c r="H1132" s="178">
        <v>26.44</v>
      </c>
      <c r="I1132" s="179"/>
      <c r="J1132" s="180">
        <f>ROUND(I1132*H1132,2)</f>
        <v>0</v>
      </c>
      <c r="K1132" s="176" t="s">
        <v>134</v>
      </c>
      <c r="L1132" s="40"/>
      <c r="M1132" s="181" t="s">
        <v>19</v>
      </c>
      <c r="N1132" s="182" t="s">
        <v>43</v>
      </c>
      <c r="O1132" s="65"/>
      <c r="P1132" s="183">
        <f>O1132*H1132</f>
        <v>0</v>
      </c>
      <c r="Q1132" s="183">
        <v>3.2000000000000002E-3</v>
      </c>
      <c r="R1132" s="183">
        <f>Q1132*H1132</f>
        <v>8.4608000000000003E-2</v>
      </c>
      <c r="S1132" s="183">
        <v>0</v>
      </c>
      <c r="T1132" s="184">
        <f>S1132*H1132</f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185" t="s">
        <v>230</v>
      </c>
      <c r="AT1132" s="185" t="s">
        <v>130</v>
      </c>
      <c r="AU1132" s="185" t="s">
        <v>82</v>
      </c>
      <c r="AY1132" s="18" t="s">
        <v>128</v>
      </c>
      <c r="BE1132" s="186">
        <f>IF(N1132="základní",J1132,0)</f>
        <v>0</v>
      </c>
      <c r="BF1132" s="186">
        <f>IF(N1132="snížená",J1132,0)</f>
        <v>0</v>
      </c>
      <c r="BG1132" s="186">
        <f>IF(N1132="zákl. přenesená",J1132,0)</f>
        <v>0</v>
      </c>
      <c r="BH1132" s="186">
        <f>IF(N1132="sníž. přenesená",J1132,0)</f>
        <v>0</v>
      </c>
      <c r="BI1132" s="186">
        <f>IF(N1132="nulová",J1132,0)</f>
        <v>0</v>
      </c>
      <c r="BJ1132" s="18" t="s">
        <v>80</v>
      </c>
      <c r="BK1132" s="186">
        <f>ROUND(I1132*H1132,2)</f>
        <v>0</v>
      </c>
      <c r="BL1132" s="18" t="s">
        <v>230</v>
      </c>
      <c r="BM1132" s="185" t="s">
        <v>2373</v>
      </c>
    </row>
    <row r="1133" spans="1:65" s="2" customFormat="1" ht="10">
      <c r="A1133" s="35"/>
      <c r="B1133" s="36"/>
      <c r="C1133" s="37"/>
      <c r="D1133" s="187" t="s">
        <v>137</v>
      </c>
      <c r="E1133" s="37"/>
      <c r="F1133" s="188" t="s">
        <v>2374</v>
      </c>
      <c r="G1133" s="37"/>
      <c r="H1133" s="37"/>
      <c r="I1133" s="189"/>
      <c r="J1133" s="37"/>
      <c r="K1133" s="37"/>
      <c r="L1133" s="40"/>
      <c r="M1133" s="190"/>
      <c r="N1133" s="191"/>
      <c r="O1133" s="65"/>
      <c r="P1133" s="65"/>
      <c r="Q1133" s="65"/>
      <c r="R1133" s="65"/>
      <c r="S1133" s="65"/>
      <c r="T1133" s="66"/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T1133" s="18" t="s">
        <v>137</v>
      </c>
      <c r="AU1133" s="18" t="s">
        <v>82</v>
      </c>
    </row>
    <row r="1134" spans="1:65" s="13" customFormat="1" ht="10">
      <c r="B1134" s="192"/>
      <c r="C1134" s="193"/>
      <c r="D1134" s="194" t="s">
        <v>139</v>
      </c>
      <c r="E1134" s="195" t="s">
        <v>19</v>
      </c>
      <c r="F1134" s="196" t="s">
        <v>2364</v>
      </c>
      <c r="G1134" s="193"/>
      <c r="H1134" s="197">
        <v>26.44</v>
      </c>
      <c r="I1134" s="198"/>
      <c r="J1134" s="193"/>
      <c r="K1134" s="193"/>
      <c r="L1134" s="199"/>
      <c r="M1134" s="200"/>
      <c r="N1134" s="201"/>
      <c r="O1134" s="201"/>
      <c r="P1134" s="201"/>
      <c r="Q1134" s="201"/>
      <c r="R1134" s="201"/>
      <c r="S1134" s="201"/>
      <c r="T1134" s="202"/>
      <c r="AT1134" s="203" t="s">
        <v>139</v>
      </c>
      <c r="AU1134" s="203" t="s">
        <v>82</v>
      </c>
      <c r="AV1134" s="13" t="s">
        <v>82</v>
      </c>
      <c r="AW1134" s="13" t="s">
        <v>34</v>
      </c>
      <c r="AX1134" s="13" t="s">
        <v>80</v>
      </c>
      <c r="AY1134" s="203" t="s">
        <v>128</v>
      </c>
    </row>
    <row r="1135" spans="1:65" s="2" customFormat="1" ht="16.5" customHeight="1">
      <c r="A1135" s="35"/>
      <c r="B1135" s="36"/>
      <c r="C1135" s="174" t="s">
        <v>2375</v>
      </c>
      <c r="D1135" s="174" t="s">
        <v>130</v>
      </c>
      <c r="E1135" s="175" t="s">
        <v>2376</v>
      </c>
      <c r="F1135" s="176" t="s">
        <v>2377</v>
      </c>
      <c r="G1135" s="177" t="s">
        <v>133</v>
      </c>
      <c r="H1135" s="178">
        <v>26.44</v>
      </c>
      <c r="I1135" s="179"/>
      <c r="J1135" s="180">
        <f>ROUND(I1135*H1135,2)</f>
        <v>0</v>
      </c>
      <c r="K1135" s="176" t="s">
        <v>134</v>
      </c>
      <c r="L1135" s="40"/>
      <c r="M1135" s="181" t="s">
        <v>19</v>
      </c>
      <c r="N1135" s="182" t="s">
        <v>43</v>
      </c>
      <c r="O1135" s="65"/>
      <c r="P1135" s="183">
        <f>O1135*H1135</f>
        <v>0</v>
      </c>
      <c r="Q1135" s="183">
        <v>2.4000000000000001E-4</v>
      </c>
      <c r="R1135" s="183">
        <f>Q1135*H1135</f>
        <v>6.3456000000000007E-3</v>
      </c>
      <c r="S1135" s="183">
        <v>0</v>
      </c>
      <c r="T1135" s="184">
        <f>S1135*H1135</f>
        <v>0</v>
      </c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R1135" s="185" t="s">
        <v>230</v>
      </c>
      <c r="AT1135" s="185" t="s">
        <v>130</v>
      </c>
      <c r="AU1135" s="185" t="s">
        <v>82</v>
      </c>
      <c r="AY1135" s="18" t="s">
        <v>128</v>
      </c>
      <c r="BE1135" s="186">
        <f>IF(N1135="základní",J1135,0)</f>
        <v>0</v>
      </c>
      <c r="BF1135" s="186">
        <f>IF(N1135="snížená",J1135,0)</f>
        <v>0</v>
      </c>
      <c r="BG1135" s="186">
        <f>IF(N1135="zákl. přenesená",J1135,0)</f>
        <v>0</v>
      </c>
      <c r="BH1135" s="186">
        <f>IF(N1135="sníž. přenesená",J1135,0)</f>
        <v>0</v>
      </c>
      <c r="BI1135" s="186">
        <f>IF(N1135="nulová",J1135,0)</f>
        <v>0</v>
      </c>
      <c r="BJ1135" s="18" t="s">
        <v>80</v>
      </c>
      <c r="BK1135" s="186">
        <f>ROUND(I1135*H1135,2)</f>
        <v>0</v>
      </c>
      <c r="BL1135" s="18" t="s">
        <v>230</v>
      </c>
      <c r="BM1135" s="185" t="s">
        <v>2378</v>
      </c>
    </row>
    <row r="1136" spans="1:65" s="2" customFormat="1" ht="10">
      <c r="A1136" s="35"/>
      <c r="B1136" s="36"/>
      <c r="C1136" s="37"/>
      <c r="D1136" s="187" t="s">
        <v>137</v>
      </c>
      <c r="E1136" s="37"/>
      <c r="F1136" s="188" t="s">
        <v>2379</v>
      </c>
      <c r="G1136" s="37"/>
      <c r="H1136" s="37"/>
      <c r="I1136" s="189"/>
      <c r="J1136" s="37"/>
      <c r="K1136" s="37"/>
      <c r="L1136" s="40"/>
      <c r="M1136" s="190"/>
      <c r="N1136" s="191"/>
      <c r="O1136" s="65"/>
      <c r="P1136" s="65"/>
      <c r="Q1136" s="65"/>
      <c r="R1136" s="65"/>
      <c r="S1136" s="65"/>
      <c r="T1136" s="66"/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T1136" s="18" t="s">
        <v>137</v>
      </c>
      <c r="AU1136" s="18" t="s">
        <v>82</v>
      </c>
    </row>
    <row r="1137" spans="1:65" s="13" customFormat="1" ht="10">
      <c r="B1137" s="192"/>
      <c r="C1137" s="193"/>
      <c r="D1137" s="194" t="s">
        <v>139</v>
      </c>
      <c r="E1137" s="195" t="s">
        <v>19</v>
      </c>
      <c r="F1137" s="196" t="s">
        <v>2364</v>
      </c>
      <c r="G1137" s="193"/>
      <c r="H1137" s="197">
        <v>26.44</v>
      </c>
      <c r="I1137" s="198"/>
      <c r="J1137" s="193"/>
      <c r="K1137" s="193"/>
      <c r="L1137" s="199"/>
      <c r="M1137" s="200"/>
      <c r="N1137" s="201"/>
      <c r="O1137" s="201"/>
      <c r="P1137" s="201"/>
      <c r="Q1137" s="201"/>
      <c r="R1137" s="201"/>
      <c r="S1137" s="201"/>
      <c r="T1137" s="202"/>
      <c r="AT1137" s="203" t="s">
        <v>139</v>
      </c>
      <c r="AU1137" s="203" t="s">
        <v>82</v>
      </c>
      <c r="AV1137" s="13" t="s">
        <v>82</v>
      </c>
      <c r="AW1137" s="13" t="s">
        <v>34</v>
      </c>
      <c r="AX1137" s="13" t="s">
        <v>80</v>
      </c>
      <c r="AY1137" s="203" t="s">
        <v>128</v>
      </c>
    </row>
    <row r="1138" spans="1:65" s="2" customFormat="1" ht="24.15" customHeight="1">
      <c r="A1138" s="35"/>
      <c r="B1138" s="36"/>
      <c r="C1138" s="174" t="s">
        <v>2380</v>
      </c>
      <c r="D1138" s="174" t="s">
        <v>130</v>
      </c>
      <c r="E1138" s="175" t="s">
        <v>2381</v>
      </c>
      <c r="F1138" s="176" t="s">
        <v>2382</v>
      </c>
      <c r="G1138" s="177" t="s">
        <v>258</v>
      </c>
      <c r="H1138" s="178">
        <v>29.54</v>
      </c>
      <c r="I1138" s="179"/>
      <c r="J1138" s="180">
        <f>ROUND(I1138*H1138,2)</f>
        <v>0</v>
      </c>
      <c r="K1138" s="176" t="s">
        <v>134</v>
      </c>
      <c r="L1138" s="40"/>
      <c r="M1138" s="181" t="s">
        <v>19</v>
      </c>
      <c r="N1138" s="182" t="s">
        <v>43</v>
      </c>
      <c r="O1138" s="65"/>
      <c r="P1138" s="183">
        <f>O1138*H1138</f>
        <v>0</v>
      </c>
      <c r="Q1138" s="183">
        <v>3.46E-3</v>
      </c>
      <c r="R1138" s="183">
        <f>Q1138*H1138</f>
        <v>0.10220839999999999</v>
      </c>
      <c r="S1138" s="183">
        <v>0</v>
      </c>
      <c r="T1138" s="184">
        <f>S1138*H1138</f>
        <v>0</v>
      </c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R1138" s="185" t="s">
        <v>230</v>
      </c>
      <c r="AT1138" s="185" t="s">
        <v>130</v>
      </c>
      <c r="AU1138" s="185" t="s">
        <v>82</v>
      </c>
      <c r="AY1138" s="18" t="s">
        <v>128</v>
      </c>
      <c r="BE1138" s="186">
        <f>IF(N1138="základní",J1138,0)</f>
        <v>0</v>
      </c>
      <c r="BF1138" s="186">
        <f>IF(N1138="snížená",J1138,0)</f>
        <v>0</v>
      </c>
      <c r="BG1138" s="186">
        <f>IF(N1138="zákl. přenesená",J1138,0)</f>
        <v>0</v>
      </c>
      <c r="BH1138" s="186">
        <f>IF(N1138="sníž. přenesená",J1138,0)</f>
        <v>0</v>
      </c>
      <c r="BI1138" s="186">
        <f>IF(N1138="nulová",J1138,0)</f>
        <v>0</v>
      </c>
      <c r="BJ1138" s="18" t="s">
        <v>80</v>
      </c>
      <c r="BK1138" s="186">
        <f>ROUND(I1138*H1138,2)</f>
        <v>0</v>
      </c>
      <c r="BL1138" s="18" t="s">
        <v>230</v>
      </c>
      <c r="BM1138" s="185" t="s">
        <v>2383</v>
      </c>
    </row>
    <row r="1139" spans="1:65" s="2" customFormat="1" ht="10">
      <c r="A1139" s="35"/>
      <c r="B1139" s="36"/>
      <c r="C1139" s="37"/>
      <c r="D1139" s="187" t="s">
        <v>137</v>
      </c>
      <c r="E1139" s="37"/>
      <c r="F1139" s="188" t="s">
        <v>2384</v>
      </c>
      <c r="G1139" s="37"/>
      <c r="H1139" s="37"/>
      <c r="I1139" s="189"/>
      <c r="J1139" s="37"/>
      <c r="K1139" s="37"/>
      <c r="L1139" s="40"/>
      <c r="M1139" s="190"/>
      <c r="N1139" s="191"/>
      <c r="O1139" s="65"/>
      <c r="P1139" s="65"/>
      <c r="Q1139" s="65"/>
      <c r="R1139" s="65"/>
      <c r="S1139" s="65"/>
      <c r="T1139" s="66"/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T1139" s="18" t="s">
        <v>137</v>
      </c>
      <c r="AU1139" s="18" t="s">
        <v>82</v>
      </c>
    </row>
    <row r="1140" spans="1:65" s="13" customFormat="1" ht="10">
      <c r="B1140" s="192"/>
      <c r="C1140" s="193"/>
      <c r="D1140" s="194" t="s">
        <v>139</v>
      </c>
      <c r="E1140" s="195" t="s">
        <v>19</v>
      </c>
      <c r="F1140" s="196" t="s">
        <v>2385</v>
      </c>
      <c r="G1140" s="193"/>
      <c r="H1140" s="197">
        <v>29.54</v>
      </c>
      <c r="I1140" s="198"/>
      <c r="J1140" s="193"/>
      <c r="K1140" s="193"/>
      <c r="L1140" s="199"/>
      <c r="M1140" s="200"/>
      <c r="N1140" s="201"/>
      <c r="O1140" s="201"/>
      <c r="P1140" s="201"/>
      <c r="Q1140" s="201"/>
      <c r="R1140" s="201"/>
      <c r="S1140" s="201"/>
      <c r="T1140" s="202"/>
      <c r="AT1140" s="203" t="s">
        <v>139</v>
      </c>
      <c r="AU1140" s="203" t="s">
        <v>82</v>
      </c>
      <c r="AV1140" s="13" t="s">
        <v>82</v>
      </c>
      <c r="AW1140" s="13" t="s">
        <v>34</v>
      </c>
      <c r="AX1140" s="13" t="s">
        <v>80</v>
      </c>
      <c r="AY1140" s="203" t="s">
        <v>128</v>
      </c>
    </row>
    <row r="1141" spans="1:65" s="2" customFormat="1" ht="24.15" customHeight="1">
      <c r="A1141" s="35"/>
      <c r="B1141" s="36"/>
      <c r="C1141" s="174" t="s">
        <v>2386</v>
      </c>
      <c r="D1141" s="174" t="s">
        <v>130</v>
      </c>
      <c r="E1141" s="175" t="s">
        <v>2387</v>
      </c>
      <c r="F1141" s="176" t="s">
        <v>2388</v>
      </c>
      <c r="G1141" s="177" t="s">
        <v>426</v>
      </c>
      <c r="H1141" s="225"/>
      <c r="I1141" s="179"/>
      <c r="J1141" s="180">
        <f>ROUND(I1141*H1141,2)</f>
        <v>0</v>
      </c>
      <c r="K1141" s="176" t="s">
        <v>134</v>
      </c>
      <c r="L1141" s="40"/>
      <c r="M1141" s="181" t="s">
        <v>19</v>
      </c>
      <c r="N1141" s="182" t="s">
        <v>43</v>
      </c>
      <c r="O1141" s="65"/>
      <c r="P1141" s="183">
        <f>O1141*H1141</f>
        <v>0</v>
      </c>
      <c r="Q1141" s="183">
        <v>0</v>
      </c>
      <c r="R1141" s="183">
        <f>Q1141*H1141</f>
        <v>0</v>
      </c>
      <c r="S1141" s="183">
        <v>0</v>
      </c>
      <c r="T1141" s="184">
        <f>S1141*H1141</f>
        <v>0</v>
      </c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R1141" s="185" t="s">
        <v>230</v>
      </c>
      <c r="AT1141" s="185" t="s">
        <v>130</v>
      </c>
      <c r="AU1141" s="185" t="s">
        <v>82</v>
      </c>
      <c r="AY1141" s="18" t="s">
        <v>128</v>
      </c>
      <c r="BE1141" s="186">
        <f>IF(N1141="základní",J1141,0)</f>
        <v>0</v>
      </c>
      <c r="BF1141" s="186">
        <f>IF(N1141="snížená",J1141,0)</f>
        <v>0</v>
      </c>
      <c r="BG1141" s="186">
        <f>IF(N1141="zákl. přenesená",J1141,0)</f>
        <v>0</v>
      </c>
      <c r="BH1141" s="186">
        <f>IF(N1141="sníž. přenesená",J1141,0)</f>
        <v>0</v>
      </c>
      <c r="BI1141" s="186">
        <f>IF(N1141="nulová",J1141,0)</f>
        <v>0</v>
      </c>
      <c r="BJ1141" s="18" t="s">
        <v>80</v>
      </c>
      <c r="BK1141" s="186">
        <f>ROUND(I1141*H1141,2)</f>
        <v>0</v>
      </c>
      <c r="BL1141" s="18" t="s">
        <v>230</v>
      </c>
      <c r="BM1141" s="185" t="s">
        <v>2389</v>
      </c>
    </row>
    <row r="1142" spans="1:65" s="2" customFormat="1" ht="10">
      <c r="A1142" s="35"/>
      <c r="B1142" s="36"/>
      <c r="C1142" s="37"/>
      <c r="D1142" s="187" t="s">
        <v>137</v>
      </c>
      <c r="E1142" s="37"/>
      <c r="F1142" s="188" t="s">
        <v>2390</v>
      </c>
      <c r="G1142" s="37"/>
      <c r="H1142" s="37"/>
      <c r="I1142" s="189"/>
      <c r="J1142" s="37"/>
      <c r="K1142" s="37"/>
      <c r="L1142" s="40"/>
      <c r="M1142" s="190"/>
      <c r="N1142" s="191"/>
      <c r="O1142" s="65"/>
      <c r="P1142" s="65"/>
      <c r="Q1142" s="65"/>
      <c r="R1142" s="65"/>
      <c r="S1142" s="65"/>
      <c r="T1142" s="66"/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T1142" s="18" t="s">
        <v>137</v>
      </c>
      <c r="AU1142" s="18" t="s">
        <v>82</v>
      </c>
    </row>
    <row r="1143" spans="1:65" s="12" customFormat="1" ht="22.75" customHeight="1">
      <c r="B1143" s="158"/>
      <c r="C1143" s="159"/>
      <c r="D1143" s="160" t="s">
        <v>71</v>
      </c>
      <c r="E1143" s="172" t="s">
        <v>2391</v>
      </c>
      <c r="F1143" s="172" t="s">
        <v>2392</v>
      </c>
      <c r="G1143" s="159"/>
      <c r="H1143" s="159"/>
      <c r="I1143" s="162"/>
      <c r="J1143" s="173">
        <f>BK1143</f>
        <v>0</v>
      </c>
      <c r="K1143" s="159"/>
      <c r="L1143" s="164"/>
      <c r="M1143" s="165"/>
      <c r="N1143" s="166"/>
      <c r="O1143" s="166"/>
      <c r="P1143" s="167">
        <f>SUM(P1144:P1180)</f>
        <v>0</v>
      </c>
      <c r="Q1143" s="166"/>
      <c r="R1143" s="167">
        <f>SUM(R1144:R1180)</f>
        <v>2.0207411999999998</v>
      </c>
      <c r="S1143" s="166"/>
      <c r="T1143" s="168">
        <f>SUM(T1144:T1180)</f>
        <v>0</v>
      </c>
      <c r="AR1143" s="169" t="s">
        <v>82</v>
      </c>
      <c r="AT1143" s="170" t="s">
        <v>71</v>
      </c>
      <c r="AU1143" s="170" t="s">
        <v>80</v>
      </c>
      <c r="AY1143" s="169" t="s">
        <v>128</v>
      </c>
      <c r="BK1143" s="171">
        <f>SUM(BK1144:BK1180)</f>
        <v>0</v>
      </c>
    </row>
    <row r="1144" spans="1:65" s="2" customFormat="1" ht="16.5" customHeight="1">
      <c r="A1144" s="35"/>
      <c r="B1144" s="36"/>
      <c r="C1144" s="174" t="s">
        <v>2393</v>
      </c>
      <c r="D1144" s="174" t="s">
        <v>130</v>
      </c>
      <c r="E1144" s="175" t="s">
        <v>2394</v>
      </c>
      <c r="F1144" s="176" t="s">
        <v>2395</v>
      </c>
      <c r="G1144" s="177" t="s">
        <v>133</v>
      </c>
      <c r="H1144" s="178">
        <v>103.39</v>
      </c>
      <c r="I1144" s="179"/>
      <c r="J1144" s="180">
        <f>ROUND(I1144*H1144,2)</f>
        <v>0</v>
      </c>
      <c r="K1144" s="176" t="s">
        <v>134</v>
      </c>
      <c r="L1144" s="40"/>
      <c r="M1144" s="181" t="s">
        <v>19</v>
      </c>
      <c r="N1144" s="182" t="s">
        <v>43</v>
      </c>
      <c r="O1144" s="65"/>
      <c r="P1144" s="183">
        <f>O1144*H1144</f>
        <v>0</v>
      </c>
      <c r="Q1144" s="183">
        <v>0</v>
      </c>
      <c r="R1144" s="183">
        <f>Q1144*H1144</f>
        <v>0</v>
      </c>
      <c r="S1144" s="183">
        <v>0</v>
      </c>
      <c r="T1144" s="184">
        <f>S1144*H1144</f>
        <v>0</v>
      </c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R1144" s="185" t="s">
        <v>230</v>
      </c>
      <c r="AT1144" s="185" t="s">
        <v>130</v>
      </c>
      <c r="AU1144" s="185" t="s">
        <v>82</v>
      </c>
      <c r="AY1144" s="18" t="s">
        <v>128</v>
      </c>
      <c r="BE1144" s="186">
        <f>IF(N1144="základní",J1144,0)</f>
        <v>0</v>
      </c>
      <c r="BF1144" s="186">
        <f>IF(N1144="snížená",J1144,0)</f>
        <v>0</v>
      </c>
      <c r="BG1144" s="186">
        <f>IF(N1144="zákl. přenesená",J1144,0)</f>
        <v>0</v>
      </c>
      <c r="BH1144" s="186">
        <f>IF(N1144="sníž. přenesená",J1144,0)</f>
        <v>0</v>
      </c>
      <c r="BI1144" s="186">
        <f>IF(N1144="nulová",J1144,0)</f>
        <v>0</v>
      </c>
      <c r="BJ1144" s="18" t="s">
        <v>80</v>
      </c>
      <c r="BK1144" s="186">
        <f>ROUND(I1144*H1144,2)</f>
        <v>0</v>
      </c>
      <c r="BL1144" s="18" t="s">
        <v>230</v>
      </c>
      <c r="BM1144" s="185" t="s">
        <v>2396</v>
      </c>
    </row>
    <row r="1145" spans="1:65" s="2" customFormat="1" ht="10">
      <c r="A1145" s="35"/>
      <c r="B1145" s="36"/>
      <c r="C1145" s="37"/>
      <c r="D1145" s="187" t="s">
        <v>137</v>
      </c>
      <c r="E1145" s="37"/>
      <c r="F1145" s="188" t="s">
        <v>2397</v>
      </c>
      <c r="G1145" s="37"/>
      <c r="H1145" s="37"/>
      <c r="I1145" s="189"/>
      <c r="J1145" s="37"/>
      <c r="K1145" s="37"/>
      <c r="L1145" s="40"/>
      <c r="M1145" s="190"/>
      <c r="N1145" s="191"/>
      <c r="O1145" s="65"/>
      <c r="P1145" s="65"/>
      <c r="Q1145" s="65"/>
      <c r="R1145" s="65"/>
      <c r="S1145" s="65"/>
      <c r="T1145" s="66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T1145" s="18" t="s">
        <v>137</v>
      </c>
      <c r="AU1145" s="18" t="s">
        <v>82</v>
      </c>
    </row>
    <row r="1146" spans="1:65" s="13" customFormat="1" ht="10">
      <c r="B1146" s="192"/>
      <c r="C1146" s="193"/>
      <c r="D1146" s="194" t="s">
        <v>139</v>
      </c>
      <c r="E1146" s="195" t="s">
        <v>19</v>
      </c>
      <c r="F1146" s="196" t="s">
        <v>2398</v>
      </c>
      <c r="G1146" s="193"/>
      <c r="H1146" s="197">
        <v>89.89</v>
      </c>
      <c r="I1146" s="198"/>
      <c r="J1146" s="193"/>
      <c r="K1146" s="193"/>
      <c r="L1146" s="199"/>
      <c r="M1146" s="200"/>
      <c r="N1146" s="201"/>
      <c r="O1146" s="201"/>
      <c r="P1146" s="201"/>
      <c r="Q1146" s="201"/>
      <c r="R1146" s="201"/>
      <c r="S1146" s="201"/>
      <c r="T1146" s="202"/>
      <c r="AT1146" s="203" t="s">
        <v>139</v>
      </c>
      <c r="AU1146" s="203" t="s">
        <v>82</v>
      </c>
      <c r="AV1146" s="13" t="s">
        <v>82</v>
      </c>
      <c r="AW1146" s="13" t="s">
        <v>34</v>
      </c>
      <c r="AX1146" s="13" t="s">
        <v>72</v>
      </c>
      <c r="AY1146" s="203" t="s">
        <v>128</v>
      </c>
    </row>
    <row r="1147" spans="1:65" s="13" customFormat="1" ht="10">
      <c r="B1147" s="192"/>
      <c r="C1147" s="193"/>
      <c r="D1147" s="194" t="s">
        <v>139</v>
      </c>
      <c r="E1147" s="195" t="s">
        <v>19</v>
      </c>
      <c r="F1147" s="196" t="s">
        <v>1423</v>
      </c>
      <c r="G1147" s="193"/>
      <c r="H1147" s="197">
        <v>13.5</v>
      </c>
      <c r="I1147" s="198"/>
      <c r="J1147" s="193"/>
      <c r="K1147" s="193"/>
      <c r="L1147" s="199"/>
      <c r="M1147" s="200"/>
      <c r="N1147" s="201"/>
      <c r="O1147" s="201"/>
      <c r="P1147" s="201"/>
      <c r="Q1147" s="201"/>
      <c r="R1147" s="201"/>
      <c r="S1147" s="201"/>
      <c r="T1147" s="202"/>
      <c r="AT1147" s="203" t="s">
        <v>139</v>
      </c>
      <c r="AU1147" s="203" t="s">
        <v>82</v>
      </c>
      <c r="AV1147" s="13" t="s">
        <v>82</v>
      </c>
      <c r="AW1147" s="13" t="s">
        <v>34</v>
      </c>
      <c r="AX1147" s="13" t="s">
        <v>72</v>
      </c>
      <c r="AY1147" s="203" t="s">
        <v>128</v>
      </c>
    </row>
    <row r="1148" spans="1:65" s="14" customFormat="1" ht="10">
      <c r="B1148" s="204"/>
      <c r="C1148" s="205"/>
      <c r="D1148" s="194" t="s">
        <v>139</v>
      </c>
      <c r="E1148" s="206" t="s">
        <v>19</v>
      </c>
      <c r="F1148" s="207" t="s">
        <v>153</v>
      </c>
      <c r="G1148" s="205"/>
      <c r="H1148" s="208">
        <v>103.39</v>
      </c>
      <c r="I1148" s="209"/>
      <c r="J1148" s="205"/>
      <c r="K1148" s="205"/>
      <c r="L1148" s="210"/>
      <c r="M1148" s="211"/>
      <c r="N1148" s="212"/>
      <c r="O1148" s="212"/>
      <c r="P1148" s="212"/>
      <c r="Q1148" s="212"/>
      <c r="R1148" s="212"/>
      <c r="S1148" s="212"/>
      <c r="T1148" s="213"/>
      <c r="AT1148" s="214" t="s">
        <v>139</v>
      </c>
      <c r="AU1148" s="214" t="s">
        <v>82</v>
      </c>
      <c r="AV1148" s="14" t="s">
        <v>135</v>
      </c>
      <c r="AW1148" s="14" t="s">
        <v>34</v>
      </c>
      <c r="AX1148" s="14" t="s">
        <v>80</v>
      </c>
      <c r="AY1148" s="214" t="s">
        <v>128</v>
      </c>
    </row>
    <row r="1149" spans="1:65" s="2" customFormat="1" ht="16.5" customHeight="1">
      <c r="A1149" s="35"/>
      <c r="B1149" s="36"/>
      <c r="C1149" s="174" t="s">
        <v>2399</v>
      </c>
      <c r="D1149" s="174" t="s">
        <v>130</v>
      </c>
      <c r="E1149" s="175" t="s">
        <v>2400</v>
      </c>
      <c r="F1149" s="176" t="s">
        <v>2401</v>
      </c>
      <c r="G1149" s="177" t="s">
        <v>133</v>
      </c>
      <c r="H1149" s="178">
        <v>103.39</v>
      </c>
      <c r="I1149" s="179"/>
      <c r="J1149" s="180">
        <f>ROUND(I1149*H1149,2)</f>
        <v>0</v>
      </c>
      <c r="K1149" s="176" t="s">
        <v>134</v>
      </c>
      <c r="L1149" s="40"/>
      <c r="M1149" s="181" t="s">
        <v>19</v>
      </c>
      <c r="N1149" s="182" t="s">
        <v>43</v>
      </c>
      <c r="O1149" s="65"/>
      <c r="P1149" s="183">
        <f>O1149*H1149</f>
        <v>0</v>
      </c>
      <c r="Q1149" s="183">
        <v>2.9999999999999997E-4</v>
      </c>
      <c r="R1149" s="183">
        <f>Q1149*H1149</f>
        <v>3.1016999999999996E-2</v>
      </c>
      <c r="S1149" s="183">
        <v>0</v>
      </c>
      <c r="T1149" s="184">
        <f>S1149*H1149</f>
        <v>0</v>
      </c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R1149" s="185" t="s">
        <v>230</v>
      </c>
      <c r="AT1149" s="185" t="s">
        <v>130</v>
      </c>
      <c r="AU1149" s="185" t="s">
        <v>82</v>
      </c>
      <c r="AY1149" s="18" t="s">
        <v>128</v>
      </c>
      <c r="BE1149" s="186">
        <f>IF(N1149="základní",J1149,0)</f>
        <v>0</v>
      </c>
      <c r="BF1149" s="186">
        <f>IF(N1149="snížená",J1149,0)</f>
        <v>0</v>
      </c>
      <c r="BG1149" s="186">
        <f>IF(N1149="zákl. přenesená",J1149,0)</f>
        <v>0</v>
      </c>
      <c r="BH1149" s="186">
        <f>IF(N1149="sníž. přenesená",J1149,0)</f>
        <v>0</v>
      </c>
      <c r="BI1149" s="186">
        <f>IF(N1149="nulová",J1149,0)</f>
        <v>0</v>
      </c>
      <c r="BJ1149" s="18" t="s">
        <v>80</v>
      </c>
      <c r="BK1149" s="186">
        <f>ROUND(I1149*H1149,2)</f>
        <v>0</v>
      </c>
      <c r="BL1149" s="18" t="s">
        <v>230</v>
      </c>
      <c r="BM1149" s="185" t="s">
        <v>2402</v>
      </c>
    </row>
    <row r="1150" spans="1:65" s="2" customFormat="1" ht="10">
      <c r="A1150" s="35"/>
      <c r="B1150" s="36"/>
      <c r="C1150" s="37"/>
      <c r="D1150" s="187" t="s">
        <v>137</v>
      </c>
      <c r="E1150" s="37"/>
      <c r="F1150" s="188" t="s">
        <v>2403</v>
      </c>
      <c r="G1150" s="37"/>
      <c r="H1150" s="37"/>
      <c r="I1150" s="189"/>
      <c r="J1150" s="37"/>
      <c r="K1150" s="37"/>
      <c r="L1150" s="40"/>
      <c r="M1150" s="190"/>
      <c r="N1150" s="191"/>
      <c r="O1150" s="65"/>
      <c r="P1150" s="65"/>
      <c r="Q1150" s="65"/>
      <c r="R1150" s="65"/>
      <c r="S1150" s="65"/>
      <c r="T1150" s="66"/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T1150" s="18" t="s">
        <v>137</v>
      </c>
      <c r="AU1150" s="18" t="s">
        <v>82</v>
      </c>
    </row>
    <row r="1151" spans="1:65" s="13" customFormat="1" ht="10">
      <c r="B1151" s="192"/>
      <c r="C1151" s="193"/>
      <c r="D1151" s="194" t="s">
        <v>139</v>
      </c>
      <c r="E1151" s="195" t="s">
        <v>19</v>
      </c>
      <c r="F1151" s="196" t="s">
        <v>2398</v>
      </c>
      <c r="G1151" s="193"/>
      <c r="H1151" s="197">
        <v>89.89</v>
      </c>
      <c r="I1151" s="198"/>
      <c r="J1151" s="193"/>
      <c r="K1151" s="193"/>
      <c r="L1151" s="199"/>
      <c r="M1151" s="200"/>
      <c r="N1151" s="201"/>
      <c r="O1151" s="201"/>
      <c r="P1151" s="201"/>
      <c r="Q1151" s="201"/>
      <c r="R1151" s="201"/>
      <c r="S1151" s="201"/>
      <c r="T1151" s="202"/>
      <c r="AT1151" s="203" t="s">
        <v>139</v>
      </c>
      <c r="AU1151" s="203" t="s">
        <v>82</v>
      </c>
      <c r="AV1151" s="13" t="s">
        <v>82</v>
      </c>
      <c r="AW1151" s="13" t="s">
        <v>34</v>
      </c>
      <c r="AX1151" s="13" t="s">
        <v>72</v>
      </c>
      <c r="AY1151" s="203" t="s">
        <v>128</v>
      </c>
    </row>
    <row r="1152" spans="1:65" s="13" customFormat="1" ht="10">
      <c r="B1152" s="192"/>
      <c r="C1152" s="193"/>
      <c r="D1152" s="194" t="s">
        <v>139</v>
      </c>
      <c r="E1152" s="195" t="s">
        <v>19</v>
      </c>
      <c r="F1152" s="196" t="s">
        <v>1423</v>
      </c>
      <c r="G1152" s="193"/>
      <c r="H1152" s="197">
        <v>13.5</v>
      </c>
      <c r="I1152" s="198"/>
      <c r="J1152" s="193"/>
      <c r="K1152" s="193"/>
      <c r="L1152" s="199"/>
      <c r="M1152" s="200"/>
      <c r="N1152" s="201"/>
      <c r="O1152" s="201"/>
      <c r="P1152" s="201"/>
      <c r="Q1152" s="201"/>
      <c r="R1152" s="201"/>
      <c r="S1152" s="201"/>
      <c r="T1152" s="202"/>
      <c r="AT1152" s="203" t="s">
        <v>139</v>
      </c>
      <c r="AU1152" s="203" t="s">
        <v>82</v>
      </c>
      <c r="AV1152" s="13" t="s">
        <v>82</v>
      </c>
      <c r="AW1152" s="13" t="s">
        <v>34</v>
      </c>
      <c r="AX1152" s="13" t="s">
        <v>72</v>
      </c>
      <c r="AY1152" s="203" t="s">
        <v>128</v>
      </c>
    </row>
    <row r="1153" spans="1:65" s="14" customFormat="1" ht="10">
      <c r="B1153" s="204"/>
      <c r="C1153" s="205"/>
      <c r="D1153" s="194" t="s">
        <v>139</v>
      </c>
      <c r="E1153" s="206" t="s">
        <v>19</v>
      </c>
      <c r="F1153" s="207" t="s">
        <v>153</v>
      </c>
      <c r="G1153" s="205"/>
      <c r="H1153" s="208">
        <v>103.39</v>
      </c>
      <c r="I1153" s="209"/>
      <c r="J1153" s="205"/>
      <c r="K1153" s="205"/>
      <c r="L1153" s="210"/>
      <c r="M1153" s="211"/>
      <c r="N1153" s="212"/>
      <c r="O1153" s="212"/>
      <c r="P1153" s="212"/>
      <c r="Q1153" s="212"/>
      <c r="R1153" s="212"/>
      <c r="S1153" s="212"/>
      <c r="T1153" s="213"/>
      <c r="AT1153" s="214" t="s">
        <v>139</v>
      </c>
      <c r="AU1153" s="214" t="s">
        <v>82</v>
      </c>
      <c r="AV1153" s="14" t="s">
        <v>135</v>
      </c>
      <c r="AW1153" s="14" t="s">
        <v>34</v>
      </c>
      <c r="AX1153" s="14" t="s">
        <v>80</v>
      </c>
      <c r="AY1153" s="214" t="s">
        <v>128</v>
      </c>
    </row>
    <row r="1154" spans="1:65" s="2" customFormat="1" ht="24.15" customHeight="1">
      <c r="A1154" s="35"/>
      <c r="B1154" s="36"/>
      <c r="C1154" s="174" t="s">
        <v>2404</v>
      </c>
      <c r="D1154" s="174" t="s">
        <v>130</v>
      </c>
      <c r="E1154" s="175" t="s">
        <v>2405</v>
      </c>
      <c r="F1154" s="176" t="s">
        <v>2406</v>
      </c>
      <c r="G1154" s="177" t="s">
        <v>133</v>
      </c>
      <c r="H1154" s="178">
        <v>103.39</v>
      </c>
      <c r="I1154" s="179"/>
      <c r="J1154" s="180">
        <f>ROUND(I1154*H1154,2)</f>
        <v>0</v>
      </c>
      <c r="K1154" s="176" t="s">
        <v>134</v>
      </c>
      <c r="L1154" s="40"/>
      <c r="M1154" s="181" t="s">
        <v>19</v>
      </c>
      <c r="N1154" s="182" t="s">
        <v>43</v>
      </c>
      <c r="O1154" s="65"/>
      <c r="P1154" s="183">
        <f>O1154*H1154</f>
        <v>0</v>
      </c>
      <c r="Q1154" s="183">
        <v>6.0000000000000001E-3</v>
      </c>
      <c r="R1154" s="183">
        <f>Q1154*H1154</f>
        <v>0.62034</v>
      </c>
      <c r="S1154" s="183">
        <v>0</v>
      </c>
      <c r="T1154" s="184">
        <f>S1154*H1154</f>
        <v>0</v>
      </c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R1154" s="185" t="s">
        <v>230</v>
      </c>
      <c r="AT1154" s="185" t="s">
        <v>130</v>
      </c>
      <c r="AU1154" s="185" t="s">
        <v>82</v>
      </c>
      <c r="AY1154" s="18" t="s">
        <v>128</v>
      </c>
      <c r="BE1154" s="186">
        <f>IF(N1154="základní",J1154,0)</f>
        <v>0</v>
      </c>
      <c r="BF1154" s="186">
        <f>IF(N1154="snížená",J1154,0)</f>
        <v>0</v>
      </c>
      <c r="BG1154" s="186">
        <f>IF(N1154="zákl. přenesená",J1154,0)</f>
        <v>0</v>
      </c>
      <c r="BH1154" s="186">
        <f>IF(N1154="sníž. přenesená",J1154,0)</f>
        <v>0</v>
      </c>
      <c r="BI1154" s="186">
        <f>IF(N1154="nulová",J1154,0)</f>
        <v>0</v>
      </c>
      <c r="BJ1154" s="18" t="s">
        <v>80</v>
      </c>
      <c r="BK1154" s="186">
        <f>ROUND(I1154*H1154,2)</f>
        <v>0</v>
      </c>
      <c r="BL1154" s="18" t="s">
        <v>230</v>
      </c>
      <c r="BM1154" s="185" t="s">
        <v>2407</v>
      </c>
    </row>
    <row r="1155" spans="1:65" s="2" customFormat="1" ht="10">
      <c r="A1155" s="35"/>
      <c r="B1155" s="36"/>
      <c r="C1155" s="37"/>
      <c r="D1155" s="187" t="s">
        <v>137</v>
      </c>
      <c r="E1155" s="37"/>
      <c r="F1155" s="188" t="s">
        <v>2408</v>
      </c>
      <c r="G1155" s="37"/>
      <c r="H1155" s="37"/>
      <c r="I1155" s="189"/>
      <c r="J1155" s="37"/>
      <c r="K1155" s="37"/>
      <c r="L1155" s="40"/>
      <c r="M1155" s="190"/>
      <c r="N1155" s="191"/>
      <c r="O1155" s="65"/>
      <c r="P1155" s="65"/>
      <c r="Q1155" s="65"/>
      <c r="R1155" s="65"/>
      <c r="S1155" s="65"/>
      <c r="T1155" s="66"/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T1155" s="18" t="s">
        <v>137</v>
      </c>
      <c r="AU1155" s="18" t="s">
        <v>82</v>
      </c>
    </row>
    <row r="1156" spans="1:65" s="13" customFormat="1" ht="10">
      <c r="B1156" s="192"/>
      <c r="C1156" s="193"/>
      <c r="D1156" s="194" t="s">
        <v>139</v>
      </c>
      <c r="E1156" s="195" t="s">
        <v>19</v>
      </c>
      <c r="F1156" s="196" t="s">
        <v>2398</v>
      </c>
      <c r="G1156" s="193"/>
      <c r="H1156" s="197">
        <v>89.89</v>
      </c>
      <c r="I1156" s="198"/>
      <c r="J1156" s="193"/>
      <c r="K1156" s="193"/>
      <c r="L1156" s="199"/>
      <c r="M1156" s="200"/>
      <c r="N1156" s="201"/>
      <c r="O1156" s="201"/>
      <c r="P1156" s="201"/>
      <c r="Q1156" s="201"/>
      <c r="R1156" s="201"/>
      <c r="S1156" s="201"/>
      <c r="T1156" s="202"/>
      <c r="AT1156" s="203" t="s">
        <v>139</v>
      </c>
      <c r="AU1156" s="203" t="s">
        <v>82</v>
      </c>
      <c r="AV1156" s="13" t="s">
        <v>82</v>
      </c>
      <c r="AW1156" s="13" t="s">
        <v>34</v>
      </c>
      <c r="AX1156" s="13" t="s">
        <v>72</v>
      </c>
      <c r="AY1156" s="203" t="s">
        <v>128</v>
      </c>
    </row>
    <row r="1157" spans="1:65" s="13" customFormat="1" ht="10">
      <c r="B1157" s="192"/>
      <c r="C1157" s="193"/>
      <c r="D1157" s="194" t="s">
        <v>139</v>
      </c>
      <c r="E1157" s="195" t="s">
        <v>19</v>
      </c>
      <c r="F1157" s="196" t="s">
        <v>1423</v>
      </c>
      <c r="G1157" s="193"/>
      <c r="H1157" s="197">
        <v>13.5</v>
      </c>
      <c r="I1157" s="198"/>
      <c r="J1157" s="193"/>
      <c r="K1157" s="193"/>
      <c r="L1157" s="199"/>
      <c r="M1157" s="200"/>
      <c r="N1157" s="201"/>
      <c r="O1157" s="201"/>
      <c r="P1157" s="201"/>
      <c r="Q1157" s="201"/>
      <c r="R1157" s="201"/>
      <c r="S1157" s="201"/>
      <c r="T1157" s="202"/>
      <c r="AT1157" s="203" t="s">
        <v>139</v>
      </c>
      <c r="AU1157" s="203" t="s">
        <v>82</v>
      </c>
      <c r="AV1157" s="13" t="s">
        <v>82</v>
      </c>
      <c r="AW1157" s="13" t="s">
        <v>34</v>
      </c>
      <c r="AX1157" s="13" t="s">
        <v>72</v>
      </c>
      <c r="AY1157" s="203" t="s">
        <v>128</v>
      </c>
    </row>
    <row r="1158" spans="1:65" s="14" customFormat="1" ht="10">
      <c r="B1158" s="204"/>
      <c r="C1158" s="205"/>
      <c r="D1158" s="194" t="s">
        <v>139</v>
      </c>
      <c r="E1158" s="206" t="s">
        <v>19</v>
      </c>
      <c r="F1158" s="207" t="s">
        <v>153</v>
      </c>
      <c r="G1158" s="205"/>
      <c r="H1158" s="208">
        <v>103.39</v>
      </c>
      <c r="I1158" s="209"/>
      <c r="J1158" s="205"/>
      <c r="K1158" s="205"/>
      <c r="L1158" s="210"/>
      <c r="M1158" s="211"/>
      <c r="N1158" s="212"/>
      <c r="O1158" s="212"/>
      <c r="P1158" s="212"/>
      <c r="Q1158" s="212"/>
      <c r="R1158" s="212"/>
      <c r="S1158" s="212"/>
      <c r="T1158" s="213"/>
      <c r="AT1158" s="214" t="s">
        <v>139</v>
      </c>
      <c r="AU1158" s="214" t="s">
        <v>82</v>
      </c>
      <c r="AV1158" s="14" t="s">
        <v>135</v>
      </c>
      <c r="AW1158" s="14" t="s">
        <v>34</v>
      </c>
      <c r="AX1158" s="14" t="s">
        <v>80</v>
      </c>
      <c r="AY1158" s="214" t="s">
        <v>128</v>
      </c>
    </row>
    <row r="1159" spans="1:65" s="2" customFormat="1" ht="16.5" customHeight="1">
      <c r="A1159" s="35"/>
      <c r="B1159" s="36"/>
      <c r="C1159" s="215" t="s">
        <v>2409</v>
      </c>
      <c r="D1159" s="215" t="s">
        <v>414</v>
      </c>
      <c r="E1159" s="216" t="s">
        <v>2410</v>
      </c>
      <c r="F1159" s="217" t="s">
        <v>2411</v>
      </c>
      <c r="G1159" s="218" t="s">
        <v>133</v>
      </c>
      <c r="H1159" s="219">
        <v>113.729</v>
      </c>
      <c r="I1159" s="220"/>
      <c r="J1159" s="221">
        <f>ROUND(I1159*H1159,2)</f>
        <v>0</v>
      </c>
      <c r="K1159" s="217" t="s">
        <v>134</v>
      </c>
      <c r="L1159" s="222"/>
      <c r="M1159" s="223" t="s">
        <v>19</v>
      </c>
      <c r="N1159" s="224" t="s">
        <v>43</v>
      </c>
      <c r="O1159" s="65"/>
      <c r="P1159" s="183">
        <f>O1159*H1159</f>
        <v>0</v>
      </c>
      <c r="Q1159" s="183">
        <v>1.18E-2</v>
      </c>
      <c r="R1159" s="183">
        <f>Q1159*H1159</f>
        <v>1.3420022</v>
      </c>
      <c r="S1159" s="183">
        <v>0</v>
      </c>
      <c r="T1159" s="184">
        <f>S1159*H1159</f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185" t="s">
        <v>334</v>
      </c>
      <c r="AT1159" s="185" t="s">
        <v>414</v>
      </c>
      <c r="AU1159" s="185" t="s">
        <v>82</v>
      </c>
      <c r="AY1159" s="18" t="s">
        <v>128</v>
      </c>
      <c r="BE1159" s="186">
        <f>IF(N1159="základní",J1159,0)</f>
        <v>0</v>
      </c>
      <c r="BF1159" s="186">
        <f>IF(N1159="snížená",J1159,0)</f>
        <v>0</v>
      </c>
      <c r="BG1159" s="186">
        <f>IF(N1159="zákl. přenesená",J1159,0)</f>
        <v>0</v>
      </c>
      <c r="BH1159" s="186">
        <f>IF(N1159="sníž. přenesená",J1159,0)</f>
        <v>0</v>
      </c>
      <c r="BI1159" s="186">
        <f>IF(N1159="nulová",J1159,0)</f>
        <v>0</v>
      </c>
      <c r="BJ1159" s="18" t="s">
        <v>80</v>
      </c>
      <c r="BK1159" s="186">
        <f>ROUND(I1159*H1159,2)</f>
        <v>0</v>
      </c>
      <c r="BL1159" s="18" t="s">
        <v>230</v>
      </c>
      <c r="BM1159" s="185" t="s">
        <v>2412</v>
      </c>
    </row>
    <row r="1160" spans="1:65" s="13" customFormat="1" ht="10">
      <c r="B1160" s="192"/>
      <c r="C1160" s="193"/>
      <c r="D1160" s="194" t="s">
        <v>139</v>
      </c>
      <c r="E1160" s="193"/>
      <c r="F1160" s="196" t="s">
        <v>2413</v>
      </c>
      <c r="G1160" s="193"/>
      <c r="H1160" s="197">
        <v>113.729</v>
      </c>
      <c r="I1160" s="198"/>
      <c r="J1160" s="193"/>
      <c r="K1160" s="193"/>
      <c r="L1160" s="199"/>
      <c r="M1160" s="200"/>
      <c r="N1160" s="201"/>
      <c r="O1160" s="201"/>
      <c r="P1160" s="201"/>
      <c r="Q1160" s="201"/>
      <c r="R1160" s="201"/>
      <c r="S1160" s="201"/>
      <c r="T1160" s="202"/>
      <c r="AT1160" s="203" t="s">
        <v>139</v>
      </c>
      <c r="AU1160" s="203" t="s">
        <v>82</v>
      </c>
      <c r="AV1160" s="13" t="s">
        <v>82</v>
      </c>
      <c r="AW1160" s="13" t="s">
        <v>4</v>
      </c>
      <c r="AX1160" s="13" t="s">
        <v>80</v>
      </c>
      <c r="AY1160" s="203" t="s">
        <v>128</v>
      </c>
    </row>
    <row r="1161" spans="1:65" s="2" customFormat="1" ht="21.75" customHeight="1">
      <c r="A1161" s="35"/>
      <c r="B1161" s="36"/>
      <c r="C1161" s="174" t="s">
        <v>2414</v>
      </c>
      <c r="D1161" s="174" t="s">
        <v>130</v>
      </c>
      <c r="E1161" s="175" t="s">
        <v>2415</v>
      </c>
      <c r="F1161" s="176" t="s">
        <v>2416</v>
      </c>
      <c r="G1161" s="177" t="s">
        <v>133</v>
      </c>
      <c r="H1161" s="178">
        <v>103.39</v>
      </c>
      <c r="I1161" s="179"/>
      <c r="J1161" s="180">
        <f>ROUND(I1161*H1161,2)</f>
        <v>0</v>
      </c>
      <c r="K1161" s="176" t="s">
        <v>134</v>
      </c>
      <c r="L1161" s="40"/>
      <c r="M1161" s="181" t="s">
        <v>19</v>
      </c>
      <c r="N1161" s="182" t="s">
        <v>43</v>
      </c>
      <c r="O1161" s="65"/>
      <c r="P1161" s="183">
        <f>O1161*H1161</f>
        <v>0</v>
      </c>
      <c r="Q1161" s="183">
        <v>0</v>
      </c>
      <c r="R1161" s="183">
        <f>Q1161*H1161</f>
        <v>0</v>
      </c>
      <c r="S1161" s="183">
        <v>0</v>
      </c>
      <c r="T1161" s="184">
        <f>S1161*H1161</f>
        <v>0</v>
      </c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R1161" s="185" t="s">
        <v>230</v>
      </c>
      <c r="AT1161" s="185" t="s">
        <v>130</v>
      </c>
      <c r="AU1161" s="185" t="s">
        <v>82</v>
      </c>
      <c r="AY1161" s="18" t="s">
        <v>128</v>
      </c>
      <c r="BE1161" s="186">
        <f>IF(N1161="základní",J1161,0)</f>
        <v>0</v>
      </c>
      <c r="BF1161" s="186">
        <f>IF(N1161="snížená",J1161,0)</f>
        <v>0</v>
      </c>
      <c r="BG1161" s="186">
        <f>IF(N1161="zákl. přenesená",J1161,0)</f>
        <v>0</v>
      </c>
      <c r="BH1161" s="186">
        <f>IF(N1161="sníž. přenesená",J1161,0)</f>
        <v>0</v>
      </c>
      <c r="BI1161" s="186">
        <f>IF(N1161="nulová",J1161,0)</f>
        <v>0</v>
      </c>
      <c r="BJ1161" s="18" t="s">
        <v>80</v>
      </c>
      <c r="BK1161" s="186">
        <f>ROUND(I1161*H1161,2)</f>
        <v>0</v>
      </c>
      <c r="BL1161" s="18" t="s">
        <v>230</v>
      </c>
      <c r="BM1161" s="185" t="s">
        <v>2417</v>
      </c>
    </row>
    <row r="1162" spans="1:65" s="2" customFormat="1" ht="10">
      <c r="A1162" s="35"/>
      <c r="B1162" s="36"/>
      <c r="C1162" s="37"/>
      <c r="D1162" s="187" t="s">
        <v>137</v>
      </c>
      <c r="E1162" s="37"/>
      <c r="F1162" s="188" t="s">
        <v>2418</v>
      </c>
      <c r="G1162" s="37"/>
      <c r="H1162" s="37"/>
      <c r="I1162" s="189"/>
      <c r="J1162" s="37"/>
      <c r="K1162" s="37"/>
      <c r="L1162" s="40"/>
      <c r="M1162" s="190"/>
      <c r="N1162" s="191"/>
      <c r="O1162" s="65"/>
      <c r="P1162" s="65"/>
      <c r="Q1162" s="65"/>
      <c r="R1162" s="65"/>
      <c r="S1162" s="65"/>
      <c r="T1162" s="66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T1162" s="18" t="s">
        <v>137</v>
      </c>
      <c r="AU1162" s="18" t="s">
        <v>82</v>
      </c>
    </row>
    <row r="1163" spans="1:65" s="13" customFormat="1" ht="10">
      <c r="B1163" s="192"/>
      <c r="C1163" s="193"/>
      <c r="D1163" s="194" t="s">
        <v>139</v>
      </c>
      <c r="E1163" s="195" t="s">
        <v>19</v>
      </c>
      <c r="F1163" s="196" t="s">
        <v>2398</v>
      </c>
      <c r="G1163" s="193"/>
      <c r="H1163" s="197">
        <v>89.89</v>
      </c>
      <c r="I1163" s="198"/>
      <c r="J1163" s="193"/>
      <c r="K1163" s="193"/>
      <c r="L1163" s="199"/>
      <c r="M1163" s="200"/>
      <c r="N1163" s="201"/>
      <c r="O1163" s="201"/>
      <c r="P1163" s="201"/>
      <c r="Q1163" s="201"/>
      <c r="R1163" s="201"/>
      <c r="S1163" s="201"/>
      <c r="T1163" s="202"/>
      <c r="AT1163" s="203" t="s">
        <v>139</v>
      </c>
      <c r="AU1163" s="203" t="s">
        <v>82</v>
      </c>
      <c r="AV1163" s="13" t="s">
        <v>82</v>
      </c>
      <c r="AW1163" s="13" t="s">
        <v>34</v>
      </c>
      <c r="AX1163" s="13" t="s">
        <v>72</v>
      </c>
      <c r="AY1163" s="203" t="s">
        <v>128</v>
      </c>
    </row>
    <row r="1164" spans="1:65" s="13" customFormat="1" ht="10">
      <c r="B1164" s="192"/>
      <c r="C1164" s="193"/>
      <c r="D1164" s="194" t="s">
        <v>139</v>
      </c>
      <c r="E1164" s="195" t="s">
        <v>19</v>
      </c>
      <c r="F1164" s="196" t="s">
        <v>1423</v>
      </c>
      <c r="G1164" s="193"/>
      <c r="H1164" s="197">
        <v>13.5</v>
      </c>
      <c r="I1164" s="198"/>
      <c r="J1164" s="193"/>
      <c r="K1164" s="193"/>
      <c r="L1164" s="199"/>
      <c r="M1164" s="200"/>
      <c r="N1164" s="201"/>
      <c r="O1164" s="201"/>
      <c r="P1164" s="201"/>
      <c r="Q1164" s="201"/>
      <c r="R1164" s="201"/>
      <c r="S1164" s="201"/>
      <c r="T1164" s="202"/>
      <c r="AT1164" s="203" t="s">
        <v>139</v>
      </c>
      <c r="AU1164" s="203" t="s">
        <v>82</v>
      </c>
      <c r="AV1164" s="13" t="s">
        <v>82</v>
      </c>
      <c r="AW1164" s="13" t="s">
        <v>34</v>
      </c>
      <c r="AX1164" s="13" t="s">
        <v>72</v>
      </c>
      <c r="AY1164" s="203" t="s">
        <v>128</v>
      </c>
    </row>
    <row r="1165" spans="1:65" s="14" customFormat="1" ht="10">
      <c r="B1165" s="204"/>
      <c r="C1165" s="205"/>
      <c r="D1165" s="194" t="s">
        <v>139</v>
      </c>
      <c r="E1165" s="206" t="s">
        <v>19</v>
      </c>
      <c r="F1165" s="207" t="s">
        <v>153</v>
      </c>
      <c r="G1165" s="205"/>
      <c r="H1165" s="208">
        <v>103.39</v>
      </c>
      <c r="I1165" s="209"/>
      <c r="J1165" s="205"/>
      <c r="K1165" s="205"/>
      <c r="L1165" s="210"/>
      <c r="M1165" s="211"/>
      <c r="N1165" s="212"/>
      <c r="O1165" s="212"/>
      <c r="P1165" s="212"/>
      <c r="Q1165" s="212"/>
      <c r="R1165" s="212"/>
      <c r="S1165" s="212"/>
      <c r="T1165" s="213"/>
      <c r="AT1165" s="214" t="s">
        <v>139</v>
      </c>
      <c r="AU1165" s="214" t="s">
        <v>82</v>
      </c>
      <c r="AV1165" s="14" t="s">
        <v>135</v>
      </c>
      <c r="AW1165" s="14" t="s">
        <v>34</v>
      </c>
      <c r="AX1165" s="14" t="s">
        <v>80</v>
      </c>
      <c r="AY1165" s="214" t="s">
        <v>128</v>
      </c>
    </row>
    <row r="1166" spans="1:65" s="2" customFormat="1" ht="16.5" customHeight="1">
      <c r="A1166" s="35"/>
      <c r="B1166" s="36"/>
      <c r="C1166" s="174" t="s">
        <v>2419</v>
      </c>
      <c r="D1166" s="174" t="s">
        <v>130</v>
      </c>
      <c r="E1166" s="175" t="s">
        <v>2420</v>
      </c>
      <c r="F1166" s="176" t="s">
        <v>2421</v>
      </c>
      <c r="G1166" s="177" t="s">
        <v>258</v>
      </c>
      <c r="H1166" s="178">
        <v>36.950000000000003</v>
      </c>
      <c r="I1166" s="179"/>
      <c r="J1166" s="180">
        <f>ROUND(I1166*H1166,2)</f>
        <v>0</v>
      </c>
      <c r="K1166" s="176" t="s">
        <v>134</v>
      </c>
      <c r="L1166" s="40"/>
      <c r="M1166" s="181" t="s">
        <v>19</v>
      </c>
      <c r="N1166" s="182" t="s">
        <v>43</v>
      </c>
      <c r="O1166" s="65"/>
      <c r="P1166" s="183">
        <f>O1166*H1166</f>
        <v>0</v>
      </c>
      <c r="Q1166" s="183">
        <v>5.5000000000000003E-4</v>
      </c>
      <c r="R1166" s="183">
        <f>Q1166*H1166</f>
        <v>2.0322500000000004E-2</v>
      </c>
      <c r="S1166" s="183">
        <v>0</v>
      </c>
      <c r="T1166" s="184">
        <f>S1166*H1166</f>
        <v>0</v>
      </c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R1166" s="185" t="s">
        <v>230</v>
      </c>
      <c r="AT1166" s="185" t="s">
        <v>130</v>
      </c>
      <c r="AU1166" s="185" t="s">
        <v>82</v>
      </c>
      <c r="AY1166" s="18" t="s">
        <v>128</v>
      </c>
      <c r="BE1166" s="186">
        <f>IF(N1166="základní",J1166,0)</f>
        <v>0</v>
      </c>
      <c r="BF1166" s="186">
        <f>IF(N1166="snížená",J1166,0)</f>
        <v>0</v>
      </c>
      <c r="BG1166" s="186">
        <f>IF(N1166="zákl. přenesená",J1166,0)</f>
        <v>0</v>
      </c>
      <c r="BH1166" s="186">
        <f>IF(N1166="sníž. přenesená",J1166,0)</f>
        <v>0</v>
      </c>
      <c r="BI1166" s="186">
        <f>IF(N1166="nulová",J1166,0)</f>
        <v>0</v>
      </c>
      <c r="BJ1166" s="18" t="s">
        <v>80</v>
      </c>
      <c r="BK1166" s="186">
        <f>ROUND(I1166*H1166,2)</f>
        <v>0</v>
      </c>
      <c r="BL1166" s="18" t="s">
        <v>230</v>
      </c>
      <c r="BM1166" s="185" t="s">
        <v>2422</v>
      </c>
    </row>
    <row r="1167" spans="1:65" s="2" customFormat="1" ht="10">
      <c r="A1167" s="35"/>
      <c r="B1167" s="36"/>
      <c r="C1167" s="37"/>
      <c r="D1167" s="187" t="s">
        <v>137</v>
      </c>
      <c r="E1167" s="37"/>
      <c r="F1167" s="188" t="s">
        <v>2423</v>
      </c>
      <c r="G1167" s="37"/>
      <c r="H1167" s="37"/>
      <c r="I1167" s="189"/>
      <c r="J1167" s="37"/>
      <c r="K1167" s="37"/>
      <c r="L1167" s="40"/>
      <c r="M1167" s="190"/>
      <c r="N1167" s="191"/>
      <c r="O1167" s="65"/>
      <c r="P1167" s="65"/>
      <c r="Q1167" s="65"/>
      <c r="R1167" s="65"/>
      <c r="S1167" s="65"/>
      <c r="T1167" s="66"/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T1167" s="18" t="s">
        <v>137</v>
      </c>
      <c r="AU1167" s="18" t="s">
        <v>82</v>
      </c>
    </row>
    <row r="1168" spans="1:65" s="13" customFormat="1" ht="10">
      <c r="B1168" s="192"/>
      <c r="C1168" s="193"/>
      <c r="D1168" s="194" t="s">
        <v>139</v>
      </c>
      <c r="E1168" s="195" t="s">
        <v>19</v>
      </c>
      <c r="F1168" s="196" t="s">
        <v>2424</v>
      </c>
      <c r="G1168" s="193"/>
      <c r="H1168" s="197">
        <v>9.9499999999999993</v>
      </c>
      <c r="I1168" s="198"/>
      <c r="J1168" s="193"/>
      <c r="K1168" s="193"/>
      <c r="L1168" s="199"/>
      <c r="M1168" s="200"/>
      <c r="N1168" s="201"/>
      <c r="O1168" s="201"/>
      <c r="P1168" s="201"/>
      <c r="Q1168" s="201"/>
      <c r="R1168" s="201"/>
      <c r="S1168" s="201"/>
      <c r="T1168" s="202"/>
      <c r="AT1168" s="203" t="s">
        <v>139</v>
      </c>
      <c r="AU1168" s="203" t="s">
        <v>82</v>
      </c>
      <c r="AV1168" s="13" t="s">
        <v>82</v>
      </c>
      <c r="AW1168" s="13" t="s">
        <v>34</v>
      </c>
      <c r="AX1168" s="13" t="s">
        <v>72</v>
      </c>
      <c r="AY1168" s="203" t="s">
        <v>128</v>
      </c>
    </row>
    <row r="1169" spans="1:65" s="13" customFormat="1" ht="10">
      <c r="B1169" s="192"/>
      <c r="C1169" s="193"/>
      <c r="D1169" s="194" t="s">
        <v>139</v>
      </c>
      <c r="E1169" s="195" t="s">
        <v>19</v>
      </c>
      <c r="F1169" s="196" t="s">
        <v>2425</v>
      </c>
      <c r="G1169" s="193"/>
      <c r="H1169" s="197">
        <v>27</v>
      </c>
      <c r="I1169" s="198"/>
      <c r="J1169" s="193"/>
      <c r="K1169" s="193"/>
      <c r="L1169" s="199"/>
      <c r="M1169" s="200"/>
      <c r="N1169" s="201"/>
      <c r="O1169" s="201"/>
      <c r="P1169" s="201"/>
      <c r="Q1169" s="201"/>
      <c r="R1169" s="201"/>
      <c r="S1169" s="201"/>
      <c r="T1169" s="202"/>
      <c r="AT1169" s="203" t="s">
        <v>139</v>
      </c>
      <c r="AU1169" s="203" t="s">
        <v>82</v>
      </c>
      <c r="AV1169" s="13" t="s">
        <v>82</v>
      </c>
      <c r="AW1169" s="13" t="s">
        <v>34</v>
      </c>
      <c r="AX1169" s="13" t="s">
        <v>72</v>
      </c>
      <c r="AY1169" s="203" t="s">
        <v>128</v>
      </c>
    </row>
    <row r="1170" spans="1:65" s="14" customFormat="1" ht="10">
      <c r="B1170" s="204"/>
      <c r="C1170" s="205"/>
      <c r="D1170" s="194" t="s">
        <v>139</v>
      </c>
      <c r="E1170" s="206" t="s">
        <v>19</v>
      </c>
      <c r="F1170" s="207" t="s">
        <v>153</v>
      </c>
      <c r="G1170" s="205"/>
      <c r="H1170" s="208">
        <v>36.950000000000003</v>
      </c>
      <c r="I1170" s="209"/>
      <c r="J1170" s="205"/>
      <c r="K1170" s="205"/>
      <c r="L1170" s="210"/>
      <c r="M1170" s="211"/>
      <c r="N1170" s="212"/>
      <c r="O1170" s="212"/>
      <c r="P1170" s="212"/>
      <c r="Q1170" s="212"/>
      <c r="R1170" s="212"/>
      <c r="S1170" s="212"/>
      <c r="T1170" s="213"/>
      <c r="AT1170" s="214" t="s">
        <v>139</v>
      </c>
      <c r="AU1170" s="214" t="s">
        <v>82</v>
      </c>
      <c r="AV1170" s="14" t="s">
        <v>135</v>
      </c>
      <c r="AW1170" s="14" t="s">
        <v>34</v>
      </c>
      <c r="AX1170" s="14" t="s">
        <v>80</v>
      </c>
      <c r="AY1170" s="214" t="s">
        <v>128</v>
      </c>
    </row>
    <row r="1171" spans="1:65" s="2" customFormat="1" ht="16.5" customHeight="1">
      <c r="A1171" s="35"/>
      <c r="B1171" s="36"/>
      <c r="C1171" s="174" t="s">
        <v>2426</v>
      </c>
      <c r="D1171" s="174" t="s">
        <v>130</v>
      </c>
      <c r="E1171" s="175" t="s">
        <v>2427</v>
      </c>
      <c r="F1171" s="176" t="s">
        <v>2428</v>
      </c>
      <c r="G1171" s="177" t="s">
        <v>258</v>
      </c>
      <c r="H1171" s="178">
        <v>63</v>
      </c>
      <c r="I1171" s="179"/>
      <c r="J1171" s="180">
        <f>ROUND(I1171*H1171,2)</f>
        <v>0</v>
      </c>
      <c r="K1171" s="176" t="s">
        <v>134</v>
      </c>
      <c r="L1171" s="40"/>
      <c r="M1171" s="181" t="s">
        <v>19</v>
      </c>
      <c r="N1171" s="182" t="s">
        <v>43</v>
      </c>
      <c r="O1171" s="65"/>
      <c r="P1171" s="183">
        <f>O1171*H1171</f>
        <v>0</v>
      </c>
      <c r="Q1171" s="183">
        <v>3.0000000000000001E-5</v>
      </c>
      <c r="R1171" s="183">
        <f>Q1171*H1171</f>
        <v>1.89E-3</v>
      </c>
      <c r="S1171" s="183">
        <v>0</v>
      </c>
      <c r="T1171" s="184">
        <f>S1171*H1171</f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185" t="s">
        <v>230</v>
      </c>
      <c r="AT1171" s="185" t="s">
        <v>130</v>
      </c>
      <c r="AU1171" s="185" t="s">
        <v>82</v>
      </c>
      <c r="AY1171" s="18" t="s">
        <v>128</v>
      </c>
      <c r="BE1171" s="186">
        <f>IF(N1171="základní",J1171,0)</f>
        <v>0</v>
      </c>
      <c r="BF1171" s="186">
        <f>IF(N1171="snížená",J1171,0)</f>
        <v>0</v>
      </c>
      <c r="BG1171" s="186">
        <f>IF(N1171="zákl. přenesená",J1171,0)</f>
        <v>0</v>
      </c>
      <c r="BH1171" s="186">
        <f>IF(N1171="sníž. přenesená",J1171,0)</f>
        <v>0</v>
      </c>
      <c r="BI1171" s="186">
        <f>IF(N1171="nulová",J1171,0)</f>
        <v>0</v>
      </c>
      <c r="BJ1171" s="18" t="s">
        <v>80</v>
      </c>
      <c r="BK1171" s="186">
        <f>ROUND(I1171*H1171,2)</f>
        <v>0</v>
      </c>
      <c r="BL1171" s="18" t="s">
        <v>230</v>
      </c>
      <c r="BM1171" s="185" t="s">
        <v>2429</v>
      </c>
    </row>
    <row r="1172" spans="1:65" s="2" customFormat="1" ht="10">
      <c r="A1172" s="35"/>
      <c r="B1172" s="36"/>
      <c r="C1172" s="37"/>
      <c r="D1172" s="187" t="s">
        <v>137</v>
      </c>
      <c r="E1172" s="37"/>
      <c r="F1172" s="188" t="s">
        <v>2430</v>
      </c>
      <c r="G1172" s="37"/>
      <c r="H1172" s="37"/>
      <c r="I1172" s="189"/>
      <c r="J1172" s="37"/>
      <c r="K1172" s="37"/>
      <c r="L1172" s="40"/>
      <c r="M1172" s="190"/>
      <c r="N1172" s="191"/>
      <c r="O1172" s="65"/>
      <c r="P1172" s="65"/>
      <c r="Q1172" s="65"/>
      <c r="R1172" s="65"/>
      <c r="S1172" s="65"/>
      <c r="T1172" s="66"/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T1172" s="18" t="s">
        <v>137</v>
      </c>
      <c r="AU1172" s="18" t="s">
        <v>82</v>
      </c>
    </row>
    <row r="1173" spans="1:65" s="13" customFormat="1" ht="10">
      <c r="B1173" s="192"/>
      <c r="C1173" s="193"/>
      <c r="D1173" s="194" t="s">
        <v>139</v>
      </c>
      <c r="E1173" s="195" t="s">
        <v>19</v>
      </c>
      <c r="F1173" s="196" t="s">
        <v>2431</v>
      </c>
      <c r="G1173" s="193"/>
      <c r="H1173" s="197">
        <v>63</v>
      </c>
      <c r="I1173" s="198"/>
      <c r="J1173" s="193"/>
      <c r="K1173" s="193"/>
      <c r="L1173" s="199"/>
      <c r="M1173" s="200"/>
      <c r="N1173" s="201"/>
      <c r="O1173" s="201"/>
      <c r="P1173" s="201"/>
      <c r="Q1173" s="201"/>
      <c r="R1173" s="201"/>
      <c r="S1173" s="201"/>
      <c r="T1173" s="202"/>
      <c r="AT1173" s="203" t="s">
        <v>139</v>
      </c>
      <c r="AU1173" s="203" t="s">
        <v>82</v>
      </c>
      <c r="AV1173" s="13" t="s">
        <v>82</v>
      </c>
      <c r="AW1173" s="13" t="s">
        <v>34</v>
      </c>
      <c r="AX1173" s="13" t="s">
        <v>80</v>
      </c>
      <c r="AY1173" s="203" t="s">
        <v>128</v>
      </c>
    </row>
    <row r="1174" spans="1:65" s="2" customFormat="1" ht="16.5" customHeight="1">
      <c r="A1174" s="35"/>
      <c r="B1174" s="36"/>
      <c r="C1174" s="174" t="s">
        <v>2432</v>
      </c>
      <c r="D1174" s="174" t="s">
        <v>130</v>
      </c>
      <c r="E1174" s="175" t="s">
        <v>2433</v>
      </c>
      <c r="F1174" s="176" t="s">
        <v>2434</v>
      </c>
      <c r="G1174" s="177" t="s">
        <v>133</v>
      </c>
      <c r="H1174" s="178">
        <v>103.39</v>
      </c>
      <c r="I1174" s="179"/>
      <c r="J1174" s="180">
        <f>ROUND(I1174*H1174,2)</f>
        <v>0</v>
      </c>
      <c r="K1174" s="176" t="s">
        <v>134</v>
      </c>
      <c r="L1174" s="40"/>
      <c r="M1174" s="181" t="s">
        <v>19</v>
      </c>
      <c r="N1174" s="182" t="s">
        <v>43</v>
      </c>
      <c r="O1174" s="65"/>
      <c r="P1174" s="183">
        <f>O1174*H1174</f>
        <v>0</v>
      </c>
      <c r="Q1174" s="183">
        <v>5.0000000000000002E-5</v>
      </c>
      <c r="R1174" s="183">
        <f>Q1174*H1174</f>
        <v>5.1695000000000005E-3</v>
      </c>
      <c r="S1174" s="183">
        <v>0</v>
      </c>
      <c r="T1174" s="184">
        <f>S1174*H1174</f>
        <v>0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R1174" s="185" t="s">
        <v>230</v>
      </c>
      <c r="AT1174" s="185" t="s">
        <v>130</v>
      </c>
      <c r="AU1174" s="185" t="s">
        <v>82</v>
      </c>
      <c r="AY1174" s="18" t="s">
        <v>128</v>
      </c>
      <c r="BE1174" s="186">
        <f>IF(N1174="základní",J1174,0)</f>
        <v>0</v>
      </c>
      <c r="BF1174" s="186">
        <f>IF(N1174="snížená",J1174,0)</f>
        <v>0</v>
      </c>
      <c r="BG1174" s="186">
        <f>IF(N1174="zákl. přenesená",J1174,0)</f>
        <v>0</v>
      </c>
      <c r="BH1174" s="186">
        <f>IF(N1174="sníž. přenesená",J1174,0)</f>
        <v>0</v>
      </c>
      <c r="BI1174" s="186">
        <f>IF(N1174="nulová",J1174,0)</f>
        <v>0</v>
      </c>
      <c r="BJ1174" s="18" t="s">
        <v>80</v>
      </c>
      <c r="BK1174" s="186">
        <f>ROUND(I1174*H1174,2)</f>
        <v>0</v>
      </c>
      <c r="BL1174" s="18" t="s">
        <v>230</v>
      </c>
      <c r="BM1174" s="185" t="s">
        <v>2435</v>
      </c>
    </row>
    <row r="1175" spans="1:65" s="2" customFormat="1" ht="10">
      <c r="A1175" s="35"/>
      <c r="B1175" s="36"/>
      <c r="C1175" s="37"/>
      <c r="D1175" s="187" t="s">
        <v>137</v>
      </c>
      <c r="E1175" s="37"/>
      <c r="F1175" s="188" t="s">
        <v>2436</v>
      </c>
      <c r="G1175" s="37"/>
      <c r="H1175" s="37"/>
      <c r="I1175" s="189"/>
      <c r="J1175" s="37"/>
      <c r="K1175" s="37"/>
      <c r="L1175" s="40"/>
      <c r="M1175" s="190"/>
      <c r="N1175" s="191"/>
      <c r="O1175" s="65"/>
      <c r="P1175" s="65"/>
      <c r="Q1175" s="65"/>
      <c r="R1175" s="65"/>
      <c r="S1175" s="65"/>
      <c r="T1175" s="66"/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T1175" s="18" t="s">
        <v>137</v>
      </c>
      <c r="AU1175" s="18" t="s">
        <v>82</v>
      </c>
    </row>
    <row r="1176" spans="1:65" s="13" customFormat="1" ht="10">
      <c r="B1176" s="192"/>
      <c r="C1176" s="193"/>
      <c r="D1176" s="194" t="s">
        <v>139</v>
      </c>
      <c r="E1176" s="195" t="s">
        <v>19</v>
      </c>
      <c r="F1176" s="196" t="s">
        <v>2398</v>
      </c>
      <c r="G1176" s="193"/>
      <c r="H1176" s="197">
        <v>89.89</v>
      </c>
      <c r="I1176" s="198"/>
      <c r="J1176" s="193"/>
      <c r="K1176" s="193"/>
      <c r="L1176" s="199"/>
      <c r="M1176" s="200"/>
      <c r="N1176" s="201"/>
      <c r="O1176" s="201"/>
      <c r="P1176" s="201"/>
      <c r="Q1176" s="201"/>
      <c r="R1176" s="201"/>
      <c r="S1176" s="201"/>
      <c r="T1176" s="202"/>
      <c r="AT1176" s="203" t="s">
        <v>139</v>
      </c>
      <c r="AU1176" s="203" t="s">
        <v>82</v>
      </c>
      <c r="AV1176" s="13" t="s">
        <v>82</v>
      </c>
      <c r="AW1176" s="13" t="s">
        <v>34</v>
      </c>
      <c r="AX1176" s="13" t="s">
        <v>72</v>
      </c>
      <c r="AY1176" s="203" t="s">
        <v>128</v>
      </c>
    </row>
    <row r="1177" spans="1:65" s="13" customFormat="1" ht="10">
      <c r="B1177" s="192"/>
      <c r="C1177" s="193"/>
      <c r="D1177" s="194" t="s">
        <v>139</v>
      </c>
      <c r="E1177" s="195" t="s">
        <v>19</v>
      </c>
      <c r="F1177" s="196" t="s">
        <v>1423</v>
      </c>
      <c r="G1177" s="193"/>
      <c r="H1177" s="197">
        <v>13.5</v>
      </c>
      <c r="I1177" s="198"/>
      <c r="J1177" s="193"/>
      <c r="K1177" s="193"/>
      <c r="L1177" s="199"/>
      <c r="M1177" s="200"/>
      <c r="N1177" s="201"/>
      <c r="O1177" s="201"/>
      <c r="P1177" s="201"/>
      <c r="Q1177" s="201"/>
      <c r="R1177" s="201"/>
      <c r="S1177" s="201"/>
      <c r="T1177" s="202"/>
      <c r="AT1177" s="203" t="s">
        <v>139</v>
      </c>
      <c r="AU1177" s="203" t="s">
        <v>82</v>
      </c>
      <c r="AV1177" s="13" t="s">
        <v>82</v>
      </c>
      <c r="AW1177" s="13" t="s">
        <v>34</v>
      </c>
      <c r="AX1177" s="13" t="s">
        <v>72</v>
      </c>
      <c r="AY1177" s="203" t="s">
        <v>128</v>
      </c>
    </row>
    <row r="1178" spans="1:65" s="14" customFormat="1" ht="10">
      <c r="B1178" s="204"/>
      <c r="C1178" s="205"/>
      <c r="D1178" s="194" t="s">
        <v>139</v>
      </c>
      <c r="E1178" s="206" t="s">
        <v>19</v>
      </c>
      <c r="F1178" s="207" t="s">
        <v>153</v>
      </c>
      <c r="G1178" s="205"/>
      <c r="H1178" s="208">
        <v>103.39</v>
      </c>
      <c r="I1178" s="209"/>
      <c r="J1178" s="205"/>
      <c r="K1178" s="205"/>
      <c r="L1178" s="210"/>
      <c r="M1178" s="211"/>
      <c r="N1178" s="212"/>
      <c r="O1178" s="212"/>
      <c r="P1178" s="212"/>
      <c r="Q1178" s="212"/>
      <c r="R1178" s="212"/>
      <c r="S1178" s="212"/>
      <c r="T1178" s="213"/>
      <c r="AT1178" s="214" t="s">
        <v>139</v>
      </c>
      <c r="AU1178" s="214" t="s">
        <v>82</v>
      </c>
      <c r="AV1178" s="14" t="s">
        <v>135</v>
      </c>
      <c r="AW1178" s="14" t="s">
        <v>34</v>
      </c>
      <c r="AX1178" s="14" t="s">
        <v>80</v>
      </c>
      <c r="AY1178" s="214" t="s">
        <v>128</v>
      </c>
    </row>
    <row r="1179" spans="1:65" s="2" customFormat="1" ht="24.15" customHeight="1">
      <c r="A1179" s="35"/>
      <c r="B1179" s="36"/>
      <c r="C1179" s="174" t="s">
        <v>2437</v>
      </c>
      <c r="D1179" s="174" t="s">
        <v>130</v>
      </c>
      <c r="E1179" s="175" t="s">
        <v>2438</v>
      </c>
      <c r="F1179" s="176" t="s">
        <v>2439</v>
      </c>
      <c r="G1179" s="177" t="s">
        <v>426</v>
      </c>
      <c r="H1179" s="225"/>
      <c r="I1179" s="179"/>
      <c r="J1179" s="180">
        <f>ROUND(I1179*H1179,2)</f>
        <v>0</v>
      </c>
      <c r="K1179" s="176" t="s">
        <v>134</v>
      </c>
      <c r="L1179" s="40"/>
      <c r="M1179" s="181" t="s">
        <v>19</v>
      </c>
      <c r="N1179" s="182" t="s">
        <v>43</v>
      </c>
      <c r="O1179" s="65"/>
      <c r="P1179" s="183">
        <f>O1179*H1179</f>
        <v>0</v>
      </c>
      <c r="Q1179" s="183">
        <v>0</v>
      </c>
      <c r="R1179" s="183">
        <f>Q1179*H1179</f>
        <v>0</v>
      </c>
      <c r="S1179" s="183">
        <v>0</v>
      </c>
      <c r="T1179" s="184">
        <f>S1179*H1179</f>
        <v>0</v>
      </c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R1179" s="185" t="s">
        <v>230</v>
      </c>
      <c r="AT1179" s="185" t="s">
        <v>130</v>
      </c>
      <c r="AU1179" s="185" t="s">
        <v>82</v>
      </c>
      <c r="AY1179" s="18" t="s">
        <v>128</v>
      </c>
      <c r="BE1179" s="186">
        <f>IF(N1179="základní",J1179,0)</f>
        <v>0</v>
      </c>
      <c r="BF1179" s="186">
        <f>IF(N1179="snížená",J1179,0)</f>
        <v>0</v>
      </c>
      <c r="BG1179" s="186">
        <f>IF(N1179="zákl. přenesená",J1179,0)</f>
        <v>0</v>
      </c>
      <c r="BH1179" s="186">
        <f>IF(N1179="sníž. přenesená",J1179,0)</f>
        <v>0</v>
      </c>
      <c r="BI1179" s="186">
        <f>IF(N1179="nulová",J1179,0)</f>
        <v>0</v>
      </c>
      <c r="BJ1179" s="18" t="s">
        <v>80</v>
      </c>
      <c r="BK1179" s="186">
        <f>ROUND(I1179*H1179,2)</f>
        <v>0</v>
      </c>
      <c r="BL1179" s="18" t="s">
        <v>230</v>
      </c>
      <c r="BM1179" s="185" t="s">
        <v>2440</v>
      </c>
    </row>
    <row r="1180" spans="1:65" s="2" customFormat="1" ht="10">
      <c r="A1180" s="35"/>
      <c r="B1180" s="36"/>
      <c r="C1180" s="37"/>
      <c r="D1180" s="187" t="s">
        <v>137</v>
      </c>
      <c r="E1180" s="37"/>
      <c r="F1180" s="188" t="s">
        <v>2441</v>
      </c>
      <c r="G1180" s="37"/>
      <c r="H1180" s="37"/>
      <c r="I1180" s="189"/>
      <c r="J1180" s="37"/>
      <c r="K1180" s="37"/>
      <c r="L1180" s="40"/>
      <c r="M1180" s="190"/>
      <c r="N1180" s="191"/>
      <c r="O1180" s="65"/>
      <c r="P1180" s="65"/>
      <c r="Q1180" s="65"/>
      <c r="R1180" s="65"/>
      <c r="S1180" s="65"/>
      <c r="T1180" s="66"/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T1180" s="18" t="s">
        <v>137</v>
      </c>
      <c r="AU1180" s="18" t="s">
        <v>82</v>
      </c>
    </row>
    <row r="1181" spans="1:65" s="12" customFormat="1" ht="22.75" customHeight="1">
      <c r="B1181" s="158"/>
      <c r="C1181" s="159"/>
      <c r="D1181" s="160" t="s">
        <v>71</v>
      </c>
      <c r="E1181" s="172" t="s">
        <v>2442</v>
      </c>
      <c r="F1181" s="172" t="s">
        <v>2443</v>
      </c>
      <c r="G1181" s="159"/>
      <c r="H1181" s="159"/>
      <c r="I1181" s="162"/>
      <c r="J1181" s="173">
        <f>BK1181</f>
        <v>0</v>
      </c>
      <c r="K1181" s="159"/>
      <c r="L1181" s="164"/>
      <c r="M1181" s="165"/>
      <c r="N1181" s="166"/>
      <c r="O1181" s="166"/>
      <c r="P1181" s="167">
        <f>SUM(P1182:P1188)</f>
        <v>0</v>
      </c>
      <c r="Q1181" s="166"/>
      <c r="R1181" s="167">
        <f>SUM(R1182:R1188)</f>
        <v>0.16995000000000002</v>
      </c>
      <c r="S1181" s="166"/>
      <c r="T1181" s="168">
        <f>SUM(T1182:T1188)</f>
        <v>0</v>
      </c>
      <c r="AR1181" s="169" t="s">
        <v>82</v>
      </c>
      <c r="AT1181" s="170" t="s">
        <v>71</v>
      </c>
      <c r="AU1181" s="170" t="s">
        <v>80</v>
      </c>
      <c r="AY1181" s="169" t="s">
        <v>128</v>
      </c>
      <c r="BK1181" s="171">
        <f>SUM(BK1182:BK1188)</f>
        <v>0</v>
      </c>
    </row>
    <row r="1182" spans="1:65" s="2" customFormat="1" ht="24.15" customHeight="1">
      <c r="A1182" s="35"/>
      <c r="B1182" s="36"/>
      <c r="C1182" s="174" t="s">
        <v>2444</v>
      </c>
      <c r="D1182" s="174" t="s">
        <v>130</v>
      </c>
      <c r="E1182" s="175" t="s">
        <v>2445</v>
      </c>
      <c r="F1182" s="176" t="s">
        <v>2446</v>
      </c>
      <c r="G1182" s="177" t="s">
        <v>133</v>
      </c>
      <c r="H1182" s="178">
        <v>1.5</v>
      </c>
      <c r="I1182" s="179"/>
      <c r="J1182" s="180">
        <f>ROUND(I1182*H1182,2)</f>
        <v>0</v>
      </c>
      <c r="K1182" s="176" t="s">
        <v>134</v>
      </c>
      <c r="L1182" s="40"/>
      <c r="M1182" s="181" t="s">
        <v>19</v>
      </c>
      <c r="N1182" s="182" t="s">
        <v>43</v>
      </c>
      <c r="O1182" s="65"/>
      <c r="P1182" s="183">
        <f>O1182*H1182</f>
        <v>0</v>
      </c>
      <c r="Q1182" s="183">
        <v>8.3000000000000001E-3</v>
      </c>
      <c r="R1182" s="183">
        <f>Q1182*H1182</f>
        <v>1.2449999999999999E-2</v>
      </c>
      <c r="S1182" s="183">
        <v>0</v>
      </c>
      <c r="T1182" s="184">
        <f>S1182*H1182</f>
        <v>0</v>
      </c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R1182" s="185" t="s">
        <v>230</v>
      </c>
      <c r="AT1182" s="185" t="s">
        <v>130</v>
      </c>
      <c r="AU1182" s="185" t="s">
        <v>82</v>
      </c>
      <c r="AY1182" s="18" t="s">
        <v>128</v>
      </c>
      <c r="BE1182" s="186">
        <f>IF(N1182="základní",J1182,0)</f>
        <v>0</v>
      </c>
      <c r="BF1182" s="186">
        <f>IF(N1182="snížená",J1182,0)</f>
        <v>0</v>
      </c>
      <c r="BG1182" s="186">
        <f>IF(N1182="zákl. přenesená",J1182,0)</f>
        <v>0</v>
      </c>
      <c r="BH1182" s="186">
        <f>IF(N1182="sníž. přenesená",J1182,0)</f>
        <v>0</v>
      </c>
      <c r="BI1182" s="186">
        <f>IF(N1182="nulová",J1182,0)</f>
        <v>0</v>
      </c>
      <c r="BJ1182" s="18" t="s">
        <v>80</v>
      </c>
      <c r="BK1182" s="186">
        <f>ROUND(I1182*H1182,2)</f>
        <v>0</v>
      </c>
      <c r="BL1182" s="18" t="s">
        <v>230</v>
      </c>
      <c r="BM1182" s="185" t="s">
        <v>2447</v>
      </c>
    </row>
    <row r="1183" spans="1:65" s="2" customFormat="1" ht="10">
      <c r="A1183" s="35"/>
      <c r="B1183" s="36"/>
      <c r="C1183" s="37"/>
      <c r="D1183" s="187" t="s">
        <v>137</v>
      </c>
      <c r="E1183" s="37"/>
      <c r="F1183" s="188" t="s">
        <v>2448</v>
      </c>
      <c r="G1183" s="37"/>
      <c r="H1183" s="37"/>
      <c r="I1183" s="189"/>
      <c r="J1183" s="37"/>
      <c r="K1183" s="37"/>
      <c r="L1183" s="40"/>
      <c r="M1183" s="190"/>
      <c r="N1183" s="191"/>
      <c r="O1183" s="65"/>
      <c r="P1183" s="65"/>
      <c r="Q1183" s="65"/>
      <c r="R1183" s="65"/>
      <c r="S1183" s="65"/>
      <c r="T1183" s="66"/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T1183" s="18" t="s">
        <v>137</v>
      </c>
      <c r="AU1183" s="18" t="s">
        <v>82</v>
      </c>
    </row>
    <row r="1184" spans="1:65" s="13" customFormat="1" ht="10">
      <c r="B1184" s="192"/>
      <c r="C1184" s="193"/>
      <c r="D1184" s="194" t="s">
        <v>139</v>
      </c>
      <c r="E1184" s="195" t="s">
        <v>19</v>
      </c>
      <c r="F1184" s="196" t="s">
        <v>867</v>
      </c>
      <c r="G1184" s="193"/>
      <c r="H1184" s="197">
        <v>1.5</v>
      </c>
      <c r="I1184" s="198"/>
      <c r="J1184" s="193"/>
      <c r="K1184" s="193"/>
      <c r="L1184" s="199"/>
      <c r="M1184" s="200"/>
      <c r="N1184" s="201"/>
      <c r="O1184" s="201"/>
      <c r="P1184" s="201"/>
      <c r="Q1184" s="201"/>
      <c r="R1184" s="201"/>
      <c r="S1184" s="201"/>
      <c r="T1184" s="202"/>
      <c r="AT1184" s="203" t="s">
        <v>139</v>
      </c>
      <c r="AU1184" s="203" t="s">
        <v>82</v>
      </c>
      <c r="AV1184" s="13" t="s">
        <v>82</v>
      </c>
      <c r="AW1184" s="13" t="s">
        <v>34</v>
      </c>
      <c r="AX1184" s="13" t="s">
        <v>80</v>
      </c>
      <c r="AY1184" s="203" t="s">
        <v>128</v>
      </c>
    </row>
    <row r="1185" spans="1:65" s="2" customFormat="1" ht="16.5" customHeight="1">
      <c r="A1185" s="35"/>
      <c r="B1185" s="36"/>
      <c r="C1185" s="215" t="s">
        <v>2449</v>
      </c>
      <c r="D1185" s="215" t="s">
        <v>414</v>
      </c>
      <c r="E1185" s="216" t="s">
        <v>2450</v>
      </c>
      <c r="F1185" s="217" t="s">
        <v>2451</v>
      </c>
      <c r="G1185" s="218" t="s">
        <v>133</v>
      </c>
      <c r="H1185" s="219">
        <v>2.25</v>
      </c>
      <c r="I1185" s="220"/>
      <c r="J1185" s="221">
        <f>ROUND(I1185*H1185,2)</f>
        <v>0</v>
      </c>
      <c r="K1185" s="217" t="s">
        <v>134</v>
      </c>
      <c r="L1185" s="222"/>
      <c r="M1185" s="223" t="s">
        <v>19</v>
      </c>
      <c r="N1185" s="224" t="s">
        <v>43</v>
      </c>
      <c r="O1185" s="65"/>
      <c r="P1185" s="183">
        <f>O1185*H1185</f>
        <v>0</v>
      </c>
      <c r="Q1185" s="183">
        <v>7.0000000000000007E-2</v>
      </c>
      <c r="R1185" s="183">
        <f>Q1185*H1185</f>
        <v>0.15750000000000003</v>
      </c>
      <c r="S1185" s="183">
        <v>0</v>
      </c>
      <c r="T1185" s="184">
        <f>S1185*H1185</f>
        <v>0</v>
      </c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R1185" s="185" t="s">
        <v>334</v>
      </c>
      <c r="AT1185" s="185" t="s">
        <v>414</v>
      </c>
      <c r="AU1185" s="185" t="s">
        <v>82</v>
      </c>
      <c r="AY1185" s="18" t="s">
        <v>128</v>
      </c>
      <c r="BE1185" s="186">
        <f>IF(N1185="základní",J1185,0)</f>
        <v>0</v>
      </c>
      <c r="BF1185" s="186">
        <f>IF(N1185="snížená",J1185,0)</f>
        <v>0</v>
      </c>
      <c r="BG1185" s="186">
        <f>IF(N1185="zákl. přenesená",J1185,0)</f>
        <v>0</v>
      </c>
      <c r="BH1185" s="186">
        <f>IF(N1185="sníž. přenesená",J1185,0)</f>
        <v>0</v>
      </c>
      <c r="BI1185" s="186">
        <f>IF(N1185="nulová",J1185,0)</f>
        <v>0</v>
      </c>
      <c r="BJ1185" s="18" t="s">
        <v>80</v>
      </c>
      <c r="BK1185" s="186">
        <f>ROUND(I1185*H1185,2)</f>
        <v>0</v>
      </c>
      <c r="BL1185" s="18" t="s">
        <v>230</v>
      </c>
      <c r="BM1185" s="185" t="s">
        <v>2452</v>
      </c>
    </row>
    <row r="1186" spans="1:65" s="13" customFormat="1" ht="10">
      <c r="B1186" s="192"/>
      <c r="C1186" s="193"/>
      <c r="D1186" s="194" t="s">
        <v>139</v>
      </c>
      <c r="E1186" s="193"/>
      <c r="F1186" s="196" t="s">
        <v>2453</v>
      </c>
      <c r="G1186" s="193"/>
      <c r="H1186" s="197">
        <v>2.25</v>
      </c>
      <c r="I1186" s="198"/>
      <c r="J1186" s="193"/>
      <c r="K1186" s="193"/>
      <c r="L1186" s="199"/>
      <c r="M1186" s="200"/>
      <c r="N1186" s="201"/>
      <c r="O1186" s="201"/>
      <c r="P1186" s="201"/>
      <c r="Q1186" s="201"/>
      <c r="R1186" s="201"/>
      <c r="S1186" s="201"/>
      <c r="T1186" s="202"/>
      <c r="AT1186" s="203" t="s">
        <v>139</v>
      </c>
      <c r="AU1186" s="203" t="s">
        <v>82</v>
      </c>
      <c r="AV1186" s="13" t="s">
        <v>82</v>
      </c>
      <c r="AW1186" s="13" t="s">
        <v>4</v>
      </c>
      <c r="AX1186" s="13" t="s">
        <v>80</v>
      </c>
      <c r="AY1186" s="203" t="s">
        <v>128</v>
      </c>
    </row>
    <row r="1187" spans="1:65" s="2" customFormat="1" ht="24.15" customHeight="1">
      <c r="A1187" s="35"/>
      <c r="B1187" s="36"/>
      <c r="C1187" s="174" t="s">
        <v>2454</v>
      </c>
      <c r="D1187" s="174" t="s">
        <v>130</v>
      </c>
      <c r="E1187" s="175" t="s">
        <v>2455</v>
      </c>
      <c r="F1187" s="176" t="s">
        <v>2456</v>
      </c>
      <c r="G1187" s="177" t="s">
        <v>426</v>
      </c>
      <c r="H1187" s="225"/>
      <c r="I1187" s="179"/>
      <c r="J1187" s="180">
        <f>ROUND(I1187*H1187,2)</f>
        <v>0</v>
      </c>
      <c r="K1187" s="176" t="s">
        <v>134</v>
      </c>
      <c r="L1187" s="40"/>
      <c r="M1187" s="181" t="s">
        <v>19</v>
      </c>
      <c r="N1187" s="182" t="s">
        <v>43</v>
      </c>
      <c r="O1187" s="65"/>
      <c r="P1187" s="183">
        <f>O1187*H1187</f>
        <v>0</v>
      </c>
      <c r="Q1187" s="183">
        <v>0</v>
      </c>
      <c r="R1187" s="183">
        <f>Q1187*H1187</f>
        <v>0</v>
      </c>
      <c r="S1187" s="183">
        <v>0</v>
      </c>
      <c r="T1187" s="184">
        <f>S1187*H1187</f>
        <v>0</v>
      </c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R1187" s="185" t="s">
        <v>230</v>
      </c>
      <c r="AT1187" s="185" t="s">
        <v>130</v>
      </c>
      <c r="AU1187" s="185" t="s">
        <v>82</v>
      </c>
      <c r="AY1187" s="18" t="s">
        <v>128</v>
      </c>
      <c r="BE1187" s="186">
        <f>IF(N1187="základní",J1187,0)</f>
        <v>0</v>
      </c>
      <c r="BF1187" s="186">
        <f>IF(N1187="snížená",J1187,0)</f>
        <v>0</v>
      </c>
      <c r="BG1187" s="186">
        <f>IF(N1187="zákl. přenesená",J1187,0)</f>
        <v>0</v>
      </c>
      <c r="BH1187" s="186">
        <f>IF(N1187="sníž. přenesená",J1187,0)</f>
        <v>0</v>
      </c>
      <c r="BI1187" s="186">
        <f>IF(N1187="nulová",J1187,0)</f>
        <v>0</v>
      </c>
      <c r="BJ1187" s="18" t="s">
        <v>80</v>
      </c>
      <c r="BK1187" s="186">
        <f>ROUND(I1187*H1187,2)</f>
        <v>0</v>
      </c>
      <c r="BL1187" s="18" t="s">
        <v>230</v>
      </c>
      <c r="BM1187" s="185" t="s">
        <v>2457</v>
      </c>
    </row>
    <row r="1188" spans="1:65" s="2" customFormat="1" ht="10">
      <c r="A1188" s="35"/>
      <c r="B1188" s="36"/>
      <c r="C1188" s="37"/>
      <c r="D1188" s="187" t="s">
        <v>137</v>
      </c>
      <c r="E1188" s="37"/>
      <c r="F1188" s="188" t="s">
        <v>2458</v>
      </c>
      <c r="G1188" s="37"/>
      <c r="H1188" s="37"/>
      <c r="I1188" s="189"/>
      <c r="J1188" s="37"/>
      <c r="K1188" s="37"/>
      <c r="L1188" s="40"/>
      <c r="M1188" s="190"/>
      <c r="N1188" s="191"/>
      <c r="O1188" s="65"/>
      <c r="P1188" s="65"/>
      <c r="Q1188" s="65"/>
      <c r="R1188" s="65"/>
      <c r="S1188" s="65"/>
      <c r="T1188" s="66"/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T1188" s="18" t="s">
        <v>137</v>
      </c>
      <c r="AU1188" s="18" t="s">
        <v>82</v>
      </c>
    </row>
    <row r="1189" spans="1:65" s="12" customFormat="1" ht="22.75" customHeight="1">
      <c r="B1189" s="158"/>
      <c r="C1189" s="159"/>
      <c r="D1189" s="160" t="s">
        <v>71</v>
      </c>
      <c r="E1189" s="172" t="s">
        <v>2459</v>
      </c>
      <c r="F1189" s="172" t="s">
        <v>2460</v>
      </c>
      <c r="G1189" s="159"/>
      <c r="H1189" s="159"/>
      <c r="I1189" s="162"/>
      <c r="J1189" s="173">
        <f>BK1189</f>
        <v>0</v>
      </c>
      <c r="K1189" s="159"/>
      <c r="L1189" s="164"/>
      <c r="M1189" s="165"/>
      <c r="N1189" s="166"/>
      <c r="O1189" s="166"/>
      <c r="P1189" s="167">
        <f>SUM(P1190:P1228)</f>
        <v>0</v>
      </c>
      <c r="Q1189" s="166"/>
      <c r="R1189" s="167">
        <f>SUM(R1190:R1228)</f>
        <v>0.17283798</v>
      </c>
      <c r="S1189" s="166"/>
      <c r="T1189" s="168">
        <f>SUM(T1190:T1228)</f>
        <v>0</v>
      </c>
      <c r="AR1189" s="169" t="s">
        <v>82</v>
      </c>
      <c r="AT1189" s="170" t="s">
        <v>71</v>
      </c>
      <c r="AU1189" s="170" t="s">
        <v>80</v>
      </c>
      <c r="AY1189" s="169" t="s">
        <v>128</v>
      </c>
      <c r="BK1189" s="171">
        <f>SUM(BK1190:BK1228)</f>
        <v>0</v>
      </c>
    </row>
    <row r="1190" spans="1:65" s="2" customFormat="1" ht="21.75" customHeight="1">
      <c r="A1190" s="35"/>
      <c r="B1190" s="36"/>
      <c r="C1190" s="174" t="s">
        <v>2461</v>
      </c>
      <c r="D1190" s="174" t="s">
        <v>130</v>
      </c>
      <c r="E1190" s="175" t="s">
        <v>2462</v>
      </c>
      <c r="F1190" s="176" t="s">
        <v>2463</v>
      </c>
      <c r="G1190" s="177" t="s">
        <v>133</v>
      </c>
      <c r="H1190" s="178">
        <v>823.03800000000001</v>
      </c>
      <c r="I1190" s="179"/>
      <c r="J1190" s="180">
        <f>ROUND(I1190*H1190,2)</f>
        <v>0</v>
      </c>
      <c r="K1190" s="176" t="s">
        <v>134</v>
      </c>
      <c r="L1190" s="40"/>
      <c r="M1190" s="181" t="s">
        <v>19</v>
      </c>
      <c r="N1190" s="182" t="s">
        <v>43</v>
      </c>
      <c r="O1190" s="65"/>
      <c r="P1190" s="183">
        <f>O1190*H1190</f>
        <v>0</v>
      </c>
      <c r="Q1190" s="183">
        <v>6.9999999999999994E-5</v>
      </c>
      <c r="R1190" s="183">
        <f>Q1190*H1190</f>
        <v>5.7612659999999996E-2</v>
      </c>
      <c r="S1190" s="183">
        <v>0</v>
      </c>
      <c r="T1190" s="184">
        <f>S1190*H1190</f>
        <v>0</v>
      </c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R1190" s="185" t="s">
        <v>230</v>
      </c>
      <c r="AT1190" s="185" t="s">
        <v>130</v>
      </c>
      <c r="AU1190" s="185" t="s">
        <v>82</v>
      </c>
      <c r="AY1190" s="18" t="s">
        <v>128</v>
      </c>
      <c r="BE1190" s="186">
        <f>IF(N1190="základní",J1190,0)</f>
        <v>0</v>
      </c>
      <c r="BF1190" s="186">
        <f>IF(N1190="snížená",J1190,0)</f>
        <v>0</v>
      </c>
      <c r="BG1190" s="186">
        <f>IF(N1190="zákl. přenesená",J1190,0)</f>
        <v>0</v>
      </c>
      <c r="BH1190" s="186">
        <f>IF(N1190="sníž. přenesená",J1190,0)</f>
        <v>0</v>
      </c>
      <c r="BI1190" s="186">
        <f>IF(N1190="nulová",J1190,0)</f>
        <v>0</v>
      </c>
      <c r="BJ1190" s="18" t="s">
        <v>80</v>
      </c>
      <c r="BK1190" s="186">
        <f>ROUND(I1190*H1190,2)</f>
        <v>0</v>
      </c>
      <c r="BL1190" s="18" t="s">
        <v>230</v>
      </c>
      <c r="BM1190" s="185" t="s">
        <v>2464</v>
      </c>
    </row>
    <row r="1191" spans="1:65" s="2" customFormat="1" ht="10">
      <c r="A1191" s="35"/>
      <c r="B1191" s="36"/>
      <c r="C1191" s="37"/>
      <c r="D1191" s="187" t="s">
        <v>137</v>
      </c>
      <c r="E1191" s="37"/>
      <c r="F1191" s="188" t="s">
        <v>2465</v>
      </c>
      <c r="G1191" s="37"/>
      <c r="H1191" s="37"/>
      <c r="I1191" s="189"/>
      <c r="J1191" s="37"/>
      <c r="K1191" s="37"/>
      <c r="L1191" s="40"/>
      <c r="M1191" s="190"/>
      <c r="N1191" s="191"/>
      <c r="O1191" s="65"/>
      <c r="P1191" s="65"/>
      <c r="Q1191" s="65"/>
      <c r="R1191" s="65"/>
      <c r="S1191" s="65"/>
      <c r="T1191" s="66"/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T1191" s="18" t="s">
        <v>137</v>
      </c>
      <c r="AU1191" s="18" t="s">
        <v>82</v>
      </c>
    </row>
    <row r="1192" spans="1:65" s="13" customFormat="1" ht="10">
      <c r="B1192" s="192"/>
      <c r="C1192" s="193"/>
      <c r="D1192" s="194" t="s">
        <v>139</v>
      </c>
      <c r="E1192" s="195" t="s">
        <v>19</v>
      </c>
      <c r="F1192" s="196" t="s">
        <v>2466</v>
      </c>
      <c r="G1192" s="193"/>
      <c r="H1192" s="197">
        <v>108.217</v>
      </c>
      <c r="I1192" s="198"/>
      <c r="J1192" s="193"/>
      <c r="K1192" s="193"/>
      <c r="L1192" s="199"/>
      <c r="M1192" s="200"/>
      <c r="N1192" s="201"/>
      <c r="O1192" s="201"/>
      <c r="P1192" s="201"/>
      <c r="Q1192" s="201"/>
      <c r="R1192" s="201"/>
      <c r="S1192" s="201"/>
      <c r="T1192" s="202"/>
      <c r="AT1192" s="203" t="s">
        <v>139</v>
      </c>
      <c r="AU1192" s="203" t="s">
        <v>82</v>
      </c>
      <c r="AV1192" s="13" t="s">
        <v>82</v>
      </c>
      <c r="AW1192" s="13" t="s">
        <v>34</v>
      </c>
      <c r="AX1192" s="13" t="s">
        <v>72</v>
      </c>
      <c r="AY1192" s="203" t="s">
        <v>128</v>
      </c>
    </row>
    <row r="1193" spans="1:65" s="13" customFormat="1" ht="10">
      <c r="B1193" s="192"/>
      <c r="C1193" s="193"/>
      <c r="D1193" s="194" t="s">
        <v>139</v>
      </c>
      <c r="E1193" s="195" t="s">
        <v>19</v>
      </c>
      <c r="F1193" s="196" t="s">
        <v>2467</v>
      </c>
      <c r="G1193" s="193"/>
      <c r="H1193" s="197">
        <v>68.082999999999998</v>
      </c>
      <c r="I1193" s="198"/>
      <c r="J1193" s="193"/>
      <c r="K1193" s="193"/>
      <c r="L1193" s="199"/>
      <c r="M1193" s="200"/>
      <c r="N1193" s="201"/>
      <c r="O1193" s="201"/>
      <c r="P1193" s="201"/>
      <c r="Q1193" s="201"/>
      <c r="R1193" s="201"/>
      <c r="S1193" s="201"/>
      <c r="T1193" s="202"/>
      <c r="AT1193" s="203" t="s">
        <v>139</v>
      </c>
      <c r="AU1193" s="203" t="s">
        <v>82</v>
      </c>
      <c r="AV1193" s="13" t="s">
        <v>82</v>
      </c>
      <c r="AW1193" s="13" t="s">
        <v>34</v>
      </c>
      <c r="AX1193" s="13" t="s">
        <v>72</v>
      </c>
      <c r="AY1193" s="203" t="s">
        <v>128</v>
      </c>
    </row>
    <row r="1194" spans="1:65" s="13" customFormat="1" ht="10">
      <c r="B1194" s="192"/>
      <c r="C1194" s="193"/>
      <c r="D1194" s="194" t="s">
        <v>139</v>
      </c>
      <c r="E1194" s="195" t="s">
        <v>19</v>
      </c>
      <c r="F1194" s="196" t="s">
        <v>2468</v>
      </c>
      <c r="G1194" s="193"/>
      <c r="H1194" s="197">
        <v>472.53300000000002</v>
      </c>
      <c r="I1194" s="198"/>
      <c r="J1194" s="193"/>
      <c r="K1194" s="193"/>
      <c r="L1194" s="199"/>
      <c r="M1194" s="200"/>
      <c r="N1194" s="201"/>
      <c r="O1194" s="201"/>
      <c r="P1194" s="201"/>
      <c r="Q1194" s="201"/>
      <c r="R1194" s="201"/>
      <c r="S1194" s="201"/>
      <c r="T1194" s="202"/>
      <c r="AT1194" s="203" t="s">
        <v>139</v>
      </c>
      <c r="AU1194" s="203" t="s">
        <v>82</v>
      </c>
      <c r="AV1194" s="13" t="s">
        <v>82</v>
      </c>
      <c r="AW1194" s="13" t="s">
        <v>34</v>
      </c>
      <c r="AX1194" s="13" t="s">
        <v>72</v>
      </c>
      <c r="AY1194" s="203" t="s">
        <v>128</v>
      </c>
    </row>
    <row r="1195" spans="1:65" s="13" customFormat="1" ht="10">
      <c r="B1195" s="192"/>
      <c r="C1195" s="193"/>
      <c r="D1195" s="194" t="s">
        <v>139</v>
      </c>
      <c r="E1195" s="195" t="s">
        <v>19</v>
      </c>
      <c r="F1195" s="196" t="s">
        <v>2469</v>
      </c>
      <c r="G1195" s="193"/>
      <c r="H1195" s="197">
        <v>3.2</v>
      </c>
      <c r="I1195" s="198"/>
      <c r="J1195" s="193"/>
      <c r="K1195" s="193"/>
      <c r="L1195" s="199"/>
      <c r="M1195" s="200"/>
      <c r="N1195" s="201"/>
      <c r="O1195" s="201"/>
      <c r="P1195" s="201"/>
      <c r="Q1195" s="201"/>
      <c r="R1195" s="201"/>
      <c r="S1195" s="201"/>
      <c r="T1195" s="202"/>
      <c r="AT1195" s="203" t="s">
        <v>139</v>
      </c>
      <c r="AU1195" s="203" t="s">
        <v>82</v>
      </c>
      <c r="AV1195" s="13" t="s">
        <v>82</v>
      </c>
      <c r="AW1195" s="13" t="s">
        <v>34</v>
      </c>
      <c r="AX1195" s="13" t="s">
        <v>72</v>
      </c>
      <c r="AY1195" s="203" t="s">
        <v>128</v>
      </c>
    </row>
    <row r="1196" spans="1:65" s="13" customFormat="1" ht="10">
      <c r="B1196" s="192"/>
      <c r="C1196" s="193"/>
      <c r="D1196" s="194" t="s">
        <v>139</v>
      </c>
      <c r="E1196" s="195" t="s">
        <v>19</v>
      </c>
      <c r="F1196" s="196" t="s">
        <v>2470</v>
      </c>
      <c r="G1196" s="193"/>
      <c r="H1196" s="197">
        <v>12.84</v>
      </c>
      <c r="I1196" s="198"/>
      <c r="J1196" s="193"/>
      <c r="K1196" s="193"/>
      <c r="L1196" s="199"/>
      <c r="M1196" s="200"/>
      <c r="N1196" s="201"/>
      <c r="O1196" s="201"/>
      <c r="P1196" s="201"/>
      <c r="Q1196" s="201"/>
      <c r="R1196" s="201"/>
      <c r="S1196" s="201"/>
      <c r="T1196" s="202"/>
      <c r="AT1196" s="203" t="s">
        <v>139</v>
      </c>
      <c r="AU1196" s="203" t="s">
        <v>82</v>
      </c>
      <c r="AV1196" s="13" t="s">
        <v>82</v>
      </c>
      <c r="AW1196" s="13" t="s">
        <v>34</v>
      </c>
      <c r="AX1196" s="13" t="s">
        <v>72</v>
      </c>
      <c r="AY1196" s="203" t="s">
        <v>128</v>
      </c>
    </row>
    <row r="1197" spans="1:65" s="13" customFormat="1" ht="10">
      <c r="B1197" s="192"/>
      <c r="C1197" s="193"/>
      <c r="D1197" s="194" t="s">
        <v>139</v>
      </c>
      <c r="E1197" s="195" t="s">
        <v>19</v>
      </c>
      <c r="F1197" s="196" t="s">
        <v>2471</v>
      </c>
      <c r="G1197" s="193"/>
      <c r="H1197" s="197">
        <v>14.85</v>
      </c>
      <c r="I1197" s="198"/>
      <c r="J1197" s="193"/>
      <c r="K1197" s="193"/>
      <c r="L1197" s="199"/>
      <c r="M1197" s="200"/>
      <c r="N1197" s="201"/>
      <c r="O1197" s="201"/>
      <c r="P1197" s="201"/>
      <c r="Q1197" s="201"/>
      <c r="R1197" s="201"/>
      <c r="S1197" s="201"/>
      <c r="T1197" s="202"/>
      <c r="AT1197" s="203" t="s">
        <v>139</v>
      </c>
      <c r="AU1197" s="203" t="s">
        <v>82</v>
      </c>
      <c r="AV1197" s="13" t="s">
        <v>82</v>
      </c>
      <c r="AW1197" s="13" t="s">
        <v>34</v>
      </c>
      <c r="AX1197" s="13" t="s">
        <v>72</v>
      </c>
      <c r="AY1197" s="203" t="s">
        <v>128</v>
      </c>
    </row>
    <row r="1198" spans="1:65" s="13" customFormat="1" ht="10">
      <c r="B1198" s="192"/>
      <c r="C1198" s="193"/>
      <c r="D1198" s="194" t="s">
        <v>139</v>
      </c>
      <c r="E1198" s="195" t="s">
        <v>19</v>
      </c>
      <c r="F1198" s="196" t="s">
        <v>2472</v>
      </c>
      <c r="G1198" s="193"/>
      <c r="H1198" s="197">
        <v>62.92</v>
      </c>
      <c r="I1198" s="198"/>
      <c r="J1198" s="193"/>
      <c r="K1198" s="193"/>
      <c r="L1198" s="199"/>
      <c r="M1198" s="200"/>
      <c r="N1198" s="201"/>
      <c r="O1198" s="201"/>
      <c r="P1198" s="201"/>
      <c r="Q1198" s="201"/>
      <c r="R1198" s="201"/>
      <c r="S1198" s="201"/>
      <c r="T1198" s="202"/>
      <c r="AT1198" s="203" t="s">
        <v>139</v>
      </c>
      <c r="AU1198" s="203" t="s">
        <v>82</v>
      </c>
      <c r="AV1198" s="13" t="s">
        <v>82</v>
      </c>
      <c r="AW1198" s="13" t="s">
        <v>34</v>
      </c>
      <c r="AX1198" s="13" t="s">
        <v>72</v>
      </c>
      <c r="AY1198" s="203" t="s">
        <v>128</v>
      </c>
    </row>
    <row r="1199" spans="1:65" s="13" customFormat="1" ht="10">
      <c r="B1199" s="192"/>
      <c r="C1199" s="193"/>
      <c r="D1199" s="194" t="s">
        <v>139</v>
      </c>
      <c r="E1199" s="195" t="s">
        <v>19</v>
      </c>
      <c r="F1199" s="196" t="s">
        <v>2473</v>
      </c>
      <c r="G1199" s="193"/>
      <c r="H1199" s="197">
        <v>27.143000000000001</v>
      </c>
      <c r="I1199" s="198"/>
      <c r="J1199" s="193"/>
      <c r="K1199" s="193"/>
      <c r="L1199" s="199"/>
      <c r="M1199" s="200"/>
      <c r="N1199" s="201"/>
      <c r="O1199" s="201"/>
      <c r="P1199" s="201"/>
      <c r="Q1199" s="201"/>
      <c r="R1199" s="201"/>
      <c r="S1199" s="201"/>
      <c r="T1199" s="202"/>
      <c r="AT1199" s="203" t="s">
        <v>139</v>
      </c>
      <c r="AU1199" s="203" t="s">
        <v>82</v>
      </c>
      <c r="AV1199" s="13" t="s">
        <v>82</v>
      </c>
      <c r="AW1199" s="13" t="s">
        <v>34</v>
      </c>
      <c r="AX1199" s="13" t="s">
        <v>72</v>
      </c>
      <c r="AY1199" s="203" t="s">
        <v>128</v>
      </c>
    </row>
    <row r="1200" spans="1:65" s="13" customFormat="1" ht="10">
      <c r="B1200" s="192"/>
      <c r="C1200" s="193"/>
      <c r="D1200" s="194" t="s">
        <v>139</v>
      </c>
      <c r="E1200" s="195" t="s">
        <v>19</v>
      </c>
      <c r="F1200" s="196" t="s">
        <v>2474</v>
      </c>
      <c r="G1200" s="193"/>
      <c r="H1200" s="197">
        <v>26.88</v>
      </c>
      <c r="I1200" s="198"/>
      <c r="J1200" s="193"/>
      <c r="K1200" s="193"/>
      <c r="L1200" s="199"/>
      <c r="M1200" s="200"/>
      <c r="N1200" s="201"/>
      <c r="O1200" s="201"/>
      <c r="P1200" s="201"/>
      <c r="Q1200" s="201"/>
      <c r="R1200" s="201"/>
      <c r="S1200" s="201"/>
      <c r="T1200" s="202"/>
      <c r="AT1200" s="203" t="s">
        <v>139</v>
      </c>
      <c r="AU1200" s="203" t="s">
        <v>82</v>
      </c>
      <c r="AV1200" s="13" t="s">
        <v>82</v>
      </c>
      <c r="AW1200" s="13" t="s">
        <v>34</v>
      </c>
      <c r="AX1200" s="13" t="s">
        <v>72</v>
      </c>
      <c r="AY1200" s="203" t="s">
        <v>128</v>
      </c>
    </row>
    <row r="1201" spans="1:65" s="13" customFormat="1" ht="10">
      <c r="B1201" s="192"/>
      <c r="C1201" s="193"/>
      <c r="D1201" s="194" t="s">
        <v>139</v>
      </c>
      <c r="E1201" s="195" t="s">
        <v>19</v>
      </c>
      <c r="F1201" s="196" t="s">
        <v>2475</v>
      </c>
      <c r="G1201" s="193"/>
      <c r="H1201" s="197">
        <v>26.372</v>
      </c>
      <c r="I1201" s="198"/>
      <c r="J1201" s="193"/>
      <c r="K1201" s="193"/>
      <c r="L1201" s="199"/>
      <c r="M1201" s="200"/>
      <c r="N1201" s="201"/>
      <c r="O1201" s="201"/>
      <c r="P1201" s="201"/>
      <c r="Q1201" s="201"/>
      <c r="R1201" s="201"/>
      <c r="S1201" s="201"/>
      <c r="T1201" s="202"/>
      <c r="AT1201" s="203" t="s">
        <v>139</v>
      </c>
      <c r="AU1201" s="203" t="s">
        <v>82</v>
      </c>
      <c r="AV1201" s="13" t="s">
        <v>82</v>
      </c>
      <c r="AW1201" s="13" t="s">
        <v>34</v>
      </c>
      <c r="AX1201" s="13" t="s">
        <v>72</v>
      </c>
      <c r="AY1201" s="203" t="s">
        <v>128</v>
      </c>
    </row>
    <row r="1202" spans="1:65" s="14" customFormat="1" ht="10">
      <c r="B1202" s="204"/>
      <c r="C1202" s="205"/>
      <c r="D1202" s="194" t="s">
        <v>139</v>
      </c>
      <c r="E1202" s="206" t="s">
        <v>19</v>
      </c>
      <c r="F1202" s="207" t="s">
        <v>153</v>
      </c>
      <c r="G1202" s="205"/>
      <c r="H1202" s="208">
        <v>823.03800000000012</v>
      </c>
      <c r="I1202" s="209"/>
      <c r="J1202" s="205"/>
      <c r="K1202" s="205"/>
      <c r="L1202" s="210"/>
      <c r="M1202" s="211"/>
      <c r="N1202" s="212"/>
      <c r="O1202" s="212"/>
      <c r="P1202" s="212"/>
      <c r="Q1202" s="212"/>
      <c r="R1202" s="212"/>
      <c r="S1202" s="212"/>
      <c r="T1202" s="213"/>
      <c r="AT1202" s="214" t="s">
        <v>139</v>
      </c>
      <c r="AU1202" s="214" t="s">
        <v>82</v>
      </c>
      <c r="AV1202" s="14" t="s">
        <v>135</v>
      </c>
      <c r="AW1202" s="14" t="s">
        <v>34</v>
      </c>
      <c r="AX1202" s="14" t="s">
        <v>80</v>
      </c>
      <c r="AY1202" s="214" t="s">
        <v>128</v>
      </c>
    </row>
    <row r="1203" spans="1:65" s="2" customFormat="1" ht="16.5" customHeight="1">
      <c r="A1203" s="35"/>
      <c r="B1203" s="36"/>
      <c r="C1203" s="174" t="s">
        <v>2476</v>
      </c>
      <c r="D1203" s="174" t="s">
        <v>130</v>
      </c>
      <c r="E1203" s="175" t="s">
        <v>2477</v>
      </c>
      <c r="F1203" s="176" t="s">
        <v>2478</v>
      </c>
      <c r="G1203" s="177" t="s">
        <v>133</v>
      </c>
      <c r="H1203" s="178">
        <v>823.03800000000001</v>
      </c>
      <c r="I1203" s="179"/>
      <c r="J1203" s="180">
        <f>ROUND(I1203*H1203,2)</f>
        <v>0</v>
      </c>
      <c r="K1203" s="176" t="s">
        <v>134</v>
      </c>
      <c r="L1203" s="40"/>
      <c r="M1203" s="181" t="s">
        <v>19</v>
      </c>
      <c r="N1203" s="182" t="s">
        <v>43</v>
      </c>
      <c r="O1203" s="65"/>
      <c r="P1203" s="183">
        <f>O1203*H1203</f>
        <v>0</v>
      </c>
      <c r="Q1203" s="183">
        <v>0</v>
      </c>
      <c r="R1203" s="183">
        <f>Q1203*H1203</f>
        <v>0</v>
      </c>
      <c r="S1203" s="183">
        <v>0</v>
      </c>
      <c r="T1203" s="184">
        <f>S1203*H1203</f>
        <v>0</v>
      </c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R1203" s="185" t="s">
        <v>230</v>
      </c>
      <c r="AT1203" s="185" t="s">
        <v>130</v>
      </c>
      <c r="AU1203" s="185" t="s">
        <v>82</v>
      </c>
      <c r="AY1203" s="18" t="s">
        <v>128</v>
      </c>
      <c r="BE1203" s="186">
        <f>IF(N1203="základní",J1203,0)</f>
        <v>0</v>
      </c>
      <c r="BF1203" s="186">
        <f>IF(N1203="snížená",J1203,0)</f>
        <v>0</v>
      </c>
      <c r="BG1203" s="186">
        <f>IF(N1203="zákl. přenesená",J1203,0)</f>
        <v>0</v>
      </c>
      <c r="BH1203" s="186">
        <f>IF(N1203="sníž. přenesená",J1203,0)</f>
        <v>0</v>
      </c>
      <c r="BI1203" s="186">
        <f>IF(N1203="nulová",J1203,0)</f>
        <v>0</v>
      </c>
      <c r="BJ1203" s="18" t="s">
        <v>80</v>
      </c>
      <c r="BK1203" s="186">
        <f>ROUND(I1203*H1203,2)</f>
        <v>0</v>
      </c>
      <c r="BL1203" s="18" t="s">
        <v>230</v>
      </c>
      <c r="BM1203" s="185" t="s">
        <v>2479</v>
      </c>
    </row>
    <row r="1204" spans="1:65" s="2" customFormat="1" ht="10">
      <c r="A1204" s="35"/>
      <c r="B1204" s="36"/>
      <c r="C1204" s="37"/>
      <c r="D1204" s="187" t="s">
        <v>137</v>
      </c>
      <c r="E1204" s="37"/>
      <c r="F1204" s="188" t="s">
        <v>2480</v>
      </c>
      <c r="G1204" s="37"/>
      <c r="H1204" s="37"/>
      <c r="I1204" s="189"/>
      <c r="J1204" s="37"/>
      <c r="K1204" s="37"/>
      <c r="L1204" s="40"/>
      <c r="M1204" s="190"/>
      <c r="N1204" s="191"/>
      <c r="O1204" s="65"/>
      <c r="P1204" s="65"/>
      <c r="Q1204" s="65"/>
      <c r="R1204" s="65"/>
      <c r="S1204" s="65"/>
      <c r="T1204" s="66"/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T1204" s="18" t="s">
        <v>137</v>
      </c>
      <c r="AU1204" s="18" t="s">
        <v>82</v>
      </c>
    </row>
    <row r="1205" spans="1:65" s="13" customFormat="1" ht="10">
      <c r="B1205" s="192"/>
      <c r="C1205" s="193"/>
      <c r="D1205" s="194" t="s">
        <v>139</v>
      </c>
      <c r="E1205" s="195" t="s">
        <v>19</v>
      </c>
      <c r="F1205" s="196" t="s">
        <v>2466</v>
      </c>
      <c r="G1205" s="193"/>
      <c r="H1205" s="197">
        <v>108.217</v>
      </c>
      <c r="I1205" s="198"/>
      <c r="J1205" s="193"/>
      <c r="K1205" s="193"/>
      <c r="L1205" s="199"/>
      <c r="M1205" s="200"/>
      <c r="N1205" s="201"/>
      <c r="O1205" s="201"/>
      <c r="P1205" s="201"/>
      <c r="Q1205" s="201"/>
      <c r="R1205" s="201"/>
      <c r="S1205" s="201"/>
      <c r="T1205" s="202"/>
      <c r="AT1205" s="203" t="s">
        <v>139</v>
      </c>
      <c r="AU1205" s="203" t="s">
        <v>82</v>
      </c>
      <c r="AV1205" s="13" t="s">
        <v>82</v>
      </c>
      <c r="AW1205" s="13" t="s">
        <v>34</v>
      </c>
      <c r="AX1205" s="13" t="s">
        <v>72</v>
      </c>
      <c r="AY1205" s="203" t="s">
        <v>128</v>
      </c>
    </row>
    <row r="1206" spans="1:65" s="13" customFormat="1" ht="10">
      <c r="B1206" s="192"/>
      <c r="C1206" s="193"/>
      <c r="D1206" s="194" t="s">
        <v>139</v>
      </c>
      <c r="E1206" s="195" t="s">
        <v>19</v>
      </c>
      <c r="F1206" s="196" t="s">
        <v>2467</v>
      </c>
      <c r="G1206" s="193"/>
      <c r="H1206" s="197">
        <v>68.082999999999998</v>
      </c>
      <c r="I1206" s="198"/>
      <c r="J1206" s="193"/>
      <c r="K1206" s="193"/>
      <c r="L1206" s="199"/>
      <c r="M1206" s="200"/>
      <c r="N1206" s="201"/>
      <c r="O1206" s="201"/>
      <c r="P1206" s="201"/>
      <c r="Q1206" s="201"/>
      <c r="R1206" s="201"/>
      <c r="S1206" s="201"/>
      <c r="T1206" s="202"/>
      <c r="AT1206" s="203" t="s">
        <v>139</v>
      </c>
      <c r="AU1206" s="203" t="s">
        <v>82</v>
      </c>
      <c r="AV1206" s="13" t="s">
        <v>82</v>
      </c>
      <c r="AW1206" s="13" t="s">
        <v>34</v>
      </c>
      <c r="AX1206" s="13" t="s">
        <v>72</v>
      </c>
      <c r="AY1206" s="203" t="s">
        <v>128</v>
      </c>
    </row>
    <row r="1207" spans="1:65" s="13" customFormat="1" ht="10">
      <c r="B1207" s="192"/>
      <c r="C1207" s="193"/>
      <c r="D1207" s="194" t="s">
        <v>139</v>
      </c>
      <c r="E1207" s="195" t="s">
        <v>19</v>
      </c>
      <c r="F1207" s="196" t="s">
        <v>2468</v>
      </c>
      <c r="G1207" s="193"/>
      <c r="H1207" s="197">
        <v>472.53300000000002</v>
      </c>
      <c r="I1207" s="198"/>
      <c r="J1207" s="193"/>
      <c r="K1207" s="193"/>
      <c r="L1207" s="199"/>
      <c r="M1207" s="200"/>
      <c r="N1207" s="201"/>
      <c r="O1207" s="201"/>
      <c r="P1207" s="201"/>
      <c r="Q1207" s="201"/>
      <c r="R1207" s="201"/>
      <c r="S1207" s="201"/>
      <c r="T1207" s="202"/>
      <c r="AT1207" s="203" t="s">
        <v>139</v>
      </c>
      <c r="AU1207" s="203" t="s">
        <v>82</v>
      </c>
      <c r="AV1207" s="13" t="s">
        <v>82</v>
      </c>
      <c r="AW1207" s="13" t="s">
        <v>34</v>
      </c>
      <c r="AX1207" s="13" t="s">
        <v>72</v>
      </c>
      <c r="AY1207" s="203" t="s">
        <v>128</v>
      </c>
    </row>
    <row r="1208" spans="1:65" s="13" customFormat="1" ht="10">
      <c r="B1208" s="192"/>
      <c r="C1208" s="193"/>
      <c r="D1208" s="194" t="s">
        <v>139</v>
      </c>
      <c r="E1208" s="195" t="s">
        <v>19</v>
      </c>
      <c r="F1208" s="196" t="s">
        <v>2469</v>
      </c>
      <c r="G1208" s="193"/>
      <c r="H1208" s="197">
        <v>3.2</v>
      </c>
      <c r="I1208" s="198"/>
      <c r="J1208" s="193"/>
      <c r="K1208" s="193"/>
      <c r="L1208" s="199"/>
      <c r="M1208" s="200"/>
      <c r="N1208" s="201"/>
      <c r="O1208" s="201"/>
      <c r="P1208" s="201"/>
      <c r="Q1208" s="201"/>
      <c r="R1208" s="201"/>
      <c r="S1208" s="201"/>
      <c r="T1208" s="202"/>
      <c r="AT1208" s="203" t="s">
        <v>139</v>
      </c>
      <c r="AU1208" s="203" t="s">
        <v>82</v>
      </c>
      <c r="AV1208" s="13" t="s">
        <v>82</v>
      </c>
      <c r="AW1208" s="13" t="s">
        <v>34</v>
      </c>
      <c r="AX1208" s="13" t="s">
        <v>72</v>
      </c>
      <c r="AY1208" s="203" t="s">
        <v>128</v>
      </c>
    </row>
    <row r="1209" spans="1:65" s="13" customFormat="1" ht="10">
      <c r="B1209" s="192"/>
      <c r="C1209" s="193"/>
      <c r="D1209" s="194" t="s">
        <v>139</v>
      </c>
      <c r="E1209" s="195" t="s">
        <v>19</v>
      </c>
      <c r="F1209" s="196" t="s">
        <v>2470</v>
      </c>
      <c r="G1209" s="193"/>
      <c r="H1209" s="197">
        <v>12.84</v>
      </c>
      <c r="I1209" s="198"/>
      <c r="J1209" s="193"/>
      <c r="K1209" s="193"/>
      <c r="L1209" s="199"/>
      <c r="M1209" s="200"/>
      <c r="N1209" s="201"/>
      <c r="O1209" s="201"/>
      <c r="P1209" s="201"/>
      <c r="Q1209" s="201"/>
      <c r="R1209" s="201"/>
      <c r="S1209" s="201"/>
      <c r="T1209" s="202"/>
      <c r="AT1209" s="203" t="s">
        <v>139</v>
      </c>
      <c r="AU1209" s="203" t="s">
        <v>82</v>
      </c>
      <c r="AV1209" s="13" t="s">
        <v>82</v>
      </c>
      <c r="AW1209" s="13" t="s">
        <v>34</v>
      </c>
      <c r="AX1209" s="13" t="s">
        <v>72</v>
      </c>
      <c r="AY1209" s="203" t="s">
        <v>128</v>
      </c>
    </row>
    <row r="1210" spans="1:65" s="13" customFormat="1" ht="10">
      <c r="B1210" s="192"/>
      <c r="C1210" s="193"/>
      <c r="D1210" s="194" t="s">
        <v>139</v>
      </c>
      <c r="E1210" s="195" t="s">
        <v>19</v>
      </c>
      <c r="F1210" s="196" t="s">
        <v>2471</v>
      </c>
      <c r="G1210" s="193"/>
      <c r="H1210" s="197">
        <v>14.85</v>
      </c>
      <c r="I1210" s="198"/>
      <c r="J1210" s="193"/>
      <c r="K1210" s="193"/>
      <c r="L1210" s="199"/>
      <c r="M1210" s="200"/>
      <c r="N1210" s="201"/>
      <c r="O1210" s="201"/>
      <c r="P1210" s="201"/>
      <c r="Q1210" s="201"/>
      <c r="R1210" s="201"/>
      <c r="S1210" s="201"/>
      <c r="T1210" s="202"/>
      <c r="AT1210" s="203" t="s">
        <v>139</v>
      </c>
      <c r="AU1210" s="203" t="s">
        <v>82</v>
      </c>
      <c r="AV1210" s="13" t="s">
        <v>82</v>
      </c>
      <c r="AW1210" s="13" t="s">
        <v>34</v>
      </c>
      <c r="AX1210" s="13" t="s">
        <v>72</v>
      </c>
      <c r="AY1210" s="203" t="s">
        <v>128</v>
      </c>
    </row>
    <row r="1211" spans="1:65" s="13" customFormat="1" ht="10">
      <c r="B1211" s="192"/>
      <c r="C1211" s="193"/>
      <c r="D1211" s="194" t="s">
        <v>139</v>
      </c>
      <c r="E1211" s="195" t="s">
        <v>19</v>
      </c>
      <c r="F1211" s="196" t="s">
        <v>2472</v>
      </c>
      <c r="G1211" s="193"/>
      <c r="H1211" s="197">
        <v>62.92</v>
      </c>
      <c r="I1211" s="198"/>
      <c r="J1211" s="193"/>
      <c r="K1211" s="193"/>
      <c r="L1211" s="199"/>
      <c r="M1211" s="200"/>
      <c r="N1211" s="201"/>
      <c r="O1211" s="201"/>
      <c r="P1211" s="201"/>
      <c r="Q1211" s="201"/>
      <c r="R1211" s="201"/>
      <c r="S1211" s="201"/>
      <c r="T1211" s="202"/>
      <c r="AT1211" s="203" t="s">
        <v>139</v>
      </c>
      <c r="AU1211" s="203" t="s">
        <v>82</v>
      </c>
      <c r="AV1211" s="13" t="s">
        <v>82</v>
      </c>
      <c r="AW1211" s="13" t="s">
        <v>34</v>
      </c>
      <c r="AX1211" s="13" t="s">
        <v>72</v>
      </c>
      <c r="AY1211" s="203" t="s">
        <v>128</v>
      </c>
    </row>
    <row r="1212" spans="1:65" s="13" customFormat="1" ht="10">
      <c r="B1212" s="192"/>
      <c r="C1212" s="193"/>
      <c r="D1212" s="194" t="s">
        <v>139</v>
      </c>
      <c r="E1212" s="195" t="s">
        <v>19</v>
      </c>
      <c r="F1212" s="196" t="s">
        <v>2473</v>
      </c>
      <c r="G1212" s="193"/>
      <c r="H1212" s="197">
        <v>27.143000000000001</v>
      </c>
      <c r="I1212" s="198"/>
      <c r="J1212" s="193"/>
      <c r="K1212" s="193"/>
      <c r="L1212" s="199"/>
      <c r="M1212" s="200"/>
      <c r="N1212" s="201"/>
      <c r="O1212" s="201"/>
      <c r="P1212" s="201"/>
      <c r="Q1212" s="201"/>
      <c r="R1212" s="201"/>
      <c r="S1212" s="201"/>
      <c r="T1212" s="202"/>
      <c r="AT1212" s="203" t="s">
        <v>139</v>
      </c>
      <c r="AU1212" s="203" t="s">
        <v>82</v>
      </c>
      <c r="AV1212" s="13" t="s">
        <v>82</v>
      </c>
      <c r="AW1212" s="13" t="s">
        <v>34</v>
      </c>
      <c r="AX1212" s="13" t="s">
        <v>72</v>
      </c>
      <c r="AY1212" s="203" t="s">
        <v>128</v>
      </c>
    </row>
    <row r="1213" spans="1:65" s="13" customFormat="1" ht="10">
      <c r="B1213" s="192"/>
      <c r="C1213" s="193"/>
      <c r="D1213" s="194" t="s">
        <v>139</v>
      </c>
      <c r="E1213" s="195" t="s">
        <v>19</v>
      </c>
      <c r="F1213" s="196" t="s">
        <v>2474</v>
      </c>
      <c r="G1213" s="193"/>
      <c r="H1213" s="197">
        <v>26.88</v>
      </c>
      <c r="I1213" s="198"/>
      <c r="J1213" s="193"/>
      <c r="K1213" s="193"/>
      <c r="L1213" s="199"/>
      <c r="M1213" s="200"/>
      <c r="N1213" s="201"/>
      <c r="O1213" s="201"/>
      <c r="P1213" s="201"/>
      <c r="Q1213" s="201"/>
      <c r="R1213" s="201"/>
      <c r="S1213" s="201"/>
      <c r="T1213" s="202"/>
      <c r="AT1213" s="203" t="s">
        <v>139</v>
      </c>
      <c r="AU1213" s="203" t="s">
        <v>82</v>
      </c>
      <c r="AV1213" s="13" t="s">
        <v>82</v>
      </c>
      <c r="AW1213" s="13" t="s">
        <v>34</v>
      </c>
      <c r="AX1213" s="13" t="s">
        <v>72</v>
      </c>
      <c r="AY1213" s="203" t="s">
        <v>128</v>
      </c>
    </row>
    <row r="1214" spans="1:65" s="13" customFormat="1" ht="10">
      <c r="B1214" s="192"/>
      <c r="C1214" s="193"/>
      <c r="D1214" s="194" t="s">
        <v>139</v>
      </c>
      <c r="E1214" s="195" t="s">
        <v>19</v>
      </c>
      <c r="F1214" s="196" t="s">
        <v>2475</v>
      </c>
      <c r="G1214" s="193"/>
      <c r="H1214" s="197">
        <v>26.372</v>
      </c>
      <c r="I1214" s="198"/>
      <c r="J1214" s="193"/>
      <c r="K1214" s="193"/>
      <c r="L1214" s="199"/>
      <c r="M1214" s="200"/>
      <c r="N1214" s="201"/>
      <c r="O1214" s="201"/>
      <c r="P1214" s="201"/>
      <c r="Q1214" s="201"/>
      <c r="R1214" s="201"/>
      <c r="S1214" s="201"/>
      <c r="T1214" s="202"/>
      <c r="AT1214" s="203" t="s">
        <v>139</v>
      </c>
      <c r="AU1214" s="203" t="s">
        <v>82</v>
      </c>
      <c r="AV1214" s="13" t="s">
        <v>82</v>
      </c>
      <c r="AW1214" s="13" t="s">
        <v>34</v>
      </c>
      <c r="AX1214" s="13" t="s">
        <v>72</v>
      </c>
      <c r="AY1214" s="203" t="s">
        <v>128</v>
      </c>
    </row>
    <row r="1215" spans="1:65" s="14" customFormat="1" ht="10">
      <c r="B1215" s="204"/>
      <c r="C1215" s="205"/>
      <c r="D1215" s="194" t="s">
        <v>139</v>
      </c>
      <c r="E1215" s="206" t="s">
        <v>19</v>
      </c>
      <c r="F1215" s="207" t="s">
        <v>153</v>
      </c>
      <c r="G1215" s="205"/>
      <c r="H1215" s="208">
        <v>823.03800000000012</v>
      </c>
      <c r="I1215" s="209"/>
      <c r="J1215" s="205"/>
      <c r="K1215" s="205"/>
      <c r="L1215" s="210"/>
      <c r="M1215" s="211"/>
      <c r="N1215" s="212"/>
      <c r="O1215" s="212"/>
      <c r="P1215" s="212"/>
      <c r="Q1215" s="212"/>
      <c r="R1215" s="212"/>
      <c r="S1215" s="212"/>
      <c r="T1215" s="213"/>
      <c r="AT1215" s="214" t="s">
        <v>139</v>
      </c>
      <c r="AU1215" s="214" t="s">
        <v>82</v>
      </c>
      <c r="AV1215" s="14" t="s">
        <v>135</v>
      </c>
      <c r="AW1215" s="14" t="s">
        <v>34</v>
      </c>
      <c r="AX1215" s="14" t="s">
        <v>80</v>
      </c>
      <c r="AY1215" s="214" t="s">
        <v>128</v>
      </c>
    </row>
    <row r="1216" spans="1:65" s="2" customFormat="1" ht="16.5" customHeight="1">
      <c r="A1216" s="35"/>
      <c r="B1216" s="36"/>
      <c r="C1216" s="174" t="s">
        <v>2481</v>
      </c>
      <c r="D1216" s="174" t="s">
        <v>130</v>
      </c>
      <c r="E1216" s="175" t="s">
        <v>2482</v>
      </c>
      <c r="F1216" s="176" t="s">
        <v>2483</v>
      </c>
      <c r="G1216" s="177" t="s">
        <v>133</v>
      </c>
      <c r="H1216" s="178">
        <v>823.03800000000001</v>
      </c>
      <c r="I1216" s="179"/>
      <c r="J1216" s="180">
        <f>ROUND(I1216*H1216,2)</f>
        <v>0</v>
      </c>
      <c r="K1216" s="176" t="s">
        <v>134</v>
      </c>
      <c r="L1216" s="40"/>
      <c r="M1216" s="181" t="s">
        <v>19</v>
      </c>
      <c r="N1216" s="182" t="s">
        <v>43</v>
      </c>
      <c r="O1216" s="65"/>
      <c r="P1216" s="183">
        <f>O1216*H1216</f>
        <v>0</v>
      </c>
      <c r="Q1216" s="183">
        <v>1.3999999999999999E-4</v>
      </c>
      <c r="R1216" s="183">
        <f>Q1216*H1216</f>
        <v>0.11522531999999999</v>
      </c>
      <c r="S1216" s="183">
        <v>0</v>
      </c>
      <c r="T1216" s="184">
        <f>S1216*H1216</f>
        <v>0</v>
      </c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R1216" s="185" t="s">
        <v>230</v>
      </c>
      <c r="AT1216" s="185" t="s">
        <v>130</v>
      </c>
      <c r="AU1216" s="185" t="s">
        <v>82</v>
      </c>
      <c r="AY1216" s="18" t="s">
        <v>128</v>
      </c>
      <c r="BE1216" s="186">
        <f>IF(N1216="základní",J1216,0)</f>
        <v>0</v>
      </c>
      <c r="BF1216" s="186">
        <f>IF(N1216="snížená",J1216,0)</f>
        <v>0</v>
      </c>
      <c r="BG1216" s="186">
        <f>IF(N1216="zákl. přenesená",J1216,0)</f>
        <v>0</v>
      </c>
      <c r="BH1216" s="186">
        <f>IF(N1216="sníž. přenesená",J1216,0)</f>
        <v>0</v>
      </c>
      <c r="BI1216" s="186">
        <f>IF(N1216="nulová",J1216,0)</f>
        <v>0</v>
      </c>
      <c r="BJ1216" s="18" t="s">
        <v>80</v>
      </c>
      <c r="BK1216" s="186">
        <f>ROUND(I1216*H1216,2)</f>
        <v>0</v>
      </c>
      <c r="BL1216" s="18" t="s">
        <v>230</v>
      </c>
      <c r="BM1216" s="185" t="s">
        <v>2484</v>
      </c>
    </row>
    <row r="1217" spans="1:65" s="2" customFormat="1" ht="10">
      <c r="A1217" s="35"/>
      <c r="B1217" s="36"/>
      <c r="C1217" s="37"/>
      <c r="D1217" s="187" t="s">
        <v>137</v>
      </c>
      <c r="E1217" s="37"/>
      <c r="F1217" s="188" t="s">
        <v>2485</v>
      </c>
      <c r="G1217" s="37"/>
      <c r="H1217" s="37"/>
      <c r="I1217" s="189"/>
      <c r="J1217" s="37"/>
      <c r="K1217" s="37"/>
      <c r="L1217" s="40"/>
      <c r="M1217" s="190"/>
      <c r="N1217" s="191"/>
      <c r="O1217" s="65"/>
      <c r="P1217" s="65"/>
      <c r="Q1217" s="65"/>
      <c r="R1217" s="65"/>
      <c r="S1217" s="65"/>
      <c r="T1217" s="66"/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T1217" s="18" t="s">
        <v>137</v>
      </c>
      <c r="AU1217" s="18" t="s">
        <v>82</v>
      </c>
    </row>
    <row r="1218" spans="1:65" s="13" customFormat="1" ht="10">
      <c r="B1218" s="192"/>
      <c r="C1218" s="193"/>
      <c r="D1218" s="194" t="s">
        <v>139</v>
      </c>
      <c r="E1218" s="195" t="s">
        <v>19</v>
      </c>
      <c r="F1218" s="196" t="s">
        <v>2466</v>
      </c>
      <c r="G1218" s="193"/>
      <c r="H1218" s="197">
        <v>108.217</v>
      </c>
      <c r="I1218" s="198"/>
      <c r="J1218" s="193"/>
      <c r="K1218" s="193"/>
      <c r="L1218" s="199"/>
      <c r="M1218" s="200"/>
      <c r="N1218" s="201"/>
      <c r="O1218" s="201"/>
      <c r="P1218" s="201"/>
      <c r="Q1218" s="201"/>
      <c r="R1218" s="201"/>
      <c r="S1218" s="201"/>
      <c r="T1218" s="202"/>
      <c r="AT1218" s="203" t="s">
        <v>139</v>
      </c>
      <c r="AU1218" s="203" t="s">
        <v>82</v>
      </c>
      <c r="AV1218" s="13" t="s">
        <v>82</v>
      </c>
      <c r="AW1218" s="13" t="s">
        <v>34</v>
      </c>
      <c r="AX1218" s="13" t="s">
        <v>72</v>
      </c>
      <c r="AY1218" s="203" t="s">
        <v>128</v>
      </c>
    </row>
    <row r="1219" spans="1:65" s="13" customFormat="1" ht="10">
      <c r="B1219" s="192"/>
      <c r="C1219" s="193"/>
      <c r="D1219" s="194" t="s">
        <v>139</v>
      </c>
      <c r="E1219" s="195" t="s">
        <v>19</v>
      </c>
      <c r="F1219" s="196" t="s">
        <v>2467</v>
      </c>
      <c r="G1219" s="193"/>
      <c r="H1219" s="197">
        <v>68.082999999999998</v>
      </c>
      <c r="I1219" s="198"/>
      <c r="J1219" s="193"/>
      <c r="K1219" s="193"/>
      <c r="L1219" s="199"/>
      <c r="M1219" s="200"/>
      <c r="N1219" s="201"/>
      <c r="O1219" s="201"/>
      <c r="P1219" s="201"/>
      <c r="Q1219" s="201"/>
      <c r="R1219" s="201"/>
      <c r="S1219" s="201"/>
      <c r="T1219" s="202"/>
      <c r="AT1219" s="203" t="s">
        <v>139</v>
      </c>
      <c r="AU1219" s="203" t="s">
        <v>82</v>
      </c>
      <c r="AV1219" s="13" t="s">
        <v>82</v>
      </c>
      <c r="AW1219" s="13" t="s">
        <v>34</v>
      </c>
      <c r="AX1219" s="13" t="s">
        <v>72</v>
      </c>
      <c r="AY1219" s="203" t="s">
        <v>128</v>
      </c>
    </row>
    <row r="1220" spans="1:65" s="13" customFormat="1" ht="10">
      <c r="B1220" s="192"/>
      <c r="C1220" s="193"/>
      <c r="D1220" s="194" t="s">
        <v>139</v>
      </c>
      <c r="E1220" s="195" t="s">
        <v>19</v>
      </c>
      <c r="F1220" s="196" t="s">
        <v>2468</v>
      </c>
      <c r="G1220" s="193"/>
      <c r="H1220" s="197">
        <v>472.53300000000002</v>
      </c>
      <c r="I1220" s="198"/>
      <c r="J1220" s="193"/>
      <c r="K1220" s="193"/>
      <c r="L1220" s="199"/>
      <c r="M1220" s="200"/>
      <c r="N1220" s="201"/>
      <c r="O1220" s="201"/>
      <c r="P1220" s="201"/>
      <c r="Q1220" s="201"/>
      <c r="R1220" s="201"/>
      <c r="S1220" s="201"/>
      <c r="T1220" s="202"/>
      <c r="AT1220" s="203" t="s">
        <v>139</v>
      </c>
      <c r="AU1220" s="203" t="s">
        <v>82</v>
      </c>
      <c r="AV1220" s="13" t="s">
        <v>82</v>
      </c>
      <c r="AW1220" s="13" t="s">
        <v>34</v>
      </c>
      <c r="AX1220" s="13" t="s">
        <v>72</v>
      </c>
      <c r="AY1220" s="203" t="s">
        <v>128</v>
      </c>
    </row>
    <row r="1221" spans="1:65" s="13" customFormat="1" ht="10">
      <c r="B1221" s="192"/>
      <c r="C1221" s="193"/>
      <c r="D1221" s="194" t="s">
        <v>139</v>
      </c>
      <c r="E1221" s="195" t="s">
        <v>19</v>
      </c>
      <c r="F1221" s="196" t="s">
        <v>2469</v>
      </c>
      <c r="G1221" s="193"/>
      <c r="H1221" s="197">
        <v>3.2</v>
      </c>
      <c r="I1221" s="198"/>
      <c r="J1221" s="193"/>
      <c r="K1221" s="193"/>
      <c r="L1221" s="199"/>
      <c r="M1221" s="200"/>
      <c r="N1221" s="201"/>
      <c r="O1221" s="201"/>
      <c r="P1221" s="201"/>
      <c r="Q1221" s="201"/>
      <c r="R1221" s="201"/>
      <c r="S1221" s="201"/>
      <c r="T1221" s="202"/>
      <c r="AT1221" s="203" t="s">
        <v>139</v>
      </c>
      <c r="AU1221" s="203" t="s">
        <v>82</v>
      </c>
      <c r="AV1221" s="13" t="s">
        <v>82</v>
      </c>
      <c r="AW1221" s="13" t="s">
        <v>34</v>
      </c>
      <c r="AX1221" s="13" t="s">
        <v>72</v>
      </c>
      <c r="AY1221" s="203" t="s">
        <v>128</v>
      </c>
    </row>
    <row r="1222" spans="1:65" s="13" customFormat="1" ht="10">
      <c r="B1222" s="192"/>
      <c r="C1222" s="193"/>
      <c r="D1222" s="194" t="s">
        <v>139</v>
      </c>
      <c r="E1222" s="195" t="s">
        <v>19</v>
      </c>
      <c r="F1222" s="196" t="s">
        <v>2470</v>
      </c>
      <c r="G1222" s="193"/>
      <c r="H1222" s="197">
        <v>12.84</v>
      </c>
      <c r="I1222" s="198"/>
      <c r="J1222" s="193"/>
      <c r="K1222" s="193"/>
      <c r="L1222" s="199"/>
      <c r="M1222" s="200"/>
      <c r="N1222" s="201"/>
      <c r="O1222" s="201"/>
      <c r="P1222" s="201"/>
      <c r="Q1222" s="201"/>
      <c r="R1222" s="201"/>
      <c r="S1222" s="201"/>
      <c r="T1222" s="202"/>
      <c r="AT1222" s="203" t="s">
        <v>139</v>
      </c>
      <c r="AU1222" s="203" t="s">
        <v>82</v>
      </c>
      <c r="AV1222" s="13" t="s">
        <v>82</v>
      </c>
      <c r="AW1222" s="13" t="s">
        <v>34</v>
      </c>
      <c r="AX1222" s="13" t="s">
        <v>72</v>
      </c>
      <c r="AY1222" s="203" t="s">
        <v>128</v>
      </c>
    </row>
    <row r="1223" spans="1:65" s="13" customFormat="1" ht="10">
      <c r="B1223" s="192"/>
      <c r="C1223" s="193"/>
      <c r="D1223" s="194" t="s">
        <v>139</v>
      </c>
      <c r="E1223" s="195" t="s">
        <v>19</v>
      </c>
      <c r="F1223" s="196" t="s">
        <v>2471</v>
      </c>
      <c r="G1223" s="193"/>
      <c r="H1223" s="197">
        <v>14.85</v>
      </c>
      <c r="I1223" s="198"/>
      <c r="J1223" s="193"/>
      <c r="K1223" s="193"/>
      <c r="L1223" s="199"/>
      <c r="M1223" s="200"/>
      <c r="N1223" s="201"/>
      <c r="O1223" s="201"/>
      <c r="P1223" s="201"/>
      <c r="Q1223" s="201"/>
      <c r="R1223" s="201"/>
      <c r="S1223" s="201"/>
      <c r="T1223" s="202"/>
      <c r="AT1223" s="203" t="s">
        <v>139</v>
      </c>
      <c r="AU1223" s="203" t="s">
        <v>82</v>
      </c>
      <c r="AV1223" s="13" t="s">
        <v>82</v>
      </c>
      <c r="AW1223" s="13" t="s">
        <v>34</v>
      </c>
      <c r="AX1223" s="13" t="s">
        <v>72</v>
      </c>
      <c r="AY1223" s="203" t="s">
        <v>128</v>
      </c>
    </row>
    <row r="1224" spans="1:65" s="13" customFormat="1" ht="10">
      <c r="B1224" s="192"/>
      <c r="C1224" s="193"/>
      <c r="D1224" s="194" t="s">
        <v>139</v>
      </c>
      <c r="E1224" s="195" t="s">
        <v>19</v>
      </c>
      <c r="F1224" s="196" t="s">
        <v>2472</v>
      </c>
      <c r="G1224" s="193"/>
      <c r="H1224" s="197">
        <v>62.92</v>
      </c>
      <c r="I1224" s="198"/>
      <c r="J1224" s="193"/>
      <c r="K1224" s="193"/>
      <c r="L1224" s="199"/>
      <c r="M1224" s="200"/>
      <c r="N1224" s="201"/>
      <c r="O1224" s="201"/>
      <c r="P1224" s="201"/>
      <c r="Q1224" s="201"/>
      <c r="R1224" s="201"/>
      <c r="S1224" s="201"/>
      <c r="T1224" s="202"/>
      <c r="AT1224" s="203" t="s">
        <v>139</v>
      </c>
      <c r="AU1224" s="203" t="s">
        <v>82</v>
      </c>
      <c r="AV1224" s="13" t="s">
        <v>82</v>
      </c>
      <c r="AW1224" s="13" t="s">
        <v>34</v>
      </c>
      <c r="AX1224" s="13" t="s">
        <v>72</v>
      </c>
      <c r="AY1224" s="203" t="s">
        <v>128</v>
      </c>
    </row>
    <row r="1225" spans="1:65" s="13" customFormat="1" ht="10">
      <c r="B1225" s="192"/>
      <c r="C1225" s="193"/>
      <c r="D1225" s="194" t="s">
        <v>139</v>
      </c>
      <c r="E1225" s="195" t="s">
        <v>19</v>
      </c>
      <c r="F1225" s="196" t="s">
        <v>2473</v>
      </c>
      <c r="G1225" s="193"/>
      <c r="H1225" s="197">
        <v>27.143000000000001</v>
      </c>
      <c r="I1225" s="198"/>
      <c r="J1225" s="193"/>
      <c r="K1225" s="193"/>
      <c r="L1225" s="199"/>
      <c r="M1225" s="200"/>
      <c r="N1225" s="201"/>
      <c r="O1225" s="201"/>
      <c r="P1225" s="201"/>
      <c r="Q1225" s="201"/>
      <c r="R1225" s="201"/>
      <c r="S1225" s="201"/>
      <c r="T1225" s="202"/>
      <c r="AT1225" s="203" t="s">
        <v>139</v>
      </c>
      <c r="AU1225" s="203" t="s">
        <v>82</v>
      </c>
      <c r="AV1225" s="13" t="s">
        <v>82</v>
      </c>
      <c r="AW1225" s="13" t="s">
        <v>34</v>
      </c>
      <c r="AX1225" s="13" t="s">
        <v>72</v>
      </c>
      <c r="AY1225" s="203" t="s">
        <v>128</v>
      </c>
    </row>
    <row r="1226" spans="1:65" s="13" customFormat="1" ht="10">
      <c r="B1226" s="192"/>
      <c r="C1226" s="193"/>
      <c r="D1226" s="194" t="s">
        <v>139</v>
      </c>
      <c r="E1226" s="195" t="s">
        <v>19</v>
      </c>
      <c r="F1226" s="196" t="s">
        <v>2474</v>
      </c>
      <c r="G1226" s="193"/>
      <c r="H1226" s="197">
        <v>26.88</v>
      </c>
      <c r="I1226" s="198"/>
      <c r="J1226" s="193"/>
      <c r="K1226" s="193"/>
      <c r="L1226" s="199"/>
      <c r="M1226" s="200"/>
      <c r="N1226" s="201"/>
      <c r="O1226" s="201"/>
      <c r="P1226" s="201"/>
      <c r="Q1226" s="201"/>
      <c r="R1226" s="201"/>
      <c r="S1226" s="201"/>
      <c r="T1226" s="202"/>
      <c r="AT1226" s="203" t="s">
        <v>139</v>
      </c>
      <c r="AU1226" s="203" t="s">
        <v>82</v>
      </c>
      <c r="AV1226" s="13" t="s">
        <v>82</v>
      </c>
      <c r="AW1226" s="13" t="s">
        <v>34</v>
      </c>
      <c r="AX1226" s="13" t="s">
        <v>72</v>
      </c>
      <c r="AY1226" s="203" t="s">
        <v>128</v>
      </c>
    </row>
    <row r="1227" spans="1:65" s="13" customFormat="1" ht="10">
      <c r="B1227" s="192"/>
      <c r="C1227" s="193"/>
      <c r="D1227" s="194" t="s">
        <v>139</v>
      </c>
      <c r="E1227" s="195" t="s">
        <v>19</v>
      </c>
      <c r="F1227" s="196" t="s">
        <v>2475</v>
      </c>
      <c r="G1227" s="193"/>
      <c r="H1227" s="197">
        <v>26.372</v>
      </c>
      <c r="I1227" s="198"/>
      <c r="J1227" s="193"/>
      <c r="K1227" s="193"/>
      <c r="L1227" s="199"/>
      <c r="M1227" s="200"/>
      <c r="N1227" s="201"/>
      <c r="O1227" s="201"/>
      <c r="P1227" s="201"/>
      <c r="Q1227" s="201"/>
      <c r="R1227" s="201"/>
      <c r="S1227" s="201"/>
      <c r="T1227" s="202"/>
      <c r="AT1227" s="203" t="s">
        <v>139</v>
      </c>
      <c r="AU1227" s="203" t="s">
        <v>82</v>
      </c>
      <c r="AV1227" s="13" t="s">
        <v>82</v>
      </c>
      <c r="AW1227" s="13" t="s">
        <v>34</v>
      </c>
      <c r="AX1227" s="13" t="s">
        <v>72</v>
      </c>
      <c r="AY1227" s="203" t="s">
        <v>128</v>
      </c>
    </row>
    <row r="1228" spans="1:65" s="14" customFormat="1" ht="10">
      <c r="B1228" s="204"/>
      <c r="C1228" s="205"/>
      <c r="D1228" s="194" t="s">
        <v>139</v>
      </c>
      <c r="E1228" s="206" t="s">
        <v>19</v>
      </c>
      <c r="F1228" s="207" t="s">
        <v>153</v>
      </c>
      <c r="G1228" s="205"/>
      <c r="H1228" s="208">
        <v>823.03800000000012</v>
      </c>
      <c r="I1228" s="209"/>
      <c r="J1228" s="205"/>
      <c r="K1228" s="205"/>
      <c r="L1228" s="210"/>
      <c r="M1228" s="211"/>
      <c r="N1228" s="212"/>
      <c r="O1228" s="212"/>
      <c r="P1228" s="212"/>
      <c r="Q1228" s="212"/>
      <c r="R1228" s="212"/>
      <c r="S1228" s="212"/>
      <c r="T1228" s="213"/>
      <c r="AT1228" s="214" t="s">
        <v>139</v>
      </c>
      <c r="AU1228" s="214" t="s">
        <v>82</v>
      </c>
      <c r="AV1228" s="14" t="s">
        <v>135</v>
      </c>
      <c r="AW1228" s="14" t="s">
        <v>34</v>
      </c>
      <c r="AX1228" s="14" t="s">
        <v>80</v>
      </c>
      <c r="AY1228" s="214" t="s">
        <v>128</v>
      </c>
    </row>
    <row r="1229" spans="1:65" s="12" customFormat="1" ht="22.75" customHeight="1">
      <c r="B1229" s="158"/>
      <c r="C1229" s="159"/>
      <c r="D1229" s="160" t="s">
        <v>71</v>
      </c>
      <c r="E1229" s="172" t="s">
        <v>2486</v>
      </c>
      <c r="F1229" s="172" t="s">
        <v>2487</v>
      </c>
      <c r="G1229" s="159"/>
      <c r="H1229" s="159"/>
      <c r="I1229" s="162"/>
      <c r="J1229" s="173">
        <f>BK1229</f>
        <v>0</v>
      </c>
      <c r="K1229" s="159"/>
      <c r="L1229" s="164"/>
      <c r="M1229" s="165"/>
      <c r="N1229" s="166"/>
      <c r="O1229" s="166"/>
      <c r="P1229" s="167">
        <f>SUM(P1230:P1280)</f>
        <v>0</v>
      </c>
      <c r="Q1229" s="166"/>
      <c r="R1229" s="167">
        <f>SUM(R1230:R1280)</f>
        <v>1.1527369999999999</v>
      </c>
      <c r="S1229" s="166"/>
      <c r="T1229" s="168">
        <f>SUM(T1230:T1280)</f>
        <v>0</v>
      </c>
      <c r="AR1229" s="169" t="s">
        <v>82</v>
      </c>
      <c r="AT1229" s="170" t="s">
        <v>71</v>
      </c>
      <c r="AU1229" s="170" t="s">
        <v>80</v>
      </c>
      <c r="AY1229" s="169" t="s">
        <v>128</v>
      </c>
      <c r="BK1229" s="171">
        <f>SUM(BK1230:BK1280)</f>
        <v>0</v>
      </c>
    </row>
    <row r="1230" spans="1:65" s="2" customFormat="1" ht="16.5" customHeight="1">
      <c r="A1230" s="35"/>
      <c r="B1230" s="36"/>
      <c r="C1230" s="174" t="s">
        <v>2488</v>
      </c>
      <c r="D1230" s="174" t="s">
        <v>130</v>
      </c>
      <c r="E1230" s="175" t="s">
        <v>2489</v>
      </c>
      <c r="F1230" s="176" t="s">
        <v>2490</v>
      </c>
      <c r="G1230" s="177" t="s">
        <v>133</v>
      </c>
      <c r="H1230" s="178">
        <v>2505.9499999999998</v>
      </c>
      <c r="I1230" s="179"/>
      <c r="J1230" s="180">
        <f>ROUND(I1230*H1230,2)</f>
        <v>0</v>
      </c>
      <c r="K1230" s="176" t="s">
        <v>134</v>
      </c>
      <c r="L1230" s="40"/>
      <c r="M1230" s="181" t="s">
        <v>19</v>
      </c>
      <c r="N1230" s="182" t="s">
        <v>43</v>
      </c>
      <c r="O1230" s="65"/>
      <c r="P1230" s="183">
        <f>O1230*H1230</f>
        <v>0</v>
      </c>
      <c r="Q1230" s="183">
        <v>0</v>
      </c>
      <c r="R1230" s="183">
        <f>Q1230*H1230</f>
        <v>0</v>
      </c>
      <c r="S1230" s="183">
        <v>0</v>
      </c>
      <c r="T1230" s="184">
        <f>S1230*H1230</f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185" t="s">
        <v>230</v>
      </c>
      <c r="AT1230" s="185" t="s">
        <v>130</v>
      </c>
      <c r="AU1230" s="185" t="s">
        <v>82</v>
      </c>
      <c r="AY1230" s="18" t="s">
        <v>128</v>
      </c>
      <c r="BE1230" s="186">
        <f>IF(N1230="základní",J1230,0)</f>
        <v>0</v>
      </c>
      <c r="BF1230" s="186">
        <f>IF(N1230="snížená",J1230,0)</f>
        <v>0</v>
      </c>
      <c r="BG1230" s="186">
        <f>IF(N1230="zákl. přenesená",J1230,0)</f>
        <v>0</v>
      </c>
      <c r="BH1230" s="186">
        <f>IF(N1230="sníž. přenesená",J1230,0)</f>
        <v>0</v>
      </c>
      <c r="BI1230" s="186">
        <f>IF(N1230="nulová",J1230,0)</f>
        <v>0</v>
      </c>
      <c r="BJ1230" s="18" t="s">
        <v>80</v>
      </c>
      <c r="BK1230" s="186">
        <f>ROUND(I1230*H1230,2)</f>
        <v>0</v>
      </c>
      <c r="BL1230" s="18" t="s">
        <v>230</v>
      </c>
      <c r="BM1230" s="185" t="s">
        <v>2491</v>
      </c>
    </row>
    <row r="1231" spans="1:65" s="2" customFormat="1" ht="10">
      <c r="A1231" s="35"/>
      <c r="B1231" s="36"/>
      <c r="C1231" s="37"/>
      <c r="D1231" s="187" t="s">
        <v>137</v>
      </c>
      <c r="E1231" s="37"/>
      <c r="F1231" s="188" t="s">
        <v>2492</v>
      </c>
      <c r="G1231" s="37"/>
      <c r="H1231" s="37"/>
      <c r="I1231" s="189"/>
      <c r="J1231" s="37"/>
      <c r="K1231" s="37"/>
      <c r="L1231" s="40"/>
      <c r="M1231" s="190"/>
      <c r="N1231" s="191"/>
      <c r="O1231" s="65"/>
      <c r="P1231" s="65"/>
      <c r="Q1231" s="65"/>
      <c r="R1231" s="65"/>
      <c r="S1231" s="65"/>
      <c r="T1231" s="66"/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T1231" s="18" t="s">
        <v>137</v>
      </c>
      <c r="AU1231" s="18" t="s">
        <v>82</v>
      </c>
    </row>
    <row r="1232" spans="1:65" s="13" customFormat="1" ht="10">
      <c r="B1232" s="192"/>
      <c r="C1232" s="193"/>
      <c r="D1232" s="194" t="s">
        <v>139</v>
      </c>
      <c r="E1232" s="195" t="s">
        <v>19</v>
      </c>
      <c r="F1232" s="196" t="s">
        <v>835</v>
      </c>
      <c r="G1232" s="193"/>
      <c r="H1232" s="197">
        <v>312.74</v>
      </c>
      <c r="I1232" s="198"/>
      <c r="J1232" s="193"/>
      <c r="K1232" s="193"/>
      <c r="L1232" s="199"/>
      <c r="M1232" s="200"/>
      <c r="N1232" s="201"/>
      <c r="O1232" s="201"/>
      <c r="P1232" s="201"/>
      <c r="Q1232" s="201"/>
      <c r="R1232" s="201"/>
      <c r="S1232" s="201"/>
      <c r="T1232" s="202"/>
      <c r="AT1232" s="203" t="s">
        <v>139</v>
      </c>
      <c r="AU1232" s="203" t="s">
        <v>82</v>
      </c>
      <c r="AV1232" s="13" t="s">
        <v>82</v>
      </c>
      <c r="AW1232" s="13" t="s">
        <v>34</v>
      </c>
      <c r="AX1232" s="13" t="s">
        <v>72</v>
      </c>
      <c r="AY1232" s="203" t="s">
        <v>128</v>
      </c>
    </row>
    <row r="1233" spans="1:65" s="13" customFormat="1" ht="10">
      <c r="B1233" s="192"/>
      <c r="C1233" s="193"/>
      <c r="D1233" s="194" t="s">
        <v>139</v>
      </c>
      <c r="E1233" s="195" t="s">
        <v>19</v>
      </c>
      <c r="F1233" s="196" t="s">
        <v>836</v>
      </c>
      <c r="G1233" s="193"/>
      <c r="H1233" s="197">
        <v>23.94</v>
      </c>
      <c r="I1233" s="198"/>
      <c r="J1233" s="193"/>
      <c r="K1233" s="193"/>
      <c r="L1233" s="199"/>
      <c r="M1233" s="200"/>
      <c r="N1233" s="201"/>
      <c r="O1233" s="201"/>
      <c r="P1233" s="201"/>
      <c r="Q1233" s="201"/>
      <c r="R1233" s="201"/>
      <c r="S1233" s="201"/>
      <c r="T1233" s="202"/>
      <c r="AT1233" s="203" t="s">
        <v>139</v>
      </c>
      <c r="AU1233" s="203" t="s">
        <v>82</v>
      </c>
      <c r="AV1233" s="13" t="s">
        <v>82</v>
      </c>
      <c r="AW1233" s="13" t="s">
        <v>34</v>
      </c>
      <c r="AX1233" s="13" t="s">
        <v>72</v>
      </c>
      <c r="AY1233" s="203" t="s">
        <v>128</v>
      </c>
    </row>
    <row r="1234" spans="1:65" s="13" customFormat="1" ht="10">
      <c r="B1234" s="192"/>
      <c r="C1234" s="193"/>
      <c r="D1234" s="194" t="s">
        <v>139</v>
      </c>
      <c r="E1234" s="195" t="s">
        <v>19</v>
      </c>
      <c r="F1234" s="196" t="s">
        <v>837</v>
      </c>
      <c r="G1234" s="193"/>
      <c r="H1234" s="197">
        <v>96.54</v>
      </c>
      <c r="I1234" s="198"/>
      <c r="J1234" s="193"/>
      <c r="K1234" s="193"/>
      <c r="L1234" s="199"/>
      <c r="M1234" s="200"/>
      <c r="N1234" s="201"/>
      <c r="O1234" s="201"/>
      <c r="P1234" s="201"/>
      <c r="Q1234" s="201"/>
      <c r="R1234" s="201"/>
      <c r="S1234" s="201"/>
      <c r="T1234" s="202"/>
      <c r="AT1234" s="203" t="s">
        <v>139</v>
      </c>
      <c r="AU1234" s="203" t="s">
        <v>82</v>
      </c>
      <c r="AV1234" s="13" t="s">
        <v>82</v>
      </c>
      <c r="AW1234" s="13" t="s">
        <v>34</v>
      </c>
      <c r="AX1234" s="13" t="s">
        <v>72</v>
      </c>
      <c r="AY1234" s="203" t="s">
        <v>128</v>
      </c>
    </row>
    <row r="1235" spans="1:65" s="13" customFormat="1" ht="10">
      <c r="B1235" s="192"/>
      <c r="C1235" s="193"/>
      <c r="D1235" s="194" t="s">
        <v>139</v>
      </c>
      <c r="E1235" s="195" t="s">
        <v>19</v>
      </c>
      <c r="F1235" s="196" t="s">
        <v>838</v>
      </c>
      <c r="G1235" s="193"/>
      <c r="H1235" s="197">
        <v>13.68</v>
      </c>
      <c r="I1235" s="198"/>
      <c r="J1235" s="193"/>
      <c r="K1235" s="193"/>
      <c r="L1235" s="199"/>
      <c r="M1235" s="200"/>
      <c r="N1235" s="201"/>
      <c r="O1235" s="201"/>
      <c r="P1235" s="201"/>
      <c r="Q1235" s="201"/>
      <c r="R1235" s="201"/>
      <c r="S1235" s="201"/>
      <c r="T1235" s="202"/>
      <c r="AT1235" s="203" t="s">
        <v>139</v>
      </c>
      <c r="AU1235" s="203" t="s">
        <v>82</v>
      </c>
      <c r="AV1235" s="13" t="s">
        <v>82</v>
      </c>
      <c r="AW1235" s="13" t="s">
        <v>34</v>
      </c>
      <c r="AX1235" s="13" t="s">
        <v>72</v>
      </c>
      <c r="AY1235" s="203" t="s">
        <v>128</v>
      </c>
    </row>
    <row r="1236" spans="1:65" s="13" customFormat="1" ht="10">
      <c r="B1236" s="192"/>
      <c r="C1236" s="193"/>
      <c r="D1236" s="194" t="s">
        <v>139</v>
      </c>
      <c r="E1236" s="195" t="s">
        <v>19</v>
      </c>
      <c r="F1236" s="196" t="s">
        <v>839</v>
      </c>
      <c r="G1236" s="193"/>
      <c r="H1236" s="197">
        <v>220.61099999999999</v>
      </c>
      <c r="I1236" s="198"/>
      <c r="J1236" s="193"/>
      <c r="K1236" s="193"/>
      <c r="L1236" s="199"/>
      <c r="M1236" s="200"/>
      <c r="N1236" s="201"/>
      <c r="O1236" s="201"/>
      <c r="P1236" s="201"/>
      <c r="Q1236" s="201"/>
      <c r="R1236" s="201"/>
      <c r="S1236" s="201"/>
      <c r="T1236" s="202"/>
      <c r="AT1236" s="203" t="s">
        <v>139</v>
      </c>
      <c r="AU1236" s="203" t="s">
        <v>82</v>
      </c>
      <c r="AV1236" s="13" t="s">
        <v>82</v>
      </c>
      <c r="AW1236" s="13" t="s">
        <v>34</v>
      </c>
      <c r="AX1236" s="13" t="s">
        <v>72</v>
      </c>
      <c r="AY1236" s="203" t="s">
        <v>128</v>
      </c>
    </row>
    <row r="1237" spans="1:65" s="13" customFormat="1" ht="10">
      <c r="B1237" s="192"/>
      <c r="C1237" s="193"/>
      <c r="D1237" s="194" t="s">
        <v>139</v>
      </c>
      <c r="E1237" s="195" t="s">
        <v>19</v>
      </c>
      <c r="F1237" s="196" t="s">
        <v>853</v>
      </c>
      <c r="G1237" s="193"/>
      <c r="H1237" s="197">
        <v>133.30500000000001</v>
      </c>
      <c r="I1237" s="198"/>
      <c r="J1237" s="193"/>
      <c r="K1237" s="193"/>
      <c r="L1237" s="199"/>
      <c r="M1237" s="200"/>
      <c r="N1237" s="201"/>
      <c r="O1237" s="201"/>
      <c r="P1237" s="201"/>
      <c r="Q1237" s="201"/>
      <c r="R1237" s="201"/>
      <c r="S1237" s="201"/>
      <c r="T1237" s="202"/>
      <c r="AT1237" s="203" t="s">
        <v>139</v>
      </c>
      <c r="AU1237" s="203" t="s">
        <v>82</v>
      </c>
      <c r="AV1237" s="13" t="s">
        <v>82</v>
      </c>
      <c r="AW1237" s="13" t="s">
        <v>34</v>
      </c>
      <c r="AX1237" s="13" t="s">
        <v>72</v>
      </c>
      <c r="AY1237" s="203" t="s">
        <v>128</v>
      </c>
    </row>
    <row r="1238" spans="1:65" s="13" customFormat="1" ht="10">
      <c r="B1238" s="192"/>
      <c r="C1238" s="193"/>
      <c r="D1238" s="194" t="s">
        <v>139</v>
      </c>
      <c r="E1238" s="195" t="s">
        <v>19</v>
      </c>
      <c r="F1238" s="196" t="s">
        <v>2493</v>
      </c>
      <c r="G1238" s="193"/>
      <c r="H1238" s="197">
        <v>305.536</v>
      </c>
      <c r="I1238" s="198"/>
      <c r="J1238" s="193"/>
      <c r="K1238" s="193"/>
      <c r="L1238" s="199"/>
      <c r="M1238" s="200"/>
      <c r="N1238" s="201"/>
      <c r="O1238" s="201"/>
      <c r="P1238" s="201"/>
      <c r="Q1238" s="201"/>
      <c r="R1238" s="201"/>
      <c r="S1238" s="201"/>
      <c r="T1238" s="202"/>
      <c r="AT1238" s="203" t="s">
        <v>139</v>
      </c>
      <c r="AU1238" s="203" t="s">
        <v>82</v>
      </c>
      <c r="AV1238" s="13" t="s">
        <v>82</v>
      </c>
      <c r="AW1238" s="13" t="s">
        <v>34</v>
      </c>
      <c r="AX1238" s="13" t="s">
        <v>72</v>
      </c>
      <c r="AY1238" s="203" t="s">
        <v>128</v>
      </c>
    </row>
    <row r="1239" spans="1:65" s="13" customFormat="1" ht="10">
      <c r="B1239" s="192"/>
      <c r="C1239" s="193"/>
      <c r="D1239" s="194" t="s">
        <v>139</v>
      </c>
      <c r="E1239" s="195" t="s">
        <v>19</v>
      </c>
      <c r="F1239" s="196" t="s">
        <v>2494</v>
      </c>
      <c r="G1239" s="193"/>
      <c r="H1239" s="197">
        <v>144</v>
      </c>
      <c r="I1239" s="198"/>
      <c r="J1239" s="193"/>
      <c r="K1239" s="193"/>
      <c r="L1239" s="199"/>
      <c r="M1239" s="200"/>
      <c r="N1239" s="201"/>
      <c r="O1239" s="201"/>
      <c r="P1239" s="201"/>
      <c r="Q1239" s="201"/>
      <c r="R1239" s="201"/>
      <c r="S1239" s="201"/>
      <c r="T1239" s="202"/>
      <c r="AT1239" s="203" t="s">
        <v>139</v>
      </c>
      <c r="AU1239" s="203" t="s">
        <v>82</v>
      </c>
      <c r="AV1239" s="13" t="s">
        <v>82</v>
      </c>
      <c r="AW1239" s="13" t="s">
        <v>34</v>
      </c>
      <c r="AX1239" s="13" t="s">
        <v>72</v>
      </c>
      <c r="AY1239" s="203" t="s">
        <v>128</v>
      </c>
    </row>
    <row r="1240" spans="1:65" s="13" customFormat="1" ht="10">
      <c r="B1240" s="192"/>
      <c r="C1240" s="193"/>
      <c r="D1240" s="194" t="s">
        <v>139</v>
      </c>
      <c r="E1240" s="195" t="s">
        <v>19</v>
      </c>
      <c r="F1240" s="196" t="s">
        <v>1411</v>
      </c>
      <c r="G1240" s="193"/>
      <c r="H1240" s="197">
        <v>105.52800000000001</v>
      </c>
      <c r="I1240" s="198"/>
      <c r="J1240" s="193"/>
      <c r="K1240" s="193"/>
      <c r="L1240" s="199"/>
      <c r="M1240" s="200"/>
      <c r="N1240" s="201"/>
      <c r="O1240" s="201"/>
      <c r="P1240" s="201"/>
      <c r="Q1240" s="201"/>
      <c r="R1240" s="201"/>
      <c r="S1240" s="201"/>
      <c r="T1240" s="202"/>
      <c r="AT1240" s="203" t="s">
        <v>139</v>
      </c>
      <c r="AU1240" s="203" t="s">
        <v>82</v>
      </c>
      <c r="AV1240" s="13" t="s">
        <v>82</v>
      </c>
      <c r="AW1240" s="13" t="s">
        <v>34</v>
      </c>
      <c r="AX1240" s="13" t="s">
        <v>72</v>
      </c>
      <c r="AY1240" s="203" t="s">
        <v>128</v>
      </c>
    </row>
    <row r="1241" spans="1:65" s="13" customFormat="1" ht="10">
      <c r="B1241" s="192"/>
      <c r="C1241" s="193"/>
      <c r="D1241" s="194" t="s">
        <v>139</v>
      </c>
      <c r="E1241" s="195" t="s">
        <v>19</v>
      </c>
      <c r="F1241" s="196" t="s">
        <v>1446</v>
      </c>
      <c r="G1241" s="193"/>
      <c r="H1241" s="197">
        <v>650</v>
      </c>
      <c r="I1241" s="198"/>
      <c r="J1241" s="193"/>
      <c r="K1241" s="193"/>
      <c r="L1241" s="199"/>
      <c r="M1241" s="200"/>
      <c r="N1241" s="201"/>
      <c r="O1241" s="201"/>
      <c r="P1241" s="201"/>
      <c r="Q1241" s="201"/>
      <c r="R1241" s="201"/>
      <c r="S1241" s="201"/>
      <c r="T1241" s="202"/>
      <c r="AT1241" s="203" t="s">
        <v>139</v>
      </c>
      <c r="AU1241" s="203" t="s">
        <v>82</v>
      </c>
      <c r="AV1241" s="13" t="s">
        <v>82</v>
      </c>
      <c r="AW1241" s="13" t="s">
        <v>34</v>
      </c>
      <c r="AX1241" s="13" t="s">
        <v>72</v>
      </c>
      <c r="AY1241" s="203" t="s">
        <v>128</v>
      </c>
    </row>
    <row r="1242" spans="1:65" s="13" customFormat="1" ht="10">
      <c r="B1242" s="192"/>
      <c r="C1242" s="193"/>
      <c r="D1242" s="194" t="s">
        <v>139</v>
      </c>
      <c r="E1242" s="195" t="s">
        <v>19</v>
      </c>
      <c r="F1242" s="196" t="s">
        <v>1457</v>
      </c>
      <c r="G1242" s="193"/>
      <c r="H1242" s="197">
        <v>543.4</v>
      </c>
      <c r="I1242" s="198"/>
      <c r="J1242" s="193"/>
      <c r="K1242" s="193"/>
      <c r="L1242" s="199"/>
      <c r="M1242" s="200"/>
      <c r="N1242" s="201"/>
      <c r="O1242" s="201"/>
      <c r="P1242" s="201"/>
      <c r="Q1242" s="201"/>
      <c r="R1242" s="201"/>
      <c r="S1242" s="201"/>
      <c r="T1242" s="202"/>
      <c r="AT1242" s="203" t="s">
        <v>139</v>
      </c>
      <c r="AU1242" s="203" t="s">
        <v>82</v>
      </c>
      <c r="AV1242" s="13" t="s">
        <v>82</v>
      </c>
      <c r="AW1242" s="13" t="s">
        <v>34</v>
      </c>
      <c r="AX1242" s="13" t="s">
        <v>72</v>
      </c>
      <c r="AY1242" s="203" t="s">
        <v>128</v>
      </c>
    </row>
    <row r="1243" spans="1:65" s="13" customFormat="1" ht="10">
      <c r="B1243" s="192"/>
      <c r="C1243" s="193"/>
      <c r="D1243" s="194" t="s">
        <v>139</v>
      </c>
      <c r="E1243" s="195" t="s">
        <v>19</v>
      </c>
      <c r="F1243" s="196" t="s">
        <v>2495</v>
      </c>
      <c r="G1243" s="193"/>
      <c r="H1243" s="197">
        <v>-103.39</v>
      </c>
      <c r="I1243" s="198"/>
      <c r="J1243" s="193"/>
      <c r="K1243" s="193"/>
      <c r="L1243" s="199"/>
      <c r="M1243" s="200"/>
      <c r="N1243" s="201"/>
      <c r="O1243" s="201"/>
      <c r="P1243" s="201"/>
      <c r="Q1243" s="201"/>
      <c r="R1243" s="201"/>
      <c r="S1243" s="201"/>
      <c r="T1243" s="202"/>
      <c r="AT1243" s="203" t="s">
        <v>139</v>
      </c>
      <c r="AU1243" s="203" t="s">
        <v>82</v>
      </c>
      <c r="AV1243" s="13" t="s">
        <v>82</v>
      </c>
      <c r="AW1243" s="13" t="s">
        <v>34</v>
      </c>
      <c r="AX1243" s="13" t="s">
        <v>72</v>
      </c>
      <c r="AY1243" s="203" t="s">
        <v>128</v>
      </c>
    </row>
    <row r="1244" spans="1:65" s="13" customFormat="1" ht="10">
      <c r="B1244" s="192"/>
      <c r="C1244" s="193"/>
      <c r="D1244" s="194" t="s">
        <v>139</v>
      </c>
      <c r="E1244" s="195" t="s">
        <v>19</v>
      </c>
      <c r="F1244" s="196" t="s">
        <v>1434</v>
      </c>
      <c r="G1244" s="193"/>
      <c r="H1244" s="197">
        <v>23.66</v>
      </c>
      <c r="I1244" s="198"/>
      <c r="J1244" s="193"/>
      <c r="K1244" s="193"/>
      <c r="L1244" s="199"/>
      <c r="M1244" s="200"/>
      <c r="N1244" s="201"/>
      <c r="O1244" s="201"/>
      <c r="P1244" s="201"/>
      <c r="Q1244" s="201"/>
      <c r="R1244" s="201"/>
      <c r="S1244" s="201"/>
      <c r="T1244" s="202"/>
      <c r="AT1244" s="203" t="s">
        <v>139</v>
      </c>
      <c r="AU1244" s="203" t="s">
        <v>82</v>
      </c>
      <c r="AV1244" s="13" t="s">
        <v>82</v>
      </c>
      <c r="AW1244" s="13" t="s">
        <v>34</v>
      </c>
      <c r="AX1244" s="13" t="s">
        <v>72</v>
      </c>
      <c r="AY1244" s="203" t="s">
        <v>128</v>
      </c>
    </row>
    <row r="1245" spans="1:65" s="13" customFormat="1" ht="10">
      <c r="B1245" s="192"/>
      <c r="C1245" s="193"/>
      <c r="D1245" s="194" t="s">
        <v>139</v>
      </c>
      <c r="E1245" s="195" t="s">
        <v>19</v>
      </c>
      <c r="F1245" s="196" t="s">
        <v>1435</v>
      </c>
      <c r="G1245" s="193"/>
      <c r="H1245" s="197">
        <v>36.4</v>
      </c>
      <c r="I1245" s="198"/>
      <c r="J1245" s="193"/>
      <c r="K1245" s="193"/>
      <c r="L1245" s="199"/>
      <c r="M1245" s="200"/>
      <c r="N1245" s="201"/>
      <c r="O1245" s="201"/>
      <c r="P1245" s="201"/>
      <c r="Q1245" s="201"/>
      <c r="R1245" s="201"/>
      <c r="S1245" s="201"/>
      <c r="T1245" s="202"/>
      <c r="AT1245" s="203" t="s">
        <v>139</v>
      </c>
      <c r="AU1245" s="203" t="s">
        <v>82</v>
      </c>
      <c r="AV1245" s="13" t="s">
        <v>82</v>
      </c>
      <c r="AW1245" s="13" t="s">
        <v>34</v>
      </c>
      <c r="AX1245" s="13" t="s">
        <v>72</v>
      </c>
      <c r="AY1245" s="203" t="s">
        <v>128</v>
      </c>
    </row>
    <row r="1246" spans="1:65" s="14" customFormat="1" ht="10">
      <c r="B1246" s="204"/>
      <c r="C1246" s="205"/>
      <c r="D1246" s="194" t="s">
        <v>139</v>
      </c>
      <c r="E1246" s="206" t="s">
        <v>19</v>
      </c>
      <c r="F1246" s="207" t="s">
        <v>153</v>
      </c>
      <c r="G1246" s="205"/>
      <c r="H1246" s="208">
        <v>2505.9500000000003</v>
      </c>
      <c r="I1246" s="209"/>
      <c r="J1246" s="205"/>
      <c r="K1246" s="205"/>
      <c r="L1246" s="210"/>
      <c r="M1246" s="211"/>
      <c r="N1246" s="212"/>
      <c r="O1246" s="212"/>
      <c r="P1246" s="212"/>
      <c r="Q1246" s="212"/>
      <c r="R1246" s="212"/>
      <c r="S1246" s="212"/>
      <c r="T1246" s="213"/>
      <c r="AT1246" s="214" t="s">
        <v>139</v>
      </c>
      <c r="AU1246" s="214" t="s">
        <v>82</v>
      </c>
      <c r="AV1246" s="14" t="s">
        <v>135</v>
      </c>
      <c r="AW1246" s="14" t="s">
        <v>34</v>
      </c>
      <c r="AX1246" s="14" t="s">
        <v>80</v>
      </c>
      <c r="AY1246" s="214" t="s">
        <v>128</v>
      </c>
    </row>
    <row r="1247" spans="1:65" s="2" customFormat="1" ht="16.5" customHeight="1">
      <c r="A1247" s="35"/>
      <c r="B1247" s="36"/>
      <c r="C1247" s="174" t="s">
        <v>2496</v>
      </c>
      <c r="D1247" s="174" t="s">
        <v>130</v>
      </c>
      <c r="E1247" s="175" t="s">
        <v>2497</v>
      </c>
      <c r="F1247" s="176" t="s">
        <v>2498</v>
      </c>
      <c r="G1247" s="177" t="s">
        <v>133</v>
      </c>
      <c r="H1247" s="178">
        <v>2505.9499999999998</v>
      </c>
      <c r="I1247" s="179"/>
      <c r="J1247" s="180">
        <f>ROUND(I1247*H1247,2)</f>
        <v>0</v>
      </c>
      <c r="K1247" s="176" t="s">
        <v>134</v>
      </c>
      <c r="L1247" s="40"/>
      <c r="M1247" s="181" t="s">
        <v>19</v>
      </c>
      <c r="N1247" s="182" t="s">
        <v>43</v>
      </c>
      <c r="O1247" s="65"/>
      <c r="P1247" s="183">
        <f>O1247*H1247</f>
        <v>0</v>
      </c>
      <c r="Q1247" s="183">
        <v>2.0000000000000001E-4</v>
      </c>
      <c r="R1247" s="183">
        <f>Q1247*H1247</f>
        <v>0.50119000000000002</v>
      </c>
      <c r="S1247" s="183">
        <v>0</v>
      </c>
      <c r="T1247" s="184">
        <f>S1247*H1247</f>
        <v>0</v>
      </c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R1247" s="185" t="s">
        <v>230</v>
      </c>
      <c r="AT1247" s="185" t="s">
        <v>130</v>
      </c>
      <c r="AU1247" s="185" t="s">
        <v>82</v>
      </c>
      <c r="AY1247" s="18" t="s">
        <v>128</v>
      </c>
      <c r="BE1247" s="186">
        <f>IF(N1247="základní",J1247,0)</f>
        <v>0</v>
      </c>
      <c r="BF1247" s="186">
        <f>IF(N1247="snížená",J1247,0)</f>
        <v>0</v>
      </c>
      <c r="BG1247" s="186">
        <f>IF(N1247="zákl. přenesená",J1247,0)</f>
        <v>0</v>
      </c>
      <c r="BH1247" s="186">
        <f>IF(N1247="sníž. přenesená",J1247,0)</f>
        <v>0</v>
      </c>
      <c r="BI1247" s="186">
        <f>IF(N1247="nulová",J1247,0)</f>
        <v>0</v>
      </c>
      <c r="BJ1247" s="18" t="s">
        <v>80</v>
      </c>
      <c r="BK1247" s="186">
        <f>ROUND(I1247*H1247,2)</f>
        <v>0</v>
      </c>
      <c r="BL1247" s="18" t="s">
        <v>230</v>
      </c>
      <c r="BM1247" s="185" t="s">
        <v>2499</v>
      </c>
    </row>
    <row r="1248" spans="1:65" s="2" customFormat="1" ht="10">
      <c r="A1248" s="35"/>
      <c r="B1248" s="36"/>
      <c r="C1248" s="37"/>
      <c r="D1248" s="187" t="s">
        <v>137</v>
      </c>
      <c r="E1248" s="37"/>
      <c r="F1248" s="188" t="s">
        <v>2500</v>
      </c>
      <c r="G1248" s="37"/>
      <c r="H1248" s="37"/>
      <c r="I1248" s="189"/>
      <c r="J1248" s="37"/>
      <c r="K1248" s="37"/>
      <c r="L1248" s="40"/>
      <c r="M1248" s="190"/>
      <c r="N1248" s="191"/>
      <c r="O1248" s="65"/>
      <c r="P1248" s="65"/>
      <c r="Q1248" s="65"/>
      <c r="R1248" s="65"/>
      <c r="S1248" s="65"/>
      <c r="T1248" s="66"/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T1248" s="18" t="s">
        <v>137</v>
      </c>
      <c r="AU1248" s="18" t="s">
        <v>82</v>
      </c>
    </row>
    <row r="1249" spans="1:65" s="13" customFormat="1" ht="10">
      <c r="B1249" s="192"/>
      <c r="C1249" s="193"/>
      <c r="D1249" s="194" t="s">
        <v>139</v>
      </c>
      <c r="E1249" s="195" t="s">
        <v>19</v>
      </c>
      <c r="F1249" s="196" t="s">
        <v>835</v>
      </c>
      <c r="G1249" s="193"/>
      <c r="H1249" s="197">
        <v>312.74</v>
      </c>
      <c r="I1249" s="198"/>
      <c r="J1249" s="193"/>
      <c r="K1249" s="193"/>
      <c r="L1249" s="199"/>
      <c r="M1249" s="200"/>
      <c r="N1249" s="201"/>
      <c r="O1249" s="201"/>
      <c r="P1249" s="201"/>
      <c r="Q1249" s="201"/>
      <c r="R1249" s="201"/>
      <c r="S1249" s="201"/>
      <c r="T1249" s="202"/>
      <c r="AT1249" s="203" t="s">
        <v>139</v>
      </c>
      <c r="AU1249" s="203" t="s">
        <v>82</v>
      </c>
      <c r="AV1249" s="13" t="s">
        <v>82</v>
      </c>
      <c r="AW1249" s="13" t="s">
        <v>34</v>
      </c>
      <c r="AX1249" s="13" t="s">
        <v>72</v>
      </c>
      <c r="AY1249" s="203" t="s">
        <v>128</v>
      </c>
    </row>
    <row r="1250" spans="1:65" s="13" customFormat="1" ht="10">
      <c r="B1250" s="192"/>
      <c r="C1250" s="193"/>
      <c r="D1250" s="194" t="s">
        <v>139</v>
      </c>
      <c r="E1250" s="195" t="s">
        <v>19</v>
      </c>
      <c r="F1250" s="196" t="s">
        <v>836</v>
      </c>
      <c r="G1250" s="193"/>
      <c r="H1250" s="197">
        <v>23.94</v>
      </c>
      <c r="I1250" s="198"/>
      <c r="J1250" s="193"/>
      <c r="K1250" s="193"/>
      <c r="L1250" s="199"/>
      <c r="M1250" s="200"/>
      <c r="N1250" s="201"/>
      <c r="O1250" s="201"/>
      <c r="P1250" s="201"/>
      <c r="Q1250" s="201"/>
      <c r="R1250" s="201"/>
      <c r="S1250" s="201"/>
      <c r="T1250" s="202"/>
      <c r="AT1250" s="203" t="s">
        <v>139</v>
      </c>
      <c r="AU1250" s="203" t="s">
        <v>82</v>
      </c>
      <c r="AV1250" s="13" t="s">
        <v>82</v>
      </c>
      <c r="AW1250" s="13" t="s">
        <v>34</v>
      </c>
      <c r="AX1250" s="13" t="s">
        <v>72</v>
      </c>
      <c r="AY1250" s="203" t="s">
        <v>128</v>
      </c>
    </row>
    <row r="1251" spans="1:65" s="13" customFormat="1" ht="10">
      <c r="B1251" s="192"/>
      <c r="C1251" s="193"/>
      <c r="D1251" s="194" t="s">
        <v>139</v>
      </c>
      <c r="E1251" s="195" t="s">
        <v>19</v>
      </c>
      <c r="F1251" s="196" t="s">
        <v>837</v>
      </c>
      <c r="G1251" s="193"/>
      <c r="H1251" s="197">
        <v>96.54</v>
      </c>
      <c r="I1251" s="198"/>
      <c r="J1251" s="193"/>
      <c r="K1251" s="193"/>
      <c r="L1251" s="199"/>
      <c r="M1251" s="200"/>
      <c r="N1251" s="201"/>
      <c r="O1251" s="201"/>
      <c r="P1251" s="201"/>
      <c r="Q1251" s="201"/>
      <c r="R1251" s="201"/>
      <c r="S1251" s="201"/>
      <c r="T1251" s="202"/>
      <c r="AT1251" s="203" t="s">
        <v>139</v>
      </c>
      <c r="AU1251" s="203" t="s">
        <v>82</v>
      </c>
      <c r="AV1251" s="13" t="s">
        <v>82</v>
      </c>
      <c r="AW1251" s="13" t="s">
        <v>34</v>
      </c>
      <c r="AX1251" s="13" t="s">
        <v>72</v>
      </c>
      <c r="AY1251" s="203" t="s">
        <v>128</v>
      </c>
    </row>
    <row r="1252" spans="1:65" s="13" customFormat="1" ht="10">
      <c r="B1252" s="192"/>
      <c r="C1252" s="193"/>
      <c r="D1252" s="194" t="s">
        <v>139</v>
      </c>
      <c r="E1252" s="195" t="s">
        <v>19</v>
      </c>
      <c r="F1252" s="196" t="s">
        <v>838</v>
      </c>
      <c r="G1252" s="193"/>
      <c r="H1252" s="197">
        <v>13.68</v>
      </c>
      <c r="I1252" s="198"/>
      <c r="J1252" s="193"/>
      <c r="K1252" s="193"/>
      <c r="L1252" s="199"/>
      <c r="M1252" s="200"/>
      <c r="N1252" s="201"/>
      <c r="O1252" s="201"/>
      <c r="P1252" s="201"/>
      <c r="Q1252" s="201"/>
      <c r="R1252" s="201"/>
      <c r="S1252" s="201"/>
      <c r="T1252" s="202"/>
      <c r="AT1252" s="203" t="s">
        <v>139</v>
      </c>
      <c r="AU1252" s="203" t="s">
        <v>82</v>
      </c>
      <c r="AV1252" s="13" t="s">
        <v>82</v>
      </c>
      <c r="AW1252" s="13" t="s">
        <v>34</v>
      </c>
      <c r="AX1252" s="13" t="s">
        <v>72</v>
      </c>
      <c r="AY1252" s="203" t="s">
        <v>128</v>
      </c>
    </row>
    <row r="1253" spans="1:65" s="13" customFormat="1" ht="10">
      <c r="B1253" s="192"/>
      <c r="C1253" s="193"/>
      <c r="D1253" s="194" t="s">
        <v>139</v>
      </c>
      <c r="E1253" s="195" t="s">
        <v>19</v>
      </c>
      <c r="F1253" s="196" t="s">
        <v>839</v>
      </c>
      <c r="G1253" s="193"/>
      <c r="H1253" s="197">
        <v>220.61099999999999</v>
      </c>
      <c r="I1253" s="198"/>
      <c r="J1253" s="193"/>
      <c r="K1253" s="193"/>
      <c r="L1253" s="199"/>
      <c r="M1253" s="200"/>
      <c r="N1253" s="201"/>
      <c r="O1253" s="201"/>
      <c r="P1253" s="201"/>
      <c r="Q1253" s="201"/>
      <c r="R1253" s="201"/>
      <c r="S1253" s="201"/>
      <c r="T1253" s="202"/>
      <c r="AT1253" s="203" t="s">
        <v>139</v>
      </c>
      <c r="AU1253" s="203" t="s">
        <v>82</v>
      </c>
      <c r="AV1253" s="13" t="s">
        <v>82</v>
      </c>
      <c r="AW1253" s="13" t="s">
        <v>34</v>
      </c>
      <c r="AX1253" s="13" t="s">
        <v>72</v>
      </c>
      <c r="AY1253" s="203" t="s">
        <v>128</v>
      </c>
    </row>
    <row r="1254" spans="1:65" s="13" customFormat="1" ht="10">
      <c r="B1254" s="192"/>
      <c r="C1254" s="193"/>
      <c r="D1254" s="194" t="s">
        <v>139</v>
      </c>
      <c r="E1254" s="195" t="s">
        <v>19</v>
      </c>
      <c r="F1254" s="196" t="s">
        <v>853</v>
      </c>
      <c r="G1254" s="193"/>
      <c r="H1254" s="197">
        <v>133.30500000000001</v>
      </c>
      <c r="I1254" s="198"/>
      <c r="J1254" s="193"/>
      <c r="K1254" s="193"/>
      <c r="L1254" s="199"/>
      <c r="M1254" s="200"/>
      <c r="N1254" s="201"/>
      <c r="O1254" s="201"/>
      <c r="P1254" s="201"/>
      <c r="Q1254" s="201"/>
      <c r="R1254" s="201"/>
      <c r="S1254" s="201"/>
      <c r="T1254" s="202"/>
      <c r="AT1254" s="203" t="s">
        <v>139</v>
      </c>
      <c r="AU1254" s="203" t="s">
        <v>82</v>
      </c>
      <c r="AV1254" s="13" t="s">
        <v>82</v>
      </c>
      <c r="AW1254" s="13" t="s">
        <v>34</v>
      </c>
      <c r="AX1254" s="13" t="s">
        <v>72</v>
      </c>
      <c r="AY1254" s="203" t="s">
        <v>128</v>
      </c>
    </row>
    <row r="1255" spans="1:65" s="13" customFormat="1" ht="10">
      <c r="B1255" s="192"/>
      <c r="C1255" s="193"/>
      <c r="D1255" s="194" t="s">
        <v>139</v>
      </c>
      <c r="E1255" s="195" t="s">
        <v>19</v>
      </c>
      <c r="F1255" s="196" t="s">
        <v>2493</v>
      </c>
      <c r="G1255" s="193"/>
      <c r="H1255" s="197">
        <v>305.536</v>
      </c>
      <c r="I1255" s="198"/>
      <c r="J1255" s="193"/>
      <c r="K1255" s="193"/>
      <c r="L1255" s="199"/>
      <c r="M1255" s="200"/>
      <c r="N1255" s="201"/>
      <c r="O1255" s="201"/>
      <c r="P1255" s="201"/>
      <c r="Q1255" s="201"/>
      <c r="R1255" s="201"/>
      <c r="S1255" s="201"/>
      <c r="T1255" s="202"/>
      <c r="AT1255" s="203" t="s">
        <v>139</v>
      </c>
      <c r="AU1255" s="203" t="s">
        <v>82</v>
      </c>
      <c r="AV1255" s="13" t="s">
        <v>82</v>
      </c>
      <c r="AW1255" s="13" t="s">
        <v>34</v>
      </c>
      <c r="AX1255" s="13" t="s">
        <v>72</v>
      </c>
      <c r="AY1255" s="203" t="s">
        <v>128</v>
      </c>
    </row>
    <row r="1256" spans="1:65" s="13" customFormat="1" ht="10">
      <c r="B1256" s="192"/>
      <c r="C1256" s="193"/>
      <c r="D1256" s="194" t="s">
        <v>139</v>
      </c>
      <c r="E1256" s="195" t="s">
        <v>19</v>
      </c>
      <c r="F1256" s="196" t="s">
        <v>2494</v>
      </c>
      <c r="G1256" s="193"/>
      <c r="H1256" s="197">
        <v>144</v>
      </c>
      <c r="I1256" s="198"/>
      <c r="J1256" s="193"/>
      <c r="K1256" s="193"/>
      <c r="L1256" s="199"/>
      <c r="M1256" s="200"/>
      <c r="N1256" s="201"/>
      <c r="O1256" s="201"/>
      <c r="P1256" s="201"/>
      <c r="Q1256" s="201"/>
      <c r="R1256" s="201"/>
      <c r="S1256" s="201"/>
      <c r="T1256" s="202"/>
      <c r="AT1256" s="203" t="s">
        <v>139</v>
      </c>
      <c r="AU1256" s="203" t="s">
        <v>82</v>
      </c>
      <c r="AV1256" s="13" t="s">
        <v>82</v>
      </c>
      <c r="AW1256" s="13" t="s">
        <v>34</v>
      </c>
      <c r="AX1256" s="13" t="s">
        <v>72</v>
      </c>
      <c r="AY1256" s="203" t="s">
        <v>128</v>
      </c>
    </row>
    <row r="1257" spans="1:65" s="13" customFormat="1" ht="10">
      <c r="B1257" s="192"/>
      <c r="C1257" s="193"/>
      <c r="D1257" s="194" t="s">
        <v>139</v>
      </c>
      <c r="E1257" s="195" t="s">
        <v>19</v>
      </c>
      <c r="F1257" s="196" t="s">
        <v>1411</v>
      </c>
      <c r="G1257" s="193"/>
      <c r="H1257" s="197">
        <v>105.52800000000001</v>
      </c>
      <c r="I1257" s="198"/>
      <c r="J1257" s="193"/>
      <c r="K1257" s="193"/>
      <c r="L1257" s="199"/>
      <c r="M1257" s="200"/>
      <c r="N1257" s="201"/>
      <c r="O1257" s="201"/>
      <c r="P1257" s="201"/>
      <c r="Q1257" s="201"/>
      <c r="R1257" s="201"/>
      <c r="S1257" s="201"/>
      <c r="T1257" s="202"/>
      <c r="AT1257" s="203" t="s">
        <v>139</v>
      </c>
      <c r="AU1257" s="203" t="s">
        <v>82</v>
      </c>
      <c r="AV1257" s="13" t="s">
        <v>82</v>
      </c>
      <c r="AW1257" s="13" t="s">
        <v>34</v>
      </c>
      <c r="AX1257" s="13" t="s">
        <v>72</v>
      </c>
      <c r="AY1257" s="203" t="s">
        <v>128</v>
      </c>
    </row>
    <row r="1258" spans="1:65" s="13" customFormat="1" ht="10">
      <c r="B1258" s="192"/>
      <c r="C1258" s="193"/>
      <c r="D1258" s="194" t="s">
        <v>139</v>
      </c>
      <c r="E1258" s="195" t="s">
        <v>19</v>
      </c>
      <c r="F1258" s="196" t="s">
        <v>1446</v>
      </c>
      <c r="G1258" s="193"/>
      <c r="H1258" s="197">
        <v>650</v>
      </c>
      <c r="I1258" s="198"/>
      <c r="J1258" s="193"/>
      <c r="K1258" s="193"/>
      <c r="L1258" s="199"/>
      <c r="M1258" s="200"/>
      <c r="N1258" s="201"/>
      <c r="O1258" s="201"/>
      <c r="P1258" s="201"/>
      <c r="Q1258" s="201"/>
      <c r="R1258" s="201"/>
      <c r="S1258" s="201"/>
      <c r="T1258" s="202"/>
      <c r="AT1258" s="203" t="s">
        <v>139</v>
      </c>
      <c r="AU1258" s="203" t="s">
        <v>82</v>
      </c>
      <c r="AV1258" s="13" t="s">
        <v>82</v>
      </c>
      <c r="AW1258" s="13" t="s">
        <v>34</v>
      </c>
      <c r="AX1258" s="13" t="s">
        <v>72</v>
      </c>
      <c r="AY1258" s="203" t="s">
        <v>128</v>
      </c>
    </row>
    <row r="1259" spans="1:65" s="13" customFormat="1" ht="10">
      <c r="B1259" s="192"/>
      <c r="C1259" s="193"/>
      <c r="D1259" s="194" t="s">
        <v>139</v>
      </c>
      <c r="E1259" s="195" t="s">
        <v>19</v>
      </c>
      <c r="F1259" s="196" t="s">
        <v>1457</v>
      </c>
      <c r="G1259" s="193"/>
      <c r="H1259" s="197">
        <v>543.4</v>
      </c>
      <c r="I1259" s="198"/>
      <c r="J1259" s="193"/>
      <c r="K1259" s="193"/>
      <c r="L1259" s="199"/>
      <c r="M1259" s="200"/>
      <c r="N1259" s="201"/>
      <c r="O1259" s="201"/>
      <c r="P1259" s="201"/>
      <c r="Q1259" s="201"/>
      <c r="R1259" s="201"/>
      <c r="S1259" s="201"/>
      <c r="T1259" s="202"/>
      <c r="AT1259" s="203" t="s">
        <v>139</v>
      </c>
      <c r="AU1259" s="203" t="s">
        <v>82</v>
      </c>
      <c r="AV1259" s="13" t="s">
        <v>82</v>
      </c>
      <c r="AW1259" s="13" t="s">
        <v>34</v>
      </c>
      <c r="AX1259" s="13" t="s">
        <v>72</v>
      </c>
      <c r="AY1259" s="203" t="s">
        <v>128</v>
      </c>
    </row>
    <row r="1260" spans="1:65" s="13" customFormat="1" ht="10">
      <c r="B1260" s="192"/>
      <c r="C1260" s="193"/>
      <c r="D1260" s="194" t="s">
        <v>139</v>
      </c>
      <c r="E1260" s="195" t="s">
        <v>19</v>
      </c>
      <c r="F1260" s="196" t="s">
        <v>2495</v>
      </c>
      <c r="G1260" s="193"/>
      <c r="H1260" s="197">
        <v>-103.39</v>
      </c>
      <c r="I1260" s="198"/>
      <c r="J1260" s="193"/>
      <c r="K1260" s="193"/>
      <c r="L1260" s="199"/>
      <c r="M1260" s="200"/>
      <c r="N1260" s="201"/>
      <c r="O1260" s="201"/>
      <c r="P1260" s="201"/>
      <c r="Q1260" s="201"/>
      <c r="R1260" s="201"/>
      <c r="S1260" s="201"/>
      <c r="T1260" s="202"/>
      <c r="AT1260" s="203" t="s">
        <v>139</v>
      </c>
      <c r="AU1260" s="203" t="s">
        <v>82</v>
      </c>
      <c r="AV1260" s="13" t="s">
        <v>82</v>
      </c>
      <c r="AW1260" s="13" t="s">
        <v>34</v>
      </c>
      <c r="AX1260" s="13" t="s">
        <v>72</v>
      </c>
      <c r="AY1260" s="203" t="s">
        <v>128</v>
      </c>
    </row>
    <row r="1261" spans="1:65" s="13" customFormat="1" ht="10">
      <c r="B1261" s="192"/>
      <c r="C1261" s="193"/>
      <c r="D1261" s="194" t="s">
        <v>139</v>
      </c>
      <c r="E1261" s="195" t="s">
        <v>19</v>
      </c>
      <c r="F1261" s="196" t="s">
        <v>1434</v>
      </c>
      <c r="G1261" s="193"/>
      <c r="H1261" s="197">
        <v>23.66</v>
      </c>
      <c r="I1261" s="198"/>
      <c r="J1261" s="193"/>
      <c r="K1261" s="193"/>
      <c r="L1261" s="199"/>
      <c r="M1261" s="200"/>
      <c r="N1261" s="201"/>
      <c r="O1261" s="201"/>
      <c r="P1261" s="201"/>
      <c r="Q1261" s="201"/>
      <c r="R1261" s="201"/>
      <c r="S1261" s="201"/>
      <c r="T1261" s="202"/>
      <c r="AT1261" s="203" t="s">
        <v>139</v>
      </c>
      <c r="AU1261" s="203" t="s">
        <v>82</v>
      </c>
      <c r="AV1261" s="13" t="s">
        <v>82</v>
      </c>
      <c r="AW1261" s="13" t="s">
        <v>34</v>
      </c>
      <c r="AX1261" s="13" t="s">
        <v>72</v>
      </c>
      <c r="AY1261" s="203" t="s">
        <v>128</v>
      </c>
    </row>
    <row r="1262" spans="1:65" s="13" customFormat="1" ht="10">
      <c r="B1262" s="192"/>
      <c r="C1262" s="193"/>
      <c r="D1262" s="194" t="s">
        <v>139</v>
      </c>
      <c r="E1262" s="195" t="s">
        <v>19</v>
      </c>
      <c r="F1262" s="196" t="s">
        <v>1435</v>
      </c>
      <c r="G1262" s="193"/>
      <c r="H1262" s="197">
        <v>36.4</v>
      </c>
      <c r="I1262" s="198"/>
      <c r="J1262" s="193"/>
      <c r="K1262" s="193"/>
      <c r="L1262" s="199"/>
      <c r="M1262" s="200"/>
      <c r="N1262" s="201"/>
      <c r="O1262" s="201"/>
      <c r="P1262" s="201"/>
      <c r="Q1262" s="201"/>
      <c r="R1262" s="201"/>
      <c r="S1262" s="201"/>
      <c r="T1262" s="202"/>
      <c r="AT1262" s="203" t="s">
        <v>139</v>
      </c>
      <c r="AU1262" s="203" t="s">
        <v>82</v>
      </c>
      <c r="AV1262" s="13" t="s">
        <v>82</v>
      </c>
      <c r="AW1262" s="13" t="s">
        <v>34</v>
      </c>
      <c r="AX1262" s="13" t="s">
        <v>72</v>
      </c>
      <c r="AY1262" s="203" t="s">
        <v>128</v>
      </c>
    </row>
    <row r="1263" spans="1:65" s="14" customFormat="1" ht="10">
      <c r="B1263" s="204"/>
      <c r="C1263" s="205"/>
      <c r="D1263" s="194" t="s">
        <v>139</v>
      </c>
      <c r="E1263" s="206" t="s">
        <v>19</v>
      </c>
      <c r="F1263" s="207" t="s">
        <v>153</v>
      </c>
      <c r="G1263" s="205"/>
      <c r="H1263" s="208">
        <v>2505.9500000000003</v>
      </c>
      <c r="I1263" s="209"/>
      <c r="J1263" s="205"/>
      <c r="K1263" s="205"/>
      <c r="L1263" s="210"/>
      <c r="M1263" s="211"/>
      <c r="N1263" s="212"/>
      <c r="O1263" s="212"/>
      <c r="P1263" s="212"/>
      <c r="Q1263" s="212"/>
      <c r="R1263" s="212"/>
      <c r="S1263" s="212"/>
      <c r="T1263" s="213"/>
      <c r="AT1263" s="214" t="s">
        <v>139</v>
      </c>
      <c r="AU1263" s="214" t="s">
        <v>82</v>
      </c>
      <c r="AV1263" s="14" t="s">
        <v>135</v>
      </c>
      <c r="AW1263" s="14" t="s">
        <v>34</v>
      </c>
      <c r="AX1263" s="14" t="s">
        <v>80</v>
      </c>
      <c r="AY1263" s="214" t="s">
        <v>128</v>
      </c>
    </row>
    <row r="1264" spans="1:65" s="2" customFormat="1" ht="24.15" customHeight="1">
      <c r="A1264" s="35"/>
      <c r="B1264" s="36"/>
      <c r="C1264" s="174" t="s">
        <v>2501</v>
      </c>
      <c r="D1264" s="174" t="s">
        <v>130</v>
      </c>
      <c r="E1264" s="175" t="s">
        <v>2502</v>
      </c>
      <c r="F1264" s="176" t="s">
        <v>2503</v>
      </c>
      <c r="G1264" s="177" t="s">
        <v>133</v>
      </c>
      <c r="H1264" s="178">
        <v>2505.9499999999998</v>
      </c>
      <c r="I1264" s="179"/>
      <c r="J1264" s="180">
        <f>ROUND(I1264*H1264,2)</f>
        <v>0</v>
      </c>
      <c r="K1264" s="176" t="s">
        <v>134</v>
      </c>
      <c r="L1264" s="40"/>
      <c r="M1264" s="181" t="s">
        <v>19</v>
      </c>
      <c r="N1264" s="182" t="s">
        <v>43</v>
      </c>
      <c r="O1264" s="65"/>
      <c r="P1264" s="183">
        <f>O1264*H1264</f>
        <v>0</v>
      </c>
      <c r="Q1264" s="183">
        <v>2.5999999999999998E-4</v>
      </c>
      <c r="R1264" s="183">
        <f>Q1264*H1264</f>
        <v>0.65154699999999988</v>
      </c>
      <c r="S1264" s="183">
        <v>0</v>
      </c>
      <c r="T1264" s="184">
        <f>S1264*H1264</f>
        <v>0</v>
      </c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  <c r="AR1264" s="185" t="s">
        <v>230</v>
      </c>
      <c r="AT1264" s="185" t="s">
        <v>130</v>
      </c>
      <c r="AU1264" s="185" t="s">
        <v>82</v>
      </c>
      <c r="AY1264" s="18" t="s">
        <v>128</v>
      </c>
      <c r="BE1264" s="186">
        <f>IF(N1264="základní",J1264,0)</f>
        <v>0</v>
      </c>
      <c r="BF1264" s="186">
        <f>IF(N1264="snížená",J1264,0)</f>
        <v>0</v>
      </c>
      <c r="BG1264" s="186">
        <f>IF(N1264="zákl. přenesená",J1264,0)</f>
        <v>0</v>
      </c>
      <c r="BH1264" s="186">
        <f>IF(N1264="sníž. přenesená",J1264,0)</f>
        <v>0</v>
      </c>
      <c r="BI1264" s="186">
        <f>IF(N1264="nulová",J1264,0)</f>
        <v>0</v>
      </c>
      <c r="BJ1264" s="18" t="s">
        <v>80</v>
      </c>
      <c r="BK1264" s="186">
        <f>ROUND(I1264*H1264,2)</f>
        <v>0</v>
      </c>
      <c r="BL1264" s="18" t="s">
        <v>230</v>
      </c>
      <c r="BM1264" s="185" t="s">
        <v>2504</v>
      </c>
    </row>
    <row r="1265" spans="1:51" s="2" customFormat="1" ht="10">
      <c r="A1265" s="35"/>
      <c r="B1265" s="36"/>
      <c r="C1265" s="37"/>
      <c r="D1265" s="187" t="s">
        <v>137</v>
      </c>
      <c r="E1265" s="37"/>
      <c r="F1265" s="188" t="s">
        <v>2505</v>
      </c>
      <c r="G1265" s="37"/>
      <c r="H1265" s="37"/>
      <c r="I1265" s="189"/>
      <c r="J1265" s="37"/>
      <c r="K1265" s="37"/>
      <c r="L1265" s="40"/>
      <c r="M1265" s="190"/>
      <c r="N1265" s="191"/>
      <c r="O1265" s="65"/>
      <c r="P1265" s="65"/>
      <c r="Q1265" s="65"/>
      <c r="R1265" s="65"/>
      <c r="S1265" s="65"/>
      <c r="T1265" s="66"/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T1265" s="18" t="s">
        <v>137</v>
      </c>
      <c r="AU1265" s="18" t="s">
        <v>82</v>
      </c>
    </row>
    <row r="1266" spans="1:51" s="13" customFormat="1" ht="10">
      <c r="B1266" s="192"/>
      <c r="C1266" s="193"/>
      <c r="D1266" s="194" t="s">
        <v>139</v>
      </c>
      <c r="E1266" s="195" t="s">
        <v>19</v>
      </c>
      <c r="F1266" s="196" t="s">
        <v>835</v>
      </c>
      <c r="G1266" s="193"/>
      <c r="H1266" s="197">
        <v>312.74</v>
      </c>
      <c r="I1266" s="198"/>
      <c r="J1266" s="193"/>
      <c r="K1266" s="193"/>
      <c r="L1266" s="199"/>
      <c r="M1266" s="200"/>
      <c r="N1266" s="201"/>
      <c r="O1266" s="201"/>
      <c r="P1266" s="201"/>
      <c r="Q1266" s="201"/>
      <c r="R1266" s="201"/>
      <c r="S1266" s="201"/>
      <c r="T1266" s="202"/>
      <c r="AT1266" s="203" t="s">
        <v>139</v>
      </c>
      <c r="AU1266" s="203" t="s">
        <v>82</v>
      </c>
      <c r="AV1266" s="13" t="s">
        <v>82</v>
      </c>
      <c r="AW1266" s="13" t="s">
        <v>34</v>
      </c>
      <c r="AX1266" s="13" t="s">
        <v>72</v>
      </c>
      <c r="AY1266" s="203" t="s">
        <v>128</v>
      </c>
    </row>
    <row r="1267" spans="1:51" s="13" customFormat="1" ht="10">
      <c r="B1267" s="192"/>
      <c r="C1267" s="193"/>
      <c r="D1267" s="194" t="s">
        <v>139</v>
      </c>
      <c r="E1267" s="195" t="s">
        <v>19</v>
      </c>
      <c r="F1267" s="196" t="s">
        <v>836</v>
      </c>
      <c r="G1267" s="193"/>
      <c r="H1267" s="197">
        <v>23.94</v>
      </c>
      <c r="I1267" s="198"/>
      <c r="J1267" s="193"/>
      <c r="K1267" s="193"/>
      <c r="L1267" s="199"/>
      <c r="M1267" s="200"/>
      <c r="N1267" s="201"/>
      <c r="O1267" s="201"/>
      <c r="P1267" s="201"/>
      <c r="Q1267" s="201"/>
      <c r="R1267" s="201"/>
      <c r="S1267" s="201"/>
      <c r="T1267" s="202"/>
      <c r="AT1267" s="203" t="s">
        <v>139</v>
      </c>
      <c r="AU1267" s="203" t="s">
        <v>82</v>
      </c>
      <c r="AV1267" s="13" t="s">
        <v>82</v>
      </c>
      <c r="AW1267" s="13" t="s">
        <v>34</v>
      </c>
      <c r="AX1267" s="13" t="s">
        <v>72</v>
      </c>
      <c r="AY1267" s="203" t="s">
        <v>128</v>
      </c>
    </row>
    <row r="1268" spans="1:51" s="13" customFormat="1" ht="10">
      <c r="B1268" s="192"/>
      <c r="C1268" s="193"/>
      <c r="D1268" s="194" t="s">
        <v>139</v>
      </c>
      <c r="E1268" s="195" t="s">
        <v>19</v>
      </c>
      <c r="F1268" s="196" t="s">
        <v>837</v>
      </c>
      <c r="G1268" s="193"/>
      <c r="H1268" s="197">
        <v>96.54</v>
      </c>
      <c r="I1268" s="198"/>
      <c r="J1268" s="193"/>
      <c r="K1268" s="193"/>
      <c r="L1268" s="199"/>
      <c r="M1268" s="200"/>
      <c r="N1268" s="201"/>
      <c r="O1268" s="201"/>
      <c r="P1268" s="201"/>
      <c r="Q1268" s="201"/>
      <c r="R1268" s="201"/>
      <c r="S1268" s="201"/>
      <c r="T1268" s="202"/>
      <c r="AT1268" s="203" t="s">
        <v>139</v>
      </c>
      <c r="AU1268" s="203" t="s">
        <v>82</v>
      </c>
      <c r="AV1268" s="13" t="s">
        <v>82</v>
      </c>
      <c r="AW1268" s="13" t="s">
        <v>34</v>
      </c>
      <c r="AX1268" s="13" t="s">
        <v>72</v>
      </c>
      <c r="AY1268" s="203" t="s">
        <v>128</v>
      </c>
    </row>
    <row r="1269" spans="1:51" s="13" customFormat="1" ht="10">
      <c r="B1269" s="192"/>
      <c r="C1269" s="193"/>
      <c r="D1269" s="194" t="s">
        <v>139</v>
      </c>
      <c r="E1269" s="195" t="s">
        <v>19</v>
      </c>
      <c r="F1269" s="196" t="s">
        <v>838</v>
      </c>
      <c r="G1269" s="193"/>
      <c r="H1269" s="197">
        <v>13.68</v>
      </c>
      <c r="I1269" s="198"/>
      <c r="J1269" s="193"/>
      <c r="K1269" s="193"/>
      <c r="L1269" s="199"/>
      <c r="M1269" s="200"/>
      <c r="N1269" s="201"/>
      <c r="O1269" s="201"/>
      <c r="P1269" s="201"/>
      <c r="Q1269" s="201"/>
      <c r="R1269" s="201"/>
      <c r="S1269" s="201"/>
      <c r="T1269" s="202"/>
      <c r="AT1269" s="203" t="s">
        <v>139</v>
      </c>
      <c r="AU1269" s="203" t="s">
        <v>82</v>
      </c>
      <c r="AV1269" s="13" t="s">
        <v>82</v>
      </c>
      <c r="AW1269" s="13" t="s">
        <v>34</v>
      </c>
      <c r="AX1269" s="13" t="s">
        <v>72</v>
      </c>
      <c r="AY1269" s="203" t="s">
        <v>128</v>
      </c>
    </row>
    <row r="1270" spans="1:51" s="13" customFormat="1" ht="10">
      <c r="B1270" s="192"/>
      <c r="C1270" s="193"/>
      <c r="D1270" s="194" t="s">
        <v>139</v>
      </c>
      <c r="E1270" s="195" t="s">
        <v>19</v>
      </c>
      <c r="F1270" s="196" t="s">
        <v>839</v>
      </c>
      <c r="G1270" s="193"/>
      <c r="H1270" s="197">
        <v>220.61099999999999</v>
      </c>
      <c r="I1270" s="198"/>
      <c r="J1270" s="193"/>
      <c r="K1270" s="193"/>
      <c r="L1270" s="199"/>
      <c r="M1270" s="200"/>
      <c r="N1270" s="201"/>
      <c r="O1270" s="201"/>
      <c r="P1270" s="201"/>
      <c r="Q1270" s="201"/>
      <c r="R1270" s="201"/>
      <c r="S1270" s="201"/>
      <c r="T1270" s="202"/>
      <c r="AT1270" s="203" t="s">
        <v>139</v>
      </c>
      <c r="AU1270" s="203" t="s">
        <v>82</v>
      </c>
      <c r="AV1270" s="13" t="s">
        <v>82</v>
      </c>
      <c r="AW1270" s="13" t="s">
        <v>34</v>
      </c>
      <c r="AX1270" s="13" t="s">
        <v>72</v>
      </c>
      <c r="AY1270" s="203" t="s">
        <v>128</v>
      </c>
    </row>
    <row r="1271" spans="1:51" s="13" customFormat="1" ht="10">
      <c r="B1271" s="192"/>
      <c r="C1271" s="193"/>
      <c r="D1271" s="194" t="s">
        <v>139</v>
      </c>
      <c r="E1271" s="195" t="s">
        <v>19</v>
      </c>
      <c r="F1271" s="196" t="s">
        <v>853</v>
      </c>
      <c r="G1271" s="193"/>
      <c r="H1271" s="197">
        <v>133.30500000000001</v>
      </c>
      <c r="I1271" s="198"/>
      <c r="J1271" s="193"/>
      <c r="K1271" s="193"/>
      <c r="L1271" s="199"/>
      <c r="M1271" s="200"/>
      <c r="N1271" s="201"/>
      <c r="O1271" s="201"/>
      <c r="P1271" s="201"/>
      <c r="Q1271" s="201"/>
      <c r="R1271" s="201"/>
      <c r="S1271" s="201"/>
      <c r="T1271" s="202"/>
      <c r="AT1271" s="203" t="s">
        <v>139</v>
      </c>
      <c r="AU1271" s="203" t="s">
        <v>82</v>
      </c>
      <c r="AV1271" s="13" t="s">
        <v>82</v>
      </c>
      <c r="AW1271" s="13" t="s">
        <v>34</v>
      </c>
      <c r="AX1271" s="13" t="s">
        <v>72</v>
      </c>
      <c r="AY1271" s="203" t="s">
        <v>128</v>
      </c>
    </row>
    <row r="1272" spans="1:51" s="13" customFormat="1" ht="10">
      <c r="B1272" s="192"/>
      <c r="C1272" s="193"/>
      <c r="D1272" s="194" t="s">
        <v>139</v>
      </c>
      <c r="E1272" s="195" t="s">
        <v>19</v>
      </c>
      <c r="F1272" s="196" t="s">
        <v>2493</v>
      </c>
      <c r="G1272" s="193"/>
      <c r="H1272" s="197">
        <v>305.536</v>
      </c>
      <c r="I1272" s="198"/>
      <c r="J1272" s="193"/>
      <c r="K1272" s="193"/>
      <c r="L1272" s="199"/>
      <c r="M1272" s="200"/>
      <c r="N1272" s="201"/>
      <c r="O1272" s="201"/>
      <c r="P1272" s="201"/>
      <c r="Q1272" s="201"/>
      <c r="R1272" s="201"/>
      <c r="S1272" s="201"/>
      <c r="T1272" s="202"/>
      <c r="AT1272" s="203" t="s">
        <v>139</v>
      </c>
      <c r="AU1272" s="203" t="s">
        <v>82</v>
      </c>
      <c r="AV1272" s="13" t="s">
        <v>82</v>
      </c>
      <c r="AW1272" s="13" t="s">
        <v>34</v>
      </c>
      <c r="AX1272" s="13" t="s">
        <v>72</v>
      </c>
      <c r="AY1272" s="203" t="s">
        <v>128</v>
      </c>
    </row>
    <row r="1273" spans="1:51" s="13" customFormat="1" ht="10">
      <c r="B1273" s="192"/>
      <c r="C1273" s="193"/>
      <c r="D1273" s="194" t="s">
        <v>139</v>
      </c>
      <c r="E1273" s="195" t="s">
        <v>19</v>
      </c>
      <c r="F1273" s="196" t="s">
        <v>2494</v>
      </c>
      <c r="G1273" s="193"/>
      <c r="H1273" s="197">
        <v>144</v>
      </c>
      <c r="I1273" s="198"/>
      <c r="J1273" s="193"/>
      <c r="K1273" s="193"/>
      <c r="L1273" s="199"/>
      <c r="M1273" s="200"/>
      <c r="N1273" s="201"/>
      <c r="O1273" s="201"/>
      <c r="P1273" s="201"/>
      <c r="Q1273" s="201"/>
      <c r="R1273" s="201"/>
      <c r="S1273" s="201"/>
      <c r="T1273" s="202"/>
      <c r="AT1273" s="203" t="s">
        <v>139</v>
      </c>
      <c r="AU1273" s="203" t="s">
        <v>82</v>
      </c>
      <c r="AV1273" s="13" t="s">
        <v>82</v>
      </c>
      <c r="AW1273" s="13" t="s">
        <v>34</v>
      </c>
      <c r="AX1273" s="13" t="s">
        <v>72</v>
      </c>
      <c r="AY1273" s="203" t="s">
        <v>128</v>
      </c>
    </row>
    <row r="1274" spans="1:51" s="13" customFormat="1" ht="10">
      <c r="B1274" s="192"/>
      <c r="C1274" s="193"/>
      <c r="D1274" s="194" t="s">
        <v>139</v>
      </c>
      <c r="E1274" s="195" t="s">
        <v>19</v>
      </c>
      <c r="F1274" s="196" t="s">
        <v>1411</v>
      </c>
      <c r="G1274" s="193"/>
      <c r="H1274" s="197">
        <v>105.52800000000001</v>
      </c>
      <c r="I1274" s="198"/>
      <c r="J1274" s="193"/>
      <c r="K1274" s="193"/>
      <c r="L1274" s="199"/>
      <c r="M1274" s="200"/>
      <c r="N1274" s="201"/>
      <c r="O1274" s="201"/>
      <c r="P1274" s="201"/>
      <c r="Q1274" s="201"/>
      <c r="R1274" s="201"/>
      <c r="S1274" s="201"/>
      <c r="T1274" s="202"/>
      <c r="AT1274" s="203" t="s">
        <v>139</v>
      </c>
      <c r="AU1274" s="203" t="s">
        <v>82</v>
      </c>
      <c r="AV1274" s="13" t="s">
        <v>82</v>
      </c>
      <c r="AW1274" s="13" t="s">
        <v>34</v>
      </c>
      <c r="AX1274" s="13" t="s">
        <v>72</v>
      </c>
      <c r="AY1274" s="203" t="s">
        <v>128</v>
      </c>
    </row>
    <row r="1275" spans="1:51" s="13" customFormat="1" ht="10">
      <c r="B1275" s="192"/>
      <c r="C1275" s="193"/>
      <c r="D1275" s="194" t="s">
        <v>139</v>
      </c>
      <c r="E1275" s="195" t="s">
        <v>19</v>
      </c>
      <c r="F1275" s="196" t="s">
        <v>1446</v>
      </c>
      <c r="G1275" s="193"/>
      <c r="H1275" s="197">
        <v>650</v>
      </c>
      <c r="I1275" s="198"/>
      <c r="J1275" s="193"/>
      <c r="K1275" s="193"/>
      <c r="L1275" s="199"/>
      <c r="M1275" s="200"/>
      <c r="N1275" s="201"/>
      <c r="O1275" s="201"/>
      <c r="P1275" s="201"/>
      <c r="Q1275" s="201"/>
      <c r="R1275" s="201"/>
      <c r="S1275" s="201"/>
      <c r="T1275" s="202"/>
      <c r="AT1275" s="203" t="s">
        <v>139</v>
      </c>
      <c r="AU1275" s="203" t="s">
        <v>82</v>
      </c>
      <c r="AV1275" s="13" t="s">
        <v>82</v>
      </c>
      <c r="AW1275" s="13" t="s">
        <v>34</v>
      </c>
      <c r="AX1275" s="13" t="s">
        <v>72</v>
      </c>
      <c r="AY1275" s="203" t="s">
        <v>128</v>
      </c>
    </row>
    <row r="1276" spans="1:51" s="13" customFormat="1" ht="10">
      <c r="B1276" s="192"/>
      <c r="C1276" s="193"/>
      <c r="D1276" s="194" t="s">
        <v>139</v>
      </c>
      <c r="E1276" s="195" t="s">
        <v>19</v>
      </c>
      <c r="F1276" s="196" t="s">
        <v>1457</v>
      </c>
      <c r="G1276" s="193"/>
      <c r="H1276" s="197">
        <v>543.4</v>
      </c>
      <c r="I1276" s="198"/>
      <c r="J1276" s="193"/>
      <c r="K1276" s="193"/>
      <c r="L1276" s="199"/>
      <c r="M1276" s="200"/>
      <c r="N1276" s="201"/>
      <c r="O1276" s="201"/>
      <c r="P1276" s="201"/>
      <c r="Q1276" s="201"/>
      <c r="R1276" s="201"/>
      <c r="S1276" s="201"/>
      <c r="T1276" s="202"/>
      <c r="AT1276" s="203" t="s">
        <v>139</v>
      </c>
      <c r="AU1276" s="203" t="s">
        <v>82</v>
      </c>
      <c r="AV1276" s="13" t="s">
        <v>82</v>
      </c>
      <c r="AW1276" s="13" t="s">
        <v>34</v>
      </c>
      <c r="AX1276" s="13" t="s">
        <v>72</v>
      </c>
      <c r="AY1276" s="203" t="s">
        <v>128</v>
      </c>
    </row>
    <row r="1277" spans="1:51" s="13" customFormat="1" ht="10">
      <c r="B1277" s="192"/>
      <c r="C1277" s="193"/>
      <c r="D1277" s="194" t="s">
        <v>139</v>
      </c>
      <c r="E1277" s="195" t="s">
        <v>19</v>
      </c>
      <c r="F1277" s="196" t="s">
        <v>2495</v>
      </c>
      <c r="G1277" s="193"/>
      <c r="H1277" s="197">
        <v>-103.39</v>
      </c>
      <c r="I1277" s="198"/>
      <c r="J1277" s="193"/>
      <c r="K1277" s="193"/>
      <c r="L1277" s="199"/>
      <c r="M1277" s="200"/>
      <c r="N1277" s="201"/>
      <c r="O1277" s="201"/>
      <c r="P1277" s="201"/>
      <c r="Q1277" s="201"/>
      <c r="R1277" s="201"/>
      <c r="S1277" s="201"/>
      <c r="T1277" s="202"/>
      <c r="AT1277" s="203" t="s">
        <v>139</v>
      </c>
      <c r="AU1277" s="203" t="s">
        <v>82</v>
      </c>
      <c r="AV1277" s="13" t="s">
        <v>82</v>
      </c>
      <c r="AW1277" s="13" t="s">
        <v>34</v>
      </c>
      <c r="AX1277" s="13" t="s">
        <v>72</v>
      </c>
      <c r="AY1277" s="203" t="s">
        <v>128</v>
      </c>
    </row>
    <row r="1278" spans="1:51" s="13" customFormat="1" ht="10">
      <c r="B1278" s="192"/>
      <c r="C1278" s="193"/>
      <c r="D1278" s="194" t="s">
        <v>139</v>
      </c>
      <c r="E1278" s="195" t="s">
        <v>19</v>
      </c>
      <c r="F1278" s="196" t="s">
        <v>1434</v>
      </c>
      <c r="G1278" s="193"/>
      <c r="H1278" s="197">
        <v>23.66</v>
      </c>
      <c r="I1278" s="198"/>
      <c r="J1278" s="193"/>
      <c r="K1278" s="193"/>
      <c r="L1278" s="199"/>
      <c r="M1278" s="200"/>
      <c r="N1278" s="201"/>
      <c r="O1278" s="201"/>
      <c r="P1278" s="201"/>
      <c r="Q1278" s="201"/>
      <c r="R1278" s="201"/>
      <c r="S1278" s="201"/>
      <c r="T1278" s="202"/>
      <c r="AT1278" s="203" t="s">
        <v>139</v>
      </c>
      <c r="AU1278" s="203" t="s">
        <v>82</v>
      </c>
      <c r="AV1278" s="13" t="s">
        <v>82</v>
      </c>
      <c r="AW1278" s="13" t="s">
        <v>34</v>
      </c>
      <c r="AX1278" s="13" t="s">
        <v>72</v>
      </c>
      <c r="AY1278" s="203" t="s">
        <v>128</v>
      </c>
    </row>
    <row r="1279" spans="1:51" s="13" customFormat="1" ht="10">
      <c r="B1279" s="192"/>
      <c r="C1279" s="193"/>
      <c r="D1279" s="194" t="s">
        <v>139</v>
      </c>
      <c r="E1279" s="195" t="s">
        <v>19</v>
      </c>
      <c r="F1279" s="196" t="s">
        <v>1435</v>
      </c>
      <c r="G1279" s="193"/>
      <c r="H1279" s="197">
        <v>36.4</v>
      </c>
      <c r="I1279" s="198"/>
      <c r="J1279" s="193"/>
      <c r="K1279" s="193"/>
      <c r="L1279" s="199"/>
      <c r="M1279" s="200"/>
      <c r="N1279" s="201"/>
      <c r="O1279" s="201"/>
      <c r="P1279" s="201"/>
      <c r="Q1279" s="201"/>
      <c r="R1279" s="201"/>
      <c r="S1279" s="201"/>
      <c r="T1279" s="202"/>
      <c r="AT1279" s="203" t="s">
        <v>139</v>
      </c>
      <c r="AU1279" s="203" t="s">
        <v>82</v>
      </c>
      <c r="AV1279" s="13" t="s">
        <v>82</v>
      </c>
      <c r="AW1279" s="13" t="s">
        <v>34</v>
      </c>
      <c r="AX1279" s="13" t="s">
        <v>72</v>
      </c>
      <c r="AY1279" s="203" t="s">
        <v>128</v>
      </c>
    </row>
    <row r="1280" spans="1:51" s="14" customFormat="1" ht="10">
      <c r="B1280" s="204"/>
      <c r="C1280" s="205"/>
      <c r="D1280" s="194" t="s">
        <v>139</v>
      </c>
      <c r="E1280" s="206" t="s">
        <v>19</v>
      </c>
      <c r="F1280" s="207" t="s">
        <v>153</v>
      </c>
      <c r="G1280" s="205"/>
      <c r="H1280" s="208">
        <v>2505.9500000000003</v>
      </c>
      <c r="I1280" s="209"/>
      <c r="J1280" s="205"/>
      <c r="K1280" s="205"/>
      <c r="L1280" s="210"/>
      <c r="M1280" s="211"/>
      <c r="N1280" s="212"/>
      <c r="O1280" s="212"/>
      <c r="P1280" s="212"/>
      <c r="Q1280" s="212"/>
      <c r="R1280" s="212"/>
      <c r="S1280" s="212"/>
      <c r="T1280" s="213"/>
      <c r="AT1280" s="214" t="s">
        <v>139</v>
      </c>
      <c r="AU1280" s="214" t="s">
        <v>82</v>
      </c>
      <c r="AV1280" s="14" t="s">
        <v>135</v>
      </c>
      <c r="AW1280" s="14" t="s">
        <v>34</v>
      </c>
      <c r="AX1280" s="14" t="s">
        <v>80</v>
      </c>
      <c r="AY1280" s="214" t="s">
        <v>128</v>
      </c>
    </row>
    <row r="1281" spans="1:65" s="12" customFormat="1" ht="22.75" customHeight="1">
      <c r="B1281" s="158"/>
      <c r="C1281" s="159"/>
      <c r="D1281" s="160" t="s">
        <v>71</v>
      </c>
      <c r="E1281" s="172" t="s">
        <v>2506</v>
      </c>
      <c r="F1281" s="172" t="s">
        <v>2507</v>
      </c>
      <c r="G1281" s="159"/>
      <c r="H1281" s="159"/>
      <c r="I1281" s="162"/>
      <c r="J1281" s="173">
        <f>BK1281</f>
        <v>0</v>
      </c>
      <c r="K1281" s="159"/>
      <c r="L1281" s="164"/>
      <c r="M1281" s="165"/>
      <c r="N1281" s="166"/>
      <c r="O1281" s="166"/>
      <c r="P1281" s="167">
        <f>SUM(P1282:P1291)</f>
        <v>0</v>
      </c>
      <c r="Q1281" s="166"/>
      <c r="R1281" s="167">
        <f>SUM(R1282:R1291)</f>
        <v>2.8027400000000001E-2</v>
      </c>
      <c r="S1281" s="166"/>
      <c r="T1281" s="168">
        <f>SUM(T1282:T1291)</f>
        <v>0</v>
      </c>
      <c r="AR1281" s="169" t="s">
        <v>82</v>
      </c>
      <c r="AT1281" s="170" t="s">
        <v>71</v>
      </c>
      <c r="AU1281" s="170" t="s">
        <v>80</v>
      </c>
      <c r="AY1281" s="169" t="s">
        <v>128</v>
      </c>
      <c r="BK1281" s="171">
        <f>SUM(BK1282:BK1291)</f>
        <v>0</v>
      </c>
    </row>
    <row r="1282" spans="1:65" s="2" customFormat="1" ht="16.5" customHeight="1">
      <c r="A1282" s="35"/>
      <c r="B1282" s="36"/>
      <c r="C1282" s="174" t="s">
        <v>2508</v>
      </c>
      <c r="D1282" s="174" t="s">
        <v>130</v>
      </c>
      <c r="E1282" s="175" t="s">
        <v>2509</v>
      </c>
      <c r="F1282" s="176" t="s">
        <v>2510</v>
      </c>
      <c r="G1282" s="177" t="s">
        <v>305</v>
      </c>
      <c r="H1282" s="178">
        <v>24</v>
      </c>
      <c r="I1282" s="179"/>
      <c r="J1282" s="180">
        <f>ROUND(I1282*H1282,2)</f>
        <v>0</v>
      </c>
      <c r="K1282" s="176" t="s">
        <v>134</v>
      </c>
      <c r="L1282" s="40"/>
      <c r="M1282" s="181" t="s">
        <v>19</v>
      </c>
      <c r="N1282" s="182" t="s">
        <v>43</v>
      </c>
      <c r="O1282" s="65"/>
      <c r="P1282" s="183">
        <f>O1282*H1282</f>
        <v>0</v>
      </c>
      <c r="Q1282" s="183">
        <v>0</v>
      </c>
      <c r="R1282" s="183">
        <f>Q1282*H1282</f>
        <v>0</v>
      </c>
      <c r="S1282" s="183">
        <v>0</v>
      </c>
      <c r="T1282" s="184">
        <f>S1282*H1282</f>
        <v>0</v>
      </c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R1282" s="185" t="s">
        <v>230</v>
      </c>
      <c r="AT1282" s="185" t="s">
        <v>130</v>
      </c>
      <c r="AU1282" s="185" t="s">
        <v>82</v>
      </c>
      <c r="AY1282" s="18" t="s">
        <v>128</v>
      </c>
      <c r="BE1282" s="186">
        <f>IF(N1282="základní",J1282,0)</f>
        <v>0</v>
      </c>
      <c r="BF1282" s="186">
        <f>IF(N1282="snížená",J1282,0)</f>
        <v>0</v>
      </c>
      <c r="BG1282" s="186">
        <f>IF(N1282="zákl. přenesená",J1282,0)</f>
        <v>0</v>
      </c>
      <c r="BH1282" s="186">
        <f>IF(N1282="sníž. přenesená",J1282,0)</f>
        <v>0</v>
      </c>
      <c r="BI1282" s="186">
        <f>IF(N1282="nulová",J1282,0)</f>
        <v>0</v>
      </c>
      <c r="BJ1282" s="18" t="s">
        <v>80</v>
      </c>
      <c r="BK1282" s="186">
        <f>ROUND(I1282*H1282,2)</f>
        <v>0</v>
      </c>
      <c r="BL1282" s="18" t="s">
        <v>230</v>
      </c>
      <c r="BM1282" s="185" t="s">
        <v>2511</v>
      </c>
    </row>
    <row r="1283" spans="1:65" s="2" customFormat="1" ht="10">
      <c r="A1283" s="35"/>
      <c r="B1283" s="36"/>
      <c r="C1283" s="37"/>
      <c r="D1283" s="187" t="s">
        <v>137</v>
      </c>
      <c r="E1283" s="37"/>
      <c r="F1283" s="188" t="s">
        <v>2512</v>
      </c>
      <c r="G1283" s="37"/>
      <c r="H1283" s="37"/>
      <c r="I1283" s="189"/>
      <c r="J1283" s="37"/>
      <c r="K1283" s="37"/>
      <c r="L1283" s="40"/>
      <c r="M1283" s="190"/>
      <c r="N1283" s="191"/>
      <c r="O1283" s="65"/>
      <c r="P1283" s="65"/>
      <c r="Q1283" s="65"/>
      <c r="R1283" s="65"/>
      <c r="S1283" s="65"/>
      <c r="T1283" s="66"/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T1283" s="18" t="s">
        <v>137</v>
      </c>
      <c r="AU1283" s="18" t="s">
        <v>82</v>
      </c>
    </row>
    <row r="1284" spans="1:65" s="2" customFormat="1" ht="16.5" customHeight="1">
      <c r="A1284" s="35"/>
      <c r="B1284" s="36"/>
      <c r="C1284" s="215" t="s">
        <v>2513</v>
      </c>
      <c r="D1284" s="215" t="s">
        <v>414</v>
      </c>
      <c r="E1284" s="216" t="s">
        <v>2514</v>
      </c>
      <c r="F1284" s="217" t="s">
        <v>2515</v>
      </c>
      <c r="G1284" s="218" t="s">
        <v>305</v>
      </c>
      <c r="H1284" s="219">
        <v>2</v>
      </c>
      <c r="I1284" s="220"/>
      <c r="J1284" s="221">
        <f>ROUND(I1284*H1284,2)</f>
        <v>0</v>
      </c>
      <c r="K1284" s="217" t="s">
        <v>134</v>
      </c>
      <c r="L1284" s="222"/>
      <c r="M1284" s="223" t="s">
        <v>19</v>
      </c>
      <c r="N1284" s="224" t="s">
        <v>43</v>
      </c>
      <c r="O1284" s="65"/>
      <c r="P1284" s="183">
        <f>O1284*H1284</f>
        <v>0</v>
      </c>
      <c r="Q1284" s="183">
        <v>7.2999999999999996E-4</v>
      </c>
      <c r="R1284" s="183">
        <f>Q1284*H1284</f>
        <v>1.4599999999999999E-3</v>
      </c>
      <c r="S1284" s="183">
        <v>0</v>
      </c>
      <c r="T1284" s="184">
        <f>S1284*H1284</f>
        <v>0</v>
      </c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R1284" s="185" t="s">
        <v>334</v>
      </c>
      <c r="AT1284" s="185" t="s">
        <v>414</v>
      </c>
      <c r="AU1284" s="185" t="s">
        <v>82</v>
      </c>
      <c r="AY1284" s="18" t="s">
        <v>128</v>
      </c>
      <c r="BE1284" s="186">
        <f>IF(N1284="základní",J1284,0)</f>
        <v>0</v>
      </c>
      <c r="BF1284" s="186">
        <f>IF(N1284="snížená",J1284,0)</f>
        <v>0</v>
      </c>
      <c r="BG1284" s="186">
        <f>IF(N1284="zákl. přenesená",J1284,0)</f>
        <v>0</v>
      </c>
      <c r="BH1284" s="186">
        <f>IF(N1284="sníž. přenesená",J1284,0)</f>
        <v>0</v>
      </c>
      <c r="BI1284" s="186">
        <f>IF(N1284="nulová",J1284,0)</f>
        <v>0</v>
      </c>
      <c r="BJ1284" s="18" t="s">
        <v>80</v>
      </c>
      <c r="BK1284" s="186">
        <f>ROUND(I1284*H1284,2)</f>
        <v>0</v>
      </c>
      <c r="BL1284" s="18" t="s">
        <v>230</v>
      </c>
      <c r="BM1284" s="185" t="s">
        <v>2516</v>
      </c>
    </row>
    <row r="1285" spans="1:65" s="2" customFormat="1" ht="16.5" customHeight="1">
      <c r="A1285" s="35"/>
      <c r="B1285" s="36"/>
      <c r="C1285" s="215" t="s">
        <v>2517</v>
      </c>
      <c r="D1285" s="215" t="s">
        <v>414</v>
      </c>
      <c r="E1285" s="216" t="s">
        <v>2518</v>
      </c>
      <c r="F1285" s="217" t="s">
        <v>2519</v>
      </c>
      <c r="G1285" s="218" t="s">
        <v>305</v>
      </c>
      <c r="H1285" s="219">
        <v>22</v>
      </c>
      <c r="I1285" s="220"/>
      <c r="J1285" s="221">
        <f>ROUND(I1285*H1285,2)</f>
        <v>0</v>
      </c>
      <c r="K1285" s="217" t="s">
        <v>19</v>
      </c>
      <c r="L1285" s="222"/>
      <c r="M1285" s="223" t="s">
        <v>19</v>
      </c>
      <c r="N1285" s="224" t="s">
        <v>43</v>
      </c>
      <c r="O1285" s="65"/>
      <c r="P1285" s="183">
        <f>O1285*H1285</f>
        <v>0</v>
      </c>
      <c r="Q1285" s="183">
        <v>1.06E-3</v>
      </c>
      <c r="R1285" s="183">
        <f>Q1285*H1285</f>
        <v>2.332E-2</v>
      </c>
      <c r="S1285" s="183">
        <v>0</v>
      </c>
      <c r="T1285" s="184">
        <f>S1285*H1285</f>
        <v>0</v>
      </c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  <c r="AR1285" s="185" t="s">
        <v>334</v>
      </c>
      <c r="AT1285" s="185" t="s">
        <v>414</v>
      </c>
      <c r="AU1285" s="185" t="s">
        <v>82</v>
      </c>
      <c r="AY1285" s="18" t="s">
        <v>128</v>
      </c>
      <c r="BE1285" s="186">
        <f>IF(N1285="základní",J1285,0)</f>
        <v>0</v>
      </c>
      <c r="BF1285" s="186">
        <f>IF(N1285="snížená",J1285,0)</f>
        <v>0</v>
      </c>
      <c r="BG1285" s="186">
        <f>IF(N1285="zákl. přenesená",J1285,0)</f>
        <v>0</v>
      </c>
      <c r="BH1285" s="186">
        <f>IF(N1285="sníž. přenesená",J1285,0)</f>
        <v>0</v>
      </c>
      <c r="BI1285" s="186">
        <f>IF(N1285="nulová",J1285,0)</f>
        <v>0</v>
      </c>
      <c r="BJ1285" s="18" t="s">
        <v>80</v>
      </c>
      <c r="BK1285" s="186">
        <f>ROUND(I1285*H1285,2)</f>
        <v>0</v>
      </c>
      <c r="BL1285" s="18" t="s">
        <v>230</v>
      </c>
      <c r="BM1285" s="185" t="s">
        <v>2520</v>
      </c>
    </row>
    <row r="1286" spans="1:65" s="2" customFormat="1" ht="16.5" customHeight="1">
      <c r="A1286" s="35"/>
      <c r="B1286" s="36"/>
      <c r="C1286" s="174" t="s">
        <v>2521</v>
      </c>
      <c r="D1286" s="174" t="s">
        <v>130</v>
      </c>
      <c r="E1286" s="175" t="s">
        <v>2522</v>
      </c>
      <c r="F1286" s="176" t="s">
        <v>2523</v>
      </c>
      <c r="G1286" s="177" t="s">
        <v>133</v>
      </c>
      <c r="H1286" s="178">
        <v>2.4980000000000002</v>
      </c>
      <c r="I1286" s="179"/>
      <c r="J1286" s="180">
        <f>ROUND(I1286*H1286,2)</f>
        <v>0</v>
      </c>
      <c r="K1286" s="176" t="s">
        <v>134</v>
      </c>
      <c r="L1286" s="40"/>
      <c r="M1286" s="181" t="s">
        <v>19</v>
      </c>
      <c r="N1286" s="182" t="s">
        <v>43</v>
      </c>
      <c r="O1286" s="65"/>
      <c r="P1286" s="183">
        <f>O1286*H1286</f>
        <v>0</v>
      </c>
      <c r="Q1286" s="183">
        <v>0</v>
      </c>
      <c r="R1286" s="183">
        <f>Q1286*H1286</f>
        <v>0</v>
      </c>
      <c r="S1286" s="183">
        <v>0</v>
      </c>
      <c r="T1286" s="184">
        <f>S1286*H1286</f>
        <v>0</v>
      </c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R1286" s="185" t="s">
        <v>230</v>
      </c>
      <c r="AT1286" s="185" t="s">
        <v>130</v>
      </c>
      <c r="AU1286" s="185" t="s">
        <v>82</v>
      </c>
      <c r="AY1286" s="18" t="s">
        <v>128</v>
      </c>
      <c r="BE1286" s="186">
        <f>IF(N1286="základní",J1286,0)</f>
        <v>0</v>
      </c>
      <c r="BF1286" s="186">
        <f>IF(N1286="snížená",J1286,0)</f>
        <v>0</v>
      </c>
      <c r="BG1286" s="186">
        <f>IF(N1286="zákl. přenesená",J1286,0)</f>
        <v>0</v>
      </c>
      <c r="BH1286" s="186">
        <f>IF(N1286="sníž. přenesená",J1286,0)</f>
        <v>0</v>
      </c>
      <c r="BI1286" s="186">
        <f>IF(N1286="nulová",J1286,0)</f>
        <v>0</v>
      </c>
      <c r="BJ1286" s="18" t="s">
        <v>80</v>
      </c>
      <c r="BK1286" s="186">
        <f>ROUND(I1286*H1286,2)</f>
        <v>0</v>
      </c>
      <c r="BL1286" s="18" t="s">
        <v>230</v>
      </c>
      <c r="BM1286" s="185" t="s">
        <v>2524</v>
      </c>
    </row>
    <row r="1287" spans="1:65" s="2" customFormat="1" ht="10">
      <c r="A1287" s="35"/>
      <c r="B1287" s="36"/>
      <c r="C1287" s="37"/>
      <c r="D1287" s="187" t="s">
        <v>137</v>
      </c>
      <c r="E1287" s="37"/>
      <c r="F1287" s="188" t="s">
        <v>2525</v>
      </c>
      <c r="G1287" s="37"/>
      <c r="H1287" s="37"/>
      <c r="I1287" s="189"/>
      <c r="J1287" s="37"/>
      <c r="K1287" s="37"/>
      <c r="L1287" s="40"/>
      <c r="M1287" s="190"/>
      <c r="N1287" s="191"/>
      <c r="O1287" s="65"/>
      <c r="P1287" s="65"/>
      <c r="Q1287" s="65"/>
      <c r="R1287" s="65"/>
      <c r="S1287" s="65"/>
      <c r="T1287" s="66"/>
      <c r="U1287" s="35"/>
      <c r="V1287" s="35"/>
      <c r="W1287" s="35"/>
      <c r="X1287" s="35"/>
      <c r="Y1287" s="35"/>
      <c r="Z1287" s="35"/>
      <c r="AA1287" s="35"/>
      <c r="AB1287" s="35"/>
      <c r="AC1287" s="35"/>
      <c r="AD1287" s="35"/>
      <c r="AE1287" s="35"/>
      <c r="AT1287" s="18" t="s">
        <v>137</v>
      </c>
      <c r="AU1287" s="18" t="s">
        <v>82</v>
      </c>
    </row>
    <row r="1288" spans="1:65" s="13" customFormat="1" ht="10">
      <c r="B1288" s="192"/>
      <c r="C1288" s="193"/>
      <c r="D1288" s="194" t="s">
        <v>139</v>
      </c>
      <c r="E1288" s="195" t="s">
        <v>19</v>
      </c>
      <c r="F1288" s="196" t="s">
        <v>2526</v>
      </c>
      <c r="G1288" s="193"/>
      <c r="H1288" s="197">
        <v>2.4980000000000002</v>
      </c>
      <c r="I1288" s="198"/>
      <c r="J1288" s="193"/>
      <c r="K1288" s="193"/>
      <c r="L1288" s="199"/>
      <c r="M1288" s="200"/>
      <c r="N1288" s="201"/>
      <c r="O1288" s="201"/>
      <c r="P1288" s="201"/>
      <c r="Q1288" s="201"/>
      <c r="R1288" s="201"/>
      <c r="S1288" s="201"/>
      <c r="T1288" s="202"/>
      <c r="AT1288" s="203" t="s">
        <v>139</v>
      </c>
      <c r="AU1288" s="203" t="s">
        <v>82</v>
      </c>
      <c r="AV1288" s="13" t="s">
        <v>82</v>
      </c>
      <c r="AW1288" s="13" t="s">
        <v>34</v>
      </c>
      <c r="AX1288" s="13" t="s">
        <v>80</v>
      </c>
      <c r="AY1288" s="203" t="s">
        <v>128</v>
      </c>
    </row>
    <row r="1289" spans="1:65" s="2" customFormat="1" ht="16.5" customHeight="1">
      <c r="A1289" s="35"/>
      <c r="B1289" s="36"/>
      <c r="C1289" s="215" t="s">
        <v>2527</v>
      </c>
      <c r="D1289" s="215" t="s">
        <v>414</v>
      </c>
      <c r="E1289" s="216" t="s">
        <v>2528</v>
      </c>
      <c r="F1289" s="217" t="s">
        <v>2529</v>
      </c>
      <c r="G1289" s="218" t="s">
        <v>133</v>
      </c>
      <c r="H1289" s="219">
        <v>2.4980000000000002</v>
      </c>
      <c r="I1289" s="220"/>
      <c r="J1289" s="221">
        <f>ROUND(I1289*H1289,2)</f>
        <v>0</v>
      </c>
      <c r="K1289" s="217" t="s">
        <v>134</v>
      </c>
      <c r="L1289" s="222"/>
      <c r="M1289" s="223" t="s">
        <v>19</v>
      </c>
      <c r="N1289" s="224" t="s">
        <v>43</v>
      </c>
      <c r="O1289" s="65"/>
      <c r="P1289" s="183">
        <f>O1289*H1289</f>
        <v>0</v>
      </c>
      <c r="Q1289" s="183">
        <v>1.2999999999999999E-3</v>
      </c>
      <c r="R1289" s="183">
        <f>Q1289*H1289</f>
        <v>3.2474000000000001E-3</v>
      </c>
      <c r="S1289" s="183">
        <v>0</v>
      </c>
      <c r="T1289" s="184">
        <f>S1289*H1289</f>
        <v>0</v>
      </c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R1289" s="185" t="s">
        <v>334</v>
      </c>
      <c r="AT1289" s="185" t="s">
        <v>414</v>
      </c>
      <c r="AU1289" s="185" t="s">
        <v>82</v>
      </c>
      <c r="AY1289" s="18" t="s">
        <v>128</v>
      </c>
      <c r="BE1289" s="186">
        <f>IF(N1289="základní",J1289,0)</f>
        <v>0</v>
      </c>
      <c r="BF1289" s="186">
        <f>IF(N1289="snížená",J1289,0)</f>
        <v>0</v>
      </c>
      <c r="BG1289" s="186">
        <f>IF(N1289="zákl. přenesená",J1289,0)</f>
        <v>0</v>
      </c>
      <c r="BH1289" s="186">
        <f>IF(N1289="sníž. přenesená",J1289,0)</f>
        <v>0</v>
      </c>
      <c r="BI1289" s="186">
        <f>IF(N1289="nulová",J1289,0)</f>
        <v>0</v>
      </c>
      <c r="BJ1289" s="18" t="s">
        <v>80</v>
      </c>
      <c r="BK1289" s="186">
        <f>ROUND(I1289*H1289,2)</f>
        <v>0</v>
      </c>
      <c r="BL1289" s="18" t="s">
        <v>230</v>
      </c>
      <c r="BM1289" s="185" t="s">
        <v>2530</v>
      </c>
    </row>
    <row r="1290" spans="1:65" s="2" customFormat="1" ht="24.15" customHeight="1">
      <c r="A1290" s="35"/>
      <c r="B1290" s="36"/>
      <c r="C1290" s="174" t="s">
        <v>2531</v>
      </c>
      <c r="D1290" s="174" t="s">
        <v>130</v>
      </c>
      <c r="E1290" s="175" t="s">
        <v>2532</v>
      </c>
      <c r="F1290" s="176" t="s">
        <v>2533</v>
      </c>
      <c r="G1290" s="177" t="s">
        <v>426</v>
      </c>
      <c r="H1290" s="225"/>
      <c r="I1290" s="179"/>
      <c r="J1290" s="180">
        <f>ROUND(I1290*H1290,2)</f>
        <v>0</v>
      </c>
      <c r="K1290" s="176" t="s">
        <v>134</v>
      </c>
      <c r="L1290" s="40"/>
      <c r="M1290" s="181" t="s">
        <v>19</v>
      </c>
      <c r="N1290" s="182" t="s">
        <v>43</v>
      </c>
      <c r="O1290" s="65"/>
      <c r="P1290" s="183">
        <f>O1290*H1290</f>
        <v>0</v>
      </c>
      <c r="Q1290" s="183">
        <v>0</v>
      </c>
      <c r="R1290" s="183">
        <f>Q1290*H1290</f>
        <v>0</v>
      </c>
      <c r="S1290" s="183">
        <v>0</v>
      </c>
      <c r="T1290" s="184">
        <f>S1290*H1290</f>
        <v>0</v>
      </c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R1290" s="185" t="s">
        <v>230</v>
      </c>
      <c r="AT1290" s="185" t="s">
        <v>130</v>
      </c>
      <c r="AU1290" s="185" t="s">
        <v>82</v>
      </c>
      <c r="AY1290" s="18" t="s">
        <v>128</v>
      </c>
      <c r="BE1290" s="186">
        <f>IF(N1290="základní",J1290,0)</f>
        <v>0</v>
      </c>
      <c r="BF1290" s="186">
        <f>IF(N1290="snížená",J1290,0)</f>
        <v>0</v>
      </c>
      <c r="BG1290" s="186">
        <f>IF(N1290="zákl. přenesená",J1290,0)</f>
        <v>0</v>
      </c>
      <c r="BH1290" s="186">
        <f>IF(N1290="sníž. přenesená",J1290,0)</f>
        <v>0</v>
      </c>
      <c r="BI1290" s="186">
        <f>IF(N1290="nulová",J1290,0)</f>
        <v>0</v>
      </c>
      <c r="BJ1290" s="18" t="s">
        <v>80</v>
      </c>
      <c r="BK1290" s="186">
        <f>ROUND(I1290*H1290,2)</f>
        <v>0</v>
      </c>
      <c r="BL1290" s="18" t="s">
        <v>230</v>
      </c>
      <c r="BM1290" s="185" t="s">
        <v>2534</v>
      </c>
    </row>
    <row r="1291" spans="1:65" s="2" customFormat="1" ht="10">
      <c r="A1291" s="35"/>
      <c r="B1291" s="36"/>
      <c r="C1291" s="37"/>
      <c r="D1291" s="187" t="s">
        <v>137</v>
      </c>
      <c r="E1291" s="37"/>
      <c r="F1291" s="188" t="s">
        <v>2535</v>
      </c>
      <c r="G1291" s="37"/>
      <c r="H1291" s="37"/>
      <c r="I1291" s="189"/>
      <c r="J1291" s="37"/>
      <c r="K1291" s="37"/>
      <c r="L1291" s="40"/>
      <c r="M1291" s="190"/>
      <c r="N1291" s="191"/>
      <c r="O1291" s="65"/>
      <c r="P1291" s="65"/>
      <c r="Q1291" s="65"/>
      <c r="R1291" s="65"/>
      <c r="S1291" s="65"/>
      <c r="T1291" s="66"/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T1291" s="18" t="s">
        <v>137</v>
      </c>
      <c r="AU1291" s="18" t="s">
        <v>82</v>
      </c>
    </row>
    <row r="1292" spans="1:65" s="12" customFormat="1" ht="25.9" customHeight="1">
      <c r="B1292" s="158"/>
      <c r="C1292" s="159"/>
      <c r="D1292" s="160" t="s">
        <v>71</v>
      </c>
      <c r="E1292" s="161" t="s">
        <v>2536</v>
      </c>
      <c r="F1292" s="161" t="s">
        <v>2537</v>
      </c>
      <c r="G1292" s="159"/>
      <c r="H1292" s="159"/>
      <c r="I1292" s="162"/>
      <c r="J1292" s="163">
        <f>BK1292</f>
        <v>0</v>
      </c>
      <c r="K1292" s="159"/>
      <c r="L1292" s="164"/>
      <c r="M1292" s="165"/>
      <c r="N1292" s="166"/>
      <c r="O1292" s="166"/>
      <c r="P1292" s="167">
        <f>SUM(P1293:P1295)</f>
        <v>0</v>
      </c>
      <c r="Q1292" s="166"/>
      <c r="R1292" s="167">
        <f>SUM(R1293:R1295)</f>
        <v>0</v>
      </c>
      <c r="S1292" s="166"/>
      <c r="T1292" s="168">
        <f>SUM(T1293:T1295)</f>
        <v>0</v>
      </c>
      <c r="AR1292" s="169" t="s">
        <v>135</v>
      </c>
      <c r="AT1292" s="170" t="s">
        <v>71</v>
      </c>
      <c r="AU1292" s="170" t="s">
        <v>72</v>
      </c>
      <c r="AY1292" s="169" t="s">
        <v>128</v>
      </c>
      <c r="BK1292" s="171">
        <f>SUM(BK1293:BK1295)</f>
        <v>0</v>
      </c>
    </row>
    <row r="1293" spans="1:65" s="2" customFormat="1" ht="24.15" customHeight="1">
      <c r="A1293" s="35"/>
      <c r="B1293" s="36"/>
      <c r="C1293" s="174" t="s">
        <v>2538</v>
      </c>
      <c r="D1293" s="174" t="s">
        <v>130</v>
      </c>
      <c r="E1293" s="175" t="s">
        <v>2539</v>
      </c>
      <c r="F1293" s="176" t="s">
        <v>2540</v>
      </c>
      <c r="G1293" s="177" t="s">
        <v>1014</v>
      </c>
      <c r="H1293" s="178">
        <v>300</v>
      </c>
      <c r="I1293" s="179"/>
      <c r="J1293" s="180">
        <f>ROUND(I1293*H1293,2)</f>
        <v>0</v>
      </c>
      <c r="K1293" s="176" t="s">
        <v>134</v>
      </c>
      <c r="L1293" s="40"/>
      <c r="M1293" s="181" t="s">
        <v>19</v>
      </c>
      <c r="N1293" s="182" t="s">
        <v>43</v>
      </c>
      <c r="O1293" s="65"/>
      <c r="P1293" s="183">
        <f>O1293*H1293</f>
        <v>0</v>
      </c>
      <c r="Q1293" s="183">
        <v>0</v>
      </c>
      <c r="R1293" s="183">
        <f>Q1293*H1293</f>
        <v>0</v>
      </c>
      <c r="S1293" s="183">
        <v>0</v>
      </c>
      <c r="T1293" s="184">
        <f>S1293*H1293</f>
        <v>0</v>
      </c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R1293" s="185" t="s">
        <v>2541</v>
      </c>
      <c r="AT1293" s="185" t="s">
        <v>130</v>
      </c>
      <c r="AU1293" s="185" t="s">
        <v>80</v>
      </c>
      <c r="AY1293" s="18" t="s">
        <v>128</v>
      </c>
      <c r="BE1293" s="186">
        <f>IF(N1293="základní",J1293,0)</f>
        <v>0</v>
      </c>
      <c r="BF1293" s="186">
        <f>IF(N1293="snížená",J1293,0)</f>
        <v>0</v>
      </c>
      <c r="BG1293" s="186">
        <f>IF(N1293="zákl. přenesená",J1293,0)</f>
        <v>0</v>
      </c>
      <c r="BH1293" s="186">
        <f>IF(N1293="sníž. přenesená",J1293,0)</f>
        <v>0</v>
      </c>
      <c r="BI1293" s="186">
        <f>IF(N1293="nulová",J1293,0)</f>
        <v>0</v>
      </c>
      <c r="BJ1293" s="18" t="s">
        <v>80</v>
      </c>
      <c r="BK1293" s="186">
        <f>ROUND(I1293*H1293,2)</f>
        <v>0</v>
      </c>
      <c r="BL1293" s="18" t="s">
        <v>2541</v>
      </c>
      <c r="BM1293" s="185" t="s">
        <v>2542</v>
      </c>
    </row>
    <row r="1294" spans="1:65" s="2" customFormat="1" ht="10">
      <c r="A1294" s="35"/>
      <c r="B1294" s="36"/>
      <c r="C1294" s="37"/>
      <c r="D1294" s="187" t="s">
        <v>137</v>
      </c>
      <c r="E1294" s="37"/>
      <c r="F1294" s="188" t="s">
        <v>2543</v>
      </c>
      <c r="G1294" s="37"/>
      <c r="H1294" s="37"/>
      <c r="I1294" s="189"/>
      <c r="J1294" s="37"/>
      <c r="K1294" s="37"/>
      <c r="L1294" s="40"/>
      <c r="M1294" s="190"/>
      <c r="N1294" s="191"/>
      <c r="O1294" s="65"/>
      <c r="P1294" s="65"/>
      <c r="Q1294" s="65"/>
      <c r="R1294" s="65"/>
      <c r="S1294" s="65"/>
      <c r="T1294" s="66"/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T1294" s="18" t="s">
        <v>137</v>
      </c>
      <c r="AU1294" s="18" t="s">
        <v>80</v>
      </c>
    </row>
    <row r="1295" spans="1:65" s="13" customFormat="1" ht="10">
      <c r="B1295" s="192"/>
      <c r="C1295" s="193"/>
      <c r="D1295" s="194" t="s">
        <v>139</v>
      </c>
      <c r="E1295" s="195" t="s">
        <v>19</v>
      </c>
      <c r="F1295" s="196" t="s">
        <v>2544</v>
      </c>
      <c r="G1295" s="193"/>
      <c r="H1295" s="197">
        <v>300</v>
      </c>
      <c r="I1295" s="198"/>
      <c r="J1295" s="193"/>
      <c r="K1295" s="193"/>
      <c r="L1295" s="199"/>
      <c r="M1295" s="200"/>
      <c r="N1295" s="201"/>
      <c r="O1295" s="201"/>
      <c r="P1295" s="201"/>
      <c r="Q1295" s="201"/>
      <c r="R1295" s="201"/>
      <c r="S1295" s="201"/>
      <c r="T1295" s="202"/>
      <c r="AT1295" s="203" t="s">
        <v>139</v>
      </c>
      <c r="AU1295" s="203" t="s">
        <v>80</v>
      </c>
      <c r="AV1295" s="13" t="s">
        <v>82</v>
      </c>
      <c r="AW1295" s="13" t="s">
        <v>34</v>
      </c>
      <c r="AX1295" s="13" t="s">
        <v>80</v>
      </c>
      <c r="AY1295" s="203" t="s">
        <v>128</v>
      </c>
    </row>
    <row r="1296" spans="1:65" s="12" customFormat="1" ht="25.9" customHeight="1">
      <c r="B1296" s="158"/>
      <c r="C1296" s="159"/>
      <c r="D1296" s="160" t="s">
        <v>71</v>
      </c>
      <c r="E1296" s="161" t="s">
        <v>2545</v>
      </c>
      <c r="F1296" s="161" t="s">
        <v>2546</v>
      </c>
      <c r="G1296" s="159"/>
      <c r="H1296" s="159"/>
      <c r="I1296" s="162"/>
      <c r="J1296" s="163">
        <f>BK1296</f>
        <v>0</v>
      </c>
      <c r="K1296" s="159"/>
      <c r="L1296" s="164"/>
      <c r="M1296" s="165"/>
      <c r="N1296" s="166"/>
      <c r="O1296" s="166"/>
      <c r="P1296" s="167">
        <f>SUM(P1297:P1300)</f>
        <v>0</v>
      </c>
      <c r="Q1296" s="166"/>
      <c r="R1296" s="167">
        <f>SUM(R1297:R1300)</f>
        <v>0</v>
      </c>
      <c r="S1296" s="166"/>
      <c r="T1296" s="168">
        <f>SUM(T1297:T1300)</f>
        <v>0</v>
      </c>
      <c r="AR1296" s="169" t="s">
        <v>135</v>
      </c>
      <c r="AT1296" s="170" t="s">
        <v>71</v>
      </c>
      <c r="AU1296" s="170" t="s">
        <v>72</v>
      </c>
      <c r="AY1296" s="169" t="s">
        <v>128</v>
      </c>
      <c r="BK1296" s="171">
        <f>SUM(BK1297:BK1300)</f>
        <v>0</v>
      </c>
    </row>
    <row r="1297" spans="1:65" s="2" customFormat="1" ht="16.5" customHeight="1">
      <c r="A1297" s="35"/>
      <c r="B1297" s="36"/>
      <c r="C1297" s="174" t="s">
        <v>2547</v>
      </c>
      <c r="D1297" s="174" t="s">
        <v>130</v>
      </c>
      <c r="E1297" s="175" t="s">
        <v>2548</v>
      </c>
      <c r="F1297" s="176" t="s">
        <v>2549</v>
      </c>
      <c r="G1297" s="177" t="s">
        <v>192</v>
      </c>
      <c r="H1297" s="178">
        <v>1</v>
      </c>
      <c r="I1297" s="179"/>
      <c r="J1297" s="180">
        <f>ROUND(I1297*H1297,2)</f>
        <v>0</v>
      </c>
      <c r="K1297" s="176" t="s">
        <v>19</v>
      </c>
      <c r="L1297" s="40"/>
      <c r="M1297" s="181" t="s">
        <v>19</v>
      </c>
      <c r="N1297" s="182" t="s">
        <v>43</v>
      </c>
      <c r="O1297" s="65"/>
      <c r="P1297" s="183">
        <f>O1297*H1297</f>
        <v>0</v>
      </c>
      <c r="Q1297" s="183">
        <v>0</v>
      </c>
      <c r="R1297" s="183">
        <f>Q1297*H1297</f>
        <v>0</v>
      </c>
      <c r="S1297" s="183">
        <v>0</v>
      </c>
      <c r="T1297" s="184">
        <f>S1297*H1297</f>
        <v>0</v>
      </c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R1297" s="185" t="s">
        <v>2541</v>
      </c>
      <c r="AT1297" s="185" t="s">
        <v>130</v>
      </c>
      <c r="AU1297" s="185" t="s">
        <v>80</v>
      </c>
      <c r="AY1297" s="18" t="s">
        <v>128</v>
      </c>
      <c r="BE1297" s="186">
        <f>IF(N1297="základní",J1297,0)</f>
        <v>0</v>
      </c>
      <c r="BF1297" s="186">
        <f>IF(N1297="snížená",J1297,0)</f>
        <v>0</v>
      </c>
      <c r="BG1297" s="186">
        <f>IF(N1297="zákl. přenesená",J1297,0)</f>
        <v>0</v>
      </c>
      <c r="BH1297" s="186">
        <f>IF(N1297="sníž. přenesená",J1297,0)</f>
        <v>0</v>
      </c>
      <c r="BI1297" s="186">
        <f>IF(N1297="nulová",J1297,0)</f>
        <v>0</v>
      </c>
      <c r="BJ1297" s="18" t="s">
        <v>80</v>
      </c>
      <c r="BK1297" s="186">
        <f>ROUND(I1297*H1297,2)</f>
        <v>0</v>
      </c>
      <c r="BL1297" s="18" t="s">
        <v>2541</v>
      </c>
      <c r="BM1297" s="185" t="s">
        <v>2550</v>
      </c>
    </row>
    <row r="1298" spans="1:65" s="2" customFormat="1" ht="16.5" customHeight="1">
      <c r="A1298" s="35"/>
      <c r="B1298" s="36"/>
      <c r="C1298" s="174" t="s">
        <v>2551</v>
      </c>
      <c r="D1298" s="174" t="s">
        <v>130</v>
      </c>
      <c r="E1298" s="175" t="s">
        <v>2552</v>
      </c>
      <c r="F1298" s="176" t="s">
        <v>2553</v>
      </c>
      <c r="G1298" s="177" t="s">
        <v>192</v>
      </c>
      <c r="H1298" s="178">
        <v>1</v>
      </c>
      <c r="I1298" s="179"/>
      <c r="J1298" s="180">
        <f>ROUND(I1298*H1298,2)</f>
        <v>0</v>
      </c>
      <c r="K1298" s="176" t="s">
        <v>19</v>
      </c>
      <c r="L1298" s="40"/>
      <c r="M1298" s="181" t="s">
        <v>19</v>
      </c>
      <c r="N1298" s="182" t="s">
        <v>43</v>
      </c>
      <c r="O1298" s="65"/>
      <c r="P1298" s="183">
        <f>O1298*H1298</f>
        <v>0</v>
      </c>
      <c r="Q1298" s="183">
        <v>0</v>
      </c>
      <c r="R1298" s="183">
        <f>Q1298*H1298</f>
        <v>0</v>
      </c>
      <c r="S1298" s="183">
        <v>0</v>
      </c>
      <c r="T1298" s="184">
        <f>S1298*H1298</f>
        <v>0</v>
      </c>
      <c r="U1298" s="35"/>
      <c r="V1298" s="35"/>
      <c r="W1298" s="35"/>
      <c r="X1298" s="35"/>
      <c r="Y1298" s="35"/>
      <c r="Z1298" s="35"/>
      <c r="AA1298" s="35"/>
      <c r="AB1298" s="35"/>
      <c r="AC1298" s="35"/>
      <c r="AD1298" s="35"/>
      <c r="AE1298" s="35"/>
      <c r="AR1298" s="185" t="s">
        <v>2541</v>
      </c>
      <c r="AT1298" s="185" t="s">
        <v>130</v>
      </c>
      <c r="AU1298" s="185" t="s">
        <v>80</v>
      </c>
      <c r="AY1298" s="18" t="s">
        <v>128</v>
      </c>
      <c r="BE1298" s="186">
        <f>IF(N1298="základní",J1298,0)</f>
        <v>0</v>
      </c>
      <c r="BF1298" s="186">
        <f>IF(N1298="snížená",J1298,0)</f>
        <v>0</v>
      </c>
      <c r="BG1298" s="186">
        <f>IF(N1298="zákl. přenesená",J1298,0)</f>
        <v>0</v>
      </c>
      <c r="BH1298" s="186">
        <f>IF(N1298="sníž. přenesená",J1298,0)</f>
        <v>0</v>
      </c>
      <c r="BI1298" s="186">
        <f>IF(N1298="nulová",J1298,0)</f>
        <v>0</v>
      </c>
      <c r="BJ1298" s="18" t="s">
        <v>80</v>
      </c>
      <c r="BK1298" s="186">
        <f>ROUND(I1298*H1298,2)</f>
        <v>0</v>
      </c>
      <c r="BL1298" s="18" t="s">
        <v>2541</v>
      </c>
      <c r="BM1298" s="185" t="s">
        <v>2554</v>
      </c>
    </row>
    <row r="1299" spans="1:65" s="2" customFormat="1" ht="16.5" customHeight="1">
      <c r="A1299" s="35"/>
      <c r="B1299" s="36"/>
      <c r="C1299" s="174" t="s">
        <v>2555</v>
      </c>
      <c r="D1299" s="174" t="s">
        <v>130</v>
      </c>
      <c r="E1299" s="175" t="s">
        <v>2556</v>
      </c>
      <c r="F1299" s="176" t="s">
        <v>2557</v>
      </c>
      <c r="G1299" s="177" t="s">
        <v>192</v>
      </c>
      <c r="H1299" s="178">
        <v>1</v>
      </c>
      <c r="I1299" s="179"/>
      <c r="J1299" s="180">
        <f>ROUND(I1299*H1299,2)</f>
        <v>0</v>
      </c>
      <c r="K1299" s="176" t="s">
        <v>19</v>
      </c>
      <c r="L1299" s="40"/>
      <c r="M1299" s="181" t="s">
        <v>19</v>
      </c>
      <c r="N1299" s="182" t="s">
        <v>43</v>
      </c>
      <c r="O1299" s="65"/>
      <c r="P1299" s="183">
        <f>O1299*H1299</f>
        <v>0</v>
      </c>
      <c r="Q1299" s="183">
        <v>0</v>
      </c>
      <c r="R1299" s="183">
        <f>Q1299*H1299</f>
        <v>0</v>
      </c>
      <c r="S1299" s="183">
        <v>0</v>
      </c>
      <c r="T1299" s="184">
        <f>S1299*H1299</f>
        <v>0</v>
      </c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R1299" s="185" t="s">
        <v>2541</v>
      </c>
      <c r="AT1299" s="185" t="s">
        <v>130</v>
      </c>
      <c r="AU1299" s="185" t="s">
        <v>80</v>
      </c>
      <c r="AY1299" s="18" t="s">
        <v>128</v>
      </c>
      <c r="BE1299" s="186">
        <f>IF(N1299="základní",J1299,0)</f>
        <v>0</v>
      </c>
      <c r="BF1299" s="186">
        <f>IF(N1299="snížená",J1299,0)</f>
        <v>0</v>
      </c>
      <c r="BG1299" s="186">
        <f>IF(N1299="zákl. přenesená",J1299,0)</f>
        <v>0</v>
      </c>
      <c r="BH1299" s="186">
        <f>IF(N1299="sníž. přenesená",J1299,0)</f>
        <v>0</v>
      </c>
      <c r="BI1299" s="186">
        <f>IF(N1299="nulová",J1299,0)</f>
        <v>0</v>
      </c>
      <c r="BJ1299" s="18" t="s">
        <v>80</v>
      </c>
      <c r="BK1299" s="186">
        <f>ROUND(I1299*H1299,2)</f>
        <v>0</v>
      </c>
      <c r="BL1299" s="18" t="s">
        <v>2541</v>
      </c>
      <c r="BM1299" s="185" t="s">
        <v>2558</v>
      </c>
    </row>
    <row r="1300" spans="1:65" s="2" customFormat="1" ht="16.5" customHeight="1">
      <c r="A1300" s="35"/>
      <c r="B1300" s="36"/>
      <c r="C1300" s="174" t="s">
        <v>2559</v>
      </c>
      <c r="D1300" s="174" t="s">
        <v>130</v>
      </c>
      <c r="E1300" s="175" t="s">
        <v>2560</v>
      </c>
      <c r="F1300" s="176" t="s">
        <v>2561</v>
      </c>
      <c r="G1300" s="177" t="s">
        <v>192</v>
      </c>
      <c r="H1300" s="178">
        <v>1</v>
      </c>
      <c r="I1300" s="179"/>
      <c r="J1300" s="180">
        <f>ROUND(I1300*H1300,2)</f>
        <v>0</v>
      </c>
      <c r="K1300" s="176" t="s">
        <v>19</v>
      </c>
      <c r="L1300" s="40"/>
      <c r="M1300" s="240" t="s">
        <v>19</v>
      </c>
      <c r="N1300" s="241" t="s">
        <v>43</v>
      </c>
      <c r="O1300" s="228"/>
      <c r="P1300" s="242">
        <f>O1300*H1300</f>
        <v>0</v>
      </c>
      <c r="Q1300" s="242">
        <v>0</v>
      </c>
      <c r="R1300" s="242">
        <f>Q1300*H1300</f>
        <v>0</v>
      </c>
      <c r="S1300" s="242">
        <v>0</v>
      </c>
      <c r="T1300" s="243">
        <f>S1300*H1300</f>
        <v>0</v>
      </c>
      <c r="U1300" s="35"/>
      <c r="V1300" s="35"/>
      <c r="W1300" s="35"/>
      <c r="X1300" s="35"/>
      <c r="Y1300" s="35"/>
      <c r="Z1300" s="35"/>
      <c r="AA1300" s="35"/>
      <c r="AB1300" s="35"/>
      <c r="AC1300" s="35"/>
      <c r="AD1300" s="35"/>
      <c r="AE1300" s="35"/>
      <c r="AR1300" s="185" t="s">
        <v>2541</v>
      </c>
      <c r="AT1300" s="185" t="s">
        <v>130</v>
      </c>
      <c r="AU1300" s="185" t="s">
        <v>80</v>
      </c>
      <c r="AY1300" s="18" t="s">
        <v>128</v>
      </c>
      <c r="BE1300" s="186">
        <f>IF(N1300="základní",J1300,0)</f>
        <v>0</v>
      </c>
      <c r="BF1300" s="186">
        <f>IF(N1300="snížená",J1300,0)</f>
        <v>0</v>
      </c>
      <c r="BG1300" s="186">
        <f>IF(N1300="zákl. přenesená",J1300,0)</f>
        <v>0</v>
      </c>
      <c r="BH1300" s="186">
        <f>IF(N1300="sníž. přenesená",J1300,0)</f>
        <v>0</v>
      </c>
      <c r="BI1300" s="186">
        <f>IF(N1300="nulová",J1300,0)</f>
        <v>0</v>
      </c>
      <c r="BJ1300" s="18" t="s">
        <v>80</v>
      </c>
      <c r="BK1300" s="186">
        <f>ROUND(I1300*H1300,2)</f>
        <v>0</v>
      </c>
      <c r="BL1300" s="18" t="s">
        <v>2541</v>
      </c>
      <c r="BM1300" s="185" t="s">
        <v>2562</v>
      </c>
    </row>
    <row r="1301" spans="1:65" s="2" customFormat="1" ht="7" customHeight="1">
      <c r="A1301" s="35"/>
      <c r="B1301" s="48"/>
      <c r="C1301" s="49"/>
      <c r="D1301" s="49"/>
      <c r="E1301" s="49"/>
      <c r="F1301" s="49"/>
      <c r="G1301" s="49"/>
      <c r="H1301" s="49"/>
      <c r="I1301" s="49"/>
      <c r="J1301" s="49"/>
      <c r="K1301" s="49"/>
      <c r="L1301" s="40"/>
      <c r="M1301" s="35"/>
      <c r="O1301" s="35"/>
      <c r="P1301" s="35"/>
      <c r="Q1301" s="35"/>
      <c r="R1301" s="35"/>
      <c r="S1301" s="35"/>
      <c r="T1301" s="35"/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</row>
  </sheetData>
  <sheetProtection algorithmName="SHA-512" hashValue="xakqlbjb8OZnYPltiDmjveKn19HiBWxrmEkrMyVNYD/srPEbrAJ3cX1bufoU2K8GaQjApmNXkXpFw7uN1HvKeA==" saltValue="BvIPcINVja41216JORAey59zF4s3JOepO9kCdlc0mgQeyqzdpucbv+Heg5LaPRIvee0frbWKyY35T3y5XLGiPQ==" spinCount="100000" sheet="1" objects="1" scenarios="1" formatColumns="0" formatRows="0" autoFilter="0"/>
  <autoFilter ref="C110:K1300" xr:uid="{00000000-0009-0000-0000-000002000000}"/>
  <mergeCells count="9">
    <mergeCell ref="E50:H50"/>
    <mergeCell ref="E101:H101"/>
    <mergeCell ref="E103:H103"/>
    <mergeCell ref="L2:V2"/>
    <mergeCell ref="E7:H7"/>
    <mergeCell ref="E9:H9"/>
    <mergeCell ref="E18:H18"/>
    <mergeCell ref="E27:H27"/>
    <mergeCell ref="E48:H48"/>
  </mergeCells>
  <hyperlinks>
    <hyperlink ref="F115" r:id="rId1" xr:uid="{00000000-0004-0000-0200-000000000000}"/>
    <hyperlink ref="F118" r:id="rId2" xr:uid="{00000000-0004-0000-0200-000001000000}"/>
    <hyperlink ref="F121" r:id="rId3" xr:uid="{00000000-0004-0000-0200-000002000000}"/>
    <hyperlink ref="F124" r:id="rId4" xr:uid="{00000000-0004-0000-0200-000003000000}"/>
    <hyperlink ref="F126" r:id="rId5" xr:uid="{00000000-0004-0000-0200-000004000000}"/>
    <hyperlink ref="F130" r:id="rId6" xr:uid="{00000000-0004-0000-0200-000005000000}"/>
    <hyperlink ref="F135" r:id="rId7" xr:uid="{00000000-0004-0000-0200-000006000000}"/>
    <hyperlink ref="F138" r:id="rId8" xr:uid="{00000000-0004-0000-0200-000007000000}"/>
    <hyperlink ref="F140" r:id="rId9" xr:uid="{00000000-0004-0000-0200-000008000000}"/>
    <hyperlink ref="F147" r:id="rId10" xr:uid="{00000000-0004-0000-0200-000009000000}"/>
    <hyperlink ref="F150" r:id="rId11" xr:uid="{00000000-0004-0000-0200-00000A000000}"/>
    <hyperlink ref="F153" r:id="rId12" xr:uid="{00000000-0004-0000-0200-00000B000000}"/>
    <hyperlink ref="F156" r:id="rId13" xr:uid="{00000000-0004-0000-0200-00000C000000}"/>
    <hyperlink ref="F159" r:id="rId14" xr:uid="{00000000-0004-0000-0200-00000D000000}"/>
    <hyperlink ref="F165" r:id="rId15" xr:uid="{00000000-0004-0000-0200-00000E000000}"/>
    <hyperlink ref="F170" r:id="rId16" xr:uid="{00000000-0004-0000-0200-00000F000000}"/>
    <hyperlink ref="F173" r:id="rId17" xr:uid="{00000000-0004-0000-0200-000010000000}"/>
    <hyperlink ref="F179" r:id="rId18" xr:uid="{00000000-0004-0000-0200-000011000000}"/>
    <hyperlink ref="F185" r:id="rId19" xr:uid="{00000000-0004-0000-0200-000012000000}"/>
    <hyperlink ref="F200" r:id="rId20" xr:uid="{00000000-0004-0000-0200-000013000000}"/>
    <hyperlink ref="F206" r:id="rId21" xr:uid="{00000000-0004-0000-0200-000014000000}"/>
    <hyperlink ref="F212" r:id="rId22" xr:uid="{00000000-0004-0000-0200-000015000000}"/>
    <hyperlink ref="F214" r:id="rId23" xr:uid="{00000000-0004-0000-0200-000016000000}"/>
    <hyperlink ref="F221" r:id="rId24" xr:uid="{00000000-0004-0000-0200-000017000000}"/>
    <hyperlink ref="F224" r:id="rId25" xr:uid="{00000000-0004-0000-0200-000018000000}"/>
    <hyperlink ref="F228" r:id="rId26" xr:uid="{00000000-0004-0000-0200-000019000000}"/>
    <hyperlink ref="F231" r:id="rId27" xr:uid="{00000000-0004-0000-0200-00001A000000}"/>
    <hyperlink ref="F234" r:id="rId28" xr:uid="{00000000-0004-0000-0200-00001B000000}"/>
    <hyperlink ref="F237" r:id="rId29" xr:uid="{00000000-0004-0000-0200-00001C000000}"/>
    <hyperlink ref="F243" r:id="rId30" xr:uid="{00000000-0004-0000-0200-00001D000000}"/>
    <hyperlink ref="F251" r:id="rId31" xr:uid="{00000000-0004-0000-0200-00001E000000}"/>
    <hyperlink ref="F259" r:id="rId32" xr:uid="{00000000-0004-0000-0200-00001F000000}"/>
    <hyperlink ref="F262" r:id="rId33" xr:uid="{00000000-0004-0000-0200-000020000000}"/>
    <hyperlink ref="F265" r:id="rId34" xr:uid="{00000000-0004-0000-0200-000021000000}"/>
    <hyperlink ref="F268" r:id="rId35" xr:uid="{00000000-0004-0000-0200-000022000000}"/>
    <hyperlink ref="F271" r:id="rId36" xr:uid="{00000000-0004-0000-0200-000023000000}"/>
    <hyperlink ref="F276" r:id="rId37" xr:uid="{00000000-0004-0000-0200-000024000000}"/>
    <hyperlink ref="F279" r:id="rId38" xr:uid="{00000000-0004-0000-0200-000025000000}"/>
    <hyperlink ref="F285" r:id="rId39" xr:uid="{00000000-0004-0000-0200-000026000000}"/>
    <hyperlink ref="F290" r:id="rId40" xr:uid="{00000000-0004-0000-0200-000027000000}"/>
    <hyperlink ref="F295" r:id="rId41" xr:uid="{00000000-0004-0000-0200-000028000000}"/>
    <hyperlink ref="F306" r:id="rId42" xr:uid="{00000000-0004-0000-0200-000029000000}"/>
    <hyperlink ref="F311" r:id="rId43" xr:uid="{00000000-0004-0000-0200-00002A000000}"/>
    <hyperlink ref="F322" r:id="rId44" xr:uid="{00000000-0004-0000-0200-00002B000000}"/>
    <hyperlink ref="F325" r:id="rId45" xr:uid="{00000000-0004-0000-0200-00002C000000}"/>
    <hyperlink ref="F330" r:id="rId46" xr:uid="{00000000-0004-0000-0200-00002D000000}"/>
    <hyperlink ref="F333" r:id="rId47" xr:uid="{00000000-0004-0000-0200-00002E000000}"/>
    <hyperlink ref="F336" r:id="rId48" xr:uid="{00000000-0004-0000-0200-00002F000000}"/>
    <hyperlink ref="F339" r:id="rId49" xr:uid="{00000000-0004-0000-0200-000030000000}"/>
    <hyperlink ref="F344" r:id="rId50" xr:uid="{00000000-0004-0000-0200-000031000000}"/>
    <hyperlink ref="F349" r:id="rId51" xr:uid="{00000000-0004-0000-0200-000032000000}"/>
    <hyperlink ref="F355" r:id="rId52" xr:uid="{00000000-0004-0000-0200-000033000000}"/>
    <hyperlink ref="F361" r:id="rId53" xr:uid="{00000000-0004-0000-0200-000034000000}"/>
    <hyperlink ref="F364" r:id="rId54" xr:uid="{00000000-0004-0000-0200-000035000000}"/>
    <hyperlink ref="F367" r:id="rId55" xr:uid="{00000000-0004-0000-0200-000036000000}"/>
    <hyperlink ref="F372" r:id="rId56" xr:uid="{00000000-0004-0000-0200-000037000000}"/>
    <hyperlink ref="F374" r:id="rId57" xr:uid="{00000000-0004-0000-0200-000038000000}"/>
    <hyperlink ref="F376" r:id="rId58" xr:uid="{00000000-0004-0000-0200-000039000000}"/>
    <hyperlink ref="F379" r:id="rId59" xr:uid="{00000000-0004-0000-0200-00003A000000}"/>
    <hyperlink ref="F382" r:id="rId60" xr:uid="{00000000-0004-0000-0200-00003B000000}"/>
    <hyperlink ref="F384" r:id="rId61" xr:uid="{00000000-0004-0000-0200-00003C000000}"/>
    <hyperlink ref="F387" r:id="rId62" xr:uid="{00000000-0004-0000-0200-00003D000000}"/>
    <hyperlink ref="F390" r:id="rId63" xr:uid="{00000000-0004-0000-0200-00003E000000}"/>
    <hyperlink ref="F393" r:id="rId64" xr:uid="{00000000-0004-0000-0200-00003F000000}"/>
    <hyperlink ref="F396" r:id="rId65" xr:uid="{00000000-0004-0000-0200-000040000000}"/>
    <hyperlink ref="F399" r:id="rId66" xr:uid="{00000000-0004-0000-0200-000041000000}"/>
    <hyperlink ref="F402" r:id="rId67" xr:uid="{00000000-0004-0000-0200-000042000000}"/>
    <hyperlink ref="F407" r:id="rId68" xr:uid="{00000000-0004-0000-0200-000043000000}"/>
    <hyperlink ref="F409" r:id="rId69" xr:uid="{00000000-0004-0000-0200-000044000000}"/>
    <hyperlink ref="F411" r:id="rId70" xr:uid="{00000000-0004-0000-0200-000045000000}"/>
    <hyperlink ref="F414" r:id="rId71" xr:uid="{00000000-0004-0000-0200-000046000000}"/>
    <hyperlink ref="F417" r:id="rId72" xr:uid="{00000000-0004-0000-0200-000047000000}"/>
    <hyperlink ref="F421" r:id="rId73" xr:uid="{00000000-0004-0000-0200-000048000000}"/>
    <hyperlink ref="F426" r:id="rId74" xr:uid="{00000000-0004-0000-0200-000049000000}"/>
    <hyperlink ref="F431" r:id="rId75" xr:uid="{00000000-0004-0000-0200-00004A000000}"/>
    <hyperlink ref="F434" r:id="rId76" xr:uid="{00000000-0004-0000-0200-00004B000000}"/>
    <hyperlink ref="F439" r:id="rId77" xr:uid="{00000000-0004-0000-0200-00004C000000}"/>
    <hyperlink ref="F446" r:id="rId78" xr:uid="{00000000-0004-0000-0200-00004D000000}"/>
    <hyperlink ref="F451" r:id="rId79" xr:uid="{00000000-0004-0000-0200-00004E000000}"/>
    <hyperlink ref="F456" r:id="rId80" xr:uid="{00000000-0004-0000-0200-00004F000000}"/>
    <hyperlink ref="F479" r:id="rId81" xr:uid="{00000000-0004-0000-0200-000050000000}"/>
    <hyperlink ref="F486" r:id="rId82" xr:uid="{00000000-0004-0000-0200-000051000000}"/>
    <hyperlink ref="F505" r:id="rId83" xr:uid="{00000000-0004-0000-0200-000052000000}"/>
    <hyperlink ref="F512" r:id="rId84" xr:uid="{00000000-0004-0000-0200-000053000000}"/>
    <hyperlink ref="F520" r:id="rId85" xr:uid="{00000000-0004-0000-0200-000054000000}"/>
    <hyperlink ref="F530" r:id="rId86" xr:uid="{00000000-0004-0000-0200-000055000000}"/>
    <hyperlink ref="F536" r:id="rId87" xr:uid="{00000000-0004-0000-0200-000056000000}"/>
    <hyperlink ref="F542" r:id="rId88" xr:uid="{00000000-0004-0000-0200-000057000000}"/>
    <hyperlink ref="F548" r:id="rId89" xr:uid="{00000000-0004-0000-0200-000058000000}"/>
    <hyperlink ref="F554" r:id="rId90" xr:uid="{00000000-0004-0000-0200-000059000000}"/>
    <hyperlink ref="F557" r:id="rId91" xr:uid="{00000000-0004-0000-0200-00005A000000}"/>
    <hyperlink ref="F564" r:id="rId92" xr:uid="{00000000-0004-0000-0200-00005B000000}"/>
    <hyperlink ref="F570" r:id="rId93" xr:uid="{00000000-0004-0000-0200-00005C000000}"/>
    <hyperlink ref="F575" r:id="rId94" xr:uid="{00000000-0004-0000-0200-00005D000000}"/>
    <hyperlink ref="F588" r:id="rId95" xr:uid="{00000000-0004-0000-0200-00005E000000}"/>
    <hyperlink ref="F591" r:id="rId96" xr:uid="{00000000-0004-0000-0200-00005F000000}"/>
    <hyperlink ref="F594" r:id="rId97" xr:uid="{00000000-0004-0000-0200-000060000000}"/>
    <hyperlink ref="F597" r:id="rId98" xr:uid="{00000000-0004-0000-0200-000061000000}"/>
    <hyperlink ref="F608" r:id="rId99" xr:uid="{00000000-0004-0000-0200-000062000000}"/>
    <hyperlink ref="F614" r:id="rId100" xr:uid="{00000000-0004-0000-0200-000063000000}"/>
    <hyperlink ref="F617" r:id="rId101" xr:uid="{00000000-0004-0000-0200-000064000000}"/>
    <hyperlink ref="F620" r:id="rId102" xr:uid="{00000000-0004-0000-0200-000065000000}"/>
    <hyperlink ref="F623" r:id="rId103" xr:uid="{00000000-0004-0000-0200-000066000000}"/>
    <hyperlink ref="F626" r:id="rId104" xr:uid="{00000000-0004-0000-0200-000067000000}"/>
    <hyperlink ref="F629" r:id="rId105" xr:uid="{00000000-0004-0000-0200-000068000000}"/>
    <hyperlink ref="F634" r:id="rId106" xr:uid="{00000000-0004-0000-0200-000069000000}"/>
    <hyperlink ref="F641" r:id="rId107" xr:uid="{00000000-0004-0000-0200-00006A000000}"/>
    <hyperlink ref="F646" r:id="rId108" xr:uid="{00000000-0004-0000-0200-00006B000000}"/>
    <hyperlink ref="F649" r:id="rId109" xr:uid="{00000000-0004-0000-0200-00006C000000}"/>
    <hyperlink ref="F652" r:id="rId110" xr:uid="{00000000-0004-0000-0200-00006D000000}"/>
    <hyperlink ref="F656" r:id="rId111" xr:uid="{00000000-0004-0000-0200-00006E000000}"/>
    <hyperlink ref="F659" r:id="rId112" xr:uid="{00000000-0004-0000-0200-00006F000000}"/>
    <hyperlink ref="F666" r:id="rId113" xr:uid="{00000000-0004-0000-0200-000070000000}"/>
    <hyperlink ref="F671" r:id="rId114" xr:uid="{00000000-0004-0000-0200-000071000000}"/>
    <hyperlink ref="F674" r:id="rId115" xr:uid="{00000000-0004-0000-0200-000072000000}"/>
    <hyperlink ref="F686" r:id="rId116" xr:uid="{00000000-0004-0000-0200-000073000000}"/>
    <hyperlink ref="F689" r:id="rId117" xr:uid="{00000000-0004-0000-0200-000074000000}"/>
    <hyperlink ref="F696" r:id="rId118" xr:uid="{00000000-0004-0000-0200-000075000000}"/>
    <hyperlink ref="F701" r:id="rId119" xr:uid="{00000000-0004-0000-0200-000076000000}"/>
    <hyperlink ref="F706" r:id="rId120" xr:uid="{00000000-0004-0000-0200-000077000000}"/>
    <hyperlink ref="F711" r:id="rId121" xr:uid="{00000000-0004-0000-0200-000078000000}"/>
    <hyperlink ref="F714" r:id="rId122" xr:uid="{00000000-0004-0000-0200-000079000000}"/>
    <hyperlink ref="F717" r:id="rId123" xr:uid="{00000000-0004-0000-0200-00007A000000}"/>
    <hyperlink ref="F722" r:id="rId124" xr:uid="{00000000-0004-0000-0200-00007B000000}"/>
    <hyperlink ref="F725" r:id="rId125" xr:uid="{00000000-0004-0000-0200-00007C000000}"/>
    <hyperlink ref="F730" r:id="rId126" xr:uid="{00000000-0004-0000-0200-00007D000000}"/>
    <hyperlink ref="F735" r:id="rId127" xr:uid="{00000000-0004-0000-0200-00007E000000}"/>
    <hyperlink ref="F738" r:id="rId128" xr:uid="{00000000-0004-0000-0200-00007F000000}"/>
    <hyperlink ref="F741" r:id="rId129" xr:uid="{00000000-0004-0000-0200-000080000000}"/>
    <hyperlink ref="F744" r:id="rId130" xr:uid="{00000000-0004-0000-0200-000081000000}"/>
    <hyperlink ref="F749" r:id="rId131" xr:uid="{00000000-0004-0000-0200-000082000000}"/>
    <hyperlink ref="F752" r:id="rId132" xr:uid="{00000000-0004-0000-0200-000083000000}"/>
    <hyperlink ref="F766" r:id="rId133" xr:uid="{00000000-0004-0000-0200-000084000000}"/>
    <hyperlink ref="F771" r:id="rId134" xr:uid="{00000000-0004-0000-0200-000085000000}"/>
    <hyperlink ref="F776" r:id="rId135" xr:uid="{00000000-0004-0000-0200-000086000000}"/>
    <hyperlink ref="F779" r:id="rId136" xr:uid="{00000000-0004-0000-0200-000087000000}"/>
    <hyperlink ref="F782" r:id="rId137" xr:uid="{00000000-0004-0000-0200-000088000000}"/>
    <hyperlink ref="F785" r:id="rId138" xr:uid="{00000000-0004-0000-0200-000089000000}"/>
    <hyperlink ref="F789" r:id="rId139" xr:uid="{00000000-0004-0000-0200-00008A000000}"/>
    <hyperlink ref="F793" r:id="rId140" xr:uid="{00000000-0004-0000-0200-00008B000000}"/>
    <hyperlink ref="F797" r:id="rId141" xr:uid="{00000000-0004-0000-0200-00008C000000}"/>
    <hyperlink ref="F802" r:id="rId142" xr:uid="{00000000-0004-0000-0200-00008D000000}"/>
    <hyperlink ref="F805" r:id="rId143" xr:uid="{00000000-0004-0000-0200-00008E000000}"/>
    <hyperlink ref="F810" r:id="rId144" xr:uid="{00000000-0004-0000-0200-00008F000000}"/>
    <hyperlink ref="F818" r:id="rId145" xr:uid="{00000000-0004-0000-0200-000090000000}"/>
    <hyperlink ref="F823" r:id="rId146" xr:uid="{00000000-0004-0000-0200-000091000000}"/>
    <hyperlink ref="F826" r:id="rId147" xr:uid="{00000000-0004-0000-0200-000092000000}"/>
    <hyperlink ref="F829" r:id="rId148" xr:uid="{00000000-0004-0000-0200-000093000000}"/>
    <hyperlink ref="F832" r:id="rId149" xr:uid="{00000000-0004-0000-0200-000094000000}"/>
    <hyperlink ref="F835" r:id="rId150" xr:uid="{00000000-0004-0000-0200-000095000000}"/>
    <hyperlink ref="F839" r:id="rId151" xr:uid="{00000000-0004-0000-0200-000096000000}"/>
    <hyperlink ref="F846" r:id="rId152" xr:uid="{00000000-0004-0000-0200-000097000000}"/>
    <hyperlink ref="F859" r:id="rId153" xr:uid="{00000000-0004-0000-0200-000098000000}"/>
    <hyperlink ref="F865" r:id="rId154" xr:uid="{00000000-0004-0000-0200-000099000000}"/>
    <hyperlink ref="F894" r:id="rId155" xr:uid="{00000000-0004-0000-0200-00009A000000}"/>
    <hyperlink ref="F897" r:id="rId156" xr:uid="{00000000-0004-0000-0200-00009B000000}"/>
    <hyperlink ref="F901" r:id="rId157" xr:uid="{00000000-0004-0000-0200-00009C000000}"/>
    <hyperlink ref="F905" r:id="rId158" xr:uid="{00000000-0004-0000-0200-00009D000000}"/>
    <hyperlink ref="F911" r:id="rId159" xr:uid="{00000000-0004-0000-0200-00009E000000}"/>
    <hyperlink ref="F917" r:id="rId160" xr:uid="{00000000-0004-0000-0200-00009F000000}"/>
    <hyperlink ref="F928" r:id="rId161" xr:uid="{00000000-0004-0000-0200-0000A0000000}"/>
    <hyperlink ref="F1002" r:id="rId162" xr:uid="{00000000-0004-0000-0200-0000A1000000}"/>
    <hyperlink ref="F1005" r:id="rId163" xr:uid="{00000000-0004-0000-0200-0000A2000000}"/>
    <hyperlink ref="F1011" r:id="rId164" xr:uid="{00000000-0004-0000-0200-0000A3000000}"/>
    <hyperlink ref="F1014" r:id="rId165" xr:uid="{00000000-0004-0000-0200-0000A4000000}"/>
    <hyperlink ref="F1021" r:id="rId166" xr:uid="{00000000-0004-0000-0200-0000A5000000}"/>
    <hyperlink ref="F1027" r:id="rId167" xr:uid="{00000000-0004-0000-0200-0000A6000000}"/>
    <hyperlink ref="F1032" r:id="rId168" xr:uid="{00000000-0004-0000-0200-0000A7000000}"/>
    <hyperlink ref="F1038" r:id="rId169" xr:uid="{00000000-0004-0000-0200-0000A8000000}"/>
    <hyperlink ref="F1044" r:id="rId170" xr:uid="{00000000-0004-0000-0200-0000A9000000}"/>
    <hyperlink ref="F1051" r:id="rId171" xr:uid="{00000000-0004-0000-0200-0000AA000000}"/>
    <hyperlink ref="F1056" r:id="rId172" xr:uid="{00000000-0004-0000-0200-0000AB000000}"/>
    <hyperlink ref="F1064" r:id="rId173" xr:uid="{00000000-0004-0000-0200-0000AC000000}"/>
    <hyperlink ref="F1069" r:id="rId174" xr:uid="{00000000-0004-0000-0200-0000AD000000}"/>
    <hyperlink ref="F1077" r:id="rId175" xr:uid="{00000000-0004-0000-0200-0000AE000000}"/>
    <hyperlink ref="F1083" r:id="rId176" xr:uid="{00000000-0004-0000-0200-0000AF000000}"/>
    <hyperlink ref="F1086" r:id="rId177" xr:uid="{00000000-0004-0000-0200-0000B0000000}"/>
    <hyperlink ref="F1089" r:id="rId178" xr:uid="{00000000-0004-0000-0200-0000B1000000}"/>
    <hyperlink ref="F1092" r:id="rId179" xr:uid="{00000000-0004-0000-0200-0000B2000000}"/>
    <hyperlink ref="F1099" r:id="rId180" xr:uid="{00000000-0004-0000-0200-0000B3000000}"/>
    <hyperlink ref="F1102" r:id="rId181" xr:uid="{00000000-0004-0000-0200-0000B4000000}"/>
    <hyperlink ref="F1105" r:id="rId182" xr:uid="{00000000-0004-0000-0200-0000B5000000}"/>
    <hyperlink ref="F1108" r:id="rId183" xr:uid="{00000000-0004-0000-0200-0000B6000000}"/>
    <hyperlink ref="F1111" r:id="rId184" xr:uid="{00000000-0004-0000-0200-0000B7000000}"/>
    <hyperlink ref="F1116" r:id="rId185" xr:uid="{00000000-0004-0000-0200-0000B8000000}"/>
    <hyperlink ref="F1121" r:id="rId186" xr:uid="{00000000-0004-0000-0200-0000B9000000}"/>
    <hyperlink ref="F1124" r:id="rId187" xr:uid="{00000000-0004-0000-0200-0000BA000000}"/>
    <hyperlink ref="F1127" r:id="rId188" xr:uid="{00000000-0004-0000-0200-0000BB000000}"/>
    <hyperlink ref="F1130" r:id="rId189" xr:uid="{00000000-0004-0000-0200-0000BC000000}"/>
    <hyperlink ref="F1133" r:id="rId190" xr:uid="{00000000-0004-0000-0200-0000BD000000}"/>
    <hyperlink ref="F1136" r:id="rId191" xr:uid="{00000000-0004-0000-0200-0000BE000000}"/>
    <hyperlink ref="F1139" r:id="rId192" xr:uid="{00000000-0004-0000-0200-0000BF000000}"/>
    <hyperlink ref="F1142" r:id="rId193" xr:uid="{00000000-0004-0000-0200-0000C0000000}"/>
    <hyperlink ref="F1145" r:id="rId194" xr:uid="{00000000-0004-0000-0200-0000C1000000}"/>
    <hyperlink ref="F1150" r:id="rId195" xr:uid="{00000000-0004-0000-0200-0000C2000000}"/>
    <hyperlink ref="F1155" r:id="rId196" xr:uid="{00000000-0004-0000-0200-0000C3000000}"/>
    <hyperlink ref="F1162" r:id="rId197" xr:uid="{00000000-0004-0000-0200-0000C4000000}"/>
    <hyperlink ref="F1167" r:id="rId198" xr:uid="{00000000-0004-0000-0200-0000C5000000}"/>
    <hyperlink ref="F1172" r:id="rId199" xr:uid="{00000000-0004-0000-0200-0000C6000000}"/>
    <hyperlink ref="F1175" r:id="rId200" xr:uid="{00000000-0004-0000-0200-0000C7000000}"/>
    <hyperlink ref="F1180" r:id="rId201" xr:uid="{00000000-0004-0000-0200-0000C8000000}"/>
    <hyperlink ref="F1183" r:id="rId202" xr:uid="{00000000-0004-0000-0200-0000C9000000}"/>
    <hyperlink ref="F1188" r:id="rId203" xr:uid="{00000000-0004-0000-0200-0000CA000000}"/>
    <hyperlink ref="F1191" r:id="rId204" xr:uid="{00000000-0004-0000-0200-0000CB000000}"/>
    <hyperlink ref="F1204" r:id="rId205" xr:uid="{00000000-0004-0000-0200-0000CC000000}"/>
    <hyperlink ref="F1217" r:id="rId206" xr:uid="{00000000-0004-0000-0200-0000CD000000}"/>
    <hyperlink ref="F1231" r:id="rId207" xr:uid="{00000000-0004-0000-0200-0000CE000000}"/>
    <hyperlink ref="F1248" r:id="rId208" xr:uid="{00000000-0004-0000-0200-0000CF000000}"/>
    <hyperlink ref="F1265" r:id="rId209" xr:uid="{00000000-0004-0000-0200-0000D0000000}"/>
    <hyperlink ref="F1283" r:id="rId210" xr:uid="{00000000-0004-0000-0200-0000D1000000}"/>
    <hyperlink ref="F1287" r:id="rId211" xr:uid="{00000000-0004-0000-0200-0000D2000000}"/>
    <hyperlink ref="F1291" r:id="rId212" xr:uid="{00000000-0004-0000-0200-0000D3000000}"/>
    <hyperlink ref="F1294" r:id="rId213" xr:uid="{00000000-0004-0000-0200-0000D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D9ABB-9325-457A-B484-031FB19F8D19}">
  <dimension ref="A1:AK150"/>
  <sheetViews>
    <sheetView topLeftCell="A112" zoomScaleNormal="100" zoomScaleSheetLayoutView="100" workbookViewId="0">
      <selection activeCell="D128" sqref="D128"/>
    </sheetView>
  </sheetViews>
  <sheetFormatPr defaultColWidth="14" defaultRowHeight="12.5"/>
  <cols>
    <col min="1" max="1" width="3.33203125" style="386" customWidth="1"/>
    <col min="2" max="2" width="1.44140625" style="386" customWidth="1"/>
    <col min="3" max="3" width="17.33203125" style="386" customWidth="1"/>
    <col min="4" max="4" width="69.33203125" style="386" customWidth="1"/>
    <col min="5" max="5" width="10.6640625" style="386" customWidth="1"/>
    <col min="6" max="6" width="12.44140625" style="386" customWidth="1"/>
    <col min="7" max="7" width="17.33203125" style="386" customWidth="1"/>
    <col min="8" max="8" width="14.77734375" style="386" customWidth="1"/>
    <col min="9" max="9" width="13.44140625" style="386" customWidth="1"/>
    <col min="10" max="10" width="16.109375" style="386" customWidth="1"/>
    <col min="11" max="12" width="14.33203125" style="386" customWidth="1"/>
    <col min="13" max="13" width="14" style="386" customWidth="1"/>
    <col min="14" max="37" width="14.77734375" style="386" hidden="1" customWidth="1"/>
    <col min="38" max="256" width="14" style="386"/>
    <col min="257" max="257" width="3.33203125" style="386" customWidth="1"/>
    <col min="258" max="258" width="1.44140625" style="386" customWidth="1"/>
    <col min="259" max="259" width="17.33203125" style="386" customWidth="1"/>
    <col min="260" max="260" width="69.33203125" style="386" customWidth="1"/>
    <col min="261" max="261" width="10.6640625" style="386" customWidth="1"/>
    <col min="262" max="262" width="12.44140625" style="386" customWidth="1"/>
    <col min="263" max="263" width="17.33203125" style="386" customWidth="1"/>
    <col min="264" max="264" width="14.77734375" style="386" customWidth="1"/>
    <col min="265" max="265" width="13.44140625" style="386" customWidth="1"/>
    <col min="266" max="266" width="16.109375" style="386" customWidth="1"/>
    <col min="267" max="268" width="14.33203125" style="386" customWidth="1"/>
    <col min="269" max="269" width="14" style="386"/>
    <col min="270" max="293" width="0" style="386" hidden="1" customWidth="1"/>
    <col min="294" max="512" width="14" style="386"/>
    <col min="513" max="513" width="3.33203125" style="386" customWidth="1"/>
    <col min="514" max="514" width="1.44140625" style="386" customWidth="1"/>
    <col min="515" max="515" width="17.33203125" style="386" customWidth="1"/>
    <col min="516" max="516" width="69.33203125" style="386" customWidth="1"/>
    <col min="517" max="517" width="10.6640625" style="386" customWidth="1"/>
    <col min="518" max="518" width="12.44140625" style="386" customWidth="1"/>
    <col min="519" max="519" width="17.33203125" style="386" customWidth="1"/>
    <col min="520" max="520" width="14.77734375" style="386" customWidth="1"/>
    <col min="521" max="521" width="13.44140625" style="386" customWidth="1"/>
    <col min="522" max="522" width="16.109375" style="386" customWidth="1"/>
    <col min="523" max="524" width="14.33203125" style="386" customWidth="1"/>
    <col min="525" max="525" width="14" style="386"/>
    <col min="526" max="549" width="0" style="386" hidden="1" customWidth="1"/>
    <col min="550" max="768" width="14" style="386"/>
    <col min="769" max="769" width="3.33203125" style="386" customWidth="1"/>
    <col min="770" max="770" width="1.44140625" style="386" customWidth="1"/>
    <col min="771" max="771" width="17.33203125" style="386" customWidth="1"/>
    <col min="772" max="772" width="69.33203125" style="386" customWidth="1"/>
    <col min="773" max="773" width="10.6640625" style="386" customWidth="1"/>
    <col min="774" max="774" width="12.44140625" style="386" customWidth="1"/>
    <col min="775" max="775" width="17.33203125" style="386" customWidth="1"/>
    <col min="776" max="776" width="14.77734375" style="386" customWidth="1"/>
    <col min="777" max="777" width="13.44140625" style="386" customWidth="1"/>
    <col min="778" max="778" width="16.109375" style="386" customWidth="1"/>
    <col min="779" max="780" width="14.33203125" style="386" customWidth="1"/>
    <col min="781" max="781" width="14" style="386"/>
    <col min="782" max="805" width="0" style="386" hidden="1" customWidth="1"/>
    <col min="806" max="1024" width="14" style="386"/>
    <col min="1025" max="1025" width="3.33203125" style="386" customWidth="1"/>
    <col min="1026" max="1026" width="1.44140625" style="386" customWidth="1"/>
    <col min="1027" max="1027" width="17.33203125" style="386" customWidth="1"/>
    <col min="1028" max="1028" width="69.33203125" style="386" customWidth="1"/>
    <col min="1029" max="1029" width="10.6640625" style="386" customWidth="1"/>
    <col min="1030" max="1030" width="12.44140625" style="386" customWidth="1"/>
    <col min="1031" max="1031" width="17.33203125" style="386" customWidth="1"/>
    <col min="1032" max="1032" width="14.77734375" style="386" customWidth="1"/>
    <col min="1033" max="1033" width="13.44140625" style="386" customWidth="1"/>
    <col min="1034" max="1034" width="16.109375" style="386" customWidth="1"/>
    <col min="1035" max="1036" width="14.33203125" style="386" customWidth="1"/>
    <col min="1037" max="1037" width="14" style="386"/>
    <col min="1038" max="1061" width="0" style="386" hidden="1" customWidth="1"/>
    <col min="1062" max="1280" width="14" style="386"/>
    <col min="1281" max="1281" width="3.33203125" style="386" customWidth="1"/>
    <col min="1282" max="1282" width="1.44140625" style="386" customWidth="1"/>
    <col min="1283" max="1283" width="17.33203125" style="386" customWidth="1"/>
    <col min="1284" max="1284" width="69.33203125" style="386" customWidth="1"/>
    <col min="1285" max="1285" width="10.6640625" style="386" customWidth="1"/>
    <col min="1286" max="1286" width="12.44140625" style="386" customWidth="1"/>
    <col min="1287" max="1287" width="17.33203125" style="386" customWidth="1"/>
    <col min="1288" max="1288" width="14.77734375" style="386" customWidth="1"/>
    <col min="1289" max="1289" width="13.44140625" style="386" customWidth="1"/>
    <col min="1290" max="1290" width="16.109375" style="386" customWidth="1"/>
    <col min="1291" max="1292" width="14.33203125" style="386" customWidth="1"/>
    <col min="1293" max="1293" width="14" style="386"/>
    <col min="1294" max="1317" width="0" style="386" hidden="1" customWidth="1"/>
    <col min="1318" max="1536" width="14" style="386"/>
    <col min="1537" max="1537" width="3.33203125" style="386" customWidth="1"/>
    <col min="1538" max="1538" width="1.44140625" style="386" customWidth="1"/>
    <col min="1539" max="1539" width="17.33203125" style="386" customWidth="1"/>
    <col min="1540" max="1540" width="69.33203125" style="386" customWidth="1"/>
    <col min="1541" max="1541" width="10.6640625" style="386" customWidth="1"/>
    <col min="1542" max="1542" width="12.44140625" style="386" customWidth="1"/>
    <col min="1543" max="1543" width="17.33203125" style="386" customWidth="1"/>
    <col min="1544" max="1544" width="14.77734375" style="386" customWidth="1"/>
    <col min="1545" max="1545" width="13.44140625" style="386" customWidth="1"/>
    <col min="1546" max="1546" width="16.109375" style="386" customWidth="1"/>
    <col min="1547" max="1548" width="14.33203125" style="386" customWidth="1"/>
    <col min="1549" max="1549" width="14" style="386"/>
    <col min="1550" max="1573" width="0" style="386" hidden="1" customWidth="1"/>
    <col min="1574" max="1792" width="14" style="386"/>
    <col min="1793" max="1793" width="3.33203125" style="386" customWidth="1"/>
    <col min="1794" max="1794" width="1.44140625" style="386" customWidth="1"/>
    <col min="1795" max="1795" width="17.33203125" style="386" customWidth="1"/>
    <col min="1796" max="1796" width="69.33203125" style="386" customWidth="1"/>
    <col min="1797" max="1797" width="10.6640625" style="386" customWidth="1"/>
    <col min="1798" max="1798" width="12.44140625" style="386" customWidth="1"/>
    <col min="1799" max="1799" width="17.33203125" style="386" customWidth="1"/>
    <col min="1800" max="1800" width="14.77734375" style="386" customWidth="1"/>
    <col min="1801" max="1801" width="13.44140625" style="386" customWidth="1"/>
    <col min="1802" max="1802" width="16.109375" style="386" customWidth="1"/>
    <col min="1803" max="1804" width="14.33203125" style="386" customWidth="1"/>
    <col min="1805" max="1805" width="14" style="386"/>
    <col min="1806" max="1829" width="0" style="386" hidden="1" customWidth="1"/>
    <col min="1830" max="2048" width="14" style="386"/>
    <col min="2049" max="2049" width="3.33203125" style="386" customWidth="1"/>
    <col min="2050" max="2050" width="1.44140625" style="386" customWidth="1"/>
    <col min="2051" max="2051" width="17.33203125" style="386" customWidth="1"/>
    <col min="2052" max="2052" width="69.33203125" style="386" customWidth="1"/>
    <col min="2053" max="2053" width="10.6640625" style="386" customWidth="1"/>
    <col min="2054" max="2054" width="12.44140625" style="386" customWidth="1"/>
    <col min="2055" max="2055" width="17.33203125" style="386" customWidth="1"/>
    <col min="2056" max="2056" width="14.77734375" style="386" customWidth="1"/>
    <col min="2057" max="2057" width="13.44140625" style="386" customWidth="1"/>
    <col min="2058" max="2058" width="16.109375" style="386" customWidth="1"/>
    <col min="2059" max="2060" width="14.33203125" style="386" customWidth="1"/>
    <col min="2061" max="2061" width="14" style="386"/>
    <col min="2062" max="2085" width="0" style="386" hidden="1" customWidth="1"/>
    <col min="2086" max="2304" width="14" style="386"/>
    <col min="2305" max="2305" width="3.33203125" style="386" customWidth="1"/>
    <col min="2306" max="2306" width="1.44140625" style="386" customWidth="1"/>
    <col min="2307" max="2307" width="17.33203125" style="386" customWidth="1"/>
    <col min="2308" max="2308" width="69.33203125" style="386" customWidth="1"/>
    <col min="2309" max="2309" width="10.6640625" style="386" customWidth="1"/>
    <col min="2310" max="2310" width="12.44140625" style="386" customWidth="1"/>
    <col min="2311" max="2311" width="17.33203125" style="386" customWidth="1"/>
    <col min="2312" max="2312" width="14.77734375" style="386" customWidth="1"/>
    <col min="2313" max="2313" width="13.44140625" style="386" customWidth="1"/>
    <col min="2314" max="2314" width="16.109375" style="386" customWidth="1"/>
    <col min="2315" max="2316" width="14.33203125" style="386" customWidth="1"/>
    <col min="2317" max="2317" width="14" style="386"/>
    <col min="2318" max="2341" width="0" style="386" hidden="1" customWidth="1"/>
    <col min="2342" max="2560" width="14" style="386"/>
    <col min="2561" max="2561" width="3.33203125" style="386" customWidth="1"/>
    <col min="2562" max="2562" width="1.44140625" style="386" customWidth="1"/>
    <col min="2563" max="2563" width="17.33203125" style="386" customWidth="1"/>
    <col min="2564" max="2564" width="69.33203125" style="386" customWidth="1"/>
    <col min="2565" max="2565" width="10.6640625" style="386" customWidth="1"/>
    <col min="2566" max="2566" width="12.44140625" style="386" customWidth="1"/>
    <col min="2567" max="2567" width="17.33203125" style="386" customWidth="1"/>
    <col min="2568" max="2568" width="14.77734375" style="386" customWidth="1"/>
    <col min="2569" max="2569" width="13.44140625" style="386" customWidth="1"/>
    <col min="2570" max="2570" width="16.109375" style="386" customWidth="1"/>
    <col min="2571" max="2572" width="14.33203125" style="386" customWidth="1"/>
    <col min="2573" max="2573" width="14" style="386"/>
    <col min="2574" max="2597" width="0" style="386" hidden="1" customWidth="1"/>
    <col min="2598" max="2816" width="14" style="386"/>
    <col min="2817" max="2817" width="3.33203125" style="386" customWidth="1"/>
    <col min="2818" max="2818" width="1.44140625" style="386" customWidth="1"/>
    <col min="2819" max="2819" width="17.33203125" style="386" customWidth="1"/>
    <col min="2820" max="2820" width="69.33203125" style="386" customWidth="1"/>
    <col min="2821" max="2821" width="10.6640625" style="386" customWidth="1"/>
    <col min="2822" max="2822" width="12.44140625" style="386" customWidth="1"/>
    <col min="2823" max="2823" width="17.33203125" style="386" customWidth="1"/>
    <col min="2824" max="2824" width="14.77734375" style="386" customWidth="1"/>
    <col min="2825" max="2825" width="13.44140625" style="386" customWidth="1"/>
    <col min="2826" max="2826" width="16.109375" style="386" customWidth="1"/>
    <col min="2827" max="2828" width="14.33203125" style="386" customWidth="1"/>
    <col min="2829" max="2829" width="14" style="386"/>
    <col min="2830" max="2853" width="0" style="386" hidden="1" customWidth="1"/>
    <col min="2854" max="3072" width="14" style="386"/>
    <col min="3073" max="3073" width="3.33203125" style="386" customWidth="1"/>
    <col min="3074" max="3074" width="1.44140625" style="386" customWidth="1"/>
    <col min="3075" max="3075" width="17.33203125" style="386" customWidth="1"/>
    <col min="3076" max="3076" width="69.33203125" style="386" customWidth="1"/>
    <col min="3077" max="3077" width="10.6640625" style="386" customWidth="1"/>
    <col min="3078" max="3078" width="12.44140625" style="386" customWidth="1"/>
    <col min="3079" max="3079" width="17.33203125" style="386" customWidth="1"/>
    <col min="3080" max="3080" width="14.77734375" style="386" customWidth="1"/>
    <col min="3081" max="3081" width="13.44140625" style="386" customWidth="1"/>
    <col min="3082" max="3082" width="16.109375" style="386" customWidth="1"/>
    <col min="3083" max="3084" width="14.33203125" style="386" customWidth="1"/>
    <col min="3085" max="3085" width="14" style="386"/>
    <col min="3086" max="3109" width="0" style="386" hidden="1" customWidth="1"/>
    <col min="3110" max="3328" width="14" style="386"/>
    <col min="3329" max="3329" width="3.33203125" style="386" customWidth="1"/>
    <col min="3330" max="3330" width="1.44140625" style="386" customWidth="1"/>
    <col min="3331" max="3331" width="17.33203125" style="386" customWidth="1"/>
    <col min="3332" max="3332" width="69.33203125" style="386" customWidth="1"/>
    <col min="3333" max="3333" width="10.6640625" style="386" customWidth="1"/>
    <col min="3334" max="3334" width="12.44140625" style="386" customWidth="1"/>
    <col min="3335" max="3335" width="17.33203125" style="386" customWidth="1"/>
    <col min="3336" max="3336" width="14.77734375" style="386" customWidth="1"/>
    <col min="3337" max="3337" width="13.44140625" style="386" customWidth="1"/>
    <col min="3338" max="3338" width="16.109375" style="386" customWidth="1"/>
    <col min="3339" max="3340" width="14.33203125" style="386" customWidth="1"/>
    <col min="3341" max="3341" width="14" style="386"/>
    <col min="3342" max="3365" width="0" style="386" hidden="1" customWidth="1"/>
    <col min="3366" max="3584" width="14" style="386"/>
    <col min="3585" max="3585" width="3.33203125" style="386" customWidth="1"/>
    <col min="3586" max="3586" width="1.44140625" style="386" customWidth="1"/>
    <col min="3587" max="3587" width="17.33203125" style="386" customWidth="1"/>
    <col min="3588" max="3588" width="69.33203125" style="386" customWidth="1"/>
    <col min="3589" max="3589" width="10.6640625" style="386" customWidth="1"/>
    <col min="3590" max="3590" width="12.44140625" style="386" customWidth="1"/>
    <col min="3591" max="3591" width="17.33203125" style="386" customWidth="1"/>
    <col min="3592" max="3592" width="14.77734375" style="386" customWidth="1"/>
    <col min="3593" max="3593" width="13.44140625" style="386" customWidth="1"/>
    <col min="3594" max="3594" width="16.109375" style="386" customWidth="1"/>
    <col min="3595" max="3596" width="14.33203125" style="386" customWidth="1"/>
    <col min="3597" max="3597" width="14" style="386"/>
    <col min="3598" max="3621" width="0" style="386" hidden="1" customWidth="1"/>
    <col min="3622" max="3840" width="14" style="386"/>
    <col min="3841" max="3841" width="3.33203125" style="386" customWidth="1"/>
    <col min="3842" max="3842" width="1.44140625" style="386" customWidth="1"/>
    <col min="3843" max="3843" width="17.33203125" style="386" customWidth="1"/>
    <col min="3844" max="3844" width="69.33203125" style="386" customWidth="1"/>
    <col min="3845" max="3845" width="10.6640625" style="386" customWidth="1"/>
    <col min="3846" max="3846" width="12.44140625" style="386" customWidth="1"/>
    <col min="3847" max="3847" width="17.33203125" style="386" customWidth="1"/>
    <col min="3848" max="3848" width="14.77734375" style="386" customWidth="1"/>
    <col min="3849" max="3849" width="13.44140625" style="386" customWidth="1"/>
    <col min="3850" max="3850" width="16.109375" style="386" customWidth="1"/>
    <col min="3851" max="3852" width="14.33203125" style="386" customWidth="1"/>
    <col min="3853" max="3853" width="14" style="386"/>
    <col min="3854" max="3877" width="0" style="386" hidden="1" customWidth="1"/>
    <col min="3878" max="4096" width="14" style="386"/>
    <col min="4097" max="4097" width="3.33203125" style="386" customWidth="1"/>
    <col min="4098" max="4098" width="1.44140625" style="386" customWidth="1"/>
    <col min="4099" max="4099" width="17.33203125" style="386" customWidth="1"/>
    <col min="4100" max="4100" width="69.33203125" style="386" customWidth="1"/>
    <col min="4101" max="4101" width="10.6640625" style="386" customWidth="1"/>
    <col min="4102" max="4102" width="12.44140625" style="386" customWidth="1"/>
    <col min="4103" max="4103" width="17.33203125" style="386" customWidth="1"/>
    <col min="4104" max="4104" width="14.77734375" style="386" customWidth="1"/>
    <col min="4105" max="4105" width="13.44140625" style="386" customWidth="1"/>
    <col min="4106" max="4106" width="16.109375" style="386" customWidth="1"/>
    <col min="4107" max="4108" width="14.33203125" style="386" customWidth="1"/>
    <col min="4109" max="4109" width="14" style="386"/>
    <col min="4110" max="4133" width="0" style="386" hidden="1" customWidth="1"/>
    <col min="4134" max="4352" width="14" style="386"/>
    <col min="4353" max="4353" width="3.33203125" style="386" customWidth="1"/>
    <col min="4354" max="4354" width="1.44140625" style="386" customWidth="1"/>
    <col min="4355" max="4355" width="17.33203125" style="386" customWidth="1"/>
    <col min="4356" max="4356" width="69.33203125" style="386" customWidth="1"/>
    <col min="4357" max="4357" width="10.6640625" style="386" customWidth="1"/>
    <col min="4358" max="4358" width="12.44140625" style="386" customWidth="1"/>
    <col min="4359" max="4359" width="17.33203125" style="386" customWidth="1"/>
    <col min="4360" max="4360" width="14.77734375" style="386" customWidth="1"/>
    <col min="4361" max="4361" width="13.44140625" style="386" customWidth="1"/>
    <col min="4362" max="4362" width="16.109375" style="386" customWidth="1"/>
    <col min="4363" max="4364" width="14.33203125" style="386" customWidth="1"/>
    <col min="4365" max="4365" width="14" style="386"/>
    <col min="4366" max="4389" width="0" style="386" hidden="1" customWidth="1"/>
    <col min="4390" max="4608" width="14" style="386"/>
    <col min="4609" max="4609" width="3.33203125" style="386" customWidth="1"/>
    <col min="4610" max="4610" width="1.44140625" style="386" customWidth="1"/>
    <col min="4611" max="4611" width="17.33203125" style="386" customWidth="1"/>
    <col min="4612" max="4612" width="69.33203125" style="386" customWidth="1"/>
    <col min="4613" max="4613" width="10.6640625" style="386" customWidth="1"/>
    <col min="4614" max="4614" width="12.44140625" style="386" customWidth="1"/>
    <col min="4615" max="4615" width="17.33203125" style="386" customWidth="1"/>
    <col min="4616" max="4616" width="14.77734375" style="386" customWidth="1"/>
    <col min="4617" max="4617" width="13.44140625" style="386" customWidth="1"/>
    <col min="4618" max="4618" width="16.109375" style="386" customWidth="1"/>
    <col min="4619" max="4620" width="14.33203125" style="386" customWidth="1"/>
    <col min="4621" max="4621" width="14" style="386"/>
    <col min="4622" max="4645" width="0" style="386" hidden="1" customWidth="1"/>
    <col min="4646" max="4864" width="14" style="386"/>
    <col min="4865" max="4865" width="3.33203125" style="386" customWidth="1"/>
    <col min="4866" max="4866" width="1.44140625" style="386" customWidth="1"/>
    <col min="4867" max="4867" width="17.33203125" style="386" customWidth="1"/>
    <col min="4868" max="4868" width="69.33203125" style="386" customWidth="1"/>
    <col min="4869" max="4869" width="10.6640625" style="386" customWidth="1"/>
    <col min="4870" max="4870" width="12.44140625" style="386" customWidth="1"/>
    <col min="4871" max="4871" width="17.33203125" style="386" customWidth="1"/>
    <col min="4872" max="4872" width="14.77734375" style="386" customWidth="1"/>
    <col min="4873" max="4873" width="13.44140625" style="386" customWidth="1"/>
    <col min="4874" max="4874" width="16.109375" style="386" customWidth="1"/>
    <col min="4875" max="4876" width="14.33203125" style="386" customWidth="1"/>
    <col min="4877" max="4877" width="14" style="386"/>
    <col min="4878" max="4901" width="0" style="386" hidden="1" customWidth="1"/>
    <col min="4902" max="5120" width="14" style="386"/>
    <col min="5121" max="5121" width="3.33203125" style="386" customWidth="1"/>
    <col min="5122" max="5122" width="1.44140625" style="386" customWidth="1"/>
    <col min="5123" max="5123" width="17.33203125" style="386" customWidth="1"/>
    <col min="5124" max="5124" width="69.33203125" style="386" customWidth="1"/>
    <col min="5125" max="5125" width="10.6640625" style="386" customWidth="1"/>
    <col min="5126" max="5126" width="12.44140625" style="386" customWidth="1"/>
    <col min="5127" max="5127" width="17.33203125" style="386" customWidth="1"/>
    <col min="5128" max="5128" width="14.77734375" style="386" customWidth="1"/>
    <col min="5129" max="5129" width="13.44140625" style="386" customWidth="1"/>
    <col min="5130" max="5130" width="16.109375" style="386" customWidth="1"/>
    <col min="5131" max="5132" width="14.33203125" style="386" customWidth="1"/>
    <col min="5133" max="5133" width="14" style="386"/>
    <col min="5134" max="5157" width="0" style="386" hidden="1" customWidth="1"/>
    <col min="5158" max="5376" width="14" style="386"/>
    <col min="5377" max="5377" width="3.33203125" style="386" customWidth="1"/>
    <col min="5378" max="5378" width="1.44140625" style="386" customWidth="1"/>
    <col min="5379" max="5379" width="17.33203125" style="386" customWidth="1"/>
    <col min="5380" max="5380" width="69.33203125" style="386" customWidth="1"/>
    <col min="5381" max="5381" width="10.6640625" style="386" customWidth="1"/>
    <col min="5382" max="5382" width="12.44140625" style="386" customWidth="1"/>
    <col min="5383" max="5383" width="17.33203125" style="386" customWidth="1"/>
    <col min="5384" max="5384" width="14.77734375" style="386" customWidth="1"/>
    <col min="5385" max="5385" width="13.44140625" style="386" customWidth="1"/>
    <col min="5386" max="5386" width="16.109375" style="386" customWidth="1"/>
    <col min="5387" max="5388" width="14.33203125" style="386" customWidth="1"/>
    <col min="5389" max="5389" width="14" style="386"/>
    <col min="5390" max="5413" width="0" style="386" hidden="1" customWidth="1"/>
    <col min="5414" max="5632" width="14" style="386"/>
    <col min="5633" max="5633" width="3.33203125" style="386" customWidth="1"/>
    <col min="5634" max="5634" width="1.44140625" style="386" customWidth="1"/>
    <col min="5635" max="5635" width="17.33203125" style="386" customWidth="1"/>
    <col min="5636" max="5636" width="69.33203125" style="386" customWidth="1"/>
    <col min="5637" max="5637" width="10.6640625" style="386" customWidth="1"/>
    <col min="5638" max="5638" width="12.44140625" style="386" customWidth="1"/>
    <col min="5639" max="5639" width="17.33203125" style="386" customWidth="1"/>
    <col min="5640" max="5640" width="14.77734375" style="386" customWidth="1"/>
    <col min="5641" max="5641" width="13.44140625" style="386" customWidth="1"/>
    <col min="5642" max="5642" width="16.109375" style="386" customWidth="1"/>
    <col min="5643" max="5644" width="14.33203125" style="386" customWidth="1"/>
    <col min="5645" max="5645" width="14" style="386"/>
    <col min="5646" max="5669" width="0" style="386" hidden="1" customWidth="1"/>
    <col min="5670" max="5888" width="14" style="386"/>
    <col min="5889" max="5889" width="3.33203125" style="386" customWidth="1"/>
    <col min="5890" max="5890" width="1.44140625" style="386" customWidth="1"/>
    <col min="5891" max="5891" width="17.33203125" style="386" customWidth="1"/>
    <col min="5892" max="5892" width="69.33203125" style="386" customWidth="1"/>
    <col min="5893" max="5893" width="10.6640625" style="386" customWidth="1"/>
    <col min="5894" max="5894" width="12.44140625" style="386" customWidth="1"/>
    <col min="5895" max="5895" width="17.33203125" style="386" customWidth="1"/>
    <col min="5896" max="5896" width="14.77734375" style="386" customWidth="1"/>
    <col min="5897" max="5897" width="13.44140625" style="386" customWidth="1"/>
    <col min="5898" max="5898" width="16.109375" style="386" customWidth="1"/>
    <col min="5899" max="5900" width="14.33203125" style="386" customWidth="1"/>
    <col min="5901" max="5901" width="14" style="386"/>
    <col min="5902" max="5925" width="0" style="386" hidden="1" customWidth="1"/>
    <col min="5926" max="6144" width="14" style="386"/>
    <col min="6145" max="6145" width="3.33203125" style="386" customWidth="1"/>
    <col min="6146" max="6146" width="1.44140625" style="386" customWidth="1"/>
    <col min="6147" max="6147" width="17.33203125" style="386" customWidth="1"/>
    <col min="6148" max="6148" width="69.33203125" style="386" customWidth="1"/>
    <col min="6149" max="6149" width="10.6640625" style="386" customWidth="1"/>
    <col min="6150" max="6150" width="12.44140625" style="386" customWidth="1"/>
    <col min="6151" max="6151" width="17.33203125" style="386" customWidth="1"/>
    <col min="6152" max="6152" width="14.77734375" style="386" customWidth="1"/>
    <col min="6153" max="6153" width="13.44140625" style="386" customWidth="1"/>
    <col min="6154" max="6154" width="16.109375" style="386" customWidth="1"/>
    <col min="6155" max="6156" width="14.33203125" style="386" customWidth="1"/>
    <col min="6157" max="6157" width="14" style="386"/>
    <col min="6158" max="6181" width="0" style="386" hidden="1" customWidth="1"/>
    <col min="6182" max="6400" width="14" style="386"/>
    <col min="6401" max="6401" width="3.33203125" style="386" customWidth="1"/>
    <col min="6402" max="6402" width="1.44140625" style="386" customWidth="1"/>
    <col min="6403" max="6403" width="17.33203125" style="386" customWidth="1"/>
    <col min="6404" max="6404" width="69.33203125" style="386" customWidth="1"/>
    <col min="6405" max="6405" width="10.6640625" style="386" customWidth="1"/>
    <col min="6406" max="6406" width="12.44140625" style="386" customWidth="1"/>
    <col min="6407" max="6407" width="17.33203125" style="386" customWidth="1"/>
    <col min="6408" max="6408" width="14.77734375" style="386" customWidth="1"/>
    <col min="6409" max="6409" width="13.44140625" style="386" customWidth="1"/>
    <col min="6410" max="6410" width="16.109375" style="386" customWidth="1"/>
    <col min="6411" max="6412" width="14.33203125" style="386" customWidth="1"/>
    <col min="6413" max="6413" width="14" style="386"/>
    <col min="6414" max="6437" width="0" style="386" hidden="1" customWidth="1"/>
    <col min="6438" max="6656" width="14" style="386"/>
    <col min="6657" max="6657" width="3.33203125" style="386" customWidth="1"/>
    <col min="6658" max="6658" width="1.44140625" style="386" customWidth="1"/>
    <col min="6659" max="6659" width="17.33203125" style="386" customWidth="1"/>
    <col min="6660" max="6660" width="69.33203125" style="386" customWidth="1"/>
    <col min="6661" max="6661" width="10.6640625" style="386" customWidth="1"/>
    <col min="6662" max="6662" width="12.44140625" style="386" customWidth="1"/>
    <col min="6663" max="6663" width="17.33203125" style="386" customWidth="1"/>
    <col min="6664" max="6664" width="14.77734375" style="386" customWidth="1"/>
    <col min="6665" max="6665" width="13.44140625" style="386" customWidth="1"/>
    <col min="6666" max="6666" width="16.109375" style="386" customWidth="1"/>
    <col min="6667" max="6668" width="14.33203125" style="386" customWidth="1"/>
    <col min="6669" max="6669" width="14" style="386"/>
    <col min="6670" max="6693" width="0" style="386" hidden="1" customWidth="1"/>
    <col min="6694" max="6912" width="14" style="386"/>
    <col min="6913" max="6913" width="3.33203125" style="386" customWidth="1"/>
    <col min="6914" max="6914" width="1.44140625" style="386" customWidth="1"/>
    <col min="6915" max="6915" width="17.33203125" style="386" customWidth="1"/>
    <col min="6916" max="6916" width="69.33203125" style="386" customWidth="1"/>
    <col min="6917" max="6917" width="10.6640625" style="386" customWidth="1"/>
    <col min="6918" max="6918" width="12.44140625" style="386" customWidth="1"/>
    <col min="6919" max="6919" width="17.33203125" style="386" customWidth="1"/>
    <col min="6920" max="6920" width="14.77734375" style="386" customWidth="1"/>
    <col min="6921" max="6921" width="13.44140625" style="386" customWidth="1"/>
    <col min="6922" max="6922" width="16.109375" style="386" customWidth="1"/>
    <col min="6923" max="6924" width="14.33203125" style="386" customWidth="1"/>
    <col min="6925" max="6925" width="14" style="386"/>
    <col min="6926" max="6949" width="0" style="386" hidden="1" customWidth="1"/>
    <col min="6950" max="7168" width="14" style="386"/>
    <col min="7169" max="7169" width="3.33203125" style="386" customWidth="1"/>
    <col min="7170" max="7170" width="1.44140625" style="386" customWidth="1"/>
    <col min="7171" max="7171" width="17.33203125" style="386" customWidth="1"/>
    <col min="7172" max="7172" width="69.33203125" style="386" customWidth="1"/>
    <col min="7173" max="7173" width="10.6640625" style="386" customWidth="1"/>
    <col min="7174" max="7174" width="12.44140625" style="386" customWidth="1"/>
    <col min="7175" max="7175" width="17.33203125" style="386" customWidth="1"/>
    <col min="7176" max="7176" width="14.77734375" style="386" customWidth="1"/>
    <col min="7177" max="7177" width="13.44140625" style="386" customWidth="1"/>
    <col min="7178" max="7178" width="16.109375" style="386" customWidth="1"/>
    <col min="7179" max="7180" width="14.33203125" style="386" customWidth="1"/>
    <col min="7181" max="7181" width="14" style="386"/>
    <col min="7182" max="7205" width="0" style="386" hidden="1" customWidth="1"/>
    <col min="7206" max="7424" width="14" style="386"/>
    <col min="7425" max="7425" width="3.33203125" style="386" customWidth="1"/>
    <col min="7426" max="7426" width="1.44140625" style="386" customWidth="1"/>
    <col min="7427" max="7427" width="17.33203125" style="386" customWidth="1"/>
    <col min="7428" max="7428" width="69.33203125" style="386" customWidth="1"/>
    <col min="7429" max="7429" width="10.6640625" style="386" customWidth="1"/>
    <col min="7430" max="7430" width="12.44140625" style="386" customWidth="1"/>
    <col min="7431" max="7431" width="17.33203125" style="386" customWidth="1"/>
    <col min="7432" max="7432" width="14.77734375" style="386" customWidth="1"/>
    <col min="7433" max="7433" width="13.44140625" style="386" customWidth="1"/>
    <col min="7434" max="7434" width="16.109375" style="386" customWidth="1"/>
    <col min="7435" max="7436" width="14.33203125" style="386" customWidth="1"/>
    <col min="7437" max="7437" width="14" style="386"/>
    <col min="7438" max="7461" width="0" style="386" hidden="1" customWidth="1"/>
    <col min="7462" max="7680" width="14" style="386"/>
    <col min="7681" max="7681" width="3.33203125" style="386" customWidth="1"/>
    <col min="7682" max="7682" width="1.44140625" style="386" customWidth="1"/>
    <col min="7683" max="7683" width="17.33203125" style="386" customWidth="1"/>
    <col min="7684" max="7684" width="69.33203125" style="386" customWidth="1"/>
    <col min="7685" max="7685" width="10.6640625" style="386" customWidth="1"/>
    <col min="7686" max="7686" width="12.44140625" style="386" customWidth="1"/>
    <col min="7687" max="7687" width="17.33203125" style="386" customWidth="1"/>
    <col min="7688" max="7688" width="14.77734375" style="386" customWidth="1"/>
    <col min="7689" max="7689" width="13.44140625" style="386" customWidth="1"/>
    <col min="7690" max="7690" width="16.109375" style="386" customWidth="1"/>
    <col min="7691" max="7692" width="14.33203125" style="386" customWidth="1"/>
    <col min="7693" max="7693" width="14" style="386"/>
    <col min="7694" max="7717" width="0" style="386" hidden="1" customWidth="1"/>
    <col min="7718" max="7936" width="14" style="386"/>
    <col min="7937" max="7937" width="3.33203125" style="386" customWidth="1"/>
    <col min="7938" max="7938" width="1.44140625" style="386" customWidth="1"/>
    <col min="7939" max="7939" width="17.33203125" style="386" customWidth="1"/>
    <col min="7940" max="7940" width="69.33203125" style="386" customWidth="1"/>
    <col min="7941" max="7941" width="10.6640625" style="386" customWidth="1"/>
    <col min="7942" max="7942" width="12.44140625" style="386" customWidth="1"/>
    <col min="7943" max="7943" width="17.33203125" style="386" customWidth="1"/>
    <col min="7944" max="7944" width="14.77734375" style="386" customWidth="1"/>
    <col min="7945" max="7945" width="13.44140625" style="386" customWidth="1"/>
    <col min="7946" max="7946" width="16.109375" style="386" customWidth="1"/>
    <col min="7947" max="7948" width="14.33203125" style="386" customWidth="1"/>
    <col min="7949" max="7949" width="14" style="386"/>
    <col min="7950" max="7973" width="0" style="386" hidden="1" customWidth="1"/>
    <col min="7974" max="8192" width="14" style="386"/>
    <col min="8193" max="8193" width="3.33203125" style="386" customWidth="1"/>
    <col min="8194" max="8194" width="1.44140625" style="386" customWidth="1"/>
    <col min="8195" max="8195" width="17.33203125" style="386" customWidth="1"/>
    <col min="8196" max="8196" width="69.33203125" style="386" customWidth="1"/>
    <col min="8197" max="8197" width="10.6640625" style="386" customWidth="1"/>
    <col min="8198" max="8198" width="12.44140625" style="386" customWidth="1"/>
    <col min="8199" max="8199" width="17.33203125" style="386" customWidth="1"/>
    <col min="8200" max="8200" width="14.77734375" style="386" customWidth="1"/>
    <col min="8201" max="8201" width="13.44140625" style="386" customWidth="1"/>
    <col min="8202" max="8202" width="16.109375" style="386" customWidth="1"/>
    <col min="8203" max="8204" width="14.33203125" style="386" customWidth="1"/>
    <col min="8205" max="8205" width="14" style="386"/>
    <col min="8206" max="8229" width="0" style="386" hidden="1" customWidth="1"/>
    <col min="8230" max="8448" width="14" style="386"/>
    <col min="8449" max="8449" width="3.33203125" style="386" customWidth="1"/>
    <col min="8450" max="8450" width="1.44140625" style="386" customWidth="1"/>
    <col min="8451" max="8451" width="17.33203125" style="386" customWidth="1"/>
    <col min="8452" max="8452" width="69.33203125" style="386" customWidth="1"/>
    <col min="8453" max="8453" width="10.6640625" style="386" customWidth="1"/>
    <col min="8454" max="8454" width="12.44140625" style="386" customWidth="1"/>
    <col min="8455" max="8455" width="17.33203125" style="386" customWidth="1"/>
    <col min="8456" max="8456" width="14.77734375" style="386" customWidth="1"/>
    <col min="8457" max="8457" width="13.44140625" style="386" customWidth="1"/>
    <col min="8458" max="8458" width="16.109375" style="386" customWidth="1"/>
    <col min="8459" max="8460" width="14.33203125" style="386" customWidth="1"/>
    <col min="8461" max="8461" width="14" style="386"/>
    <col min="8462" max="8485" width="0" style="386" hidden="1" customWidth="1"/>
    <col min="8486" max="8704" width="14" style="386"/>
    <col min="8705" max="8705" width="3.33203125" style="386" customWidth="1"/>
    <col min="8706" max="8706" width="1.44140625" style="386" customWidth="1"/>
    <col min="8707" max="8707" width="17.33203125" style="386" customWidth="1"/>
    <col min="8708" max="8708" width="69.33203125" style="386" customWidth="1"/>
    <col min="8709" max="8709" width="10.6640625" style="386" customWidth="1"/>
    <col min="8710" max="8710" width="12.44140625" style="386" customWidth="1"/>
    <col min="8711" max="8711" width="17.33203125" style="386" customWidth="1"/>
    <col min="8712" max="8712" width="14.77734375" style="386" customWidth="1"/>
    <col min="8713" max="8713" width="13.44140625" style="386" customWidth="1"/>
    <col min="8714" max="8714" width="16.109375" style="386" customWidth="1"/>
    <col min="8715" max="8716" width="14.33203125" style="386" customWidth="1"/>
    <col min="8717" max="8717" width="14" style="386"/>
    <col min="8718" max="8741" width="0" style="386" hidden="1" customWidth="1"/>
    <col min="8742" max="8960" width="14" style="386"/>
    <col min="8961" max="8961" width="3.33203125" style="386" customWidth="1"/>
    <col min="8962" max="8962" width="1.44140625" style="386" customWidth="1"/>
    <col min="8963" max="8963" width="17.33203125" style="386" customWidth="1"/>
    <col min="8964" max="8964" width="69.33203125" style="386" customWidth="1"/>
    <col min="8965" max="8965" width="10.6640625" style="386" customWidth="1"/>
    <col min="8966" max="8966" width="12.44140625" style="386" customWidth="1"/>
    <col min="8967" max="8967" width="17.33203125" style="386" customWidth="1"/>
    <col min="8968" max="8968" width="14.77734375" style="386" customWidth="1"/>
    <col min="8969" max="8969" width="13.44140625" style="386" customWidth="1"/>
    <col min="8970" max="8970" width="16.109375" style="386" customWidth="1"/>
    <col min="8971" max="8972" width="14.33203125" style="386" customWidth="1"/>
    <col min="8973" max="8973" width="14" style="386"/>
    <col min="8974" max="8997" width="0" style="386" hidden="1" customWidth="1"/>
    <col min="8998" max="9216" width="14" style="386"/>
    <col min="9217" max="9217" width="3.33203125" style="386" customWidth="1"/>
    <col min="9218" max="9218" width="1.44140625" style="386" customWidth="1"/>
    <col min="9219" max="9219" width="17.33203125" style="386" customWidth="1"/>
    <col min="9220" max="9220" width="69.33203125" style="386" customWidth="1"/>
    <col min="9221" max="9221" width="10.6640625" style="386" customWidth="1"/>
    <col min="9222" max="9222" width="12.44140625" style="386" customWidth="1"/>
    <col min="9223" max="9223" width="17.33203125" style="386" customWidth="1"/>
    <col min="9224" max="9224" width="14.77734375" style="386" customWidth="1"/>
    <col min="9225" max="9225" width="13.44140625" style="386" customWidth="1"/>
    <col min="9226" max="9226" width="16.109375" style="386" customWidth="1"/>
    <col min="9227" max="9228" width="14.33203125" style="386" customWidth="1"/>
    <col min="9229" max="9229" width="14" style="386"/>
    <col min="9230" max="9253" width="0" style="386" hidden="1" customWidth="1"/>
    <col min="9254" max="9472" width="14" style="386"/>
    <col min="9473" max="9473" width="3.33203125" style="386" customWidth="1"/>
    <col min="9474" max="9474" width="1.44140625" style="386" customWidth="1"/>
    <col min="9475" max="9475" width="17.33203125" style="386" customWidth="1"/>
    <col min="9476" max="9476" width="69.33203125" style="386" customWidth="1"/>
    <col min="9477" max="9477" width="10.6640625" style="386" customWidth="1"/>
    <col min="9478" max="9478" width="12.44140625" style="386" customWidth="1"/>
    <col min="9479" max="9479" width="17.33203125" style="386" customWidth="1"/>
    <col min="9480" max="9480" width="14.77734375" style="386" customWidth="1"/>
    <col min="9481" max="9481" width="13.44140625" style="386" customWidth="1"/>
    <col min="9482" max="9482" width="16.109375" style="386" customWidth="1"/>
    <col min="9483" max="9484" width="14.33203125" style="386" customWidth="1"/>
    <col min="9485" max="9485" width="14" style="386"/>
    <col min="9486" max="9509" width="0" style="386" hidden="1" customWidth="1"/>
    <col min="9510" max="9728" width="14" style="386"/>
    <col min="9729" max="9729" width="3.33203125" style="386" customWidth="1"/>
    <col min="9730" max="9730" width="1.44140625" style="386" customWidth="1"/>
    <col min="9731" max="9731" width="17.33203125" style="386" customWidth="1"/>
    <col min="9732" max="9732" width="69.33203125" style="386" customWidth="1"/>
    <col min="9733" max="9733" width="10.6640625" style="386" customWidth="1"/>
    <col min="9734" max="9734" width="12.44140625" style="386" customWidth="1"/>
    <col min="9735" max="9735" width="17.33203125" style="386" customWidth="1"/>
    <col min="9736" max="9736" width="14.77734375" style="386" customWidth="1"/>
    <col min="9737" max="9737" width="13.44140625" style="386" customWidth="1"/>
    <col min="9738" max="9738" width="16.109375" style="386" customWidth="1"/>
    <col min="9739" max="9740" width="14.33203125" style="386" customWidth="1"/>
    <col min="9741" max="9741" width="14" style="386"/>
    <col min="9742" max="9765" width="0" style="386" hidden="1" customWidth="1"/>
    <col min="9766" max="9984" width="14" style="386"/>
    <col min="9985" max="9985" width="3.33203125" style="386" customWidth="1"/>
    <col min="9986" max="9986" width="1.44140625" style="386" customWidth="1"/>
    <col min="9987" max="9987" width="17.33203125" style="386" customWidth="1"/>
    <col min="9988" max="9988" width="69.33203125" style="386" customWidth="1"/>
    <col min="9989" max="9989" width="10.6640625" style="386" customWidth="1"/>
    <col min="9990" max="9990" width="12.44140625" style="386" customWidth="1"/>
    <col min="9991" max="9991" width="17.33203125" style="386" customWidth="1"/>
    <col min="9992" max="9992" width="14.77734375" style="386" customWidth="1"/>
    <col min="9993" max="9993" width="13.44140625" style="386" customWidth="1"/>
    <col min="9994" max="9994" width="16.109375" style="386" customWidth="1"/>
    <col min="9995" max="9996" width="14.33203125" style="386" customWidth="1"/>
    <col min="9997" max="9997" width="14" style="386"/>
    <col min="9998" max="10021" width="0" style="386" hidden="1" customWidth="1"/>
    <col min="10022" max="10240" width="14" style="386"/>
    <col min="10241" max="10241" width="3.33203125" style="386" customWidth="1"/>
    <col min="10242" max="10242" width="1.44140625" style="386" customWidth="1"/>
    <col min="10243" max="10243" width="17.33203125" style="386" customWidth="1"/>
    <col min="10244" max="10244" width="69.33203125" style="386" customWidth="1"/>
    <col min="10245" max="10245" width="10.6640625" style="386" customWidth="1"/>
    <col min="10246" max="10246" width="12.44140625" style="386" customWidth="1"/>
    <col min="10247" max="10247" width="17.33203125" style="386" customWidth="1"/>
    <col min="10248" max="10248" width="14.77734375" style="386" customWidth="1"/>
    <col min="10249" max="10249" width="13.44140625" style="386" customWidth="1"/>
    <col min="10250" max="10250" width="16.109375" style="386" customWidth="1"/>
    <col min="10251" max="10252" width="14.33203125" style="386" customWidth="1"/>
    <col min="10253" max="10253" width="14" style="386"/>
    <col min="10254" max="10277" width="0" style="386" hidden="1" customWidth="1"/>
    <col min="10278" max="10496" width="14" style="386"/>
    <col min="10497" max="10497" width="3.33203125" style="386" customWidth="1"/>
    <col min="10498" max="10498" width="1.44140625" style="386" customWidth="1"/>
    <col min="10499" max="10499" width="17.33203125" style="386" customWidth="1"/>
    <col min="10500" max="10500" width="69.33203125" style="386" customWidth="1"/>
    <col min="10501" max="10501" width="10.6640625" style="386" customWidth="1"/>
    <col min="10502" max="10502" width="12.44140625" style="386" customWidth="1"/>
    <col min="10503" max="10503" width="17.33203125" style="386" customWidth="1"/>
    <col min="10504" max="10504" width="14.77734375" style="386" customWidth="1"/>
    <col min="10505" max="10505" width="13.44140625" style="386" customWidth="1"/>
    <col min="10506" max="10506" width="16.109375" style="386" customWidth="1"/>
    <col min="10507" max="10508" width="14.33203125" style="386" customWidth="1"/>
    <col min="10509" max="10509" width="14" style="386"/>
    <col min="10510" max="10533" width="0" style="386" hidden="1" customWidth="1"/>
    <col min="10534" max="10752" width="14" style="386"/>
    <col min="10753" max="10753" width="3.33203125" style="386" customWidth="1"/>
    <col min="10754" max="10754" width="1.44140625" style="386" customWidth="1"/>
    <col min="10755" max="10755" width="17.33203125" style="386" customWidth="1"/>
    <col min="10756" max="10756" width="69.33203125" style="386" customWidth="1"/>
    <col min="10757" max="10757" width="10.6640625" style="386" customWidth="1"/>
    <col min="10758" max="10758" width="12.44140625" style="386" customWidth="1"/>
    <col min="10759" max="10759" width="17.33203125" style="386" customWidth="1"/>
    <col min="10760" max="10760" width="14.77734375" style="386" customWidth="1"/>
    <col min="10761" max="10761" width="13.44140625" style="386" customWidth="1"/>
    <col min="10762" max="10762" width="16.109375" style="386" customWidth="1"/>
    <col min="10763" max="10764" width="14.33203125" style="386" customWidth="1"/>
    <col min="10765" max="10765" width="14" style="386"/>
    <col min="10766" max="10789" width="0" style="386" hidden="1" customWidth="1"/>
    <col min="10790" max="11008" width="14" style="386"/>
    <col min="11009" max="11009" width="3.33203125" style="386" customWidth="1"/>
    <col min="11010" max="11010" width="1.44140625" style="386" customWidth="1"/>
    <col min="11011" max="11011" width="17.33203125" style="386" customWidth="1"/>
    <col min="11012" max="11012" width="69.33203125" style="386" customWidth="1"/>
    <col min="11013" max="11013" width="10.6640625" style="386" customWidth="1"/>
    <col min="11014" max="11014" width="12.44140625" style="386" customWidth="1"/>
    <col min="11015" max="11015" width="17.33203125" style="386" customWidth="1"/>
    <col min="11016" max="11016" width="14.77734375" style="386" customWidth="1"/>
    <col min="11017" max="11017" width="13.44140625" style="386" customWidth="1"/>
    <col min="11018" max="11018" width="16.109375" style="386" customWidth="1"/>
    <col min="11019" max="11020" width="14.33203125" style="386" customWidth="1"/>
    <col min="11021" max="11021" width="14" style="386"/>
    <col min="11022" max="11045" width="0" style="386" hidden="1" customWidth="1"/>
    <col min="11046" max="11264" width="14" style="386"/>
    <col min="11265" max="11265" width="3.33203125" style="386" customWidth="1"/>
    <col min="11266" max="11266" width="1.44140625" style="386" customWidth="1"/>
    <col min="11267" max="11267" width="17.33203125" style="386" customWidth="1"/>
    <col min="11268" max="11268" width="69.33203125" style="386" customWidth="1"/>
    <col min="11269" max="11269" width="10.6640625" style="386" customWidth="1"/>
    <col min="11270" max="11270" width="12.44140625" style="386" customWidth="1"/>
    <col min="11271" max="11271" width="17.33203125" style="386" customWidth="1"/>
    <col min="11272" max="11272" width="14.77734375" style="386" customWidth="1"/>
    <col min="11273" max="11273" width="13.44140625" style="386" customWidth="1"/>
    <col min="11274" max="11274" width="16.109375" style="386" customWidth="1"/>
    <col min="11275" max="11276" width="14.33203125" style="386" customWidth="1"/>
    <col min="11277" max="11277" width="14" style="386"/>
    <col min="11278" max="11301" width="0" style="386" hidden="1" customWidth="1"/>
    <col min="11302" max="11520" width="14" style="386"/>
    <col min="11521" max="11521" width="3.33203125" style="386" customWidth="1"/>
    <col min="11522" max="11522" width="1.44140625" style="386" customWidth="1"/>
    <col min="11523" max="11523" width="17.33203125" style="386" customWidth="1"/>
    <col min="11524" max="11524" width="69.33203125" style="386" customWidth="1"/>
    <col min="11525" max="11525" width="10.6640625" style="386" customWidth="1"/>
    <col min="11526" max="11526" width="12.44140625" style="386" customWidth="1"/>
    <col min="11527" max="11527" width="17.33203125" style="386" customWidth="1"/>
    <col min="11528" max="11528" width="14.77734375" style="386" customWidth="1"/>
    <col min="11529" max="11529" width="13.44140625" style="386" customWidth="1"/>
    <col min="11530" max="11530" width="16.109375" style="386" customWidth="1"/>
    <col min="11531" max="11532" width="14.33203125" style="386" customWidth="1"/>
    <col min="11533" max="11533" width="14" style="386"/>
    <col min="11534" max="11557" width="0" style="386" hidden="1" customWidth="1"/>
    <col min="11558" max="11776" width="14" style="386"/>
    <col min="11777" max="11777" width="3.33203125" style="386" customWidth="1"/>
    <col min="11778" max="11778" width="1.44140625" style="386" customWidth="1"/>
    <col min="11779" max="11779" width="17.33203125" style="386" customWidth="1"/>
    <col min="11780" max="11780" width="69.33203125" style="386" customWidth="1"/>
    <col min="11781" max="11781" width="10.6640625" style="386" customWidth="1"/>
    <col min="11782" max="11782" width="12.44140625" style="386" customWidth="1"/>
    <col min="11783" max="11783" width="17.33203125" style="386" customWidth="1"/>
    <col min="11784" max="11784" width="14.77734375" style="386" customWidth="1"/>
    <col min="11785" max="11785" width="13.44140625" style="386" customWidth="1"/>
    <col min="11786" max="11786" width="16.109375" style="386" customWidth="1"/>
    <col min="11787" max="11788" width="14.33203125" style="386" customWidth="1"/>
    <col min="11789" max="11789" width="14" style="386"/>
    <col min="11790" max="11813" width="0" style="386" hidden="1" customWidth="1"/>
    <col min="11814" max="12032" width="14" style="386"/>
    <col min="12033" max="12033" width="3.33203125" style="386" customWidth="1"/>
    <col min="12034" max="12034" width="1.44140625" style="386" customWidth="1"/>
    <col min="12035" max="12035" width="17.33203125" style="386" customWidth="1"/>
    <col min="12036" max="12036" width="69.33203125" style="386" customWidth="1"/>
    <col min="12037" max="12037" width="10.6640625" style="386" customWidth="1"/>
    <col min="12038" max="12038" width="12.44140625" style="386" customWidth="1"/>
    <col min="12039" max="12039" width="17.33203125" style="386" customWidth="1"/>
    <col min="12040" max="12040" width="14.77734375" style="386" customWidth="1"/>
    <col min="12041" max="12041" width="13.44140625" style="386" customWidth="1"/>
    <col min="12042" max="12042" width="16.109375" style="386" customWidth="1"/>
    <col min="12043" max="12044" width="14.33203125" style="386" customWidth="1"/>
    <col min="12045" max="12045" width="14" style="386"/>
    <col min="12046" max="12069" width="0" style="386" hidden="1" customWidth="1"/>
    <col min="12070" max="12288" width="14" style="386"/>
    <col min="12289" max="12289" width="3.33203125" style="386" customWidth="1"/>
    <col min="12290" max="12290" width="1.44140625" style="386" customWidth="1"/>
    <col min="12291" max="12291" width="17.33203125" style="386" customWidth="1"/>
    <col min="12292" max="12292" width="69.33203125" style="386" customWidth="1"/>
    <col min="12293" max="12293" width="10.6640625" style="386" customWidth="1"/>
    <col min="12294" max="12294" width="12.44140625" style="386" customWidth="1"/>
    <col min="12295" max="12295" width="17.33203125" style="386" customWidth="1"/>
    <col min="12296" max="12296" width="14.77734375" style="386" customWidth="1"/>
    <col min="12297" max="12297" width="13.44140625" style="386" customWidth="1"/>
    <col min="12298" max="12298" width="16.109375" style="386" customWidth="1"/>
    <col min="12299" max="12300" width="14.33203125" style="386" customWidth="1"/>
    <col min="12301" max="12301" width="14" style="386"/>
    <col min="12302" max="12325" width="0" style="386" hidden="1" customWidth="1"/>
    <col min="12326" max="12544" width="14" style="386"/>
    <col min="12545" max="12545" width="3.33203125" style="386" customWidth="1"/>
    <col min="12546" max="12546" width="1.44140625" style="386" customWidth="1"/>
    <col min="12547" max="12547" width="17.33203125" style="386" customWidth="1"/>
    <col min="12548" max="12548" width="69.33203125" style="386" customWidth="1"/>
    <col min="12549" max="12549" width="10.6640625" style="386" customWidth="1"/>
    <col min="12550" max="12550" width="12.44140625" style="386" customWidth="1"/>
    <col min="12551" max="12551" width="17.33203125" style="386" customWidth="1"/>
    <col min="12552" max="12552" width="14.77734375" style="386" customWidth="1"/>
    <col min="12553" max="12553" width="13.44140625" style="386" customWidth="1"/>
    <col min="12554" max="12554" width="16.109375" style="386" customWidth="1"/>
    <col min="12555" max="12556" width="14.33203125" style="386" customWidth="1"/>
    <col min="12557" max="12557" width="14" style="386"/>
    <col min="12558" max="12581" width="0" style="386" hidden="1" customWidth="1"/>
    <col min="12582" max="12800" width="14" style="386"/>
    <col min="12801" max="12801" width="3.33203125" style="386" customWidth="1"/>
    <col min="12802" max="12802" width="1.44140625" style="386" customWidth="1"/>
    <col min="12803" max="12803" width="17.33203125" style="386" customWidth="1"/>
    <col min="12804" max="12804" width="69.33203125" style="386" customWidth="1"/>
    <col min="12805" max="12805" width="10.6640625" style="386" customWidth="1"/>
    <col min="12806" max="12806" width="12.44140625" style="386" customWidth="1"/>
    <col min="12807" max="12807" width="17.33203125" style="386" customWidth="1"/>
    <col min="12808" max="12808" width="14.77734375" style="386" customWidth="1"/>
    <col min="12809" max="12809" width="13.44140625" style="386" customWidth="1"/>
    <col min="12810" max="12810" width="16.109375" style="386" customWidth="1"/>
    <col min="12811" max="12812" width="14.33203125" style="386" customWidth="1"/>
    <col min="12813" max="12813" width="14" style="386"/>
    <col min="12814" max="12837" width="0" style="386" hidden="1" customWidth="1"/>
    <col min="12838" max="13056" width="14" style="386"/>
    <col min="13057" max="13057" width="3.33203125" style="386" customWidth="1"/>
    <col min="13058" max="13058" width="1.44140625" style="386" customWidth="1"/>
    <col min="13059" max="13059" width="17.33203125" style="386" customWidth="1"/>
    <col min="13060" max="13060" width="69.33203125" style="386" customWidth="1"/>
    <col min="13061" max="13061" width="10.6640625" style="386" customWidth="1"/>
    <col min="13062" max="13062" width="12.44140625" style="386" customWidth="1"/>
    <col min="13063" max="13063" width="17.33203125" style="386" customWidth="1"/>
    <col min="13064" max="13064" width="14.77734375" style="386" customWidth="1"/>
    <col min="13065" max="13065" width="13.44140625" style="386" customWidth="1"/>
    <col min="13066" max="13066" width="16.109375" style="386" customWidth="1"/>
    <col min="13067" max="13068" width="14.33203125" style="386" customWidth="1"/>
    <col min="13069" max="13069" width="14" style="386"/>
    <col min="13070" max="13093" width="0" style="386" hidden="1" customWidth="1"/>
    <col min="13094" max="13312" width="14" style="386"/>
    <col min="13313" max="13313" width="3.33203125" style="386" customWidth="1"/>
    <col min="13314" max="13314" width="1.44140625" style="386" customWidth="1"/>
    <col min="13315" max="13315" width="17.33203125" style="386" customWidth="1"/>
    <col min="13316" max="13316" width="69.33203125" style="386" customWidth="1"/>
    <col min="13317" max="13317" width="10.6640625" style="386" customWidth="1"/>
    <col min="13318" max="13318" width="12.44140625" style="386" customWidth="1"/>
    <col min="13319" max="13319" width="17.33203125" style="386" customWidth="1"/>
    <col min="13320" max="13320" width="14.77734375" style="386" customWidth="1"/>
    <col min="13321" max="13321" width="13.44140625" style="386" customWidth="1"/>
    <col min="13322" max="13322" width="16.109375" style="386" customWidth="1"/>
    <col min="13323" max="13324" width="14.33203125" style="386" customWidth="1"/>
    <col min="13325" max="13325" width="14" style="386"/>
    <col min="13326" max="13349" width="0" style="386" hidden="1" customWidth="1"/>
    <col min="13350" max="13568" width="14" style="386"/>
    <col min="13569" max="13569" width="3.33203125" style="386" customWidth="1"/>
    <col min="13570" max="13570" width="1.44140625" style="386" customWidth="1"/>
    <col min="13571" max="13571" width="17.33203125" style="386" customWidth="1"/>
    <col min="13572" max="13572" width="69.33203125" style="386" customWidth="1"/>
    <col min="13573" max="13573" width="10.6640625" style="386" customWidth="1"/>
    <col min="13574" max="13574" width="12.44140625" style="386" customWidth="1"/>
    <col min="13575" max="13575" width="17.33203125" style="386" customWidth="1"/>
    <col min="13576" max="13576" width="14.77734375" style="386" customWidth="1"/>
    <col min="13577" max="13577" width="13.44140625" style="386" customWidth="1"/>
    <col min="13578" max="13578" width="16.109375" style="386" customWidth="1"/>
    <col min="13579" max="13580" width="14.33203125" style="386" customWidth="1"/>
    <col min="13581" max="13581" width="14" style="386"/>
    <col min="13582" max="13605" width="0" style="386" hidden="1" customWidth="1"/>
    <col min="13606" max="13824" width="14" style="386"/>
    <col min="13825" max="13825" width="3.33203125" style="386" customWidth="1"/>
    <col min="13826" max="13826" width="1.44140625" style="386" customWidth="1"/>
    <col min="13827" max="13827" width="17.33203125" style="386" customWidth="1"/>
    <col min="13828" max="13828" width="69.33203125" style="386" customWidth="1"/>
    <col min="13829" max="13829" width="10.6640625" style="386" customWidth="1"/>
    <col min="13830" max="13830" width="12.44140625" style="386" customWidth="1"/>
    <col min="13831" max="13831" width="17.33203125" style="386" customWidth="1"/>
    <col min="13832" max="13832" width="14.77734375" style="386" customWidth="1"/>
    <col min="13833" max="13833" width="13.44140625" style="386" customWidth="1"/>
    <col min="13834" max="13834" width="16.109375" style="386" customWidth="1"/>
    <col min="13835" max="13836" width="14.33203125" style="386" customWidth="1"/>
    <col min="13837" max="13837" width="14" style="386"/>
    <col min="13838" max="13861" width="0" style="386" hidden="1" customWidth="1"/>
    <col min="13862" max="14080" width="14" style="386"/>
    <col min="14081" max="14081" width="3.33203125" style="386" customWidth="1"/>
    <col min="14082" max="14082" width="1.44140625" style="386" customWidth="1"/>
    <col min="14083" max="14083" width="17.33203125" style="386" customWidth="1"/>
    <col min="14084" max="14084" width="69.33203125" style="386" customWidth="1"/>
    <col min="14085" max="14085" width="10.6640625" style="386" customWidth="1"/>
    <col min="14086" max="14086" width="12.44140625" style="386" customWidth="1"/>
    <col min="14087" max="14087" width="17.33203125" style="386" customWidth="1"/>
    <col min="14088" max="14088" width="14.77734375" style="386" customWidth="1"/>
    <col min="14089" max="14089" width="13.44140625" style="386" customWidth="1"/>
    <col min="14090" max="14090" width="16.109375" style="386" customWidth="1"/>
    <col min="14091" max="14092" width="14.33203125" style="386" customWidth="1"/>
    <col min="14093" max="14093" width="14" style="386"/>
    <col min="14094" max="14117" width="0" style="386" hidden="1" customWidth="1"/>
    <col min="14118" max="14336" width="14" style="386"/>
    <col min="14337" max="14337" width="3.33203125" style="386" customWidth="1"/>
    <col min="14338" max="14338" width="1.44140625" style="386" customWidth="1"/>
    <col min="14339" max="14339" width="17.33203125" style="386" customWidth="1"/>
    <col min="14340" max="14340" width="69.33203125" style="386" customWidth="1"/>
    <col min="14341" max="14341" width="10.6640625" style="386" customWidth="1"/>
    <col min="14342" max="14342" width="12.44140625" style="386" customWidth="1"/>
    <col min="14343" max="14343" width="17.33203125" style="386" customWidth="1"/>
    <col min="14344" max="14344" width="14.77734375" style="386" customWidth="1"/>
    <col min="14345" max="14345" width="13.44140625" style="386" customWidth="1"/>
    <col min="14346" max="14346" width="16.109375" style="386" customWidth="1"/>
    <col min="14347" max="14348" width="14.33203125" style="386" customWidth="1"/>
    <col min="14349" max="14349" width="14" style="386"/>
    <col min="14350" max="14373" width="0" style="386" hidden="1" customWidth="1"/>
    <col min="14374" max="14592" width="14" style="386"/>
    <col min="14593" max="14593" width="3.33203125" style="386" customWidth="1"/>
    <col min="14594" max="14594" width="1.44140625" style="386" customWidth="1"/>
    <col min="14595" max="14595" width="17.33203125" style="386" customWidth="1"/>
    <col min="14596" max="14596" width="69.33203125" style="386" customWidth="1"/>
    <col min="14597" max="14597" width="10.6640625" style="386" customWidth="1"/>
    <col min="14598" max="14598" width="12.44140625" style="386" customWidth="1"/>
    <col min="14599" max="14599" width="17.33203125" style="386" customWidth="1"/>
    <col min="14600" max="14600" width="14.77734375" style="386" customWidth="1"/>
    <col min="14601" max="14601" width="13.44140625" style="386" customWidth="1"/>
    <col min="14602" max="14602" width="16.109375" style="386" customWidth="1"/>
    <col min="14603" max="14604" width="14.33203125" style="386" customWidth="1"/>
    <col min="14605" max="14605" width="14" style="386"/>
    <col min="14606" max="14629" width="0" style="386" hidden="1" customWidth="1"/>
    <col min="14630" max="14848" width="14" style="386"/>
    <col min="14849" max="14849" width="3.33203125" style="386" customWidth="1"/>
    <col min="14850" max="14850" width="1.44140625" style="386" customWidth="1"/>
    <col min="14851" max="14851" width="17.33203125" style="386" customWidth="1"/>
    <col min="14852" max="14852" width="69.33203125" style="386" customWidth="1"/>
    <col min="14853" max="14853" width="10.6640625" style="386" customWidth="1"/>
    <col min="14854" max="14854" width="12.44140625" style="386" customWidth="1"/>
    <col min="14855" max="14855" width="17.33203125" style="386" customWidth="1"/>
    <col min="14856" max="14856" width="14.77734375" style="386" customWidth="1"/>
    <col min="14857" max="14857" width="13.44140625" style="386" customWidth="1"/>
    <col min="14858" max="14858" width="16.109375" style="386" customWidth="1"/>
    <col min="14859" max="14860" width="14.33203125" style="386" customWidth="1"/>
    <col min="14861" max="14861" width="14" style="386"/>
    <col min="14862" max="14885" width="0" style="386" hidden="1" customWidth="1"/>
    <col min="14886" max="15104" width="14" style="386"/>
    <col min="15105" max="15105" width="3.33203125" style="386" customWidth="1"/>
    <col min="15106" max="15106" width="1.44140625" style="386" customWidth="1"/>
    <col min="15107" max="15107" width="17.33203125" style="386" customWidth="1"/>
    <col min="15108" max="15108" width="69.33203125" style="386" customWidth="1"/>
    <col min="15109" max="15109" width="10.6640625" style="386" customWidth="1"/>
    <col min="15110" max="15110" width="12.44140625" style="386" customWidth="1"/>
    <col min="15111" max="15111" width="17.33203125" style="386" customWidth="1"/>
    <col min="15112" max="15112" width="14.77734375" style="386" customWidth="1"/>
    <col min="15113" max="15113" width="13.44140625" style="386" customWidth="1"/>
    <col min="15114" max="15114" width="16.109375" style="386" customWidth="1"/>
    <col min="15115" max="15116" width="14.33203125" style="386" customWidth="1"/>
    <col min="15117" max="15117" width="14" style="386"/>
    <col min="15118" max="15141" width="0" style="386" hidden="1" customWidth="1"/>
    <col min="15142" max="15360" width="14" style="386"/>
    <col min="15361" max="15361" width="3.33203125" style="386" customWidth="1"/>
    <col min="15362" max="15362" width="1.44140625" style="386" customWidth="1"/>
    <col min="15363" max="15363" width="17.33203125" style="386" customWidth="1"/>
    <col min="15364" max="15364" width="69.33203125" style="386" customWidth="1"/>
    <col min="15365" max="15365" width="10.6640625" style="386" customWidth="1"/>
    <col min="15366" max="15366" width="12.44140625" style="386" customWidth="1"/>
    <col min="15367" max="15367" width="17.33203125" style="386" customWidth="1"/>
    <col min="15368" max="15368" width="14.77734375" style="386" customWidth="1"/>
    <col min="15369" max="15369" width="13.44140625" style="386" customWidth="1"/>
    <col min="15370" max="15370" width="16.109375" style="386" customWidth="1"/>
    <col min="15371" max="15372" width="14.33203125" style="386" customWidth="1"/>
    <col min="15373" max="15373" width="14" style="386"/>
    <col min="15374" max="15397" width="0" style="386" hidden="1" customWidth="1"/>
    <col min="15398" max="15616" width="14" style="386"/>
    <col min="15617" max="15617" width="3.33203125" style="386" customWidth="1"/>
    <col min="15618" max="15618" width="1.44140625" style="386" customWidth="1"/>
    <col min="15619" max="15619" width="17.33203125" style="386" customWidth="1"/>
    <col min="15620" max="15620" width="69.33203125" style="386" customWidth="1"/>
    <col min="15621" max="15621" width="10.6640625" style="386" customWidth="1"/>
    <col min="15622" max="15622" width="12.44140625" style="386" customWidth="1"/>
    <col min="15623" max="15623" width="17.33203125" style="386" customWidth="1"/>
    <col min="15624" max="15624" width="14.77734375" style="386" customWidth="1"/>
    <col min="15625" max="15625" width="13.44140625" style="386" customWidth="1"/>
    <col min="15626" max="15626" width="16.109375" style="386" customWidth="1"/>
    <col min="15627" max="15628" width="14.33203125" style="386" customWidth="1"/>
    <col min="15629" max="15629" width="14" style="386"/>
    <col min="15630" max="15653" width="0" style="386" hidden="1" customWidth="1"/>
    <col min="15654" max="15872" width="14" style="386"/>
    <col min="15873" max="15873" width="3.33203125" style="386" customWidth="1"/>
    <col min="15874" max="15874" width="1.44140625" style="386" customWidth="1"/>
    <col min="15875" max="15875" width="17.33203125" style="386" customWidth="1"/>
    <col min="15876" max="15876" width="69.33203125" style="386" customWidth="1"/>
    <col min="15877" max="15877" width="10.6640625" style="386" customWidth="1"/>
    <col min="15878" max="15878" width="12.44140625" style="386" customWidth="1"/>
    <col min="15879" max="15879" width="17.33203125" style="386" customWidth="1"/>
    <col min="15880" max="15880" width="14.77734375" style="386" customWidth="1"/>
    <col min="15881" max="15881" width="13.44140625" style="386" customWidth="1"/>
    <col min="15882" max="15882" width="16.109375" style="386" customWidth="1"/>
    <col min="15883" max="15884" width="14.33203125" style="386" customWidth="1"/>
    <col min="15885" max="15885" width="14" style="386"/>
    <col min="15886" max="15909" width="0" style="386" hidden="1" customWidth="1"/>
    <col min="15910" max="16128" width="14" style="386"/>
    <col min="16129" max="16129" width="3.33203125" style="386" customWidth="1"/>
    <col min="16130" max="16130" width="1.44140625" style="386" customWidth="1"/>
    <col min="16131" max="16131" width="17.33203125" style="386" customWidth="1"/>
    <col min="16132" max="16132" width="69.33203125" style="386" customWidth="1"/>
    <col min="16133" max="16133" width="10.6640625" style="386" customWidth="1"/>
    <col min="16134" max="16134" width="12.44140625" style="386" customWidth="1"/>
    <col min="16135" max="16135" width="17.33203125" style="386" customWidth="1"/>
    <col min="16136" max="16136" width="14.77734375" style="386" customWidth="1"/>
    <col min="16137" max="16137" width="13.44140625" style="386" customWidth="1"/>
    <col min="16138" max="16138" width="16.109375" style="386" customWidth="1"/>
    <col min="16139" max="16140" width="14.33203125" style="386" customWidth="1"/>
    <col min="16141" max="16141" width="14" style="386"/>
    <col min="16142" max="16165" width="0" style="386" hidden="1" customWidth="1"/>
    <col min="16166" max="16384" width="14" style="386"/>
  </cols>
  <sheetData>
    <row r="1" spans="1:37" ht="22" customHeight="1">
      <c r="A1" s="384" t="s">
        <v>2822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</row>
    <row r="2" spans="1:37">
      <c r="A2" s="387" t="s">
        <v>2823</v>
      </c>
      <c r="B2" s="388"/>
      <c r="C2" s="388"/>
      <c r="D2" s="389" t="s">
        <v>2824</v>
      </c>
      <c r="E2" s="390" t="s">
        <v>2825</v>
      </c>
      <c r="F2" s="388"/>
      <c r="G2" s="390"/>
      <c r="H2" s="388"/>
      <c r="I2" s="390" t="s">
        <v>2826</v>
      </c>
      <c r="J2" s="390"/>
      <c r="K2" s="388"/>
      <c r="L2" s="391"/>
      <c r="M2" s="392"/>
    </row>
    <row r="3" spans="1:37">
      <c r="A3" s="393"/>
      <c r="B3" s="394"/>
      <c r="C3" s="394"/>
      <c r="D3" s="395"/>
      <c r="E3" s="394"/>
      <c r="F3" s="394"/>
      <c r="G3" s="394"/>
      <c r="H3" s="394"/>
      <c r="I3" s="394"/>
      <c r="J3" s="394"/>
      <c r="K3" s="394"/>
      <c r="L3" s="396"/>
      <c r="M3" s="392"/>
    </row>
    <row r="4" spans="1:37">
      <c r="A4" s="397" t="s">
        <v>2827</v>
      </c>
      <c r="B4" s="394"/>
      <c r="C4" s="394"/>
      <c r="D4" s="398" t="s">
        <v>2828</v>
      </c>
      <c r="E4" s="398" t="s">
        <v>2829</v>
      </c>
      <c r="F4" s="394"/>
      <c r="G4" s="399"/>
      <c r="H4" s="394"/>
      <c r="I4" s="398" t="s">
        <v>31</v>
      </c>
      <c r="J4" s="398"/>
      <c r="K4" s="394"/>
      <c r="L4" s="396"/>
      <c r="M4" s="392"/>
    </row>
    <row r="5" spans="1:37">
      <c r="A5" s="393"/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6"/>
      <c r="M5" s="392"/>
    </row>
    <row r="6" spans="1:37">
      <c r="A6" s="397" t="s">
        <v>2830</v>
      </c>
      <c r="B6" s="394"/>
      <c r="C6" s="394"/>
      <c r="D6" s="398"/>
      <c r="E6" s="398" t="s">
        <v>2831</v>
      </c>
      <c r="F6" s="394"/>
      <c r="G6" s="394"/>
      <c r="H6" s="394"/>
      <c r="I6" s="398" t="s">
        <v>2832</v>
      </c>
      <c r="J6" s="398"/>
      <c r="K6" s="394"/>
      <c r="L6" s="396"/>
      <c r="M6" s="392"/>
    </row>
    <row r="7" spans="1:37">
      <c r="A7" s="393"/>
      <c r="B7" s="394"/>
      <c r="C7" s="394"/>
      <c r="D7" s="394"/>
      <c r="E7" s="394"/>
      <c r="F7" s="394"/>
      <c r="G7" s="394"/>
      <c r="H7" s="394"/>
      <c r="I7" s="394"/>
      <c r="J7" s="394"/>
      <c r="K7" s="394"/>
      <c r="L7" s="396"/>
      <c r="M7" s="392"/>
    </row>
    <row r="8" spans="1:37">
      <c r="A8" s="397" t="s">
        <v>2833</v>
      </c>
      <c r="B8" s="394"/>
      <c r="C8" s="394"/>
      <c r="D8" s="398"/>
      <c r="E8" s="398" t="s">
        <v>2834</v>
      </c>
      <c r="F8" s="394"/>
      <c r="G8" s="399"/>
      <c r="H8" s="394"/>
      <c r="I8" s="398" t="s">
        <v>2835</v>
      </c>
      <c r="J8" s="398"/>
      <c r="K8" s="394"/>
      <c r="L8" s="396"/>
      <c r="M8" s="392"/>
    </row>
    <row r="9" spans="1:37" ht="13" thickBot="1">
      <c r="A9" s="400"/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2"/>
      <c r="M9" s="392"/>
    </row>
    <row r="10" spans="1:37" ht="13">
      <c r="A10" s="403" t="s">
        <v>2836</v>
      </c>
      <c r="B10" s="404" t="s">
        <v>2836</v>
      </c>
      <c r="C10" s="404" t="s">
        <v>2836</v>
      </c>
      <c r="D10" s="404" t="s">
        <v>2836</v>
      </c>
      <c r="E10" s="404" t="s">
        <v>2836</v>
      </c>
      <c r="F10" s="404" t="s">
        <v>2836</v>
      </c>
      <c r="G10" s="405" t="s">
        <v>2837</v>
      </c>
      <c r="H10" s="406" t="s">
        <v>2838</v>
      </c>
      <c r="I10" s="407"/>
      <c r="J10" s="408"/>
      <c r="K10" s="406" t="s">
        <v>2839</v>
      </c>
      <c r="L10" s="408"/>
      <c r="M10" s="409"/>
    </row>
    <row r="11" spans="1:37" ht="13.5" thickBot="1">
      <c r="A11" s="410" t="s">
        <v>2840</v>
      </c>
      <c r="B11" s="411" t="s">
        <v>2758</v>
      </c>
      <c r="C11" s="411" t="s">
        <v>53</v>
      </c>
      <c r="D11" s="411" t="s">
        <v>2841</v>
      </c>
      <c r="E11" s="411" t="s">
        <v>2842</v>
      </c>
      <c r="F11" s="412" t="s">
        <v>116</v>
      </c>
      <c r="G11" s="413" t="s">
        <v>2843</v>
      </c>
      <c r="H11" s="414" t="s">
        <v>2844</v>
      </c>
      <c r="I11" s="415" t="s">
        <v>2845</v>
      </c>
      <c r="J11" s="416" t="s">
        <v>2846</v>
      </c>
      <c r="K11" s="414" t="s">
        <v>2837</v>
      </c>
      <c r="L11" s="416" t="s">
        <v>2846</v>
      </c>
      <c r="M11" s="409"/>
      <c r="P11" s="417" t="s">
        <v>2847</v>
      </c>
      <c r="Q11" s="417" t="s">
        <v>2848</v>
      </c>
      <c r="R11" s="417" t="s">
        <v>2849</v>
      </c>
      <c r="S11" s="417" t="s">
        <v>2850</v>
      </c>
      <c r="T11" s="417" t="s">
        <v>2851</v>
      </c>
      <c r="U11" s="417" t="s">
        <v>2852</v>
      </c>
      <c r="V11" s="417" t="s">
        <v>2853</v>
      </c>
      <c r="W11" s="417" t="s">
        <v>2854</v>
      </c>
      <c r="X11" s="417" t="s">
        <v>2855</v>
      </c>
    </row>
    <row r="12" spans="1:37" ht="13">
      <c r="A12" s="418"/>
      <c r="B12" s="418"/>
      <c r="C12" s="419" t="s">
        <v>2856</v>
      </c>
      <c r="D12" s="420" t="s">
        <v>2857</v>
      </c>
      <c r="E12" s="421"/>
      <c r="F12" s="421"/>
      <c r="G12" s="421"/>
      <c r="H12" s="422"/>
      <c r="I12" s="423"/>
      <c r="J12" s="424">
        <f>SUM(J13:J79)</f>
        <v>0</v>
      </c>
      <c r="K12" s="423"/>
      <c r="L12" s="425">
        <f>SUM(L13:L79)</f>
        <v>0</v>
      </c>
      <c r="P12" s="425">
        <f>IF(Q12="PR",J12,SUM(O13:O79))</f>
        <v>0</v>
      </c>
      <c r="Q12" s="417" t="s">
        <v>2858</v>
      </c>
      <c r="R12" s="425">
        <f>IF(Q12="HS",H12,0)</f>
        <v>0</v>
      </c>
      <c r="S12" s="425">
        <f>IF(Q12="HS",I12-P12,0)</f>
        <v>0</v>
      </c>
      <c r="T12" s="425">
        <f>IF(Q12="PS",H12,0)</f>
        <v>0</v>
      </c>
      <c r="U12" s="425">
        <f>IF(Q12="PS",I12-P12,0)</f>
        <v>0</v>
      </c>
      <c r="V12" s="425">
        <f>IF(Q12="MP",H12,0)</f>
        <v>0</v>
      </c>
      <c r="W12" s="425">
        <f>IF(Q12="MP",I12-P12,0)</f>
        <v>0</v>
      </c>
      <c r="X12" s="425">
        <f>IF(Q12="OM",H12,0)</f>
        <v>0</v>
      </c>
      <c r="Y12" s="417" t="s">
        <v>2859</v>
      </c>
      <c r="AI12" s="425">
        <f>SUM(Z13:Z79)</f>
        <v>0</v>
      </c>
      <c r="AJ12" s="425">
        <f>SUM(AA13:AA79)</f>
        <v>0</v>
      </c>
      <c r="AK12" s="425">
        <f>SUM(AB13:AB79)</f>
        <v>0</v>
      </c>
    </row>
    <row r="13" spans="1:37">
      <c r="A13" s="426"/>
      <c r="B13" s="426"/>
      <c r="C13" s="426" t="s">
        <v>2860</v>
      </c>
      <c r="D13" s="426" t="s">
        <v>2861</v>
      </c>
      <c r="E13" s="427" t="s">
        <v>258</v>
      </c>
      <c r="F13" s="428">
        <f>(2+5+1+2+1+3)*1.25</f>
        <v>17.5</v>
      </c>
      <c r="G13" s="428">
        <f>H13+I13</f>
        <v>0</v>
      </c>
      <c r="H13" s="428"/>
      <c r="I13" s="428"/>
      <c r="J13" s="428">
        <f>ROUND(F13*G13,2)</f>
        <v>0</v>
      </c>
      <c r="K13" s="428"/>
      <c r="L13" s="428"/>
      <c r="N13" s="429" t="s">
        <v>80</v>
      </c>
      <c r="O13" s="428">
        <f>IF(N13="5",I13,0)</f>
        <v>0</v>
      </c>
      <c r="Z13" s="428">
        <f>IF(AD13=0,J13,0)</f>
        <v>0</v>
      </c>
      <c r="AA13" s="428">
        <f>IF(AD13=10,J13,0)</f>
        <v>0</v>
      </c>
      <c r="AB13" s="428">
        <f>IF(AD13=20,J13,0)</f>
        <v>0</v>
      </c>
      <c r="AD13" s="428">
        <v>20</v>
      </c>
      <c r="AE13" s="428">
        <f>G13*0.261294932395295</f>
        <v>0</v>
      </c>
      <c r="AF13" s="428">
        <f>G13*(1-0.261294932395295)</f>
        <v>0</v>
      </c>
    </row>
    <row r="14" spans="1:37">
      <c r="A14" s="426"/>
      <c r="B14" s="426"/>
      <c r="C14" s="426" t="s">
        <v>2862</v>
      </c>
      <c r="D14" s="426" t="s">
        <v>2863</v>
      </c>
      <c r="E14" s="427" t="s">
        <v>258</v>
      </c>
      <c r="F14" s="428">
        <v>35.4</v>
      </c>
      <c r="G14" s="428">
        <f t="shared" ref="G14:G21" si="0">H14+I14</f>
        <v>0</v>
      </c>
      <c r="H14" s="428"/>
      <c r="I14" s="428"/>
      <c r="J14" s="428">
        <f t="shared" ref="J14:J21" si="1">ROUND(F14*G14,2)</f>
        <v>0</v>
      </c>
      <c r="K14" s="428"/>
      <c r="L14" s="428"/>
      <c r="N14" s="429"/>
      <c r="O14" s="428"/>
      <c r="Z14" s="428"/>
      <c r="AA14" s="428"/>
      <c r="AB14" s="428"/>
      <c r="AD14" s="428"/>
      <c r="AE14" s="428"/>
      <c r="AF14" s="428"/>
    </row>
    <row r="15" spans="1:37">
      <c r="A15" s="426"/>
      <c r="B15" s="426"/>
      <c r="C15" s="426" t="s">
        <v>2864</v>
      </c>
      <c r="D15" s="426" t="s">
        <v>2865</v>
      </c>
      <c r="E15" s="427" t="s">
        <v>258</v>
      </c>
      <c r="F15" s="428">
        <f>(4+3+2)*1.25</f>
        <v>11.25</v>
      </c>
      <c r="G15" s="428">
        <f t="shared" si="0"/>
        <v>0</v>
      </c>
      <c r="H15" s="428"/>
      <c r="I15" s="428"/>
      <c r="J15" s="428">
        <f t="shared" si="1"/>
        <v>0</v>
      </c>
      <c r="K15" s="428"/>
      <c r="L15" s="428"/>
      <c r="N15" s="429" t="s">
        <v>80</v>
      </c>
      <c r="O15" s="428">
        <f>IF(N15="5",I15,0)</f>
        <v>0</v>
      </c>
      <c r="Z15" s="428">
        <f>IF(AD15=0,J15,0)</f>
        <v>0</v>
      </c>
      <c r="AA15" s="428">
        <f>IF(AD15=10,J15,0)</f>
        <v>0</v>
      </c>
      <c r="AB15" s="428">
        <f>IF(AD15=20,J15,0)</f>
        <v>0</v>
      </c>
      <c r="AD15" s="428">
        <v>20</v>
      </c>
      <c r="AE15" s="428">
        <f>G15*0.260217685885387</f>
        <v>0</v>
      </c>
      <c r="AF15" s="428">
        <f>G15*(1-0.260217685885387)</f>
        <v>0</v>
      </c>
    </row>
    <row r="16" spans="1:37">
      <c r="A16" s="426"/>
      <c r="B16" s="426"/>
      <c r="C16" s="426" t="s">
        <v>2866</v>
      </c>
      <c r="D16" s="426" t="s">
        <v>2867</v>
      </c>
      <c r="E16" s="427" t="s">
        <v>258</v>
      </c>
      <c r="F16" s="428">
        <f>(2+1+5+2+3)*1.25</f>
        <v>16.25</v>
      </c>
      <c r="G16" s="428">
        <f t="shared" si="0"/>
        <v>0</v>
      </c>
      <c r="H16" s="428"/>
      <c r="I16" s="428"/>
      <c r="J16" s="428">
        <f t="shared" si="1"/>
        <v>0</v>
      </c>
      <c r="K16" s="428"/>
      <c r="L16" s="428"/>
      <c r="N16" s="429" t="s">
        <v>80</v>
      </c>
      <c r="O16" s="428">
        <f>IF(N16="5",I16,0)</f>
        <v>0</v>
      </c>
      <c r="Z16" s="428">
        <f>IF(AD16=0,J16,0)</f>
        <v>0</v>
      </c>
      <c r="AA16" s="428">
        <f>IF(AD16=10,J16,0)</f>
        <v>0</v>
      </c>
      <c r="AB16" s="428">
        <f>IF(AD16=20,J16,0)</f>
        <v>0</v>
      </c>
      <c r="AD16" s="428">
        <v>20</v>
      </c>
      <c r="AE16" s="428">
        <f>G16*0.219328806569732</f>
        <v>0</v>
      </c>
      <c r="AF16" s="428">
        <f>G16*(1-0.219328806569732)</f>
        <v>0</v>
      </c>
    </row>
    <row r="17" spans="1:32">
      <c r="A17" s="426"/>
      <c r="B17" s="426"/>
      <c r="C17" s="426" t="s">
        <v>2868</v>
      </c>
      <c r="D17" s="426" t="s">
        <v>2869</v>
      </c>
      <c r="E17" s="427" t="s">
        <v>258</v>
      </c>
      <c r="F17" s="428">
        <f>6*3.8</f>
        <v>22.799999999999997</v>
      </c>
      <c r="G17" s="428">
        <f t="shared" si="0"/>
        <v>0</v>
      </c>
      <c r="H17" s="428"/>
      <c r="I17" s="428"/>
      <c r="J17" s="428">
        <f t="shared" si="1"/>
        <v>0</v>
      </c>
      <c r="K17" s="428"/>
      <c r="L17" s="428"/>
      <c r="N17" s="429" t="s">
        <v>80</v>
      </c>
      <c r="O17" s="428">
        <f>IF(N17="5",I17,0)</f>
        <v>0</v>
      </c>
      <c r="Z17" s="428">
        <f>IF(AD17=0,J17,0)</f>
        <v>0</v>
      </c>
      <c r="AA17" s="428">
        <f>IF(AD17=10,J17,0)</f>
        <v>0</v>
      </c>
      <c r="AB17" s="428">
        <f>IF(AD17=20,J17,0)</f>
        <v>0</v>
      </c>
      <c r="AD17" s="428">
        <v>20</v>
      </c>
      <c r="AE17" s="428">
        <f>G17*0.360559692684078</f>
        <v>0</v>
      </c>
      <c r="AF17" s="428">
        <f>G17*(1-0.360559692684078)</f>
        <v>0</v>
      </c>
    </row>
    <row r="18" spans="1:32">
      <c r="A18" s="426"/>
      <c r="B18" s="426"/>
      <c r="C18" s="426" t="s">
        <v>2870</v>
      </c>
      <c r="D18" s="426" t="s">
        <v>2871</v>
      </c>
      <c r="E18" s="427" t="s">
        <v>258</v>
      </c>
      <c r="F18" s="428">
        <f>12*3.8</f>
        <v>45.599999999999994</v>
      </c>
      <c r="G18" s="428">
        <f t="shared" si="0"/>
        <v>0</v>
      </c>
      <c r="H18" s="428"/>
      <c r="I18" s="428"/>
      <c r="J18" s="428">
        <f t="shared" si="1"/>
        <v>0</v>
      </c>
      <c r="K18" s="428"/>
      <c r="L18" s="428"/>
      <c r="N18" s="429" t="s">
        <v>80</v>
      </c>
      <c r="O18" s="428">
        <f>IF(N18="5",I18,0)</f>
        <v>0</v>
      </c>
      <c r="Z18" s="428">
        <f>IF(AD18=0,J18,0)</f>
        <v>0</v>
      </c>
      <c r="AA18" s="428">
        <f>IF(AD18=10,J18,0)</f>
        <v>0</v>
      </c>
      <c r="AB18" s="428">
        <f>IF(AD18=20,J18,0)</f>
        <v>0</v>
      </c>
      <c r="AD18" s="428">
        <v>20</v>
      </c>
      <c r="AE18" s="428">
        <f>G18*0.554492968649206</f>
        <v>0</v>
      </c>
      <c r="AF18" s="428">
        <f>G18*(1-0.554492968649206)</f>
        <v>0</v>
      </c>
    </row>
    <row r="19" spans="1:32">
      <c r="A19" s="426"/>
      <c r="B19" s="426"/>
      <c r="C19" s="430" t="s">
        <v>2872</v>
      </c>
      <c r="D19" s="431" t="s">
        <v>2873</v>
      </c>
      <c r="E19" s="432" t="s">
        <v>2874</v>
      </c>
      <c r="F19" s="430">
        <v>2</v>
      </c>
      <c r="G19" s="428">
        <f t="shared" si="0"/>
        <v>0</v>
      </c>
      <c r="H19" s="428"/>
      <c r="I19" s="428"/>
      <c r="J19" s="428">
        <f t="shared" si="1"/>
        <v>0</v>
      </c>
      <c r="K19" s="428"/>
      <c r="L19" s="428"/>
      <c r="N19" s="429"/>
      <c r="O19" s="428"/>
      <c r="Z19" s="428"/>
      <c r="AA19" s="428"/>
      <c r="AB19" s="428"/>
      <c r="AD19" s="428"/>
      <c r="AE19" s="428"/>
      <c r="AF19" s="428"/>
    </row>
    <row r="20" spans="1:32">
      <c r="A20" s="426"/>
      <c r="B20" s="426"/>
      <c r="C20" s="430" t="s">
        <v>2875</v>
      </c>
      <c r="D20" s="431" t="s">
        <v>2876</v>
      </c>
      <c r="E20" s="432" t="s">
        <v>2874</v>
      </c>
      <c r="F20" s="430">
        <v>11</v>
      </c>
      <c r="G20" s="428">
        <f t="shared" si="0"/>
        <v>0</v>
      </c>
      <c r="H20" s="428"/>
      <c r="I20" s="428"/>
      <c r="J20" s="428">
        <f t="shared" si="1"/>
        <v>0</v>
      </c>
      <c r="K20" s="428"/>
      <c r="L20" s="428"/>
      <c r="N20" s="429"/>
      <c r="O20" s="428"/>
      <c r="Z20" s="428"/>
      <c r="AA20" s="428"/>
      <c r="AB20" s="428"/>
      <c r="AD20" s="428"/>
      <c r="AE20" s="428"/>
      <c r="AF20" s="428"/>
    </row>
    <row r="21" spans="1:32">
      <c r="A21" s="426"/>
      <c r="B21" s="426"/>
      <c r="C21" s="430" t="s">
        <v>2877</v>
      </c>
      <c r="D21" s="431" t="s">
        <v>2878</v>
      </c>
      <c r="E21" s="432" t="s">
        <v>2874</v>
      </c>
      <c r="F21" s="430">
        <v>2</v>
      </c>
      <c r="G21" s="428">
        <f t="shared" si="0"/>
        <v>0</v>
      </c>
      <c r="H21" s="428"/>
      <c r="I21" s="428"/>
      <c r="J21" s="428">
        <f t="shared" si="1"/>
        <v>0</v>
      </c>
      <c r="K21" s="428"/>
      <c r="L21" s="428"/>
      <c r="N21" s="429"/>
      <c r="O21" s="428"/>
      <c r="Z21" s="428"/>
      <c r="AA21" s="428"/>
      <c r="AB21" s="428"/>
      <c r="AD21" s="428"/>
      <c r="AE21" s="428"/>
      <c r="AF21" s="428"/>
    </row>
    <row r="22" spans="1:32" ht="13">
      <c r="A22" s="426"/>
      <c r="B22" s="426"/>
      <c r="C22" s="430"/>
      <c r="D22" s="433" t="s">
        <v>2879</v>
      </c>
      <c r="E22" s="432"/>
      <c r="F22" s="434"/>
      <c r="G22" s="428"/>
      <c r="H22" s="428"/>
      <c r="I22" s="428"/>
      <c r="J22" s="428"/>
      <c r="K22" s="428"/>
      <c r="L22" s="428"/>
      <c r="N22" s="429"/>
      <c r="O22" s="428"/>
      <c r="Z22" s="428"/>
      <c r="AA22" s="428"/>
      <c r="AB22" s="428"/>
      <c r="AD22" s="428"/>
      <c r="AE22" s="428"/>
      <c r="AF22" s="428"/>
    </row>
    <row r="23" spans="1:32" ht="13">
      <c r="A23" s="426"/>
      <c r="B23" s="426"/>
      <c r="C23" s="430"/>
      <c r="D23" s="433" t="s">
        <v>2880</v>
      </c>
      <c r="E23" s="432"/>
      <c r="F23" s="434"/>
      <c r="G23" s="428"/>
      <c r="H23" s="428"/>
      <c r="I23" s="428"/>
      <c r="J23" s="428"/>
      <c r="K23" s="428"/>
      <c r="L23" s="428"/>
      <c r="N23" s="429"/>
      <c r="O23" s="428"/>
      <c r="Z23" s="428"/>
      <c r="AA23" s="428"/>
      <c r="AB23" s="428"/>
      <c r="AD23" s="428"/>
      <c r="AE23" s="428"/>
      <c r="AF23" s="428"/>
    </row>
    <row r="24" spans="1:32">
      <c r="A24" s="426"/>
      <c r="B24" s="426"/>
      <c r="C24" s="430" t="s">
        <v>2881</v>
      </c>
      <c r="D24" s="431" t="s">
        <v>2882</v>
      </c>
      <c r="E24" s="432" t="s">
        <v>2836</v>
      </c>
      <c r="F24" s="434"/>
      <c r="G24" s="428"/>
      <c r="H24" s="428"/>
      <c r="I24" s="428"/>
      <c r="J24" s="428"/>
      <c r="K24" s="428"/>
      <c r="L24" s="428"/>
      <c r="N24" s="429"/>
      <c r="O24" s="428"/>
      <c r="Z24" s="428"/>
      <c r="AA24" s="428"/>
      <c r="AB24" s="428"/>
      <c r="AD24" s="428"/>
      <c r="AE24" s="428"/>
      <c r="AF24" s="428"/>
    </row>
    <row r="25" spans="1:32" ht="15" customHeight="1">
      <c r="A25" s="426"/>
      <c r="B25" s="426"/>
      <c r="C25" s="430"/>
      <c r="D25" s="431" t="s">
        <v>2883</v>
      </c>
      <c r="E25" s="432" t="s">
        <v>426</v>
      </c>
      <c r="F25" s="430">
        <v>35</v>
      </c>
      <c r="G25" s="428">
        <f>H25+I25</f>
        <v>0</v>
      </c>
      <c r="H25" s="428"/>
      <c r="I25" s="428"/>
      <c r="J25" s="428">
        <f>ROUND(F25*G25,2)</f>
        <v>0</v>
      </c>
      <c r="K25" s="428"/>
      <c r="L25" s="428"/>
      <c r="N25" s="429"/>
      <c r="O25" s="428"/>
      <c r="Z25" s="428"/>
      <c r="AA25" s="428"/>
      <c r="AB25" s="428"/>
      <c r="AD25" s="428"/>
      <c r="AE25" s="428"/>
      <c r="AF25" s="428"/>
    </row>
    <row r="26" spans="1:32" ht="15" customHeight="1">
      <c r="A26" s="426"/>
      <c r="B26" s="426"/>
      <c r="C26" s="430"/>
      <c r="D26" s="433" t="s">
        <v>2884</v>
      </c>
      <c r="E26" s="432"/>
      <c r="F26" s="430"/>
      <c r="G26" s="428"/>
      <c r="H26" s="428"/>
      <c r="I26" s="428"/>
      <c r="J26" s="428"/>
      <c r="K26" s="428"/>
      <c r="L26" s="428"/>
      <c r="N26" s="429"/>
      <c r="O26" s="428"/>
      <c r="Z26" s="428"/>
      <c r="AA26" s="428"/>
      <c r="AB26" s="428"/>
      <c r="AD26" s="428"/>
      <c r="AE26" s="428"/>
      <c r="AF26" s="428"/>
    </row>
    <row r="27" spans="1:32" ht="15" customHeight="1">
      <c r="A27" s="426"/>
      <c r="B27" s="426"/>
      <c r="C27" s="430" t="s">
        <v>2885</v>
      </c>
      <c r="D27" s="435" t="s">
        <v>2886</v>
      </c>
      <c r="E27" s="432" t="s">
        <v>2874</v>
      </c>
      <c r="F27" s="430">
        <v>2</v>
      </c>
      <c r="G27" s="428">
        <f t="shared" ref="G27:G32" si="2">H27+I27</f>
        <v>0</v>
      </c>
      <c r="H27" s="428"/>
      <c r="I27" s="428"/>
      <c r="J27" s="428">
        <f t="shared" ref="J27:J32" si="3">ROUND(F27*G27,2)</f>
        <v>0</v>
      </c>
      <c r="K27" s="428"/>
      <c r="L27" s="428"/>
      <c r="N27" s="429"/>
      <c r="O27" s="428"/>
      <c r="Z27" s="428"/>
      <c r="AA27" s="428"/>
      <c r="AB27" s="428"/>
      <c r="AD27" s="428"/>
      <c r="AE27" s="428"/>
      <c r="AF27" s="428"/>
    </row>
    <row r="28" spans="1:32" ht="15" customHeight="1">
      <c r="A28" s="426"/>
      <c r="B28" s="426"/>
      <c r="C28" s="430" t="s">
        <v>2887</v>
      </c>
      <c r="D28" s="435" t="s">
        <v>2888</v>
      </c>
      <c r="E28" s="432" t="s">
        <v>2874</v>
      </c>
      <c r="F28" s="430">
        <v>11</v>
      </c>
      <c r="G28" s="428">
        <f t="shared" si="2"/>
        <v>0</v>
      </c>
      <c r="H28" s="428"/>
      <c r="I28" s="428"/>
      <c r="J28" s="428">
        <f t="shared" si="3"/>
        <v>0</v>
      </c>
      <c r="K28" s="428"/>
      <c r="L28" s="428"/>
      <c r="N28" s="429"/>
      <c r="O28" s="428"/>
      <c r="Z28" s="428"/>
      <c r="AA28" s="428"/>
      <c r="AB28" s="428"/>
      <c r="AD28" s="428"/>
      <c r="AE28" s="428"/>
      <c r="AF28" s="428"/>
    </row>
    <row r="29" spans="1:32" ht="15" customHeight="1">
      <c r="A29" s="426"/>
      <c r="B29" s="426"/>
      <c r="C29" s="430" t="s">
        <v>2889</v>
      </c>
      <c r="D29" s="435" t="s">
        <v>2890</v>
      </c>
      <c r="E29" s="432" t="s">
        <v>2874</v>
      </c>
      <c r="F29" s="430">
        <v>2</v>
      </c>
      <c r="G29" s="428">
        <f t="shared" si="2"/>
        <v>0</v>
      </c>
      <c r="H29" s="428"/>
      <c r="I29" s="428"/>
      <c r="J29" s="428">
        <f t="shared" si="3"/>
        <v>0</v>
      </c>
      <c r="K29" s="428"/>
      <c r="L29" s="428"/>
      <c r="N29" s="429"/>
      <c r="O29" s="428"/>
      <c r="Z29" s="428"/>
      <c r="AA29" s="428"/>
      <c r="AB29" s="428"/>
      <c r="AD29" s="428"/>
      <c r="AE29" s="428"/>
      <c r="AF29" s="428"/>
    </row>
    <row r="30" spans="1:32" ht="15" customHeight="1">
      <c r="A30" s="426"/>
      <c r="B30" s="426"/>
      <c r="C30" s="430" t="s">
        <v>2891</v>
      </c>
      <c r="D30" s="435" t="s">
        <v>2892</v>
      </c>
      <c r="E30" s="432" t="s">
        <v>2874</v>
      </c>
      <c r="F30" s="430">
        <v>5</v>
      </c>
      <c r="G30" s="428">
        <f t="shared" si="2"/>
        <v>0</v>
      </c>
      <c r="H30" s="428"/>
      <c r="I30" s="428"/>
      <c r="J30" s="428">
        <f t="shared" si="3"/>
        <v>0</v>
      </c>
      <c r="K30" s="428"/>
      <c r="L30" s="428"/>
      <c r="N30" s="429"/>
      <c r="O30" s="428"/>
      <c r="Z30" s="428"/>
      <c r="AA30" s="428"/>
      <c r="AB30" s="428"/>
      <c r="AD30" s="428"/>
      <c r="AE30" s="428"/>
      <c r="AF30" s="428"/>
    </row>
    <row r="31" spans="1:32" ht="15" customHeight="1">
      <c r="A31" s="426"/>
      <c r="B31" s="426"/>
      <c r="C31" s="430" t="s">
        <v>2893</v>
      </c>
      <c r="D31" s="435" t="s">
        <v>2894</v>
      </c>
      <c r="E31" s="432" t="s">
        <v>2874</v>
      </c>
      <c r="F31" s="430">
        <v>2</v>
      </c>
      <c r="G31" s="428">
        <f t="shared" si="2"/>
        <v>0</v>
      </c>
      <c r="H31" s="428"/>
      <c r="I31" s="428"/>
      <c r="J31" s="428">
        <f t="shared" si="3"/>
        <v>0</v>
      </c>
      <c r="K31" s="428"/>
      <c r="L31" s="428"/>
      <c r="N31" s="429"/>
      <c r="O31" s="428"/>
      <c r="Z31" s="428"/>
      <c r="AA31" s="428"/>
      <c r="AB31" s="428"/>
      <c r="AD31" s="428"/>
      <c r="AE31" s="428"/>
      <c r="AF31" s="428"/>
    </row>
    <row r="32" spans="1:32" ht="15" customHeight="1">
      <c r="A32" s="426"/>
      <c r="B32" s="426"/>
      <c r="C32" s="430" t="s">
        <v>2895</v>
      </c>
      <c r="D32" s="435" t="s">
        <v>2896</v>
      </c>
      <c r="E32" s="432" t="s">
        <v>2874</v>
      </c>
      <c r="F32" s="430">
        <v>1</v>
      </c>
      <c r="G32" s="428">
        <f t="shared" si="2"/>
        <v>0</v>
      </c>
      <c r="H32" s="428"/>
      <c r="I32" s="428"/>
      <c r="J32" s="428">
        <f t="shared" si="3"/>
        <v>0</v>
      </c>
      <c r="K32" s="428"/>
      <c r="L32" s="428"/>
      <c r="N32" s="429"/>
      <c r="O32" s="428"/>
      <c r="Z32" s="428"/>
      <c r="AA32" s="428"/>
      <c r="AB32" s="428"/>
      <c r="AD32" s="428"/>
      <c r="AE32" s="428"/>
      <c r="AF32" s="428"/>
    </row>
    <row r="33" spans="1:32" ht="15" customHeight="1">
      <c r="A33" s="426"/>
      <c r="B33" s="426"/>
      <c r="C33" s="430"/>
      <c r="D33" s="436" t="s">
        <v>2897</v>
      </c>
      <c r="E33" s="432"/>
      <c r="F33" s="434"/>
      <c r="G33" s="437"/>
      <c r="H33" s="428"/>
      <c r="I33" s="428"/>
      <c r="J33" s="428"/>
      <c r="K33" s="428"/>
      <c r="L33" s="428"/>
      <c r="N33" s="429"/>
      <c r="O33" s="428"/>
      <c r="Z33" s="428"/>
      <c r="AA33" s="428"/>
      <c r="AB33" s="428"/>
      <c r="AD33" s="428"/>
      <c r="AE33" s="428"/>
      <c r="AF33" s="428"/>
    </row>
    <row r="34" spans="1:32" ht="15" customHeight="1">
      <c r="A34" s="426"/>
      <c r="B34" s="426"/>
      <c r="C34" s="430"/>
      <c r="D34" s="431" t="s">
        <v>2882</v>
      </c>
      <c r="E34" s="432"/>
      <c r="F34" s="434"/>
      <c r="G34" s="437"/>
      <c r="H34" s="428"/>
      <c r="I34" s="428"/>
      <c r="J34" s="428"/>
      <c r="K34" s="428"/>
      <c r="L34" s="428"/>
      <c r="N34" s="429"/>
      <c r="O34" s="428"/>
      <c r="Z34" s="428"/>
      <c r="AA34" s="428"/>
      <c r="AB34" s="428"/>
      <c r="AD34" s="428"/>
      <c r="AE34" s="428"/>
      <c r="AF34" s="428"/>
    </row>
    <row r="35" spans="1:32" ht="15" customHeight="1">
      <c r="A35" s="426"/>
      <c r="B35" s="426"/>
      <c r="C35" s="430"/>
      <c r="D35" s="431" t="s">
        <v>2898</v>
      </c>
      <c r="E35" s="432"/>
      <c r="F35" s="434"/>
      <c r="G35" s="437"/>
      <c r="H35" s="428"/>
      <c r="I35" s="428"/>
      <c r="J35" s="428"/>
      <c r="K35" s="428"/>
      <c r="L35" s="428"/>
      <c r="N35" s="429"/>
      <c r="O35" s="428"/>
      <c r="Z35" s="428"/>
      <c r="AA35" s="428"/>
      <c r="AB35" s="428"/>
      <c r="AD35" s="428"/>
      <c r="AE35" s="428"/>
      <c r="AF35" s="428"/>
    </row>
    <row r="36" spans="1:32" ht="15" customHeight="1">
      <c r="A36" s="426"/>
      <c r="B36" s="426"/>
      <c r="C36" s="430" t="s">
        <v>2899</v>
      </c>
      <c r="D36" s="431" t="s">
        <v>2900</v>
      </c>
      <c r="E36" s="432" t="s">
        <v>426</v>
      </c>
      <c r="F36" s="430">
        <v>15</v>
      </c>
      <c r="G36" s="428">
        <f>H36+I36</f>
        <v>0</v>
      </c>
      <c r="H36" s="428"/>
      <c r="I36" s="428"/>
      <c r="J36" s="428">
        <f>ROUND(F36*G36,2)</f>
        <v>0</v>
      </c>
      <c r="K36" s="428"/>
      <c r="L36" s="428"/>
      <c r="N36" s="429"/>
      <c r="O36" s="428"/>
      <c r="Z36" s="428"/>
      <c r="AA36" s="428"/>
      <c r="AB36" s="428"/>
      <c r="AD36" s="428"/>
      <c r="AE36" s="428"/>
      <c r="AF36" s="428"/>
    </row>
    <row r="37" spans="1:32" ht="15" customHeight="1">
      <c r="A37" s="426"/>
      <c r="B37" s="426"/>
      <c r="C37" s="430"/>
      <c r="D37" s="436" t="s">
        <v>2901</v>
      </c>
      <c r="E37" s="432"/>
      <c r="F37" s="434"/>
      <c r="G37" s="437"/>
      <c r="H37" s="428"/>
      <c r="I37" s="428"/>
      <c r="J37" s="428"/>
      <c r="K37" s="428"/>
      <c r="L37" s="428"/>
      <c r="N37" s="429"/>
      <c r="O37" s="428"/>
      <c r="Z37" s="428"/>
      <c r="AA37" s="428"/>
      <c r="AB37" s="428"/>
      <c r="AD37" s="428"/>
      <c r="AE37" s="428"/>
      <c r="AF37" s="428"/>
    </row>
    <row r="38" spans="1:32" ht="15" customHeight="1">
      <c r="A38" s="426"/>
      <c r="B38" s="426"/>
      <c r="C38" s="430"/>
      <c r="D38" s="433" t="s">
        <v>2902</v>
      </c>
      <c r="E38" s="432"/>
      <c r="F38" s="434"/>
      <c r="G38" s="437"/>
      <c r="H38" s="428"/>
      <c r="I38" s="428"/>
      <c r="J38" s="428"/>
      <c r="K38" s="428"/>
      <c r="L38" s="428"/>
      <c r="N38" s="429"/>
      <c r="O38" s="428"/>
      <c r="Z38" s="428"/>
      <c r="AA38" s="428"/>
      <c r="AB38" s="428"/>
      <c r="AD38" s="428"/>
      <c r="AE38" s="428"/>
      <c r="AF38" s="428"/>
    </row>
    <row r="39" spans="1:32" ht="15" customHeight="1">
      <c r="A39" s="426"/>
      <c r="B39" s="426"/>
      <c r="C39" s="430"/>
      <c r="D39" s="433" t="s">
        <v>2903</v>
      </c>
      <c r="E39" s="432"/>
      <c r="F39" s="434"/>
      <c r="G39" s="437"/>
      <c r="H39" s="428"/>
      <c r="I39" s="428"/>
      <c r="J39" s="428"/>
      <c r="K39" s="428"/>
      <c r="L39" s="428"/>
      <c r="N39" s="429"/>
      <c r="O39" s="428"/>
      <c r="Z39" s="428"/>
      <c r="AA39" s="428"/>
      <c r="AB39" s="428"/>
      <c r="AD39" s="428"/>
      <c r="AE39" s="428"/>
      <c r="AF39" s="428"/>
    </row>
    <row r="40" spans="1:32" ht="15" customHeight="1">
      <c r="A40" s="426"/>
      <c r="B40" s="426"/>
      <c r="C40" s="430"/>
      <c r="D40" s="433" t="s">
        <v>2904</v>
      </c>
      <c r="E40" s="432"/>
      <c r="F40" s="434"/>
      <c r="G40" s="437"/>
      <c r="H40" s="428"/>
      <c r="I40" s="428"/>
      <c r="J40" s="428"/>
      <c r="K40" s="428"/>
      <c r="L40" s="428"/>
      <c r="N40" s="429"/>
      <c r="O40" s="428"/>
      <c r="Z40" s="428"/>
      <c r="AA40" s="428"/>
      <c r="AB40" s="428"/>
      <c r="AD40" s="428"/>
      <c r="AE40" s="428"/>
      <c r="AF40" s="428"/>
    </row>
    <row r="41" spans="1:32" ht="15" customHeight="1">
      <c r="A41" s="426"/>
      <c r="B41" s="426"/>
      <c r="C41" s="430" t="s">
        <v>2905</v>
      </c>
      <c r="D41" s="431" t="s">
        <v>2906</v>
      </c>
      <c r="E41" s="432" t="s">
        <v>2874</v>
      </c>
      <c r="F41" s="430">
        <v>12</v>
      </c>
      <c r="G41" s="428">
        <f>H41+I41</f>
        <v>0</v>
      </c>
      <c r="H41" s="428"/>
      <c r="I41" s="428"/>
      <c r="J41" s="428">
        <f>ROUND(F41*G41,2)</f>
        <v>0</v>
      </c>
      <c r="K41" s="428"/>
      <c r="L41" s="428"/>
      <c r="N41" s="429"/>
      <c r="O41" s="428"/>
      <c r="Z41" s="428"/>
      <c r="AA41" s="428"/>
      <c r="AB41" s="428"/>
      <c r="AD41" s="428"/>
      <c r="AE41" s="428"/>
      <c r="AF41" s="428"/>
    </row>
    <row r="42" spans="1:32" ht="15" customHeight="1">
      <c r="A42" s="426"/>
      <c r="B42" s="426"/>
      <c r="C42" s="430" t="s">
        <v>2907</v>
      </c>
      <c r="D42" s="431" t="s">
        <v>2908</v>
      </c>
      <c r="E42" s="432" t="s">
        <v>2874</v>
      </c>
      <c r="F42" s="430">
        <v>1</v>
      </c>
      <c r="G42" s="428">
        <f>H42+I42</f>
        <v>0</v>
      </c>
      <c r="H42" s="428"/>
      <c r="I42" s="428"/>
      <c r="J42" s="428">
        <f>ROUND(F42*G42,2)</f>
        <v>0</v>
      </c>
      <c r="K42" s="428"/>
      <c r="L42" s="428"/>
      <c r="N42" s="429"/>
      <c r="O42" s="428"/>
      <c r="Z42" s="428"/>
      <c r="AA42" s="428"/>
      <c r="AB42" s="428"/>
      <c r="AD42" s="428"/>
      <c r="AE42" s="428"/>
      <c r="AF42" s="428"/>
    </row>
    <row r="43" spans="1:32" ht="15" customHeight="1">
      <c r="A43" s="426"/>
      <c r="B43" s="426"/>
      <c r="C43" s="430"/>
      <c r="D43" s="438" t="s">
        <v>2909</v>
      </c>
      <c r="E43" s="432"/>
      <c r="F43" s="434"/>
      <c r="G43" s="430"/>
      <c r="H43" s="430"/>
      <c r="I43" s="439"/>
      <c r="J43" s="428"/>
      <c r="K43" s="428"/>
      <c r="L43" s="428"/>
      <c r="N43" s="429"/>
      <c r="O43" s="428"/>
      <c r="Z43" s="428"/>
      <c r="AA43" s="428"/>
      <c r="AB43" s="428"/>
      <c r="AD43" s="428"/>
      <c r="AE43" s="428"/>
      <c r="AF43" s="428"/>
    </row>
    <row r="44" spans="1:32" ht="15" customHeight="1">
      <c r="A44" s="426"/>
      <c r="B44" s="426"/>
      <c r="C44" s="430" t="s">
        <v>2910</v>
      </c>
      <c r="D44" s="431" t="s">
        <v>2911</v>
      </c>
      <c r="E44" s="432" t="s">
        <v>258</v>
      </c>
      <c r="F44" s="430">
        <v>20</v>
      </c>
      <c r="G44" s="428">
        <f>H44+I44</f>
        <v>0</v>
      </c>
      <c r="H44" s="428"/>
      <c r="I44" s="428"/>
      <c r="J44" s="428">
        <f>ROUND(F44*G44,2)</f>
        <v>0</v>
      </c>
      <c r="K44" s="428"/>
      <c r="L44" s="428"/>
      <c r="N44" s="429"/>
      <c r="O44" s="428"/>
      <c r="Z44" s="428"/>
      <c r="AA44" s="428"/>
      <c r="AB44" s="428"/>
      <c r="AD44" s="428"/>
      <c r="AE44" s="428"/>
      <c r="AF44" s="428"/>
    </row>
    <row r="45" spans="1:32" ht="15" customHeight="1">
      <c r="A45" s="426"/>
      <c r="B45" s="426"/>
      <c r="C45" s="430" t="s">
        <v>2912</v>
      </c>
      <c r="D45" s="431" t="s">
        <v>2913</v>
      </c>
      <c r="E45" s="432" t="s">
        <v>258</v>
      </c>
      <c r="F45" s="430">
        <v>20</v>
      </c>
      <c r="G45" s="428">
        <f>H45+I45</f>
        <v>0</v>
      </c>
      <c r="H45" s="428"/>
      <c r="I45" s="428"/>
      <c r="J45" s="428">
        <f>ROUND(F45*G45,2)</f>
        <v>0</v>
      </c>
      <c r="K45" s="428"/>
      <c r="L45" s="428"/>
      <c r="N45" s="429"/>
      <c r="O45" s="428"/>
      <c r="Z45" s="428"/>
      <c r="AA45" s="428"/>
      <c r="AB45" s="428"/>
      <c r="AD45" s="428"/>
      <c r="AE45" s="428"/>
      <c r="AF45" s="428"/>
    </row>
    <row r="46" spans="1:32" ht="15" customHeight="1">
      <c r="A46" s="426"/>
      <c r="B46" s="426"/>
      <c r="C46" s="430" t="s">
        <v>2914</v>
      </c>
      <c r="D46" s="431" t="s">
        <v>2915</v>
      </c>
      <c r="E46" s="432" t="s">
        <v>258</v>
      </c>
      <c r="F46" s="430">
        <v>20</v>
      </c>
      <c r="G46" s="428">
        <f>H46+I46</f>
        <v>0</v>
      </c>
      <c r="H46" s="428"/>
      <c r="I46" s="428"/>
      <c r="J46" s="428">
        <f>ROUND(F46*G46,2)</f>
        <v>0</v>
      </c>
      <c r="K46" s="428"/>
      <c r="L46" s="428"/>
      <c r="N46" s="429"/>
      <c r="O46" s="428"/>
      <c r="Z46" s="428"/>
      <c r="AA46" s="428"/>
      <c r="AB46" s="428"/>
      <c r="AD46" s="428"/>
      <c r="AE46" s="428"/>
      <c r="AF46" s="428"/>
    </row>
    <row r="47" spans="1:32" ht="15" customHeight="1">
      <c r="A47" s="426"/>
      <c r="B47" s="426"/>
      <c r="C47" s="430" t="s">
        <v>2916</v>
      </c>
      <c r="D47" s="431" t="s">
        <v>2917</v>
      </c>
      <c r="E47" s="432" t="s">
        <v>258</v>
      </c>
      <c r="F47" s="430">
        <v>70</v>
      </c>
      <c r="G47" s="428">
        <f>H47+I47</f>
        <v>0</v>
      </c>
      <c r="H47" s="428"/>
      <c r="I47" s="428"/>
      <c r="J47" s="428">
        <f>ROUND(F47*G47,2)</f>
        <v>0</v>
      </c>
      <c r="K47" s="428"/>
      <c r="L47" s="428"/>
      <c r="N47" s="429"/>
      <c r="O47" s="428"/>
      <c r="Z47" s="428"/>
      <c r="AA47" s="428"/>
      <c r="AB47" s="428"/>
      <c r="AD47" s="428"/>
      <c r="AE47" s="428"/>
      <c r="AF47" s="428"/>
    </row>
    <row r="48" spans="1:32" ht="15" customHeight="1">
      <c r="A48" s="426"/>
      <c r="B48" s="426"/>
      <c r="C48" s="440"/>
      <c r="D48" s="438" t="s">
        <v>2918</v>
      </c>
      <c r="E48" s="432"/>
      <c r="F48" s="434"/>
      <c r="G48" s="430"/>
      <c r="H48" s="430"/>
      <c r="I48" s="439"/>
      <c r="J48" s="428"/>
      <c r="K48" s="428"/>
      <c r="L48" s="428"/>
      <c r="N48" s="429"/>
      <c r="O48" s="428"/>
      <c r="Z48" s="428"/>
      <c r="AA48" s="428"/>
      <c r="AB48" s="428"/>
      <c r="AD48" s="428"/>
      <c r="AE48" s="428"/>
      <c r="AF48" s="428"/>
    </row>
    <row r="49" spans="1:32" ht="15" customHeight="1">
      <c r="A49" s="426"/>
      <c r="B49" s="426"/>
      <c r="C49" s="440" t="s">
        <v>2919</v>
      </c>
      <c r="D49" s="431" t="s">
        <v>2920</v>
      </c>
      <c r="E49" s="432" t="s">
        <v>2874</v>
      </c>
      <c r="F49" s="430">
        <v>12</v>
      </c>
      <c r="G49" s="428">
        <f>H49+I49</f>
        <v>0</v>
      </c>
      <c r="H49" s="428"/>
      <c r="I49" s="428"/>
      <c r="J49" s="428">
        <f>ROUND(F49*G49,2)</f>
        <v>0</v>
      </c>
      <c r="K49" s="428"/>
      <c r="L49" s="428"/>
      <c r="N49" s="429"/>
      <c r="O49" s="428"/>
      <c r="Z49" s="428"/>
      <c r="AA49" s="428"/>
      <c r="AB49" s="428"/>
      <c r="AD49" s="428"/>
      <c r="AE49" s="428"/>
      <c r="AF49" s="428"/>
    </row>
    <row r="50" spans="1:32" ht="15" customHeight="1">
      <c r="A50" s="426"/>
      <c r="B50" s="426"/>
      <c r="C50" s="440"/>
      <c r="D50" s="438" t="s">
        <v>2921</v>
      </c>
      <c r="E50" s="432"/>
      <c r="F50" s="430"/>
      <c r="G50" s="428"/>
      <c r="H50" s="428"/>
      <c r="I50" s="428"/>
      <c r="J50" s="428"/>
      <c r="K50" s="428"/>
      <c r="L50" s="428"/>
      <c r="N50" s="429"/>
      <c r="O50" s="428"/>
      <c r="Z50" s="428"/>
      <c r="AA50" s="428"/>
      <c r="AB50" s="428"/>
      <c r="AD50" s="428"/>
      <c r="AE50" s="428"/>
      <c r="AF50" s="428"/>
    </row>
    <row r="51" spans="1:32" ht="15" customHeight="1">
      <c r="A51" s="426"/>
      <c r="B51" s="426"/>
      <c r="C51" s="440" t="s">
        <v>2922</v>
      </c>
      <c r="D51" s="431" t="s">
        <v>2923</v>
      </c>
      <c r="E51" s="432" t="s">
        <v>2874</v>
      </c>
      <c r="F51" s="430">
        <v>9</v>
      </c>
      <c r="G51" s="428">
        <f>H51+I51</f>
        <v>0</v>
      </c>
      <c r="H51" s="428"/>
      <c r="I51" s="428"/>
      <c r="J51" s="428">
        <f>ROUND(F51*G51,2)</f>
        <v>0</v>
      </c>
      <c r="K51" s="428"/>
      <c r="L51" s="428"/>
      <c r="N51" s="429"/>
      <c r="O51" s="428"/>
      <c r="Z51" s="428"/>
      <c r="AA51" s="428"/>
      <c r="AB51" s="428"/>
      <c r="AD51" s="428"/>
      <c r="AE51" s="428"/>
      <c r="AF51" s="428"/>
    </row>
    <row r="52" spans="1:32" ht="15" customHeight="1">
      <c r="A52" s="426"/>
      <c r="B52" s="426"/>
      <c r="C52" s="440"/>
      <c r="D52" s="436" t="s">
        <v>2924</v>
      </c>
      <c r="E52" s="432"/>
      <c r="F52" s="434"/>
      <c r="G52" s="428"/>
      <c r="H52" s="428"/>
      <c r="I52" s="428"/>
      <c r="J52" s="428"/>
      <c r="K52" s="428"/>
      <c r="L52" s="428"/>
      <c r="N52" s="429"/>
      <c r="O52" s="428"/>
      <c r="Z52" s="428"/>
      <c r="AA52" s="428"/>
      <c r="AB52" s="428"/>
      <c r="AD52" s="428"/>
      <c r="AE52" s="428"/>
      <c r="AF52" s="428"/>
    </row>
    <row r="53" spans="1:32" ht="15" customHeight="1">
      <c r="A53" s="426"/>
      <c r="B53" s="426"/>
      <c r="C53" s="440" t="s">
        <v>2925</v>
      </c>
      <c r="D53" s="431" t="s">
        <v>2926</v>
      </c>
      <c r="E53" s="432" t="s">
        <v>2874</v>
      </c>
      <c r="F53" s="430">
        <v>1</v>
      </c>
      <c r="G53" s="428">
        <f>H53+I53</f>
        <v>0</v>
      </c>
      <c r="H53" s="428"/>
      <c r="I53" s="428"/>
      <c r="J53" s="428">
        <f>ROUND(F53*G53,2)</f>
        <v>0</v>
      </c>
      <c r="K53" s="428"/>
      <c r="L53" s="428"/>
      <c r="N53" s="429"/>
      <c r="O53" s="428"/>
      <c r="Z53" s="428"/>
      <c r="AA53" s="428"/>
      <c r="AB53" s="428"/>
      <c r="AD53" s="428"/>
      <c r="AE53" s="428"/>
      <c r="AF53" s="428"/>
    </row>
    <row r="54" spans="1:32" ht="15" customHeight="1">
      <c r="A54" s="426"/>
      <c r="B54" s="426"/>
      <c r="C54" s="440" t="s">
        <v>2927</v>
      </c>
      <c r="D54" s="435" t="s">
        <v>2928</v>
      </c>
      <c r="E54" s="432" t="s">
        <v>2874</v>
      </c>
      <c r="F54" s="430">
        <v>6</v>
      </c>
      <c r="G54" s="428">
        <f>H54+I54</f>
        <v>0</v>
      </c>
      <c r="H54" s="428"/>
      <c r="I54" s="428"/>
      <c r="J54" s="428">
        <f>ROUND(F54*G54,2)</f>
        <v>0</v>
      </c>
      <c r="K54" s="428"/>
      <c r="L54" s="428"/>
      <c r="N54" s="429"/>
      <c r="O54" s="428"/>
      <c r="Z54" s="428"/>
      <c r="AA54" s="428"/>
      <c r="AB54" s="428"/>
      <c r="AD54" s="428"/>
      <c r="AE54" s="428"/>
      <c r="AF54" s="428"/>
    </row>
    <row r="55" spans="1:32" ht="15" customHeight="1">
      <c r="A55" s="426"/>
      <c r="B55" s="426"/>
      <c r="C55" s="440" t="s">
        <v>2929</v>
      </c>
      <c r="D55" s="435" t="s">
        <v>2930</v>
      </c>
      <c r="E55" s="432" t="s">
        <v>2874</v>
      </c>
      <c r="F55" s="430">
        <v>1</v>
      </c>
      <c r="G55" s="428">
        <f>H55+I55</f>
        <v>0</v>
      </c>
      <c r="H55" s="428"/>
      <c r="I55" s="428"/>
      <c r="J55" s="428">
        <f>ROUND(F55*G55,2)</f>
        <v>0</v>
      </c>
      <c r="K55" s="428"/>
      <c r="L55" s="428"/>
      <c r="N55" s="429"/>
      <c r="O55" s="428"/>
      <c r="Z55" s="428"/>
      <c r="AA55" s="428"/>
      <c r="AB55" s="428"/>
      <c r="AD55" s="428"/>
      <c r="AE55" s="428"/>
      <c r="AF55" s="428"/>
    </row>
    <row r="56" spans="1:32" ht="15" customHeight="1">
      <c r="A56" s="426"/>
      <c r="B56" s="426"/>
      <c r="C56" s="440" t="s">
        <v>2931</v>
      </c>
      <c r="D56" s="435" t="s">
        <v>2932</v>
      </c>
      <c r="E56" s="432" t="s">
        <v>2874</v>
      </c>
      <c r="F56" s="430">
        <v>1</v>
      </c>
      <c r="G56" s="428">
        <f>H56+I56</f>
        <v>0</v>
      </c>
      <c r="H56" s="428"/>
      <c r="I56" s="428"/>
      <c r="J56" s="428">
        <f>ROUND(F56*G56,2)</f>
        <v>0</v>
      </c>
      <c r="K56" s="428"/>
      <c r="L56" s="428"/>
      <c r="N56" s="429"/>
      <c r="O56" s="428"/>
      <c r="Z56" s="428"/>
      <c r="AA56" s="428"/>
      <c r="AB56" s="428"/>
      <c r="AD56" s="428"/>
      <c r="AE56" s="428"/>
      <c r="AF56" s="428"/>
    </row>
    <row r="57" spans="1:32" ht="15" customHeight="1">
      <c r="A57" s="426"/>
      <c r="B57" s="426"/>
      <c r="C57" s="440"/>
      <c r="D57" s="438" t="s">
        <v>2933</v>
      </c>
      <c r="E57" s="432"/>
      <c r="F57" s="430"/>
      <c r="G57" s="428"/>
      <c r="H57" s="428"/>
      <c r="I57" s="428"/>
      <c r="J57" s="428"/>
      <c r="K57" s="428"/>
      <c r="L57" s="428"/>
      <c r="N57" s="429"/>
      <c r="O57" s="428"/>
      <c r="Z57" s="428"/>
      <c r="AA57" s="428"/>
      <c r="AB57" s="428"/>
      <c r="AD57" s="428"/>
      <c r="AE57" s="428"/>
      <c r="AF57" s="428"/>
    </row>
    <row r="58" spans="1:32" ht="15" customHeight="1">
      <c r="A58" s="426"/>
      <c r="B58" s="426"/>
      <c r="C58" s="440" t="s">
        <v>2934</v>
      </c>
      <c r="D58" s="431" t="s">
        <v>2935</v>
      </c>
      <c r="E58" s="432" t="s">
        <v>2874</v>
      </c>
      <c r="F58" s="441">
        <v>2</v>
      </c>
      <c r="G58" s="428">
        <f>H58+I58</f>
        <v>0</v>
      </c>
      <c r="H58" s="428"/>
      <c r="I58" s="428"/>
      <c r="J58" s="428">
        <f>ROUND(F58*G58,2)</f>
        <v>0</v>
      </c>
      <c r="K58" s="428"/>
      <c r="L58" s="428"/>
      <c r="N58" s="429"/>
      <c r="O58" s="428"/>
      <c r="Z58" s="428"/>
      <c r="AA58" s="428"/>
      <c r="AB58" s="428"/>
      <c r="AD58" s="428"/>
      <c r="AE58" s="428"/>
      <c r="AF58" s="428"/>
    </row>
    <row r="59" spans="1:32" ht="15" customHeight="1">
      <c r="A59" s="426"/>
      <c r="B59" s="426"/>
      <c r="C59" s="440"/>
      <c r="D59" s="438" t="s">
        <v>2936</v>
      </c>
      <c r="E59" s="432"/>
      <c r="F59" s="434"/>
      <c r="G59" s="428"/>
      <c r="H59" s="428"/>
      <c r="I59" s="428"/>
      <c r="J59" s="428"/>
      <c r="K59" s="428"/>
      <c r="L59" s="428"/>
      <c r="N59" s="429"/>
      <c r="O59" s="428"/>
      <c r="Z59" s="428"/>
      <c r="AA59" s="428"/>
      <c r="AB59" s="428"/>
      <c r="AD59" s="428"/>
      <c r="AE59" s="428"/>
      <c r="AF59" s="428"/>
    </row>
    <row r="60" spans="1:32" ht="15" customHeight="1">
      <c r="A60" s="426"/>
      <c r="B60" s="426"/>
      <c r="C60" s="440" t="s">
        <v>2937</v>
      </c>
      <c r="D60" s="431" t="s">
        <v>2938</v>
      </c>
      <c r="E60" s="432" t="s">
        <v>2874</v>
      </c>
      <c r="F60" s="430">
        <v>1</v>
      </c>
      <c r="G60" s="428">
        <f>H60+I60</f>
        <v>0</v>
      </c>
      <c r="H60" s="428"/>
      <c r="I60" s="428"/>
      <c r="J60" s="428">
        <f>ROUND(F60*G60,2)</f>
        <v>0</v>
      </c>
      <c r="K60" s="428"/>
      <c r="L60" s="428"/>
      <c r="N60" s="429"/>
      <c r="O60" s="428"/>
      <c r="Z60" s="428"/>
      <c r="AA60" s="428"/>
      <c r="AB60" s="428"/>
      <c r="AD60" s="428"/>
      <c r="AE60" s="428"/>
      <c r="AF60" s="428"/>
    </row>
    <row r="61" spans="1:32" ht="15" customHeight="1">
      <c r="A61" s="426"/>
      <c r="B61" s="426"/>
      <c r="C61" s="440"/>
      <c r="D61" s="438" t="s">
        <v>2939</v>
      </c>
      <c r="E61" s="432"/>
      <c r="F61" s="434"/>
      <c r="G61" s="428"/>
      <c r="H61" s="428"/>
      <c r="I61" s="428"/>
      <c r="J61" s="428"/>
      <c r="K61" s="428"/>
      <c r="L61" s="428"/>
      <c r="N61" s="429"/>
      <c r="O61" s="428"/>
      <c r="Z61" s="428"/>
      <c r="AA61" s="428"/>
      <c r="AB61" s="428"/>
      <c r="AD61" s="428"/>
      <c r="AE61" s="428"/>
      <c r="AF61" s="428"/>
    </row>
    <row r="62" spans="1:32" ht="15" customHeight="1">
      <c r="A62" s="426"/>
      <c r="B62" s="426"/>
      <c r="C62" s="440"/>
      <c r="D62" s="438" t="s">
        <v>2940</v>
      </c>
      <c r="E62" s="432"/>
      <c r="F62" s="434"/>
      <c r="G62" s="428"/>
      <c r="H62" s="428"/>
      <c r="I62" s="428"/>
      <c r="J62" s="428"/>
      <c r="K62" s="428"/>
      <c r="L62" s="428"/>
      <c r="N62" s="429"/>
      <c r="O62" s="428"/>
      <c r="Z62" s="428"/>
      <c r="AA62" s="428"/>
      <c r="AB62" s="428"/>
      <c r="AD62" s="428"/>
      <c r="AE62" s="428"/>
      <c r="AF62" s="428"/>
    </row>
    <row r="63" spans="1:32" ht="15" customHeight="1">
      <c r="A63" s="426"/>
      <c r="B63" s="426"/>
      <c r="C63" s="440"/>
      <c r="D63" s="438" t="s">
        <v>2941</v>
      </c>
      <c r="E63" s="432"/>
      <c r="F63" s="434"/>
      <c r="G63" s="428"/>
      <c r="H63" s="428"/>
      <c r="I63" s="428"/>
      <c r="J63" s="428"/>
      <c r="K63" s="428"/>
      <c r="L63" s="428"/>
      <c r="N63" s="429"/>
      <c r="O63" s="428"/>
      <c r="Z63" s="428"/>
      <c r="AA63" s="428"/>
      <c r="AB63" s="428"/>
      <c r="AD63" s="428"/>
      <c r="AE63" s="428"/>
      <c r="AF63" s="428"/>
    </row>
    <row r="64" spans="1:32" ht="15" customHeight="1">
      <c r="A64" s="426"/>
      <c r="B64" s="426"/>
      <c r="C64" s="440" t="s">
        <v>2942</v>
      </c>
      <c r="D64" s="431" t="s">
        <v>2943</v>
      </c>
      <c r="E64" s="432" t="s">
        <v>2944</v>
      </c>
      <c r="F64" s="430">
        <v>35</v>
      </c>
      <c r="G64" s="428">
        <f>H64+I64</f>
        <v>0</v>
      </c>
      <c r="H64" s="428"/>
      <c r="I64" s="428"/>
      <c r="J64" s="428">
        <f>ROUND(F64*G64,2)</f>
        <v>0</v>
      </c>
      <c r="K64" s="428"/>
      <c r="L64" s="428"/>
      <c r="N64" s="429"/>
      <c r="O64" s="428"/>
      <c r="Z64" s="428"/>
      <c r="AA64" s="428"/>
      <c r="AB64" s="428"/>
      <c r="AD64" s="428"/>
      <c r="AE64" s="428"/>
      <c r="AF64" s="428"/>
    </row>
    <row r="65" spans="1:37" ht="15" customHeight="1">
      <c r="A65" s="426"/>
      <c r="B65" s="426"/>
      <c r="C65" s="440"/>
      <c r="D65" s="438" t="s">
        <v>2945</v>
      </c>
      <c r="E65" s="432"/>
      <c r="F65" s="434"/>
      <c r="G65" s="428"/>
      <c r="H65" s="428"/>
      <c r="I65" s="428"/>
      <c r="J65" s="428"/>
      <c r="K65" s="428"/>
      <c r="L65" s="428"/>
      <c r="N65" s="429"/>
      <c r="O65" s="428"/>
      <c r="Z65" s="428"/>
      <c r="AA65" s="428"/>
      <c r="AB65" s="428"/>
      <c r="AD65" s="428"/>
      <c r="AE65" s="428"/>
      <c r="AF65" s="428"/>
    </row>
    <row r="66" spans="1:37" ht="15" customHeight="1">
      <c r="A66" s="426"/>
      <c r="B66" s="426"/>
      <c r="C66" s="440" t="s">
        <v>2946</v>
      </c>
      <c r="D66" s="431" t="s">
        <v>2947</v>
      </c>
      <c r="E66" s="432" t="s">
        <v>258</v>
      </c>
      <c r="F66" s="430">
        <v>33</v>
      </c>
      <c r="G66" s="428">
        <f>H66+I66</f>
        <v>0</v>
      </c>
      <c r="H66" s="428"/>
      <c r="I66" s="428"/>
      <c r="J66" s="428">
        <f>ROUND(F66*G66,2)</f>
        <v>0</v>
      </c>
      <c r="K66" s="428"/>
      <c r="L66" s="428"/>
      <c r="N66" s="429"/>
      <c r="O66" s="428"/>
      <c r="Z66" s="428"/>
      <c r="AA66" s="428"/>
      <c r="AB66" s="428"/>
      <c r="AD66" s="428"/>
      <c r="AE66" s="428"/>
      <c r="AF66" s="428"/>
    </row>
    <row r="67" spans="1:37" ht="15" customHeight="1">
      <c r="A67" s="426"/>
      <c r="B67" s="426"/>
      <c r="C67" s="440"/>
      <c r="D67" s="438" t="s">
        <v>2948</v>
      </c>
      <c r="E67" s="432"/>
      <c r="F67" s="434"/>
      <c r="G67" s="428"/>
      <c r="H67" s="428"/>
      <c r="I67" s="428"/>
      <c r="K67" s="428"/>
      <c r="L67" s="428"/>
      <c r="N67" s="429"/>
      <c r="O67" s="428"/>
      <c r="Z67" s="428"/>
      <c r="AA67" s="428"/>
      <c r="AB67" s="428"/>
      <c r="AD67" s="428"/>
      <c r="AE67" s="428"/>
      <c r="AF67" s="428"/>
    </row>
    <row r="68" spans="1:37" ht="15" customHeight="1">
      <c r="A68" s="426"/>
      <c r="B68" s="426"/>
      <c r="C68" s="440"/>
      <c r="D68" s="431" t="s">
        <v>2949</v>
      </c>
      <c r="E68" s="432" t="s">
        <v>258</v>
      </c>
      <c r="F68" s="430"/>
      <c r="G68" s="428"/>
      <c r="H68" s="428"/>
      <c r="I68" s="428"/>
      <c r="J68" s="428"/>
      <c r="K68" s="428"/>
      <c r="L68" s="428"/>
      <c r="N68" s="429"/>
      <c r="O68" s="428"/>
      <c r="Z68" s="428"/>
      <c r="AA68" s="428"/>
      <c r="AB68" s="428"/>
      <c r="AD68" s="428"/>
      <c r="AE68" s="428"/>
      <c r="AF68" s="428"/>
    </row>
    <row r="69" spans="1:37" ht="15" customHeight="1">
      <c r="A69" s="426"/>
      <c r="B69" s="426"/>
      <c r="C69" s="440" t="s">
        <v>2916</v>
      </c>
      <c r="D69" s="431" t="s">
        <v>2950</v>
      </c>
      <c r="E69" s="432" t="s">
        <v>258</v>
      </c>
      <c r="F69" s="430">
        <v>33</v>
      </c>
      <c r="G69" s="428">
        <f>H69+I69</f>
        <v>0</v>
      </c>
      <c r="H69" s="428"/>
      <c r="I69" s="428"/>
      <c r="J69" s="428">
        <f>ROUND(F69*G69,2)</f>
        <v>0</v>
      </c>
      <c r="K69" s="428"/>
      <c r="L69" s="428"/>
      <c r="N69" s="429"/>
      <c r="O69" s="428"/>
      <c r="Z69" s="428"/>
      <c r="AA69" s="428"/>
      <c r="AB69" s="428"/>
      <c r="AD69" s="428"/>
      <c r="AE69" s="428"/>
      <c r="AF69" s="428"/>
    </row>
    <row r="70" spans="1:37" ht="15" customHeight="1">
      <c r="A70" s="426"/>
      <c r="B70" s="426"/>
      <c r="C70" s="440"/>
      <c r="D70" s="436" t="s">
        <v>2951</v>
      </c>
      <c r="E70" s="432"/>
      <c r="F70" s="434"/>
      <c r="G70" s="428"/>
      <c r="H70" s="428"/>
      <c r="I70" s="428"/>
      <c r="J70" s="428"/>
      <c r="K70" s="428"/>
      <c r="L70" s="428"/>
      <c r="N70" s="429"/>
      <c r="O70" s="428"/>
      <c r="Z70" s="428"/>
      <c r="AA70" s="428"/>
      <c r="AB70" s="428"/>
      <c r="AD70" s="428"/>
      <c r="AE70" s="428"/>
      <c r="AF70" s="428"/>
    </row>
    <row r="71" spans="1:37" ht="15" customHeight="1">
      <c r="A71" s="426"/>
      <c r="B71" s="426"/>
      <c r="C71" s="440"/>
      <c r="D71" s="431" t="s">
        <v>2952</v>
      </c>
      <c r="E71" s="442"/>
      <c r="F71" s="434"/>
      <c r="G71" s="428"/>
      <c r="H71" s="428"/>
      <c r="I71" s="428"/>
      <c r="J71" s="428"/>
      <c r="K71" s="428"/>
      <c r="L71" s="428"/>
      <c r="N71" s="429"/>
      <c r="O71" s="428"/>
      <c r="Z71" s="428"/>
      <c r="AA71" s="428"/>
      <c r="AB71" s="428"/>
      <c r="AD71" s="428"/>
      <c r="AE71" s="428"/>
      <c r="AF71" s="428"/>
    </row>
    <row r="72" spans="1:37" ht="15" customHeight="1">
      <c r="A72" s="426"/>
      <c r="B72" s="426"/>
      <c r="C72" s="440" t="s">
        <v>2953</v>
      </c>
      <c r="D72" s="431" t="s">
        <v>2954</v>
      </c>
      <c r="E72" s="432" t="s">
        <v>258</v>
      </c>
      <c r="F72" s="430">
        <v>40</v>
      </c>
      <c r="G72" s="428">
        <f>H72+I72</f>
        <v>0</v>
      </c>
      <c r="H72" s="428"/>
      <c r="I72" s="428"/>
      <c r="J72" s="428">
        <f>ROUND(F72*G72,2)</f>
        <v>0</v>
      </c>
      <c r="K72" s="428"/>
      <c r="L72" s="428"/>
      <c r="N72" s="429"/>
      <c r="O72" s="428"/>
      <c r="Z72" s="428"/>
      <c r="AA72" s="428"/>
      <c r="AB72" s="428"/>
      <c r="AD72" s="428"/>
      <c r="AE72" s="428"/>
      <c r="AF72" s="428"/>
    </row>
    <row r="73" spans="1:37" ht="15" customHeight="1">
      <c r="A73" s="426"/>
      <c r="B73" s="426"/>
      <c r="C73" s="440"/>
      <c r="D73" s="438" t="s">
        <v>2955</v>
      </c>
      <c r="E73" s="432"/>
      <c r="F73" s="434"/>
      <c r="G73" s="428"/>
      <c r="H73" s="428"/>
      <c r="I73" s="428"/>
      <c r="J73" s="428"/>
      <c r="K73" s="428"/>
      <c r="L73" s="428"/>
      <c r="N73" s="429"/>
      <c r="O73" s="428"/>
      <c r="Z73" s="428"/>
      <c r="AA73" s="428"/>
      <c r="AB73" s="428"/>
      <c r="AD73" s="428"/>
      <c r="AE73" s="428"/>
      <c r="AF73" s="428"/>
    </row>
    <row r="74" spans="1:37">
      <c r="A74" s="426"/>
      <c r="B74" s="426"/>
      <c r="C74" s="426" t="s">
        <v>2956</v>
      </c>
      <c r="D74" s="426" t="s">
        <v>2957</v>
      </c>
      <c r="E74" s="427" t="s">
        <v>258</v>
      </c>
      <c r="F74" s="428">
        <f>F13+F15+F16</f>
        <v>45</v>
      </c>
      <c r="G74" s="428">
        <f>H74+I74</f>
        <v>0</v>
      </c>
      <c r="H74" s="428"/>
      <c r="I74" s="428"/>
      <c r="J74" s="428">
        <f>ROUND(F74*G74,2)</f>
        <v>0</v>
      </c>
      <c r="K74" s="428"/>
      <c r="L74" s="428"/>
      <c r="N74" s="429" t="s">
        <v>80</v>
      </c>
      <c r="O74" s="428">
        <f>IF(N74="5",I74,0)</f>
        <v>0</v>
      </c>
      <c r="Z74" s="428">
        <f>IF(AD74=0,J74,0)</f>
        <v>0</v>
      </c>
      <c r="AA74" s="428">
        <f>IF(AD74=10,J74,0)</f>
        <v>0</v>
      </c>
      <c r="AB74" s="428">
        <f>IF(AD74=20,J74,0)</f>
        <v>0</v>
      </c>
      <c r="AD74" s="428">
        <v>20</v>
      </c>
      <c r="AE74" s="428">
        <f>G74*0.0928512736236647</f>
        <v>0</v>
      </c>
      <c r="AF74" s="428">
        <f>G74*(1-0.0928512736236647)</f>
        <v>0</v>
      </c>
    </row>
    <row r="75" spans="1:37">
      <c r="A75" s="426"/>
      <c r="B75" s="426"/>
      <c r="C75" s="426" t="s">
        <v>2958</v>
      </c>
      <c r="D75" s="426" t="s">
        <v>2959</v>
      </c>
      <c r="E75" s="427" t="s">
        <v>2874</v>
      </c>
      <c r="F75" s="428">
        <v>4</v>
      </c>
      <c r="G75" s="428">
        <f>H75+I75</f>
        <v>0</v>
      </c>
      <c r="H75" s="428"/>
      <c r="I75" s="428"/>
      <c r="J75" s="428">
        <f>ROUND(F75*G75,2)</f>
        <v>0</v>
      </c>
      <c r="K75" s="428"/>
      <c r="L75" s="428"/>
      <c r="N75" s="429" t="s">
        <v>80</v>
      </c>
      <c r="O75" s="428">
        <f>IF(N75="5",I75,0)</f>
        <v>0</v>
      </c>
      <c r="Z75" s="428">
        <f>IF(AD75=0,J75,0)</f>
        <v>0</v>
      </c>
      <c r="AA75" s="428">
        <f>IF(AD75=10,J75,0)</f>
        <v>0</v>
      </c>
      <c r="AB75" s="428">
        <f>IF(AD75=20,J75,0)</f>
        <v>0</v>
      </c>
      <c r="AD75" s="428">
        <v>20</v>
      </c>
      <c r="AE75" s="428">
        <f>G75*0</f>
        <v>0</v>
      </c>
      <c r="AF75" s="428">
        <f>G75*(1-0)</f>
        <v>0</v>
      </c>
    </row>
    <row r="76" spans="1:37">
      <c r="A76" s="426"/>
      <c r="B76" s="426"/>
      <c r="C76" s="440" t="s">
        <v>2960</v>
      </c>
      <c r="D76" s="431" t="s">
        <v>2961</v>
      </c>
      <c r="E76" s="432" t="s">
        <v>258</v>
      </c>
      <c r="F76" s="430">
        <v>150</v>
      </c>
      <c r="G76" s="428">
        <f>H76+I76</f>
        <v>0</v>
      </c>
      <c r="H76" s="428"/>
      <c r="I76" s="428"/>
      <c r="J76" s="428">
        <f>ROUND(F76*G76,2)</f>
        <v>0</v>
      </c>
      <c r="K76" s="428"/>
      <c r="L76" s="428"/>
      <c r="N76" s="429"/>
      <c r="O76" s="428"/>
      <c r="Z76" s="428"/>
      <c r="AA76" s="428"/>
      <c r="AB76" s="428"/>
      <c r="AD76" s="428"/>
      <c r="AE76" s="428"/>
      <c r="AF76" s="428"/>
    </row>
    <row r="77" spans="1:37">
      <c r="A77" s="426"/>
      <c r="B77" s="426"/>
      <c r="C77" s="440"/>
      <c r="D77" s="431" t="s">
        <v>2962</v>
      </c>
      <c r="E77" s="432"/>
      <c r="F77" s="430"/>
      <c r="G77" s="428"/>
      <c r="H77" s="428"/>
      <c r="I77" s="428"/>
      <c r="J77" s="428"/>
      <c r="K77" s="428"/>
      <c r="L77" s="428"/>
      <c r="N77" s="429"/>
      <c r="O77" s="428"/>
      <c r="Z77" s="428"/>
      <c r="AA77" s="428"/>
      <c r="AB77" s="428"/>
      <c r="AD77" s="428"/>
      <c r="AE77" s="428"/>
      <c r="AF77" s="428"/>
    </row>
    <row r="78" spans="1:37">
      <c r="A78" s="426"/>
      <c r="B78" s="426"/>
      <c r="C78" s="440"/>
      <c r="D78" s="431" t="s">
        <v>2963</v>
      </c>
      <c r="E78" s="432"/>
      <c r="F78" s="430"/>
      <c r="G78" s="428"/>
      <c r="H78" s="428"/>
      <c r="I78" s="428"/>
      <c r="J78" s="428"/>
      <c r="K78" s="428"/>
      <c r="L78" s="428"/>
      <c r="N78" s="429"/>
      <c r="O78" s="428"/>
      <c r="Z78" s="428"/>
      <c r="AA78" s="428"/>
      <c r="AB78" s="428"/>
      <c r="AD78" s="428"/>
      <c r="AE78" s="428"/>
      <c r="AF78" s="428"/>
    </row>
    <row r="79" spans="1:37">
      <c r="A79" s="426"/>
      <c r="B79" s="426"/>
      <c r="C79" s="426" t="s">
        <v>2964</v>
      </c>
      <c r="D79" s="426" t="s">
        <v>2965</v>
      </c>
      <c r="E79" s="427" t="s">
        <v>426</v>
      </c>
      <c r="F79" s="428">
        <v>15</v>
      </c>
      <c r="G79" s="428">
        <f>H79+I79</f>
        <v>0</v>
      </c>
      <c r="H79" s="428"/>
      <c r="I79" s="428"/>
      <c r="J79" s="428">
        <f>ROUND(F79*G79,2)</f>
        <v>0</v>
      </c>
      <c r="K79" s="428"/>
      <c r="L79" s="428"/>
      <c r="N79" s="429" t="s">
        <v>160</v>
      </c>
      <c r="O79" s="428">
        <f>IF(N79="5",I79,0)</f>
        <v>0</v>
      </c>
      <c r="Z79" s="428">
        <f>IF(AD79=0,J79,0)</f>
        <v>0</v>
      </c>
      <c r="AA79" s="428">
        <f>IF(AD79=10,J79,0)</f>
        <v>0</v>
      </c>
      <c r="AB79" s="428">
        <f>IF(AD79=20,J79,0)</f>
        <v>0</v>
      </c>
      <c r="AD79" s="428">
        <v>20</v>
      </c>
      <c r="AE79" s="428">
        <f>G79*0</f>
        <v>0</v>
      </c>
      <c r="AF79" s="428">
        <f>G79*(1-0)</f>
        <v>0</v>
      </c>
    </row>
    <row r="80" spans="1:37" ht="13">
      <c r="A80" s="418"/>
      <c r="B80" s="418"/>
      <c r="C80" s="419" t="s">
        <v>2966</v>
      </c>
      <c r="D80" s="420" t="s">
        <v>2967</v>
      </c>
      <c r="E80" s="420"/>
      <c r="F80" s="420"/>
      <c r="G80" s="420"/>
      <c r="H80" s="417"/>
      <c r="I80" s="425"/>
      <c r="J80" s="425">
        <f>SUM(J82:J121)</f>
        <v>0</v>
      </c>
      <c r="K80" s="417"/>
      <c r="L80" s="425"/>
      <c r="P80" s="425">
        <f>IF(Q80="PR",J80,SUM(O81:O121))</f>
        <v>0</v>
      </c>
      <c r="Q80" s="417" t="s">
        <v>2858</v>
      </c>
      <c r="R80" s="425">
        <f>IF(Q80="HS",H80,0)</f>
        <v>0</v>
      </c>
      <c r="S80" s="425">
        <f>IF(Q80="HS",I80-P80,0)</f>
        <v>0</v>
      </c>
      <c r="T80" s="425">
        <f>IF(Q80="PS",H80,0)</f>
        <v>0</v>
      </c>
      <c r="U80" s="425">
        <f>IF(Q80="PS",I80-P80,0)</f>
        <v>0</v>
      </c>
      <c r="V80" s="425">
        <f>IF(Q80="MP",H80,0)</f>
        <v>0</v>
      </c>
      <c r="W80" s="425">
        <f>IF(Q80="MP",I80-P80,0)</f>
        <v>0</v>
      </c>
      <c r="X80" s="425">
        <f>IF(Q80="OM",H80,0)</f>
        <v>0</v>
      </c>
      <c r="Y80" s="417" t="s">
        <v>2859</v>
      </c>
      <c r="AI80" s="425">
        <f>SUM(Z81:Z121)</f>
        <v>0</v>
      </c>
      <c r="AJ80" s="425">
        <f>SUM(AA81:AA121)</f>
        <v>0</v>
      </c>
      <c r="AK80" s="425">
        <f>SUM(AB81:AB121)</f>
        <v>0</v>
      </c>
    </row>
    <row r="81" spans="1:32">
      <c r="A81" s="426"/>
      <c r="B81" s="426"/>
      <c r="C81" s="426"/>
      <c r="D81" s="426"/>
      <c r="E81" s="426"/>
      <c r="F81" s="428"/>
      <c r="G81" s="428"/>
      <c r="H81" s="428"/>
      <c r="I81" s="428"/>
      <c r="J81" s="428"/>
      <c r="K81" s="428"/>
      <c r="L81" s="428"/>
      <c r="N81" s="429" t="s">
        <v>80</v>
      </c>
      <c r="O81" s="428">
        <f>IF(N81="5",I81,0)</f>
        <v>0</v>
      </c>
      <c r="Z81" s="428">
        <f>IF(AD81=0,J81,0)</f>
        <v>0</v>
      </c>
      <c r="AA81" s="428">
        <f>IF(AD81=10,J81,0)</f>
        <v>0</v>
      </c>
      <c r="AB81" s="428">
        <f>IF(AD81=20,J81,0)</f>
        <v>0</v>
      </c>
      <c r="AD81" s="428">
        <v>20</v>
      </c>
      <c r="AE81" s="428">
        <f>G81*0.228161456851348</f>
        <v>0</v>
      </c>
      <c r="AF81" s="428">
        <f>G81*(1-0.228161456851348)</f>
        <v>0</v>
      </c>
    </row>
    <row r="82" spans="1:32">
      <c r="A82" s="426"/>
      <c r="B82" s="426"/>
      <c r="C82" s="426" t="s">
        <v>2968</v>
      </c>
      <c r="D82" s="426" t="s">
        <v>2969</v>
      </c>
      <c r="E82" s="426" t="s">
        <v>258</v>
      </c>
      <c r="F82" s="428">
        <v>51.66</v>
      </c>
      <c r="G82" s="428">
        <f t="shared" ref="G82:G87" si="4">H82+I82</f>
        <v>0</v>
      </c>
      <c r="H82" s="428"/>
      <c r="I82" s="428"/>
      <c r="J82" s="428">
        <f t="shared" ref="J82:J87" si="5">ROUND(F82*G82,2)</f>
        <v>0</v>
      </c>
      <c r="K82" s="428"/>
      <c r="L82" s="428"/>
      <c r="N82" s="429" t="s">
        <v>80</v>
      </c>
      <c r="O82" s="428">
        <f>IF(N82="5",I82,0)</f>
        <v>0</v>
      </c>
      <c r="Z82" s="428">
        <f>IF(AD82=0,J82,0)</f>
        <v>0</v>
      </c>
      <c r="AA82" s="428">
        <f>IF(AD82=10,J82,0)</f>
        <v>0</v>
      </c>
      <c r="AB82" s="428">
        <f>IF(AD82=20,J82,0)</f>
        <v>0</v>
      </c>
      <c r="AD82" s="428">
        <v>20</v>
      </c>
      <c r="AE82" s="428">
        <f>G82*0.207372904972332</f>
        <v>0</v>
      </c>
      <c r="AF82" s="428">
        <f>G82*(1-0.207372904972332)</f>
        <v>0</v>
      </c>
    </row>
    <row r="83" spans="1:32" hidden="1">
      <c r="A83" s="426"/>
      <c r="B83" s="426"/>
      <c r="C83" s="426" t="s">
        <v>2970</v>
      </c>
      <c r="D83" s="426" t="s">
        <v>2971</v>
      </c>
      <c r="E83" s="426" t="s">
        <v>258</v>
      </c>
      <c r="F83" s="428">
        <v>20</v>
      </c>
      <c r="G83" s="428">
        <f t="shared" si="4"/>
        <v>0</v>
      </c>
      <c r="H83" s="428"/>
      <c r="I83" s="428"/>
      <c r="J83" s="428">
        <f t="shared" si="5"/>
        <v>0</v>
      </c>
      <c r="K83" s="428"/>
      <c r="L83" s="428"/>
      <c r="N83" s="429" t="s">
        <v>80</v>
      </c>
      <c r="O83" s="428">
        <f>IF(N83="5",I83,0)</f>
        <v>0</v>
      </c>
      <c r="Z83" s="428">
        <f>IF(AD83=0,J83,0)</f>
        <v>0</v>
      </c>
      <c r="AA83" s="428">
        <f>IF(AD83=10,J83,0)</f>
        <v>0</v>
      </c>
      <c r="AB83" s="428">
        <f>IF(AD83=20,J83,0)</f>
        <v>0</v>
      </c>
      <c r="AD83" s="428">
        <v>20</v>
      </c>
      <c r="AE83" s="428">
        <f>G83*0.24360678053998</f>
        <v>0</v>
      </c>
      <c r="AF83" s="428">
        <f>G83*(1-0.24360678053998)</f>
        <v>0</v>
      </c>
    </row>
    <row r="84" spans="1:32" hidden="1">
      <c r="A84" s="426"/>
      <c r="B84" s="426"/>
      <c r="C84" s="426" t="s">
        <v>2972</v>
      </c>
      <c r="D84" s="426" t="s">
        <v>2973</v>
      </c>
      <c r="E84" s="426" t="s">
        <v>258</v>
      </c>
      <c r="F84" s="428">
        <v>12</v>
      </c>
      <c r="G84" s="428">
        <f t="shared" si="4"/>
        <v>0</v>
      </c>
      <c r="H84" s="428"/>
      <c r="I84" s="428"/>
      <c r="J84" s="428">
        <f t="shared" si="5"/>
        <v>0</v>
      </c>
      <c r="K84" s="428"/>
      <c r="L84" s="428"/>
      <c r="N84" s="429" t="s">
        <v>80</v>
      </c>
      <c r="O84" s="428">
        <f>IF(N84="5",I84,0)</f>
        <v>0</v>
      </c>
      <c r="Z84" s="428">
        <f>IF(AD84=0,J84,0)</f>
        <v>0</v>
      </c>
      <c r="AA84" s="428">
        <f>IF(AD84=10,J84,0)</f>
        <v>0</v>
      </c>
      <c r="AB84" s="428">
        <f>IF(AD84=20,J84,0)</f>
        <v>0</v>
      </c>
      <c r="AD84" s="428">
        <v>20</v>
      </c>
      <c r="AE84" s="428">
        <f>G84*0.318081320103538</f>
        <v>0</v>
      </c>
      <c r="AF84" s="428">
        <f>G84*(1-0.318081320103538)</f>
        <v>0</v>
      </c>
    </row>
    <row r="85" spans="1:32" hidden="1">
      <c r="A85" s="426"/>
      <c r="B85" s="426"/>
      <c r="C85" s="426" t="s">
        <v>2974</v>
      </c>
      <c r="D85" s="426" t="s">
        <v>2975</v>
      </c>
      <c r="E85" s="426" t="s">
        <v>258</v>
      </c>
      <c r="F85" s="428">
        <v>12</v>
      </c>
      <c r="G85" s="428">
        <f t="shared" si="4"/>
        <v>0</v>
      </c>
      <c r="H85" s="428"/>
      <c r="I85" s="428"/>
      <c r="J85" s="428">
        <f t="shared" si="5"/>
        <v>0</v>
      </c>
      <c r="K85" s="428"/>
      <c r="L85" s="428"/>
      <c r="N85" s="429" t="s">
        <v>80</v>
      </c>
      <c r="O85" s="428">
        <f>IF(N85="5",I85,0)</f>
        <v>0</v>
      </c>
      <c r="Z85" s="428">
        <f>IF(AD85=0,J85,0)</f>
        <v>0</v>
      </c>
      <c r="AA85" s="428">
        <f>IF(AD85=10,J85,0)</f>
        <v>0</v>
      </c>
      <c r="AB85" s="428">
        <f>IF(AD85=20,J85,0)</f>
        <v>0</v>
      </c>
      <c r="AD85" s="428">
        <v>20</v>
      </c>
      <c r="AE85" s="428">
        <f>G85*0.43046265050618</f>
        <v>0</v>
      </c>
      <c r="AF85" s="428">
        <f>G85*(1-0.43046265050618)</f>
        <v>0</v>
      </c>
    </row>
    <row r="86" spans="1:32">
      <c r="A86" s="426"/>
      <c r="B86" s="426"/>
      <c r="C86" s="426" t="s">
        <v>2972</v>
      </c>
      <c r="D86" s="426" t="s">
        <v>2976</v>
      </c>
      <c r="E86" s="426" t="s">
        <v>258</v>
      </c>
      <c r="F86" s="428">
        <v>11</v>
      </c>
      <c r="G86" s="428">
        <f t="shared" si="4"/>
        <v>0</v>
      </c>
      <c r="H86" s="428"/>
      <c r="I86" s="428"/>
      <c r="J86" s="428">
        <f t="shared" si="5"/>
        <v>0</v>
      </c>
      <c r="K86" s="428"/>
      <c r="L86" s="428"/>
      <c r="N86" s="429"/>
      <c r="O86" s="428"/>
      <c r="Z86" s="428"/>
      <c r="AA86" s="428"/>
      <c r="AB86" s="428"/>
      <c r="AD86" s="428"/>
      <c r="AE86" s="428"/>
      <c r="AF86" s="428"/>
    </row>
    <row r="87" spans="1:32">
      <c r="A87" s="426"/>
      <c r="B87" s="426"/>
      <c r="C87" s="426" t="s">
        <v>2974</v>
      </c>
      <c r="D87" s="426" t="s">
        <v>2977</v>
      </c>
      <c r="E87" s="426" t="s">
        <v>258</v>
      </c>
      <c r="F87" s="428">
        <v>22.5</v>
      </c>
      <c r="G87" s="428">
        <f t="shared" si="4"/>
        <v>0</v>
      </c>
      <c r="H87" s="428"/>
      <c r="I87" s="428"/>
      <c r="J87" s="428">
        <f t="shared" si="5"/>
        <v>0</v>
      </c>
      <c r="K87" s="428"/>
      <c r="L87" s="428"/>
      <c r="N87" s="429"/>
      <c r="O87" s="428"/>
      <c r="Z87" s="428"/>
      <c r="AA87" s="428"/>
      <c r="AB87" s="428"/>
      <c r="AD87" s="428"/>
      <c r="AE87" s="428"/>
      <c r="AF87" s="428"/>
    </row>
    <row r="88" spans="1:32">
      <c r="A88" s="426"/>
      <c r="B88" s="426"/>
      <c r="C88" s="426"/>
      <c r="D88" s="426" t="s">
        <v>212</v>
      </c>
      <c r="E88" s="426" t="s">
        <v>258</v>
      </c>
      <c r="F88" s="428"/>
      <c r="G88" s="428"/>
      <c r="H88" s="428"/>
      <c r="I88" s="428"/>
      <c r="J88" s="428"/>
      <c r="K88" s="428"/>
      <c r="L88" s="428"/>
      <c r="N88" s="429"/>
      <c r="O88" s="428"/>
      <c r="Z88" s="428"/>
      <c r="AA88" s="428"/>
      <c r="AB88" s="428"/>
      <c r="AD88" s="428"/>
      <c r="AE88" s="428"/>
      <c r="AF88" s="428"/>
    </row>
    <row r="89" spans="1:32">
      <c r="A89" s="426"/>
      <c r="B89" s="426"/>
      <c r="C89" s="426" t="s">
        <v>2978</v>
      </c>
      <c r="D89" s="426" t="s">
        <v>2979</v>
      </c>
      <c r="E89" s="426" t="s">
        <v>258</v>
      </c>
      <c r="F89" s="428">
        <v>11.4</v>
      </c>
      <c r="G89" s="428">
        <f t="shared" ref="G89:G96" si="6">H89+I89</f>
        <v>0</v>
      </c>
      <c r="H89" s="428"/>
      <c r="I89" s="428"/>
      <c r="J89" s="428">
        <f t="shared" ref="J89:J96" si="7">ROUND(F89*G89,2)</f>
        <v>0</v>
      </c>
      <c r="K89" s="428"/>
      <c r="L89" s="428"/>
      <c r="N89" s="429" t="s">
        <v>80</v>
      </c>
      <c r="O89" s="428">
        <f>IF(N89="5",I89,0)</f>
        <v>0</v>
      </c>
      <c r="Z89" s="428">
        <f>IF(AD89=0,J89,0)</f>
        <v>0</v>
      </c>
      <c r="AA89" s="428">
        <f>IF(AD89=10,J89,0)</f>
        <v>0</v>
      </c>
      <c r="AB89" s="428">
        <f>IF(AD89=20,J89,0)</f>
        <v>0</v>
      </c>
      <c r="AD89" s="428">
        <v>20</v>
      </c>
      <c r="AE89" s="428">
        <f>G89*0.228067322546549</f>
        <v>0</v>
      </c>
      <c r="AF89" s="428">
        <f>G89*(1-0.228067322546549)</f>
        <v>0</v>
      </c>
    </row>
    <row r="90" spans="1:32" hidden="1">
      <c r="A90" s="426"/>
      <c r="B90" s="426"/>
      <c r="C90" s="426" t="s">
        <v>2980</v>
      </c>
      <c r="D90" s="426" t="s">
        <v>2981</v>
      </c>
      <c r="E90" s="426" t="s">
        <v>258</v>
      </c>
      <c r="F90" s="428">
        <v>36.6</v>
      </c>
      <c r="G90" s="428">
        <f t="shared" si="6"/>
        <v>0</v>
      </c>
      <c r="H90" s="428"/>
      <c r="I90" s="428"/>
      <c r="J90" s="428">
        <f t="shared" si="7"/>
        <v>0</v>
      </c>
      <c r="K90" s="428"/>
      <c r="L90" s="428"/>
      <c r="N90" s="429" t="s">
        <v>80</v>
      </c>
      <c r="O90" s="428">
        <f>IF(N90="5",I90,0)</f>
        <v>0</v>
      </c>
      <c r="Z90" s="428">
        <f>IF(AD90=0,J90,0)</f>
        <v>0</v>
      </c>
      <c r="AA90" s="428">
        <f>IF(AD90=10,J90,0)</f>
        <v>0</v>
      </c>
      <c r="AB90" s="428">
        <f>IF(AD90=20,J90,0)</f>
        <v>0</v>
      </c>
      <c r="AD90" s="428">
        <v>20</v>
      </c>
      <c r="AE90" s="428">
        <f>G90*0.231481838885243</f>
        <v>0</v>
      </c>
      <c r="AF90" s="428">
        <f>G90*(1-0.231481838885243)</f>
        <v>0</v>
      </c>
    </row>
    <row r="91" spans="1:32" hidden="1">
      <c r="A91" s="426"/>
      <c r="B91" s="426"/>
      <c r="C91" s="426" t="s">
        <v>2982</v>
      </c>
      <c r="D91" s="426" t="s">
        <v>2983</v>
      </c>
      <c r="E91" s="426" t="s">
        <v>258</v>
      </c>
      <c r="F91" s="428">
        <v>12</v>
      </c>
      <c r="G91" s="428">
        <f t="shared" si="6"/>
        <v>0</v>
      </c>
      <c r="H91" s="428"/>
      <c r="I91" s="428"/>
      <c r="J91" s="428">
        <f t="shared" si="7"/>
        <v>0</v>
      </c>
      <c r="K91" s="428"/>
      <c r="L91" s="428"/>
      <c r="N91" s="429" t="s">
        <v>80</v>
      </c>
      <c r="O91" s="428">
        <f>IF(N91="5",I91,0)</f>
        <v>0</v>
      </c>
      <c r="Z91" s="428">
        <f>IF(AD91=0,J91,0)</f>
        <v>0</v>
      </c>
      <c r="AA91" s="428">
        <f>IF(AD91=10,J91,0)</f>
        <v>0</v>
      </c>
      <c r="AB91" s="428">
        <f>IF(AD91=20,J91,0)</f>
        <v>0</v>
      </c>
      <c r="AD91" s="428">
        <v>20</v>
      </c>
      <c r="AE91" s="428">
        <f>G91*0.258342337761393</f>
        <v>0</v>
      </c>
      <c r="AF91" s="428">
        <f>G91*(1-0.258342337761393)</f>
        <v>0</v>
      </c>
    </row>
    <row r="92" spans="1:32" hidden="1">
      <c r="A92" s="426"/>
      <c r="B92" s="426"/>
      <c r="C92" s="426" t="s">
        <v>2984</v>
      </c>
      <c r="D92" s="426" t="s">
        <v>2985</v>
      </c>
      <c r="E92" s="426" t="s">
        <v>258</v>
      </c>
      <c r="F92" s="428">
        <v>24</v>
      </c>
      <c r="G92" s="428">
        <f t="shared" si="6"/>
        <v>0</v>
      </c>
      <c r="H92" s="428"/>
      <c r="I92" s="428"/>
      <c r="J92" s="428">
        <f t="shared" si="7"/>
        <v>0</v>
      </c>
      <c r="K92" s="428"/>
      <c r="L92" s="428"/>
      <c r="N92" s="429" t="s">
        <v>80</v>
      </c>
      <c r="O92" s="428">
        <f>IF(N92="5",I92,0)</f>
        <v>0</v>
      </c>
      <c r="Z92" s="428">
        <f>IF(AD92=0,J92,0)</f>
        <v>0</v>
      </c>
      <c r="AA92" s="428">
        <f>IF(AD92=10,J92,0)</f>
        <v>0</v>
      </c>
      <c r="AB92" s="428">
        <f>IF(AD92=20,J92,0)</f>
        <v>0</v>
      </c>
      <c r="AD92" s="428">
        <v>20</v>
      </c>
      <c r="AE92" s="428">
        <f>G92*0.333465106472697</f>
        <v>0</v>
      </c>
      <c r="AF92" s="428">
        <f>G92*(1-0.333465106472697)</f>
        <v>0</v>
      </c>
    </row>
    <row r="93" spans="1:32">
      <c r="A93" s="426"/>
      <c r="B93" s="426"/>
      <c r="C93" s="426" t="s">
        <v>2968</v>
      </c>
      <c r="D93" s="426" t="s">
        <v>2986</v>
      </c>
      <c r="E93" s="426" t="s">
        <v>258</v>
      </c>
      <c r="F93" s="428">
        <v>5.88</v>
      </c>
      <c r="G93" s="428">
        <f t="shared" si="6"/>
        <v>0</v>
      </c>
      <c r="H93" s="428"/>
      <c r="I93" s="428"/>
      <c r="J93" s="428">
        <f t="shared" si="7"/>
        <v>0</v>
      </c>
      <c r="K93" s="428"/>
      <c r="L93" s="428"/>
      <c r="N93" s="429"/>
      <c r="O93" s="428"/>
      <c r="Z93" s="428"/>
      <c r="AA93" s="428"/>
      <c r="AB93" s="428"/>
      <c r="AD93" s="428"/>
      <c r="AE93" s="428"/>
      <c r="AF93" s="428"/>
    </row>
    <row r="94" spans="1:32">
      <c r="A94" s="426"/>
      <c r="B94" s="426"/>
      <c r="C94" s="426"/>
      <c r="D94" s="426" t="s">
        <v>2987</v>
      </c>
      <c r="E94" s="426" t="s">
        <v>258</v>
      </c>
      <c r="F94" s="428">
        <v>21.84</v>
      </c>
      <c r="G94" s="428">
        <f t="shared" si="6"/>
        <v>0</v>
      </c>
      <c r="H94" s="428"/>
      <c r="I94" s="428"/>
      <c r="J94" s="428">
        <f t="shared" si="7"/>
        <v>0</v>
      </c>
      <c r="K94" s="428"/>
      <c r="L94" s="428"/>
      <c r="N94" s="429"/>
      <c r="O94" s="428"/>
      <c r="Z94" s="428"/>
      <c r="AA94" s="428"/>
      <c r="AB94" s="428"/>
      <c r="AD94" s="428"/>
      <c r="AE94" s="428"/>
      <c r="AF94" s="428"/>
    </row>
    <row r="95" spans="1:32">
      <c r="A95" s="426"/>
      <c r="B95" s="426"/>
      <c r="C95" s="426" t="s">
        <v>2968</v>
      </c>
      <c r="D95" s="426" t="s">
        <v>2988</v>
      </c>
      <c r="E95" s="426" t="s">
        <v>258</v>
      </c>
      <c r="F95" s="428">
        <v>5.88</v>
      </c>
      <c r="G95" s="428">
        <f t="shared" si="6"/>
        <v>0</v>
      </c>
      <c r="H95" s="428"/>
      <c r="I95" s="428"/>
      <c r="J95" s="428">
        <f t="shared" si="7"/>
        <v>0</v>
      </c>
      <c r="K95" s="428"/>
      <c r="L95" s="428"/>
      <c r="N95" s="429"/>
      <c r="O95" s="428"/>
      <c r="Z95" s="428"/>
      <c r="AA95" s="428"/>
      <c r="AB95" s="428"/>
      <c r="AD95" s="428"/>
      <c r="AE95" s="428"/>
      <c r="AF95" s="428"/>
    </row>
    <row r="96" spans="1:32">
      <c r="A96" s="426"/>
      <c r="B96" s="426"/>
      <c r="C96" s="426" t="s">
        <v>2968</v>
      </c>
      <c r="D96" s="426" t="s">
        <v>2989</v>
      </c>
      <c r="E96" s="426" t="s">
        <v>258</v>
      </c>
      <c r="F96" s="428">
        <v>21.84</v>
      </c>
      <c r="G96" s="428">
        <f t="shared" si="6"/>
        <v>0</v>
      </c>
      <c r="H96" s="428"/>
      <c r="I96" s="428"/>
      <c r="J96" s="428">
        <f t="shared" si="7"/>
        <v>0</v>
      </c>
      <c r="K96" s="428"/>
      <c r="L96" s="428"/>
      <c r="N96" s="429"/>
      <c r="O96" s="428"/>
      <c r="Z96" s="428"/>
      <c r="AA96" s="428"/>
      <c r="AB96" s="428"/>
      <c r="AD96" s="428"/>
      <c r="AE96" s="428"/>
      <c r="AF96" s="428"/>
    </row>
    <row r="97" spans="1:32">
      <c r="A97" s="426"/>
      <c r="B97" s="426"/>
      <c r="C97" s="426"/>
      <c r="D97" s="426"/>
      <c r="E97" s="426"/>
      <c r="F97" s="428"/>
      <c r="G97" s="428"/>
      <c r="H97" s="428"/>
      <c r="I97" s="428"/>
      <c r="J97" s="428"/>
      <c r="K97" s="428"/>
      <c r="L97" s="428"/>
      <c r="N97" s="429"/>
      <c r="O97" s="428"/>
      <c r="Z97" s="428"/>
      <c r="AA97" s="428"/>
      <c r="AB97" s="428"/>
      <c r="AD97" s="428"/>
      <c r="AE97" s="428"/>
      <c r="AF97" s="428"/>
    </row>
    <row r="98" spans="1:32">
      <c r="A98" s="426"/>
      <c r="B98" s="426"/>
      <c r="C98" s="426" t="s">
        <v>2990</v>
      </c>
      <c r="D98" s="426" t="s">
        <v>2991</v>
      </c>
      <c r="E98" s="426" t="s">
        <v>2874</v>
      </c>
      <c r="F98" s="428">
        <v>37</v>
      </c>
      <c r="G98" s="428">
        <f t="shared" ref="G98:G105" si="8">H98+I98</f>
        <v>0</v>
      </c>
      <c r="H98" s="428"/>
      <c r="I98" s="428"/>
      <c r="J98" s="428">
        <f t="shared" ref="J98:J105" si="9">ROUND(F98*G98,2)</f>
        <v>0</v>
      </c>
      <c r="K98" s="428"/>
      <c r="L98" s="428"/>
      <c r="N98" s="429"/>
      <c r="O98" s="428"/>
      <c r="Z98" s="428"/>
      <c r="AA98" s="428"/>
      <c r="AB98" s="428"/>
      <c r="AD98" s="428"/>
      <c r="AE98" s="428"/>
      <c r="AF98" s="428"/>
    </row>
    <row r="99" spans="1:32">
      <c r="A99" s="426"/>
      <c r="B99" s="426"/>
      <c r="C99" s="426"/>
      <c r="D99" s="426" t="s">
        <v>2992</v>
      </c>
      <c r="E99" s="426" t="s">
        <v>2874</v>
      </c>
      <c r="F99" s="428">
        <v>5</v>
      </c>
      <c r="G99" s="428">
        <f t="shared" si="8"/>
        <v>0</v>
      </c>
      <c r="H99" s="428"/>
      <c r="I99" s="428"/>
      <c r="J99" s="428">
        <f t="shared" si="9"/>
        <v>0</v>
      </c>
      <c r="K99" s="428"/>
      <c r="L99" s="428"/>
      <c r="N99" s="429"/>
      <c r="O99" s="428"/>
      <c r="Z99" s="428"/>
      <c r="AA99" s="428"/>
      <c r="AB99" s="428"/>
      <c r="AD99" s="428"/>
      <c r="AE99" s="428"/>
      <c r="AF99" s="428"/>
    </row>
    <row r="100" spans="1:32">
      <c r="A100" s="426"/>
      <c r="B100" s="426"/>
      <c r="C100" s="426"/>
      <c r="D100" s="426" t="s">
        <v>2993</v>
      </c>
      <c r="E100" s="426" t="s">
        <v>2874</v>
      </c>
      <c r="F100" s="428">
        <v>8</v>
      </c>
      <c r="G100" s="428">
        <f t="shared" si="8"/>
        <v>0</v>
      </c>
      <c r="H100" s="428"/>
      <c r="I100" s="428"/>
      <c r="J100" s="428">
        <f t="shared" si="9"/>
        <v>0</v>
      </c>
      <c r="K100" s="428"/>
      <c r="L100" s="428"/>
      <c r="N100" s="429"/>
      <c r="O100" s="428"/>
      <c r="Z100" s="428"/>
      <c r="AA100" s="428"/>
      <c r="AB100" s="428"/>
      <c r="AD100" s="428"/>
      <c r="AE100" s="428"/>
      <c r="AF100" s="428"/>
    </row>
    <row r="101" spans="1:32">
      <c r="A101" s="426"/>
      <c r="B101" s="426"/>
      <c r="C101" s="426"/>
      <c r="D101" s="426" t="s">
        <v>2994</v>
      </c>
      <c r="E101" s="426" t="s">
        <v>2874</v>
      </c>
      <c r="F101" s="428">
        <v>7</v>
      </c>
      <c r="G101" s="428">
        <f t="shared" si="8"/>
        <v>0</v>
      </c>
      <c r="H101" s="428"/>
      <c r="I101" s="428"/>
      <c r="J101" s="428">
        <f t="shared" si="9"/>
        <v>0</v>
      </c>
      <c r="K101" s="428"/>
      <c r="L101" s="428"/>
      <c r="N101" s="429"/>
      <c r="O101" s="428"/>
      <c r="Z101" s="428"/>
      <c r="AA101" s="428"/>
      <c r="AB101" s="428"/>
      <c r="AD101" s="428"/>
      <c r="AE101" s="428"/>
      <c r="AF101" s="428"/>
    </row>
    <row r="102" spans="1:32">
      <c r="A102" s="426"/>
      <c r="B102" s="426"/>
      <c r="C102" s="426" t="s">
        <v>2995</v>
      </c>
      <c r="D102" s="426" t="s">
        <v>2996</v>
      </c>
      <c r="E102" s="426" t="s">
        <v>2874</v>
      </c>
      <c r="F102" s="428">
        <v>5</v>
      </c>
      <c r="G102" s="428">
        <f t="shared" si="8"/>
        <v>0</v>
      </c>
      <c r="H102" s="428"/>
      <c r="I102" s="428"/>
      <c r="J102" s="428">
        <f t="shared" si="9"/>
        <v>0</v>
      </c>
      <c r="K102" s="428"/>
      <c r="L102" s="428"/>
      <c r="N102" s="429"/>
      <c r="O102" s="428"/>
      <c r="Z102" s="428"/>
      <c r="AA102" s="428"/>
      <c r="AB102" s="428"/>
      <c r="AD102" s="428"/>
      <c r="AE102" s="428"/>
      <c r="AF102" s="428"/>
    </row>
    <row r="103" spans="1:32">
      <c r="A103" s="426"/>
      <c r="B103" s="426"/>
      <c r="C103" s="426" t="s">
        <v>2995</v>
      </c>
      <c r="D103" s="426" t="s">
        <v>2997</v>
      </c>
      <c r="E103" s="426" t="s">
        <v>2874</v>
      </c>
      <c r="F103" s="428">
        <v>5</v>
      </c>
      <c r="G103" s="428">
        <f t="shared" si="8"/>
        <v>0</v>
      </c>
      <c r="H103" s="428"/>
      <c r="I103" s="428"/>
      <c r="J103" s="428">
        <f t="shared" si="9"/>
        <v>0</v>
      </c>
      <c r="K103" s="428"/>
      <c r="L103" s="428"/>
      <c r="N103" s="429"/>
      <c r="O103" s="428"/>
      <c r="Z103" s="428"/>
      <c r="AA103" s="428"/>
      <c r="AB103" s="428"/>
      <c r="AD103" s="428"/>
      <c r="AE103" s="428"/>
      <c r="AF103" s="428"/>
    </row>
    <row r="104" spans="1:32">
      <c r="A104" s="426"/>
      <c r="B104" s="426"/>
      <c r="C104" s="426" t="s">
        <v>2995</v>
      </c>
      <c r="D104" s="426" t="s">
        <v>2998</v>
      </c>
      <c r="E104" s="426" t="s">
        <v>2874</v>
      </c>
      <c r="F104" s="428">
        <v>1</v>
      </c>
      <c r="G104" s="428">
        <f t="shared" si="8"/>
        <v>0</v>
      </c>
      <c r="H104" s="428"/>
      <c r="I104" s="428"/>
      <c r="J104" s="428">
        <f t="shared" si="9"/>
        <v>0</v>
      </c>
      <c r="K104" s="428"/>
      <c r="L104" s="428"/>
      <c r="N104" s="429"/>
      <c r="O104" s="428"/>
      <c r="Z104" s="428"/>
      <c r="AA104" s="428"/>
      <c r="AB104" s="428"/>
      <c r="AD104" s="428"/>
      <c r="AE104" s="428"/>
      <c r="AF104" s="428"/>
    </row>
    <row r="105" spans="1:32">
      <c r="A105" s="426"/>
      <c r="B105" s="426"/>
      <c r="C105" s="426" t="s">
        <v>2999</v>
      </c>
      <c r="D105" s="426" t="s">
        <v>3000</v>
      </c>
      <c r="E105" s="426" t="s">
        <v>2874</v>
      </c>
      <c r="F105" s="428">
        <v>17</v>
      </c>
      <c r="G105" s="428">
        <f t="shared" si="8"/>
        <v>0</v>
      </c>
      <c r="H105" s="428"/>
      <c r="I105" s="428"/>
      <c r="J105" s="428">
        <f t="shared" si="9"/>
        <v>0</v>
      </c>
      <c r="K105" s="428"/>
      <c r="L105" s="428"/>
      <c r="N105" s="429"/>
      <c r="O105" s="428"/>
      <c r="Z105" s="428"/>
      <c r="AA105" s="428"/>
      <c r="AB105" s="428"/>
      <c r="AD105" s="428"/>
      <c r="AE105" s="428"/>
      <c r="AF105" s="428"/>
    </row>
    <row r="106" spans="1:32" ht="13">
      <c r="A106" s="426"/>
      <c r="B106" s="426"/>
      <c r="C106" s="440"/>
      <c r="D106" s="438" t="s">
        <v>2948</v>
      </c>
      <c r="E106" s="443"/>
      <c r="F106" s="430"/>
      <c r="G106" s="428"/>
      <c r="H106" s="428"/>
      <c r="I106" s="428"/>
      <c r="J106" s="428"/>
      <c r="K106" s="428"/>
      <c r="L106" s="428"/>
      <c r="N106" s="429"/>
      <c r="O106" s="428"/>
      <c r="Z106" s="428"/>
      <c r="AA106" s="428"/>
      <c r="AB106" s="428"/>
      <c r="AD106" s="428"/>
      <c r="AE106" s="428"/>
      <c r="AF106" s="428"/>
    </row>
    <row r="107" spans="1:32">
      <c r="A107" s="426"/>
      <c r="B107" s="426"/>
      <c r="C107" s="440"/>
      <c r="D107" s="431" t="s">
        <v>2949</v>
      </c>
      <c r="E107" s="441"/>
      <c r="F107" s="430"/>
      <c r="G107" s="428"/>
      <c r="H107" s="428"/>
      <c r="I107" s="428"/>
      <c r="J107" s="428"/>
      <c r="K107" s="428"/>
      <c r="L107" s="428"/>
      <c r="N107" s="429"/>
      <c r="O107" s="428"/>
      <c r="Z107" s="428"/>
      <c r="AA107" s="428"/>
      <c r="AB107" s="428"/>
      <c r="AD107" s="428"/>
      <c r="AE107" s="428"/>
      <c r="AF107" s="428"/>
    </row>
    <row r="108" spans="1:32">
      <c r="A108" s="426"/>
      <c r="B108" s="426"/>
      <c r="C108" s="440" t="s">
        <v>2916</v>
      </c>
      <c r="D108" s="431" t="s">
        <v>2950</v>
      </c>
      <c r="E108" s="443" t="s">
        <v>258</v>
      </c>
      <c r="F108" s="430">
        <v>76</v>
      </c>
      <c r="G108" s="428">
        <f>H108+I108</f>
        <v>0</v>
      </c>
      <c r="H108" s="428"/>
      <c r="I108" s="428"/>
      <c r="J108" s="428">
        <f>ROUND(F108*G108,2)</f>
        <v>0</v>
      </c>
      <c r="K108" s="428"/>
      <c r="L108" s="428"/>
      <c r="N108" s="429"/>
      <c r="O108" s="428"/>
      <c r="Z108" s="428"/>
      <c r="AA108" s="428"/>
      <c r="AB108" s="428"/>
      <c r="AD108" s="428"/>
      <c r="AE108" s="428"/>
      <c r="AF108" s="428"/>
    </row>
    <row r="109" spans="1:32">
      <c r="A109" s="426"/>
      <c r="B109" s="426"/>
      <c r="C109" s="440" t="s">
        <v>3001</v>
      </c>
      <c r="D109" s="431" t="s">
        <v>3002</v>
      </c>
      <c r="E109" s="443" t="s">
        <v>258</v>
      </c>
      <c r="F109" s="430">
        <v>85</v>
      </c>
      <c r="G109" s="428">
        <f>H109+I109</f>
        <v>0</v>
      </c>
      <c r="H109" s="428"/>
      <c r="I109" s="428"/>
      <c r="J109" s="428">
        <f>ROUND(F109*G109,2)</f>
        <v>0</v>
      </c>
      <c r="K109" s="428"/>
      <c r="L109" s="428"/>
      <c r="N109" s="429"/>
      <c r="O109" s="428"/>
      <c r="Z109" s="428"/>
      <c r="AA109" s="428"/>
      <c r="AB109" s="428"/>
      <c r="AD109" s="428"/>
      <c r="AE109" s="428"/>
      <c r="AF109" s="428"/>
    </row>
    <row r="110" spans="1:32" ht="13">
      <c r="A110" s="426"/>
      <c r="B110" s="426"/>
      <c r="C110" s="440"/>
      <c r="D110" s="436" t="s">
        <v>2951</v>
      </c>
      <c r="E110" s="441"/>
      <c r="F110" s="430"/>
      <c r="G110" s="428"/>
      <c r="H110" s="428"/>
      <c r="I110" s="428"/>
      <c r="J110" s="428"/>
      <c r="K110" s="428"/>
      <c r="L110" s="428"/>
      <c r="N110" s="429"/>
      <c r="O110" s="428"/>
      <c r="Z110" s="428"/>
      <c r="AA110" s="428"/>
      <c r="AB110" s="428"/>
      <c r="AD110" s="428"/>
      <c r="AE110" s="428"/>
      <c r="AF110" s="428"/>
    </row>
    <row r="111" spans="1:32">
      <c r="A111" s="426"/>
      <c r="B111" s="426"/>
      <c r="C111" s="440" t="s">
        <v>2836</v>
      </c>
      <c r="D111" s="431" t="s">
        <v>3003</v>
      </c>
      <c r="E111" s="441"/>
      <c r="F111" s="430"/>
      <c r="G111" s="428"/>
      <c r="H111" s="428"/>
      <c r="I111" s="428"/>
      <c r="J111" s="428"/>
      <c r="K111" s="428"/>
      <c r="L111" s="428"/>
      <c r="N111" s="429"/>
      <c r="O111" s="428"/>
      <c r="Z111" s="428"/>
      <c r="AA111" s="428"/>
      <c r="AB111" s="428"/>
      <c r="AD111" s="428"/>
      <c r="AE111" s="428"/>
      <c r="AF111" s="428"/>
    </row>
    <row r="112" spans="1:32">
      <c r="A112" s="426"/>
      <c r="B112" s="426"/>
      <c r="C112" s="440" t="s">
        <v>3004</v>
      </c>
      <c r="D112" s="431" t="s">
        <v>3005</v>
      </c>
      <c r="E112" s="443" t="s">
        <v>2944</v>
      </c>
      <c r="F112" s="430">
        <v>52</v>
      </c>
      <c r="G112" s="428">
        <f>H112+I112</f>
        <v>0</v>
      </c>
      <c r="H112" s="428"/>
      <c r="I112" s="428"/>
      <c r="J112" s="428">
        <f>ROUND(F112*G112,2)</f>
        <v>0</v>
      </c>
      <c r="K112" s="428"/>
      <c r="L112" s="428"/>
      <c r="N112" s="429"/>
      <c r="O112" s="428"/>
      <c r="Z112" s="428"/>
      <c r="AA112" s="428"/>
      <c r="AB112" s="428"/>
      <c r="AD112" s="428"/>
      <c r="AE112" s="428"/>
      <c r="AF112" s="428"/>
    </row>
    <row r="113" spans="1:37">
      <c r="A113" s="426"/>
      <c r="B113" s="426"/>
      <c r="C113" s="426" t="s">
        <v>3006</v>
      </c>
      <c r="D113" s="431" t="s">
        <v>3007</v>
      </c>
      <c r="E113" s="443" t="s">
        <v>2944</v>
      </c>
      <c r="F113" s="430">
        <v>11</v>
      </c>
      <c r="G113" s="428">
        <f>H113+I113</f>
        <v>0</v>
      </c>
      <c r="H113" s="428"/>
      <c r="I113" s="428"/>
      <c r="J113" s="428">
        <f>ROUND(F113*G113,2)</f>
        <v>0</v>
      </c>
      <c r="K113" s="428"/>
      <c r="L113" s="428"/>
      <c r="N113" s="429"/>
      <c r="O113" s="428"/>
      <c r="Z113" s="428"/>
      <c r="AA113" s="428"/>
      <c r="AB113" s="428"/>
      <c r="AD113" s="428"/>
      <c r="AE113" s="428"/>
      <c r="AF113" s="428"/>
    </row>
    <row r="114" spans="1:37">
      <c r="A114" s="426"/>
      <c r="B114" s="426"/>
      <c r="C114" s="426" t="s">
        <v>3008</v>
      </c>
      <c r="D114" s="431" t="s">
        <v>3009</v>
      </c>
      <c r="E114" s="443" t="s">
        <v>2944</v>
      </c>
      <c r="F114" s="430">
        <v>23</v>
      </c>
      <c r="G114" s="428">
        <f>H114+I114</f>
        <v>0</v>
      </c>
      <c r="H114" s="428"/>
      <c r="I114" s="428"/>
      <c r="J114" s="428">
        <f>ROUND(F114*G114,2)</f>
        <v>0</v>
      </c>
      <c r="K114" s="428"/>
      <c r="L114" s="428"/>
      <c r="N114" s="429"/>
      <c r="O114" s="428"/>
      <c r="Z114" s="428"/>
      <c r="AA114" s="428"/>
      <c r="AB114" s="428"/>
      <c r="AD114" s="428"/>
      <c r="AE114" s="428"/>
      <c r="AF114" s="428"/>
    </row>
    <row r="115" spans="1:37">
      <c r="A115" s="426"/>
      <c r="B115" s="426"/>
      <c r="C115" s="440"/>
      <c r="D115" s="431" t="s">
        <v>3010</v>
      </c>
      <c r="E115" s="443"/>
      <c r="F115" s="430"/>
      <c r="G115" s="428"/>
      <c r="H115" s="428"/>
      <c r="I115" s="428"/>
      <c r="J115" s="428"/>
      <c r="K115" s="428"/>
      <c r="L115" s="428"/>
      <c r="N115" s="429"/>
      <c r="O115" s="428"/>
      <c r="Z115" s="428"/>
      <c r="AA115" s="428"/>
      <c r="AB115" s="428"/>
      <c r="AD115" s="428"/>
      <c r="AE115" s="428"/>
      <c r="AF115" s="428"/>
    </row>
    <row r="116" spans="1:37">
      <c r="A116" s="426"/>
      <c r="B116" s="426"/>
      <c r="C116" s="440" t="s">
        <v>3011</v>
      </c>
      <c r="D116" s="431" t="s">
        <v>3012</v>
      </c>
      <c r="E116" s="443" t="s">
        <v>2944</v>
      </c>
      <c r="F116" s="430">
        <v>30</v>
      </c>
      <c r="G116" s="428">
        <f t="shared" ref="G116:G121" si="10">H116+I116</f>
        <v>0</v>
      </c>
      <c r="H116" s="428"/>
      <c r="I116" s="428"/>
      <c r="J116" s="428">
        <f t="shared" ref="J116:J121" si="11">ROUND(F116*G116,2)</f>
        <v>0</v>
      </c>
      <c r="K116" s="428"/>
      <c r="L116" s="428"/>
      <c r="N116" s="429"/>
      <c r="O116" s="428"/>
      <c r="Z116" s="428"/>
      <c r="AA116" s="428"/>
      <c r="AB116" s="428"/>
      <c r="AD116" s="428"/>
      <c r="AE116" s="428"/>
      <c r="AF116" s="428"/>
    </row>
    <row r="117" spans="1:37">
      <c r="A117" s="426"/>
      <c r="B117" s="426"/>
      <c r="C117" s="440" t="s">
        <v>3013</v>
      </c>
      <c r="D117" s="431" t="s">
        <v>3014</v>
      </c>
      <c r="E117" s="443" t="s">
        <v>2944</v>
      </c>
      <c r="F117" s="430">
        <v>30</v>
      </c>
      <c r="G117" s="428">
        <f t="shared" si="10"/>
        <v>0</v>
      </c>
      <c r="H117" s="428"/>
      <c r="I117" s="428"/>
      <c r="J117" s="428">
        <f t="shared" si="11"/>
        <v>0</v>
      </c>
      <c r="K117" s="428"/>
      <c r="L117" s="428"/>
      <c r="N117" s="429"/>
      <c r="O117" s="428"/>
      <c r="Z117" s="428"/>
      <c r="AA117" s="428"/>
      <c r="AB117" s="428"/>
      <c r="AD117" s="428"/>
      <c r="AE117" s="428"/>
      <c r="AF117" s="428"/>
    </row>
    <row r="118" spans="1:37">
      <c r="A118" s="426"/>
      <c r="B118" s="426"/>
      <c r="C118" s="440" t="s">
        <v>3015</v>
      </c>
      <c r="D118" s="431" t="s">
        <v>3016</v>
      </c>
      <c r="E118" s="443" t="s">
        <v>2944</v>
      </c>
      <c r="F118" s="430">
        <v>45</v>
      </c>
      <c r="G118" s="428">
        <f t="shared" si="10"/>
        <v>0</v>
      </c>
      <c r="H118" s="428"/>
      <c r="I118" s="428"/>
      <c r="J118" s="428">
        <f t="shared" si="11"/>
        <v>0</v>
      </c>
      <c r="K118" s="428"/>
      <c r="L118" s="428"/>
      <c r="N118" s="429"/>
      <c r="O118" s="428"/>
      <c r="Z118" s="428"/>
      <c r="AA118" s="428"/>
      <c r="AB118" s="428"/>
      <c r="AD118" s="428"/>
      <c r="AE118" s="428"/>
      <c r="AF118" s="428"/>
    </row>
    <row r="119" spans="1:37">
      <c r="A119" s="426"/>
      <c r="B119" s="426"/>
      <c r="C119" s="440" t="s">
        <v>2960</v>
      </c>
      <c r="D119" s="431" t="s">
        <v>3017</v>
      </c>
      <c r="E119" s="443" t="s">
        <v>258</v>
      </c>
      <c r="F119" s="430">
        <v>152</v>
      </c>
      <c r="G119" s="428">
        <f t="shared" si="10"/>
        <v>0</v>
      </c>
      <c r="H119" s="428"/>
      <c r="I119" s="428"/>
      <c r="J119" s="428">
        <f t="shared" si="11"/>
        <v>0</v>
      </c>
      <c r="K119" s="428"/>
      <c r="L119" s="428"/>
      <c r="N119" s="429"/>
      <c r="O119" s="428"/>
      <c r="Z119" s="428"/>
      <c r="AA119" s="428"/>
      <c r="AB119" s="428"/>
      <c r="AD119" s="428"/>
      <c r="AE119" s="428"/>
      <c r="AF119" s="428"/>
    </row>
    <row r="120" spans="1:37">
      <c r="A120" s="426"/>
      <c r="B120" s="426"/>
      <c r="C120" s="426" t="s">
        <v>3018</v>
      </c>
      <c r="D120" s="426" t="s">
        <v>3019</v>
      </c>
      <c r="E120" s="426" t="s">
        <v>258</v>
      </c>
      <c r="F120" s="428">
        <v>152</v>
      </c>
      <c r="G120" s="428">
        <f t="shared" si="10"/>
        <v>0</v>
      </c>
      <c r="H120" s="428"/>
      <c r="I120" s="428"/>
      <c r="J120" s="428">
        <f t="shared" si="11"/>
        <v>0</v>
      </c>
      <c r="K120" s="428"/>
      <c r="L120" s="428"/>
      <c r="N120" s="429" t="s">
        <v>80</v>
      </c>
      <c r="O120" s="428">
        <f>IF(N120="5",I120,0)</f>
        <v>0</v>
      </c>
      <c r="Z120" s="428">
        <f>IF(AD120=0,J120,0)</f>
        <v>0</v>
      </c>
      <c r="AA120" s="428">
        <f>IF(AD120=10,J120,0)</f>
        <v>0</v>
      </c>
      <c r="AB120" s="428">
        <f>IF(AD120=20,J120,0)</f>
        <v>0</v>
      </c>
      <c r="AD120" s="428">
        <v>20</v>
      </c>
      <c r="AE120" s="428">
        <f>G120*0.253854059609455</f>
        <v>0</v>
      </c>
      <c r="AF120" s="428">
        <f>G120*(1-0.253854059609455)</f>
        <v>0</v>
      </c>
    </row>
    <row r="121" spans="1:37">
      <c r="A121" s="426"/>
      <c r="B121" s="426"/>
      <c r="C121" s="426" t="s">
        <v>3020</v>
      </c>
      <c r="D121" s="426" t="s">
        <v>3021</v>
      </c>
      <c r="E121" s="426" t="s">
        <v>426</v>
      </c>
      <c r="F121" s="428">
        <v>15</v>
      </c>
      <c r="G121" s="428">
        <f t="shared" si="10"/>
        <v>0</v>
      </c>
      <c r="H121" s="428"/>
      <c r="I121" s="428"/>
      <c r="J121" s="428">
        <f t="shared" si="11"/>
        <v>0</v>
      </c>
      <c r="K121" s="428"/>
      <c r="L121" s="428"/>
      <c r="M121" s="444"/>
      <c r="N121" s="429" t="s">
        <v>160</v>
      </c>
      <c r="O121" s="428">
        <f>IF(N121="5",I121,0)</f>
        <v>0</v>
      </c>
      <c r="Z121" s="428">
        <f>IF(AD121=0,J121,0)</f>
        <v>0</v>
      </c>
      <c r="AA121" s="428">
        <f>IF(AD121=10,J121,0)</f>
        <v>0</v>
      </c>
      <c r="AB121" s="428">
        <f>IF(AD121=20,J121,0)</f>
        <v>0</v>
      </c>
      <c r="AD121" s="428">
        <v>20</v>
      </c>
      <c r="AE121" s="428">
        <f>G121*0</f>
        <v>0</v>
      </c>
      <c r="AF121" s="428">
        <f>G121*(1-0)</f>
        <v>0</v>
      </c>
    </row>
    <row r="122" spans="1:37" ht="13">
      <c r="A122" s="418"/>
      <c r="B122" s="418"/>
      <c r="C122" s="419" t="s">
        <v>3022</v>
      </c>
      <c r="D122" s="420" t="s">
        <v>3023</v>
      </c>
      <c r="E122" s="421"/>
      <c r="F122" s="421"/>
      <c r="G122" s="421"/>
      <c r="H122" s="425"/>
      <c r="I122" s="425"/>
      <c r="J122" s="425">
        <f>SUM(J123:J149)</f>
        <v>0</v>
      </c>
      <c r="K122" s="417"/>
      <c r="L122" s="425"/>
      <c r="P122" s="425">
        <f>IF(Q122="PR",J122,SUM(O123:O149))</f>
        <v>0</v>
      </c>
      <c r="Q122" s="417" t="s">
        <v>2858</v>
      </c>
      <c r="R122" s="425">
        <f>IF(Q122="HS",H122,0)</f>
        <v>0</v>
      </c>
      <c r="S122" s="425">
        <f>IF(Q122="HS",I122-P122,0)</f>
        <v>0</v>
      </c>
      <c r="T122" s="425">
        <f>IF(Q122="PS",H122,0)</f>
        <v>0</v>
      </c>
      <c r="U122" s="425">
        <f>IF(Q122="PS",I122-P122,0)</f>
        <v>0</v>
      </c>
      <c r="V122" s="425">
        <f>IF(Q122="MP",H122,0)</f>
        <v>0</v>
      </c>
      <c r="W122" s="425">
        <f>IF(Q122="MP",I122-P122,0)</f>
        <v>0</v>
      </c>
      <c r="X122" s="425">
        <f>IF(Q122="OM",H122,0)</f>
        <v>0</v>
      </c>
      <c r="Y122" s="417" t="s">
        <v>2859</v>
      </c>
      <c r="AI122" s="425">
        <f>SUM(Z123:Z149)</f>
        <v>0</v>
      </c>
      <c r="AJ122" s="425">
        <f>SUM(AA123:AA149)</f>
        <v>0</v>
      </c>
      <c r="AK122" s="425">
        <f>SUM(AB123:AB149)</f>
        <v>0</v>
      </c>
    </row>
    <row r="123" spans="1:37">
      <c r="A123" s="426"/>
      <c r="B123" s="426"/>
      <c r="C123" s="426" t="s">
        <v>3024</v>
      </c>
      <c r="D123" s="426" t="s">
        <v>3025</v>
      </c>
      <c r="E123" s="426" t="s">
        <v>2874</v>
      </c>
      <c r="F123" s="428">
        <v>5</v>
      </c>
      <c r="G123" s="428">
        <f t="shared" ref="G123:G138" si="12">H123+I123</f>
        <v>0</v>
      </c>
      <c r="H123" s="428"/>
      <c r="I123" s="428"/>
      <c r="J123" s="428">
        <f t="shared" ref="J123:J138" si="13">ROUND(F123*G123,2)</f>
        <v>0</v>
      </c>
      <c r="K123" s="428"/>
      <c r="L123" s="428"/>
      <c r="N123" s="429" t="s">
        <v>72</v>
      </c>
      <c r="O123" s="428">
        <f>IF(N123="5",I123,0)</f>
        <v>0</v>
      </c>
      <c r="Z123" s="428">
        <f>IF(AD123=0,J123,0)</f>
        <v>0</v>
      </c>
      <c r="AA123" s="428">
        <f>IF(AD123=10,J123,0)</f>
        <v>0</v>
      </c>
      <c r="AB123" s="428">
        <f>IF(AD123=20,J123,0)</f>
        <v>0</v>
      </c>
      <c r="AD123" s="428">
        <v>20</v>
      </c>
      <c r="AE123" s="428">
        <f>G123*1</f>
        <v>0</v>
      </c>
      <c r="AF123" s="428">
        <f>G123*(1-1)</f>
        <v>0</v>
      </c>
    </row>
    <row r="124" spans="1:37">
      <c r="A124" s="426"/>
      <c r="B124" s="426"/>
      <c r="C124" s="426" t="s">
        <v>3026</v>
      </c>
      <c r="D124" s="426" t="s">
        <v>3027</v>
      </c>
      <c r="E124" s="426" t="s">
        <v>2874</v>
      </c>
      <c r="F124" s="428">
        <v>9</v>
      </c>
      <c r="G124" s="428">
        <f t="shared" si="12"/>
        <v>0</v>
      </c>
      <c r="H124" s="428"/>
      <c r="I124" s="428"/>
      <c r="J124" s="428">
        <f t="shared" si="13"/>
        <v>0</v>
      </c>
      <c r="K124" s="428"/>
      <c r="L124" s="428"/>
      <c r="N124" s="429"/>
      <c r="O124" s="428"/>
      <c r="Z124" s="428"/>
      <c r="AA124" s="428"/>
      <c r="AB124" s="428"/>
      <c r="AD124" s="428"/>
      <c r="AE124" s="428"/>
      <c r="AF124" s="428"/>
    </row>
    <row r="125" spans="1:37">
      <c r="A125" s="426"/>
      <c r="B125" s="426"/>
      <c r="C125" s="426" t="s">
        <v>3028</v>
      </c>
      <c r="D125" s="426" t="s">
        <v>3029</v>
      </c>
      <c r="E125" s="426" t="s">
        <v>3030</v>
      </c>
      <c r="F125" s="428">
        <v>5</v>
      </c>
      <c r="G125" s="428">
        <f t="shared" si="12"/>
        <v>0</v>
      </c>
      <c r="H125" s="428"/>
      <c r="I125" s="428"/>
      <c r="J125" s="428">
        <f t="shared" si="13"/>
        <v>0</v>
      </c>
      <c r="K125" s="428"/>
      <c r="L125" s="428"/>
      <c r="N125" s="429" t="s">
        <v>80</v>
      </c>
      <c r="O125" s="428">
        <f>IF(N125="5",I125,0)</f>
        <v>0</v>
      </c>
      <c r="Z125" s="428">
        <f>IF(AD125=0,J125,0)</f>
        <v>0</v>
      </c>
      <c r="AA125" s="428">
        <f>IF(AD125=10,J125,0)</f>
        <v>0</v>
      </c>
      <c r="AB125" s="428">
        <f>IF(AD125=20,J125,0)</f>
        <v>0</v>
      </c>
      <c r="AD125" s="428">
        <v>20</v>
      </c>
      <c r="AE125" s="428">
        <f>G125*0.882049450402264</f>
        <v>0</v>
      </c>
      <c r="AF125" s="428">
        <f>G125*(1-0.882049450402264)</f>
        <v>0</v>
      </c>
    </row>
    <row r="126" spans="1:37">
      <c r="A126" s="426"/>
      <c r="B126" s="426"/>
      <c r="C126" s="426" t="s">
        <v>3031</v>
      </c>
      <c r="D126" s="426" t="s">
        <v>3032</v>
      </c>
      <c r="E126" s="426" t="s">
        <v>3030</v>
      </c>
      <c r="F126" s="428">
        <v>1</v>
      </c>
      <c r="G126" s="428">
        <f t="shared" si="12"/>
        <v>0</v>
      </c>
      <c r="H126" s="428"/>
      <c r="I126" s="428"/>
      <c r="J126" s="428">
        <f t="shared" si="13"/>
        <v>0</v>
      </c>
      <c r="K126" s="428"/>
      <c r="L126" s="428"/>
      <c r="N126" s="429"/>
      <c r="O126" s="428"/>
      <c r="Z126" s="428"/>
      <c r="AA126" s="428"/>
      <c r="AB126" s="428"/>
      <c r="AD126" s="428"/>
      <c r="AE126" s="428"/>
      <c r="AF126" s="428"/>
    </row>
    <row r="127" spans="1:37">
      <c r="A127" s="426"/>
      <c r="B127" s="426"/>
      <c r="C127" s="426" t="s">
        <v>3033</v>
      </c>
      <c r="D127" s="426" t="s">
        <v>3034</v>
      </c>
      <c r="E127" s="426" t="s">
        <v>3030</v>
      </c>
      <c r="F127" s="428">
        <v>1</v>
      </c>
      <c r="G127" s="428">
        <f t="shared" si="12"/>
        <v>0</v>
      </c>
      <c r="H127" s="428"/>
      <c r="I127" s="428"/>
      <c r="J127" s="428">
        <f t="shared" si="13"/>
        <v>0</v>
      </c>
      <c r="K127" s="428"/>
      <c r="L127" s="428"/>
      <c r="N127" s="429" t="s">
        <v>80</v>
      </c>
      <c r="O127" s="428">
        <f>IF(N127="5",I127,0)</f>
        <v>0</v>
      </c>
      <c r="Z127" s="428">
        <f>IF(AD127=0,J127,0)</f>
        <v>0</v>
      </c>
      <c r="AA127" s="428">
        <f>IF(AD127=10,J127,0)</f>
        <v>0</v>
      </c>
      <c r="AB127" s="428">
        <f>IF(AD127=20,J127,0)</f>
        <v>0</v>
      </c>
      <c r="AD127" s="428">
        <v>20</v>
      </c>
      <c r="AE127" s="428">
        <f>G127*0.792629077306375</f>
        <v>0</v>
      </c>
      <c r="AF127" s="428">
        <f>G127*(1-0.792629077306375)</f>
        <v>0</v>
      </c>
    </row>
    <row r="128" spans="1:37">
      <c r="A128" s="426"/>
      <c r="B128" s="426"/>
      <c r="C128" s="426" t="s">
        <v>3035</v>
      </c>
      <c r="D128" s="426" t="s">
        <v>3036</v>
      </c>
      <c r="E128" s="426" t="s">
        <v>2874</v>
      </c>
      <c r="F128" s="428">
        <v>1</v>
      </c>
      <c r="G128" s="428">
        <f t="shared" si="12"/>
        <v>0</v>
      </c>
      <c r="H128" s="428"/>
      <c r="I128" s="428"/>
      <c r="J128" s="428">
        <f t="shared" si="13"/>
        <v>0</v>
      </c>
      <c r="K128" s="428"/>
      <c r="L128" s="428"/>
      <c r="N128" s="429"/>
      <c r="O128" s="428"/>
      <c r="Z128" s="428"/>
      <c r="AA128" s="428"/>
      <c r="AB128" s="428"/>
      <c r="AD128" s="428"/>
      <c r="AE128" s="428"/>
      <c r="AF128" s="428"/>
    </row>
    <row r="129" spans="1:32">
      <c r="A129" s="426"/>
      <c r="B129" s="426"/>
      <c r="C129" s="426" t="s">
        <v>3037</v>
      </c>
      <c r="D129" s="426" t="s">
        <v>3038</v>
      </c>
      <c r="E129" s="426" t="s">
        <v>2874</v>
      </c>
      <c r="F129" s="428">
        <v>1</v>
      </c>
      <c r="G129" s="428">
        <f t="shared" si="12"/>
        <v>0</v>
      </c>
      <c r="H129" s="428"/>
      <c r="I129" s="428"/>
      <c r="J129" s="428">
        <f t="shared" si="13"/>
        <v>0</v>
      </c>
      <c r="K129" s="428"/>
      <c r="L129" s="428"/>
      <c r="N129" s="429" t="s">
        <v>80</v>
      </c>
      <c r="O129" s="428">
        <f t="shared" ref="O129:O136" si="14">IF(N129="5",I129,0)</f>
        <v>0</v>
      </c>
      <c r="Z129" s="428">
        <f t="shared" ref="Z129:Z136" si="15">IF(AD129=0,J129,0)</f>
        <v>0</v>
      </c>
      <c r="AA129" s="428">
        <f t="shared" ref="AA129:AA136" si="16">IF(AD129=10,J129,0)</f>
        <v>0</v>
      </c>
      <c r="AB129" s="428">
        <f t="shared" ref="AB129:AB136" si="17">IF(AD129=20,J129,0)</f>
        <v>0</v>
      </c>
      <c r="AD129" s="428">
        <v>20</v>
      </c>
      <c r="AE129" s="428">
        <f>G129*0.712217244317401</f>
        <v>0</v>
      </c>
      <c r="AF129" s="428">
        <f>G129*(1-0.712217244317401)</f>
        <v>0</v>
      </c>
    </row>
    <row r="130" spans="1:32">
      <c r="A130" s="426"/>
      <c r="B130" s="426"/>
      <c r="C130" s="426" t="s">
        <v>3039</v>
      </c>
      <c r="D130" s="426" t="s">
        <v>3040</v>
      </c>
      <c r="E130" s="426" t="s">
        <v>3030</v>
      </c>
      <c r="F130" s="428">
        <f>F123</f>
        <v>5</v>
      </c>
      <c r="G130" s="428">
        <f t="shared" si="12"/>
        <v>0</v>
      </c>
      <c r="H130" s="428"/>
      <c r="I130" s="428"/>
      <c r="J130" s="428">
        <f t="shared" si="13"/>
        <v>0</v>
      </c>
      <c r="K130" s="428"/>
      <c r="L130" s="428"/>
      <c r="N130" s="429" t="s">
        <v>80</v>
      </c>
      <c r="O130" s="428">
        <f t="shared" si="14"/>
        <v>0</v>
      </c>
      <c r="Z130" s="428">
        <f t="shared" si="15"/>
        <v>0</v>
      </c>
      <c r="AA130" s="428">
        <f t="shared" si="16"/>
        <v>0</v>
      </c>
      <c r="AB130" s="428">
        <f t="shared" si="17"/>
        <v>0</v>
      </c>
      <c r="AD130" s="428">
        <v>20</v>
      </c>
      <c r="AE130" s="428">
        <f>G130*0.898950103436346</f>
        <v>0</v>
      </c>
      <c r="AF130" s="428">
        <f>G130*(1-0.898950103436346)</f>
        <v>0</v>
      </c>
    </row>
    <row r="131" spans="1:32">
      <c r="A131" s="426"/>
      <c r="B131" s="426"/>
      <c r="C131" s="426" t="s">
        <v>3041</v>
      </c>
      <c r="D131" s="426" t="s">
        <v>3042</v>
      </c>
      <c r="E131" s="426" t="s">
        <v>2874</v>
      </c>
      <c r="F131" s="428">
        <v>1</v>
      </c>
      <c r="G131" s="428">
        <f t="shared" si="12"/>
        <v>0</v>
      </c>
      <c r="H131" s="428"/>
      <c r="I131" s="428"/>
      <c r="J131" s="428">
        <f t="shared" si="13"/>
        <v>0</v>
      </c>
      <c r="K131" s="428"/>
      <c r="L131" s="428"/>
      <c r="N131" s="429" t="s">
        <v>80</v>
      </c>
      <c r="O131" s="428">
        <f t="shared" si="14"/>
        <v>0</v>
      </c>
      <c r="Z131" s="428">
        <f t="shared" si="15"/>
        <v>0</v>
      </c>
      <c r="AA131" s="428">
        <f t="shared" si="16"/>
        <v>0</v>
      </c>
      <c r="AB131" s="428">
        <f t="shared" si="17"/>
        <v>0</v>
      </c>
      <c r="AD131" s="428">
        <v>20</v>
      </c>
      <c r="AE131" s="428">
        <f>G131*0</f>
        <v>0</v>
      </c>
      <c r="AF131" s="428">
        <f>G131*(1-0)</f>
        <v>0</v>
      </c>
    </row>
    <row r="132" spans="1:32">
      <c r="A132" s="426"/>
      <c r="B132" s="426"/>
      <c r="C132" s="426" t="s">
        <v>3043</v>
      </c>
      <c r="D132" s="426" t="s">
        <v>3044</v>
      </c>
      <c r="E132" s="426" t="s">
        <v>2874</v>
      </c>
      <c r="F132" s="428">
        <v>1</v>
      </c>
      <c r="G132" s="428">
        <f t="shared" si="12"/>
        <v>0</v>
      </c>
      <c r="H132" s="428"/>
      <c r="I132" s="428"/>
      <c r="J132" s="428">
        <f t="shared" si="13"/>
        <v>0</v>
      </c>
      <c r="K132" s="428"/>
      <c r="L132" s="428"/>
      <c r="N132" s="429" t="s">
        <v>80</v>
      </c>
      <c r="O132" s="428">
        <f t="shared" si="14"/>
        <v>0</v>
      </c>
      <c r="Z132" s="428">
        <f t="shared" si="15"/>
        <v>0</v>
      </c>
      <c r="AA132" s="428">
        <f t="shared" si="16"/>
        <v>0</v>
      </c>
      <c r="AB132" s="428">
        <f t="shared" si="17"/>
        <v>0</v>
      </c>
      <c r="AD132" s="428">
        <v>20</v>
      </c>
      <c r="AE132" s="428">
        <f>G132*0</f>
        <v>0</v>
      </c>
      <c r="AF132" s="428">
        <f>G132*(1-0)</f>
        <v>0</v>
      </c>
    </row>
    <row r="133" spans="1:32">
      <c r="A133" s="426"/>
      <c r="B133" s="426"/>
      <c r="C133" s="426" t="s">
        <v>3045</v>
      </c>
      <c r="D133" s="426" t="s">
        <v>3046</v>
      </c>
      <c r="E133" s="426" t="s">
        <v>2874</v>
      </c>
      <c r="F133" s="428">
        <v>24</v>
      </c>
      <c r="G133" s="428">
        <f t="shared" si="12"/>
        <v>0</v>
      </c>
      <c r="H133" s="428"/>
      <c r="I133" s="428"/>
      <c r="J133" s="428">
        <f t="shared" si="13"/>
        <v>0</v>
      </c>
      <c r="K133" s="428"/>
      <c r="L133" s="428"/>
      <c r="N133" s="429" t="s">
        <v>80</v>
      </c>
      <c r="O133" s="428">
        <f t="shared" si="14"/>
        <v>0</v>
      </c>
      <c r="Z133" s="428">
        <f t="shared" si="15"/>
        <v>0</v>
      </c>
      <c r="AA133" s="428">
        <f t="shared" si="16"/>
        <v>0</v>
      </c>
      <c r="AB133" s="428">
        <f t="shared" si="17"/>
        <v>0</v>
      </c>
      <c r="AD133" s="428">
        <v>20</v>
      </c>
      <c r="AE133" s="428">
        <f>G133*0.373490539127127</f>
        <v>0</v>
      </c>
      <c r="AF133" s="428">
        <f>G133*(1-0.373490539127127)</f>
        <v>0</v>
      </c>
    </row>
    <row r="134" spans="1:32">
      <c r="A134" s="426"/>
      <c r="B134" s="426"/>
      <c r="C134" s="426" t="s">
        <v>3047</v>
      </c>
      <c r="D134" s="426" t="s">
        <v>3048</v>
      </c>
      <c r="E134" s="426" t="s">
        <v>2874</v>
      </c>
      <c r="F134" s="428">
        <v>1</v>
      </c>
      <c r="G134" s="428">
        <f t="shared" si="12"/>
        <v>0</v>
      </c>
      <c r="H134" s="428"/>
      <c r="I134" s="428"/>
      <c r="J134" s="428">
        <f t="shared" si="13"/>
        <v>0</v>
      </c>
      <c r="K134" s="428"/>
      <c r="L134" s="428"/>
      <c r="N134" s="429" t="s">
        <v>80</v>
      </c>
      <c r="O134" s="428">
        <f t="shared" si="14"/>
        <v>0</v>
      </c>
      <c r="Z134" s="428">
        <f t="shared" si="15"/>
        <v>0</v>
      </c>
      <c r="AA134" s="428">
        <f t="shared" si="16"/>
        <v>0</v>
      </c>
      <c r="AB134" s="428">
        <f t="shared" si="17"/>
        <v>0</v>
      </c>
      <c r="AD134" s="428">
        <v>20</v>
      </c>
      <c r="AE134" s="428">
        <f>G134*0</f>
        <v>0</v>
      </c>
      <c r="AF134" s="428">
        <f>G134*(1-0)</f>
        <v>0</v>
      </c>
    </row>
    <row r="135" spans="1:32">
      <c r="A135" s="426"/>
      <c r="B135" s="426"/>
      <c r="C135" s="426" t="s">
        <v>3049</v>
      </c>
      <c r="D135" s="426" t="s">
        <v>3050</v>
      </c>
      <c r="E135" s="426" t="s">
        <v>2874</v>
      </c>
      <c r="F135" s="428">
        <v>5</v>
      </c>
      <c r="G135" s="428">
        <f t="shared" si="12"/>
        <v>0</v>
      </c>
      <c r="H135" s="428"/>
      <c r="I135" s="428"/>
      <c r="J135" s="428">
        <f t="shared" si="13"/>
        <v>0</v>
      </c>
      <c r="K135" s="428"/>
      <c r="L135" s="428"/>
      <c r="N135" s="429" t="s">
        <v>80</v>
      </c>
      <c r="O135" s="428">
        <f t="shared" si="14"/>
        <v>0</v>
      </c>
      <c r="Z135" s="428">
        <f t="shared" si="15"/>
        <v>0</v>
      </c>
      <c r="AA135" s="428">
        <f t="shared" si="16"/>
        <v>0</v>
      </c>
      <c r="AB135" s="428">
        <f t="shared" si="17"/>
        <v>0</v>
      </c>
      <c r="AD135" s="428">
        <v>20</v>
      </c>
      <c r="AE135" s="428">
        <f>G135*0.0325146606282297</f>
        <v>0</v>
      </c>
      <c r="AF135" s="428">
        <f>G135*(1-0.0325146606282297)</f>
        <v>0</v>
      </c>
    </row>
    <row r="136" spans="1:32">
      <c r="A136" s="426"/>
      <c r="B136" s="426"/>
      <c r="C136" s="426" t="s">
        <v>3051</v>
      </c>
      <c r="D136" s="426" t="s">
        <v>3052</v>
      </c>
      <c r="E136" s="426" t="s">
        <v>2874</v>
      </c>
      <c r="F136" s="428">
        <v>17</v>
      </c>
      <c r="G136" s="428">
        <f t="shared" si="12"/>
        <v>0</v>
      </c>
      <c r="H136" s="428"/>
      <c r="I136" s="428"/>
      <c r="J136" s="428">
        <f t="shared" si="13"/>
        <v>0</v>
      </c>
      <c r="K136" s="428"/>
      <c r="L136" s="428"/>
      <c r="N136" s="429" t="s">
        <v>80</v>
      </c>
      <c r="O136" s="428">
        <f t="shared" si="14"/>
        <v>0</v>
      </c>
      <c r="Z136" s="428">
        <f t="shared" si="15"/>
        <v>0</v>
      </c>
      <c r="AA136" s="428">
        <f t="shared" si="16"/>
        <v>0</v>
      </c>
      <c r="AB136" s="428">
        <f t="shared" si="17"/>
        <v>0</v>
      </c>
      <c r="AD136" s="428">
        <v>20</v>
      </c>
      <c r="AE136" s="428">
        <f>G136*0.778024149815623</f>
        <v>0</v>
      </c>
      <c r="AF136" s="428">
        <f>G136*(1-0.778024149815623)</f>
        <v>0</v>
      </c>
    </row>
    <row r="137" spans="1:32">
      <c r="A137" s="426"/>
      <c r="B137" s="426"/>
      <c r="C137" s="426" t="s">
        <v>3053</v>
      </c>
      <c r="D137" s="426" t="s">
        <v>3054</v>
      </c>
      <c r="E137" s="426" t="s">
        <v>2874</v>
      </c>
      <c r="F137" s="428">
        <v>1</v>
      </c>
      <c r="G137" s="428">
        <f t="shared" si="12"/>
        <v>0</v>
      </c>
      <c r="H137" s="428"/>
      <c r="I137" s="428"/>
      <c r="J137" s="428">
        <f t="shared" si="13"/>
        <v>0</v>
      </c>
      <c r="K137" s="428"/>
      <c r="L137" s="428"/>
      <c r="N137" s="429"/>
      <c r="O137" s="428"/>
      <c r="Z137" s="428"/>
      <c r="AA137" s="428"/>
      <c r="AB137" s="428"/>
      <c r="AD137" s="428"/>
      <c r="AE137" s="428"/>
      <c r="AF137" s="428"/>
    </row>
    <row r="138" spans="1:32">
      <c r="A138" s="426"/>
      <c r="B138" s="426"/>
      <c r="C138" s="426" t="s">
        <v>3055</v>
      </c>
      <c r="D138" s="426" t="s">
        <v>3056</v>
      </c>
      <c r="E138" s="426" t="s">
        <v>3030</v>
      </c>
      <c r="F138" s="428">
        <v>1</v>
      </c>
      <c r="G138" s="428">
        <f t="shared" si="12"/>
        <v>0</v>
      </c>
      <c r="H138" s="428"/>
      <c r="I138" s="428"/>
      <c r="J138" s="428">
        <f t="shared" si="13"/>
        <v>0</v>
      </c>
      <c r="K138" s="428"/>
      <c r="L138" s="428"/>
      <c r="N138" s="429"/>
      <c r="O138" s="428"/>
      <c r="Z138" s="428"/>
      <c r="AA138" s="428"/>
      <c r="AB138" s="428"/>
      <c r="AD138" s="428"/>
      <c r="AE138" s="428"/>
      <c r="AF138" s="428"/>
    </row>
    <row r="139" spans="1:32">
      <c r="A139" s="426"/>
      <c r="B139" s="426"/>
      <c r="C139" s="445" t="s">
        <v>3057</v>
      </c>
      <c r="D139" s="446" t="s">
        <v>3058</v>
      </c>
      <c r="E139" s="447" t="s">
        <v>3030</v>
      </c>
      <c r="F139" s="448">
        <v>3</v>
      </c>
      <c r="G139" s="428">
        <f>H139+I139</f>
        <v>0</v>
      </c>
      <c r="H139" s="428"/>
      <c r="I139" s="428"/>
      <c r="J139" s="428">
        <f>ROUND(F139*G139,2)</f>
        <v>0</v>
      </c>
      <c r="K139" s="428"/>
      <c r="L139" s="428"/>
      <c r="N139" s="429"/>
      <c r="O139" s="428"/>
      <c r="Z139" s="428"/>
      <c r="AA139" s="428"/>
      <c r="AB139" s="428"/>
      <c r="AD139" s="428"/>
      <c r="AE139" s="428"/>
      <c r="AF139" s="428"/>
    </row>
    <row r="140" spans="1:32">
      <c r="A140" s="426"/>
      <c r="B140" s="426"/>
      <c r="C140" s="445" t="s">
        <v>3059</v>
      </c>
      <c r="D140" s="446" t="s">
        <v>3060</v>
      </c>
      <c r="E140" s="447" t="s">
        <v>3030</v>
      </c>
      <c r="F140" s="448">
        <v>2</v>
      </c>
      <c r="G140" s="428">
        <f>H140+I140</f>
        <v>0</v>
      </c>
      <c r="H140" s="428"/>
      <c r="I140" s="428"/>
      <c r="J140" s="428">
        <f>ROUND(F140*G140,2)</f>
        <v>0</v>
      </c>
      <c r="K140" s="428"/>
      <c r="L140" s="428"/>
      <c r="N140" s="429"/>
      <c r="O140" s="428"/>
      <c r="Z140" s="428"/>
      <c r="AA140" s="428"/>
      <c r="AB140" s="428"/>
      <c r="AD140" s="428"/>
      <c r="AE140" s="428"/>
      <c r="AF140" s="428"/>
    </row>
    <row r="141" spans="1:32">
      <c r="A141" s="426"/>
      <c r="B141" s="426"/>
      <c r="C141" s="449" t="s">
        <v>3061</v>
      </c>
      <c r="D141" s="450" t="s">
        <v>3062</v>
      </c>
      <c r="F141" s="448"/>
      <c r="G141" s="439"/>
      <c r="I141" s="428"/>
      <c r="J141" s="428"/>
      <c r="K141" s="428"/>
      <c r="L141" s="428"/>
      <c r="N141" s="429"/>
      <c r="O141" s="428"/>
      <c r="Z141" s="428"/>
      <c r="AA141" s="428"/>
      <c r="AB141" s="428"/>
      <c r="AD141" s="428"/>
      <c r="AE141" s="428"/>
      <c r="AF141" s="428"/>
    </row>
    <row r="142" spans="1:32">
      <c r="A142" s="426"/>
      <c r="B142" s="426"/>
      <c r="C142" s="440"/>
      <c r="D142" s="431" t="s">
        <v>3063</v>
      </c>
      <c r="E142" s="447" t="s">
        <v>3030</v>
      </c>
      <c r="F142" s="448">
        <v>1</v>
      </c>
      <c r="G142" s="428">
        <f>H142+I142</f>
        <v>0</v>
      </c>
      <c r="H142" s="428"/>
      <c r="I142" s="428"/>
      <c r="J142" s="428">
        <f>ROUND(F142*G142,2)</f>
        <v>0</v>
      </c>
      <c r="K142" s="428"/>
      <c r="L142" s="428"/>
      <c r="N142" s="429"/>
      <c r="O142" s="428"/>
      <c r="Z142" s="428"/>
      <c r="AA142" s="428"/>
      <c r="AB142" s="428"/>
      <c r="AD142" s="428"/>
      <c r="AE142" s="428"/>
      <c r="AF142" s="428"/>
    </row>
    <row r="143" spans="1:32">
      <c r="A143" s="426"/>
      <c r="B143" s="426"/>
      <c r="C143" s="426"/>
      <c r="D143" s="426"/>
      <c r="E143" s="426"/>
      <c r="F143" s="428"/>
      <c r="G143" s="428"/>
      <c r="H143" s="428"/>
      <c r="I143" s="428"/>
      <c r="J143" s="428"/>
      <c r="K143" s="428"/>
      <c r="L143" s="428"/>
      <c r="N143" s="429"/>
      <c r="O143" s="428"/>
      <c r="Z143" s="428"/>
      <c r="AA143" s="428"/>
      <c r="AB143" s="428"/>
      <c r="AD143" s="428"/>
      <c r="AE143" s="428"/>
      <c r="AF143" s="428"/>
    </row>
    <row r="144" spans="1:32" ht="13">
      <c r="A144" s="426"/>
      <c r="B144" s="426"/>
      <c r="C144" s="440"/>
      <c r="D144" s="438" t="s">
        <v>3064</v>
      </c>
      <c r="E144" s="443"/>
      <c r="F144" s="430"/>
      <c r="G144" s="437"/>
      <c r="H144" s="428"/>
      <c r="I144" s="428"/>
      <c r="J144" s="428"/>
      <c r="K144" s="428"/>
      <c r="L144" s="428"/>
      <c r="N144" s="429"/>
      <c r="O144" s="428"/>
      <c r="Z144" s="428"/>
      <c r="AA144" s="428"/>
      <c r="AB144" s="428"/>
      <c r="AD144" s="428"/>
      <c r="AE144" s="428"/>
      <c r="AF144" s="428"/>
    </row>
    <row r="145" spans="1:32">
      <c r="A145" s="426"/>
      <c r="B145" s="426"/>
      <c r="C145" s="440" t="s">
        <v>3065</v>
      </c>
      <c r="D145" s="431" t="s">
        <v>3066</v>
      </c>
      <c r="E145" s="447" t="s">
        <v>2874</v>
      </c>
      <c r="F145" s="428">
        <v>13</v>
      </c>
      <c r="G145" s="428">
        <f>H145+I145</f>
        <v>0</v>
      </c>
      <c r="H145" s="428"/>
      <c r="I145" s="428"/>
      <c r="J145" s="428">
        <f>ROUND(F145*G145,2)</f>
        <v>0</v>
      </c>
      <c r="K145" s="428"/>
      <c r="L145" s="428"/>
      <c r="N145" s="429"/>
      <c r="O145" s="428"/>
      <c r="Z145" s="428"/>
      <c r="AA145" s="428"/>
      <c r="AB145" s="428"/>
      <c r="AD145" s="428"/>
      <c r="AE145" s="428"/>
      <c r="AF145" s="428"/>
    </row>
    <row r="146" spans="1:32">
      <c r="A146" s="426"/>
      <c r="B146" s="426"/>
      <c r="C146" s="440" t="s">
        <v>3065</v>
      </c>
      <c r="D146" s="431" t="s">
        <v>3067</v>
      </c>
      <c r="E146" s="447"/>
      <c r="F146" s="441"/>
      <c r="G146" s="430"/>
      <c r="H146" s="428"/>
      <c r="I146" s="428"/>
      <c r="J146" s="428"/>
      <c r="K146" s="428"/>
      <c r="L146" s="428"/>
      <c r="N146" s="429"/>
      <c r="O146" s="428"/>
      <c r="Z146" s="428"/>
      <c r="AA146" s="428"/>
      <c r="AB146" s="428"/>
      <c r="AD146" s="428"/>
      <c r="AE146" s="428"/>
      <c r="AF146" s="428"/>
    </row>
    <row r="147" spans="1:32">
      <c r="A147" s="426"/>
      <c r="B147" s="426"/>
      <c r="C147" s="440"/>
      <c r="D147" s="431" t="s">
        <v>3068</v>
      </c>
      <c r="E147" s="447" t="s">
        <v>3069</v>
      </c>
      <c r="F147" s="448">
        <v>5</v>
      </c>
      <c r="G147" s="428">
        <f>H147+I147</f>
        <v>0</v>
      </c>
      <c r="H147" s="428"/>
      <c r="I147" s="428"/>
      <c r="J147" s="428">
        <f>ROUND(F147*G147,2)</f>
        <v>0</v>
      </c>
      <c r="K147" s="428"/>
      <c r="L147" s="428"/>
      <c r="N147" s="429"/>
      <c r="O147" s="428"/>
      <c r="Z147" s="428"/>
      <c r="AA147" s="428"/>
      <c r="AB147" s="428"/>
      <c r="AD147" s="428"/>
      <c r="AE147" s="428"/>
      <c r="AF147" s="428"/>
    </row>
    <row r="148" spans="1:32">
      <c r="A148" s="426"/>
      <c r="B148" s="426"/>
      <c r="K148" s="428"/>
      <c r="L148" s="428"/>
      <c r="N148" s="429"/>
      <c r="O148" s="428"/>
      <c r="Z148" s="428"/>
      <c r="AA148" s="428"/>
      <c r="AB148" s="428"/>
      <c r="AD148" s="428"/>
      <c r="AE148" s="428"/>
      <c r="AF148" s="428"/>
    </row>
    <row r="149" spans="1:32">
      <c r="A149" s="426"/>
      <c r="B149" s="426"/>
      <c r="C149" s="426" t="s">
        <v>3070</v>
      </c>
      <c r="D149" s="426" t="s">
        <v>3071</v>
      </c>
      <c r="E149" s="426" t="s">
        <v>426</v>
      </c>
      <c r="F149" s="428">
        <v>15</v>
      </c>
      <c r="G149" s="428">
        <f>H149+I149</f>
        <v>0</v>
      </c>
      <c r="H149" s="428"/>
      <c r="I149" s="428"/>
      <c r="J149" s="428">
        <f>ROUND(F149*G149,2)</f>
        <v>0</v>
      </c>
      <c r="K149" s="428"/>
      <c r="L149" s="428"/>
      <c r="N149" s="429" t="s">
        <v>160</v>
      </c>
      <c r="O149" s="428">
        <f>IF(N149="5",I149,0)</f>
        <v>0</v>
      </c>
      <c r="Z149" s="428">
        <f>IF(AD149=0,J149,0)</f>
        <v>0</v>
      </c>
      <c r="AA149" s="428">
        <f>IF(AD149=10,J149,0)</f>
        <v>0</v>
      </c>
      <c r="AB149" s="428">
        <f>IF(AD149=20,J149,0)</f>
        <v>0</v>
      </c>
      <c r="AD149" s="428">
        <v>20</v>
      </c>
      <c r="AE149" s="428">
        <f>G149*0</f>
        <v>0</v>
      </c>
      <c r="AF149" s="428">
        <f>G149*(1-0)</f>
        <v>0</v>
      </c>
    </row>
    <row r="150" spans="1:32" ht="13">
      <c r="A150" s="451"/>
      <c r="B150" s="451"/>
      <c r="C150" s="451"/>
      <c r="D150" s="451"/>
      <c r="E150" s="451"/>
      <c r="F150" s="451"/>
      <c r="G150" s="451"/>
      <c r="H150" s="389" t="s">
        <v>3072</v>
      </c>
      <c r="I150" s="452"/>
      <c r="J150" s="453">
        <f>J12+J80+J122</f>
        <v>0</v>
      </c>
      <c r="K150" s="451"/>
      <c r="L150" s="451"/>
      <c r="Z150" s="454">
        <f>SUM(Z12:Z149)</f>
        <v>0</v>
      </c>
      <c r="AA150" s="454">
        <f>SUM(AA12:AA149)</f>
        <v>0</v>
      </c>
      <c r="AB150" s="454">
        <f>SUM(AB12:AB149)</f>
        <v>0</v>
      </c>
    </row>
  </sheetData>
  <mergeCells count="31">
    <mergeCell ref="H10:J10"/>
    <mergeCell ref="K10:L10"/>
    <mergeCell ref="D12:G12"/>
    <mergeCell ref="D80:G80"/>
    <mergeCell ref="D122:G122"/>
    <mergeCell ref="H150:I150"/>
    <mergeCell ref="A8:C9"/>
    <mergeCell ref="D8:D9"/>
    <mergeCell ref="E8:F9"/>
    <mergeCell ref="G8:H9"/>
    <mergeCell ref="I8:I9"/>
    <mergeCell ref="J8:L9"/>
    <mergeCell ref="A6:C7"/>
    <mergeCell ref="D6:D7"/>
    <mergeCell ref="E6:F7"/>
    <mergeCell ref="G6:H7"/>
    <mergeCell ref="I6:I7"/>
    <mergeCell ref="J6:L7"/>
    <mergeCell ref="A4:C5"/>
    <mergeCell ref="D4:D5"/>
    <mergeCell ref="E4:F5"/>
    <mergeCell ref="G4:H5"/>
    <mergeCell ref="I4:I5"/>
    <mergeCell ref="J4:L5"/>
    <mergeCell ref="A1:L1"/>
    <mergeCell ref="A2:C3"/>
    <mergeCell ref="D2:D3"/>
    <mergeCell ref="E2:F3"/>
    <mergeCell ref="G2:H3"/>
    <mergeCell ref="I2:I3"/>
    <mergeCell ref="J2:L3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CB4F5-A816-4CFD-82F9-7DA4CFAFB968}">
  <dimension ref="A2:H40"/>
  <sheetViews>
    <sheetView zoomScale="130" zoomScaleNormal="130" workbookViewId="0">
      <selection activeCell="D128" sqref="D128"/>
    </sheetView>
  </sheetViews>
  <sheetFormatPr defaultColWidth="8.77734375" defaultRowHeight="14.5"/>
  <cols>
    <col min="1" max="1" width="9.44140625" style="455" customWidth="1"/>
    <col min="2" max="2" width="8.33203125" style="456" customWidth="1"/>
    <col min="3" max="3" width="20.109375" style="456" customWidth="1"/>
    <col min="4" max="4" width="88.44140625" style="456" customWidth="1"/>
    <col min="5" max="5" width="8.77734375" style="456"/>
    <col min="6" max="6" width="8.77734375" style="457"/>
    <col min="7" max="7" width="23.77734375" style="457" customWidth="1"/>
    <col min="8" max="8" width="24.77734375" style="457" customWidth="1"/>
    <col min="9" max="16384" width="8.77734375" style="456"/>
  </cols>
  <sheetData>
    <row r="2" spans="1:8">
      <c r="A2" s="455" t="s">
        <v>113</v>
      </c>
    </row>
    <row r="4" spans="1:8">
      <c r="A4" s="455" t="s">
        <v>16</v>
      </c>
    </row>
    <row r="6" spans="1:8">
      <c r="A6" s="455" t="s">
        <v>90</v>
      </c>
    </row>
    <row r="7" spans="1:8">
      <c r="C7" s="456" t="s">
        <v>3073</v>
      </c>
    </row>
    <row r="9" spans="1:8">
      <c r="A9" s="455" t="s">
        <v>21</v>
      </c>
      <c r="D9" s="456" t="s">
        <v>3074</v>
      </c>
      <c r="G9" s="457" t="s">
        <v>23</v>
      </c>
    </row>
    <row r="11" spans="1:8">
      <c r="A11" s="455" t="s">
        <v>25</v>
      </c>
      <c r="D11" s="458"/>
      <c r="E11" s="458"/>
      <c r="F11" s="458"/>
      <c r="G11" s="458"/>
    </row>
    <row r="12" spans="1:8">
      <c r="A12" s="455" t="s">
        <v>29</v>
      </c>
      <c r="G12" s="457" t="s">
        <v>35</v>
      </c>
    </row>
    <row r="14" spans="1:8">
      <c r="A14" s="455" t="s">
        <v>114</v>
      </c>
      <c r="B14" s="456" t="s">
        <v>57</v>
      </c>
      <c r="C14" s="456" t="s">
        <v>53</v>
      </c>
      <c r="D14" s="456" t="s">
        <v>54</v>
      </c>
      <c r="E14" s="456" t="s">
        <v>115</v>
      </c>
      <c r="F14" s="457" t="s">
        <v>116</v>
      </c>
      <c r="G14" s="457" t="s">
        <v>117</v>
      </c>
      <c r="H14" s="457" t="s">
        <v>94</v>
      </c>
    </row>
    <row r="15" spans="1:8">
      <c r="A15" s="459" t="s">
        <v>125</v>
      </c>
      <c r="B15" s="460"/>
      <c r="C15" s="460"/>
      <c r="D15" s="460"/>
      <c r="E15" s="460"/>
      <c r="F15" s="461"/>
      <c r="G15" s="461"/>
      <c r="H15" s="462">
        <f>SUM(H18:H32)</f>
        <v>0</v>
      </c>
    </row>
    <row r="17" spans="1:8">
      <c r="B17" s="463" t="s">
        <v>71</v>
      </c>
      <c r="C17" s="463" t="s">
        <v>3075</v>
      </c>
      <c r="D17" s="463" t="s">
        <v>3076</v>
      </c>
      <c r="E17" s="463"/>
      <c r="F17" s="464"/>
      <c r="G17" s="464"/>
      <c r="H17" s="464"/>
    </row>
    <row r="18" spans="1:8">
      <c r="A18" s="455" t="s">
        <v>80</v>
      </c>
      <c r="B18" s="456" t="s">
        <v>130</v>
      </c>
      <c r="C18" s="456" t="s">
        <v>3077</v>
      </c>
      <c r="D18" s="456" t="s">
        <v>3078</v>
      </c>
      <c r="E18" s="456" t="s">
        <v>258</v>
      </c>
      <c r="F18" s="457">
        <v>38</v>
      </c>
      <c r="H18" s="457">
        <f t="shared" ref="H18:H19" si="0">G18*F18</f>
        <v>0</v>
      </c>
    </row>
    <row r="19" spans="1:8">
      <c r="A19" s="455" t="s">
        <v>82</v>
      </c>
      <c r="B19" s="456" t="s">
        <v>130</v>
      </c>
      <c r="C19" s="456" t="s">
        <v>3079</v>
      </c>
      <c r="D19" s="456" t="s">
        <v>3080</v>
      </c>
      <c r="E19" s="456" t="s">
        <v>258</v>
      </c>
      <c r="F19" s="457">
        <v>4</v>
      </c>
      <c r="H19" s="457">
        <f t="shared" si="0"/>
        <v>0</v>
      </c>
    </row>
    <row r="20" spans="1:8" ht="14.25" customHeight="1">
      <c r="A20" s="455">
        <v>3</v>
      </c>
      <c r="B20" s="456" t="s">
        <v>130</v>
      </c>
      <c r="C20" s="456" t="s">
        <v>3081</v>
      </c>
      <c r="D20" s="456" t="s">
        <v>3082</v>
      </c>
      <c r="E20" s="456" t="s">
        <v>258</v>
      </c>
      <c r="F20" s="457">
        <v>1.5</v>
      </c>
      <c r="H20" s="457">
        <f>G20*F20</f>
        <v>0</v>
      </c>
    </row>
    <row r="21" spans="1:8">
      <c r="A21" s="455">
        <v>4</v>
      </c>
      <c r="B21" s="456" t="s">
        <v>130</v>
      </c>
      <c r="C21" s="456" t="s">
        <v>3083</v>
      </c>
      <c r="D21" s="456" t="s">
        <v>3084</v>
      </c>
      <c r="E21" s="456" t="s">
        <v>305</v>
      </c>
      <c r="F21" s="457">
        <v>5</v>
      </c>
      <c r="H21" s="457">
        <f>G21*F21</f>
        <v>0</v>
      </c>
    </row>
    <row r="22" spans="1:8">
      <c r="A22" s="455">
        <v>5</v>
      </c>
      <c r="B22" s="456" t="s">
        <v>130</v>
      </c>
      <c r="C22" s="456" t="s">
        <v>3085</v>
      </c>
      <c r="D22" s="456" t="s">
        <v>3086</v>
      </c>
      <c r="E22" s="456" t="s">
        <v>3087</v>
      </c>
      <c r="F22" s="457">
        <v>1</v>
      </c>
      <c r="H22" s="457">
        <f>G22*F22</f>
        <v>0</v>
      </c>
    </row>
    <row r="23" spans="1:8">
      <c r="D23" s="456" t="s">
        <v>3088</v>
      </c>
      <c r="E23" s="456" t="s">
        <v>3087</v>
      </c>
      <c r="F23" s="457">
        <v>4</v>
      </c>
      <c r="H23" s="457">
        <f>G23*F23</f>
        <v>0</v>
      </c>
    </row>
    <row r="24" spans="1:8">
      <c r="A24" s="455">
        <v>6</v>
      </c>
      <c r="B24" s="456" t="s">
        <v>130</v>
      </c>
      <c r="C24" s="456" t="s">
        <v>3089</v>
      </c>
      <c r="D24" s="456" t="s">
        <v>3090</v>
      </c>
      <c r="E24" s="456" t="s">
        <v>426</v>
      </c>
      <c r="F24" s="457">
        <v>5</v>
      </c>
      <c r="H24" s="457">
        <f>G24*F24%</f>
        <v>0</v>
      </c>
    </row>
    <row r="25" spans="1:8">
      <c r="B25" s="463" t="s">
        <v>71</v>
      </c>
      <c r="C25" s="463" t="s">
        <v>2459</v>
      </c>
      <c r="D25" s="463" t="s">
        <v>2460</v>
      </c>
    </row>
    <row r="26" spans="1:8">
      <c r="A26" s="455">
        <v>7</v>
      </c>
      <c r="B26" s="456" t="s">
        <v>130</v>
      </c>
      <c r="C26" s="456" t="s">
        <v>3091</v>
      </c>
      <c r="D26" s="456" t="s">
        <v>3092</v>
      </c>
      <c r="E26" s="456" t="s">
        <v>258</v>
      </c>
      <c r="F26" s="457">
        <v>42</v>
      </c>
      <c r="H26" s="457">
        <f t="shared" ref="H26:H32" si="1">G26*F26</f>
        <v>0</v>
      </c>
    </row>
    <row r="27" spans="1:8">
      <c r="A27" s="455">
        <v>8</v>
      </c>
      <c r="B27" s="456" t="s">
        <v>130</v>
      </c>
      <c r="C27" s="456" t="s">
        <v>3093</v>
      </c>
      <c r="D27" s="456" t="s">
        <v>3094</v>
      </c>
      <c r="E27" s="456" t="s">
        <v>258</v>
      </c>
      <c r="F27" s="457">
        <v>42</v>
      </c>
      <c r="H27" s="457">
        <f t="shared" si="1"/>
        <v>0</v>
      </c>
    </row>
    <row r="28" spans="1:8">
      <c r="A28" s="465"/>
      <c r="B28" s="463" t="s">
        <v>71</v>
      </c>
      <c r="C28" s="463" t="s">
        <v>2536</v>
      </c>
      <c r="D28" s="463" t="s">
        <v>2537</v>
      </c>
    </row>
    <row r="29" spans="1:8">
      <c r="A29" s="455">
        <v>9</v>
      </c>
      <c r="B29" s="456" t="s">
        <v>130</v>
      </c>
      <c r="C29" s="456" t="s">
        <v>3095</v>
      </c>
      <c r="D29" s="456" t="s">
        <v>3096</v>
      </c>
      <c r="E29" s="456" t="s">
        <v>1014</v>
      </c>
      <c r="F29" s="457">
        <v>25</v>
      </c>
      <c r="H29" s="457">
        <f t="shared" si="1"/>
        <v>0</v>
      </c>
    </row>
    <row r="30" spans="1:8">
      <c r="A30" s="455">
        <v>10</v>
      </c>
      <c r="B30" s="456" t="s">
        <v>71</v>
      </c>
      <c r="C30" s="456" t="s">
        <v>619</v>
      </c>
      <c r="D30" s="456" t="s">
        <v>87</v>
      </c>
      <c r="H30" s="457">
        <f t="shared" si="1"/>
        <v>0</v>
      </c>
    </row>
    <row r="31" spans="1:8">
      <c r="A31" s="455">
        <v>11</v>
      </c>
      <c r="B31" s="456" t="s">
        <v>71</v>
      </c>
      <c r="C31" s="456" t="s">
        <v>3097</v>
      </c>
      <c r="D31" s="456" t="s">
        <v>3098</v>
      </c>
      <c r="H31" s="457">
        <f t="shared" si="1"/>
        <v>0</v>
      </c>
    </row>
    <row r="32" spans="1:8">
      <c r="A32" s="455">
        <v>12</v>
      </c>
      <c r="B32" s="456" t="s">
        <v>130</v>
      </c>
      <c r="C32" s="456" t="s">
        <v>3099</v>
      </c>
      <c r="D32" s="456" t="s">
        <v>3100</v>
      </c>
      <c r="E32" s="456" t="s">
        <v>3030</v>
      </c>
      <c r="F32" s="457">
        <v>1</v>
      </c>
      <c r="H32" s="457">
        <f t="shared" si="1"/>
        <v>0</v>
      </c>
    </row>
    <row r="40" spans="4:4">
      <c r="D40" s="456" t="s">
        <v>2836</v>
      </c>
    </row>
  </sheetData>
  <mergeCells count="1">
    <mergeCell ref="D11:G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061A-FBDC-4710-9B72-328103AB41F4}">
  <dimension ref="A1:N113"/>
  <sheetViews>
    <sheetView topLeftCell="A87" workbookViewId="0">
      <selection activeCell="D128" sqref="D128"/>
    </sheetView>
  </sheetViews>
  <sheetFormatPr defaultRowHeight="14"/>
  <cols>
    <col min="1" max="1" width="3.77734375" style="466" customWidth="1"/>
    <col min="2" max="2" width="3.6640625" style="470" customWidth="1"/>
    <col min="3" max="3" width="18.33203125" style="470" customWidth="1"/>
    <col min="4" max="4" width="63" style="470" customWidth="1"/>
    <col min="5" max="5" width="7.44140625" style="466" customWidth="1"/>
    <col min="6" max="6" width="7.77734375" style="470" customWidth="1"/>
    <col min="7" max="7" width="18.77734375" style="471" customWidth="1"/>
    <col min="8" max="8" width="17.44140625" style="471" customWidth="1"/>
    <col min="9" max="9" width="21.6640625" style="470" customWidth="1"/>
    <col min="10" max="10" width="17.77734375" style="470" bestFit="1" customWidth="1"/>
    <col min="11" max="256" width="8.88671875" style="470"/>
    <col min="257" max="257" width="3.77734375" style="470" customWidth="1"/>
    <col min="258" max="258" width="3.6640625" style="470" customWidth="1"/>
    <col min="259" max="259" width="15.6640625" style="470" customWidth="1"/>
    <col min="260" max="260" width="52.33203125" style="470" customWidth="1"/>
    <col min="261" max="261" width="6.6640625" style="470" customWidth="1"/>
    <col min="262" max="262" width="7.44140625" style="470" customWidth="1"/>
    <col min="263" max="263" width="13.6640625" style="470" customWidth="1"/>
    <col min="264" max="264" width="13.109375" style="470" customWidth="1"/>
    <col min="265" max="265" width="15.77734375" style="470" customWidth="1"/>
    <col min="266" max="512" width="8.88671875" style="470"/>
    <col min="513" max="513" width="3.77734375" style="470" customWidth="1"/>
    <col min="514" max="514" width="3.6640625" style="470" customWidth="1"/>
    <col min="515" max="515" width="15.6640625" style="470" customWidth="1"/>
    <col min="516" max="516" width="52.33203125" style="470" customWidth="1"/>
    <col min="517" max="517" width="6.6640625" style="470" customWidth="1"/>
    <col min="518" max="518" width="7.44140625" style="470" customWidth="1"/>
    <col min="519" max="519" width="13.6640625" style="470" customWidth="1"/>
    <col min="520" max="520" width="13.109375" style="470" customWidth="1"/>
    <col min="521" max="521" width="15.77734375" style="470" customWidth="1"/>
    <col min="522" max="768" width="8.88671875" style="470"/>
    <col min="769" max="769" width="3.77734375" style="470" customWidth="1"/>
    <col min="770" max="770" width="3.6640625" style="470" customWidth="1"/>
    <col min="771" max="771" width="15.6640625" style="470" customWidth="1"/>
    <col min="772" max="772" width="52.33203125" style="470" customWidth="1"/>
    <col min="773" max="773" width="6.6640625" style="470" customWidth="1"/>
    <col min="774" max="774" width="7.44140625" style="470" customWidth="1"/>
    <col min="775" max="775" width="13.6640625" style="470" customWidth="1"/>
    <col min="776" max="776" width="13.109375" style="470" customWidth="1"/>
    <col min="777" max="777" width="15.77734375" style="470" customWidth="1"/>
    <col min="778" max="1024" width="8.88671875" style="470"/>
    <col min="1025" max="1025" width="3.77734375" style="470" customWidth="1"/>
    <col min="1026" max="1026" width="3.6640625" style="470" customWidth="1"/>
    <col min="1027" max="1027" width="15.6640625" style="470" customWidth="1"/>
    <col min="1028" max="1028" width="52.33203125" style="470" customWidth="1"/>
    <col min="1029" max="1029" width="6.6640625" style="470" customWidth="1"/>
    <col min="1030" max="1030" width="7.44140625" style="470" customWidth="1"/>
    <col min="1031" max="1031" width="13.6640625" style="470" customWidth="1"/>
    <col min="1032" max="1032" width="13.109375" style="470" customWidth="1"/>
    <col min="1033" max="1033" width="15.77734375" style="470" customWidth="1"/>
    <col min="1034" max="1280" width="8.88671875" style="470"/>
    <col min="1281" max="1281" width="3.77734375" style="470" customWidth="1"/>
    <col min="1282" max="1282" width="3.6640625" style="470" customWidth="1"/>
    <col min="1283" max="1283" width="15.6640625" style="470" customWidth="1"/>
    <col min="1284" max="1284" width="52.33203125" style="470" customWidth="1"/>
    <col min="1285" max="1285" width="6.6640625" style="470" customWidth="1"/>
    <col min="1286" max="1286" width="7.44140625" style="470" customWidth="1"/>
    <col min="1287" max="1287" width="13.6640625" style="470" customWidth="1"/>
    <col min="1288" max="1288" width="13.109375" style="470" customWidth="1"/>
    <col min="1289" max="1289" width="15.77734375" style="470" customWidth="1"/>
    <col min="1290" max="1536" width="8.88671875" style="470"/>
    <col min="1537" max="1537" width="3.77734375" style="470" customWidth="1"/>
    <col min="1538" max="1538" width="3.6640625" style="470" customWidth="1"/>
    <col min="1539" max="1539" width="15.6640625" style="470" customWidth="1"/>
    <col min="1540" max="1540" width="52.33203125" style="470" customWidth="1"/>
    <col min="1541" max="1541" width="6.6640625" style="470" customWidth="1"/>
    <col min="1542" max="1542" width="7.44140625" style="470" customWidth="1"/>
    <col min="1543" max="1543" width="13.6640625" style="470" customWidth="1"/>
    <col min="1544" max="1544" width="13.109375" style="470" customWidth="1"/>
    <col min="1545" max="1545" width="15.77734375" style="470" customWidth="1"/>
    <col min="1546" max="1792" width="8.88671875" style="470"/>
    <col min="1793" max="1793" width="3.77734375" style="470" customWidth="1"/>
    <col min="1794" max="1794" width="3.6640625" style="470" customWidth="1"/>
    <col min="1795" max="1795" width="15.6640625" style="470" customWidth="1"/>
    <col min="1796" max="1796" width="52.33203125" style="470" customWidth="1"/>
    <col min="1797" max="1797" width="6.6640625" style="470" customWidth="1"/>
    <col min="1798" max="1798" width="7.44140625" style="470" customWidth="1"/>
    <col min="1799" max="1799" width="13.6640625" style="470" customWidth="1"/>
    <col min="1800" max="1800" width="13.109375" style="470" customWidth="1"/>
    <col min="1801" max="1801" width="15.77734375" style="470" customWidth="1"/>
    <col min="1802" max="2048" width="8.88671875" style="470"/>
    <col min="2049" max="2049" width="3.77734375" style="470" customWidth="1"/>
    <col min="2050" max="2050" width="3.6640625" style="470" customWidth="1"/>
    <col min="2051" max="2051" width="15.6640625" style="470" customWidth="1"/>
    <col min="2052" max="2052" width="52.33203125" style="470" customWidth="1"/>
    <col min="2053" max="2053" width="6.6640625" style="470" customWidth="1"/>
    <col min="2054" max="2054" width="7.44140625" style="470" customWidth="1"/>
    <col min="2055" max="2055" width="13.6640625" style="470" customWidth="1"/>
    <col min="2056" max="2056" width="13.109375" style="470" customWidth="1"/>
    <col min="2057" max="2057" width="15.77734375" style="470" customWidth="1"/>
    <col min="2058" max="2304" width="8.88671875" style="470"/>
    <col min="2305" max="2305" width="3.77734375" style="470" customWidth="1"/>
    <col min="2306" max="2306" width="3.6640625" style="470" customWidth="1"/>
    <col min="2307" max="2307" width="15.6640625" style="470" customWidth="1"/>
    <col min="2308" max="2308" width="52.33203125" style="470" customWidth="1"/>
    <col min="2309" max="2309" width="6.6640625" style="470" customWidth="1"/>
    <col min="2310" max="2310" width="7.44140625" style="470" customWidth="1"/>
    <col min="2311" max="2311" width="13.6640625" style="470" customWidth="1"/>
    <col min="2312" max="2312" width="13.109375" style="470" customWidth="1"/>
    <col min="2313" max="2313" width="15.77734375" style="470" customWidth="1"/>
    <col min="2314" max="2560" width="8.88671875" style="470"/>
    <col min="2561" max="2561" width="3.77734375" style="470" customWidth="1"/>
    <col min="2562" max="2562" width="3.6640625" style="470" customWidth="1"/>
    <col min="2563" max="2563" width="15.6640625" style="470" customWidth="1"/>
    <col min="2564" max="2564" width="52.33203125" style="470" customWidth="1"/>
    <col min="2565" max="2565" width="6.6640625" style="470" customWidth="1"/>
    <col min="2566" max="2566" width="7.44140625" style="470" customWidth="1"/>
    <col min="2567" max="2567" width="13.6640625" style="470" customWidth="1"/>
    <col min="2568" max="2568" width="13.109375" style="470" customWidth="1"/>
    <col min="2569" max="2569" width="15.77734375" style="470" customWidth="1"/>
    <col min="2570" max="2816" width="8.88671875" style="470"/>
    <col min="2817" max="2817" width="3.77734375" style="470" customWidth="1"/>
    <col min="2818" max="2818" width="3.6640625" style="470" customWidth="1"/>
    <col min="2819" max="2819" width="15.6640625" style="470" customWidth="1"/>
    <col min="2820" max="2820" width="52.33203125" style="470" customWidth="1"/>
    <col min="2821" max="2821" width="6.6640625" style="470" customWidth="1"/>
    <col min="2822" max="2822" width="7.44140625" style="470" customWidth="1"/>
    <col min="2823" max="2823" width="13.6640625" style="470" customWidth="1"/>
    <col min="2824" max="2824" width="13.109375" style="470" customWidth="1"/>
    <col min="2825" max="2825" width="15.77734375" style="470" customWidth="1"/>
    <col min="2826" max="3072" width="8.88671875" style="470"/>
    <col min="3073" max="3073" width="3.77734375" style="470" customWidth="1"/>
    <col min="3074" max="3074" width="3.6640625" style="470" customWidth="1"/>
    <col min="3075" max="3075" width="15.6640625" style="470" customWidth="1"/>
    <col min="3076" max="3076" width="52.33203125" style="470" customWidth="1"/>
    <col min="3077" max="3077" width="6.6640625" style="470" customWidth="1"/>
    <col min="3078" max="3078" width="7.44140625" style="470" customWidth="1"/>
    <col min="3079" max="3079" width="13.6640625" style="470" customWidth="1"/>
    <col min="3080" max="3080" width="13.109375" style="470" customWidth="1"/>
    <col min="3081" max="3081" width="15.77734375" style="470" customWidth="1"/>
    <col min="3082" max="3328" width="8.88671875" style="470"/>
    <col min="3329" max="3329" width="3.77734375" style="470" customWidth="1"/>
    <col min="3330" max="3330" width="3.6640625" style="470" customWidth="1"/>
    <col min="3331" max="3331" width="15.6640625" style="470" customWidth="1"/>
    <col min="3332" max="3332" width="52.33203125" style="470" customWidth="1"/>
    <col min="3333" max="3333" width="6.6640625" style="470" customWidth="1"/>
    <col min="3334" max="3334" width="7.44140625" style="470" customWidth="1"/>
    <col min="3335" max="3335" width="13.6640625" style="470" customWidth="1"/>
    <col min="3336" max="3336" width="13.109375" style="470" customWidth="1"/>
    <col min="3337" max="3337" width="15.77734375" style="470" customWidth="1"/>
    <col min="3338" max="3584" width="8.88671875" style="470"/>
    <col min="3585" max="3585" width="3.77734375" style="470" customWidth="1"/>
    <col min="3586" max="3586" width="3.6640625" style="470" customWidth="1"/>
    <col min="3587" max="3587" width="15.6640625" style="470" customWidth="1"/>
    <col min="3588" max="3588" width="52.33203125" style="470" customWidth="1"/>
    <col min="3589" max="3589" width="6.6640625" style="470" customWidth="1"/>
    <col min="3590" max="3590" width="7.44140625" style="470" customWidth="1"/>
    <col min="3591" max="3591" width="13.6640625" style="470" customWidth="1"/>
    <col min="3592" max="3592" width="13.109375" style="470" customWidth="1"/>
    <col min="3593" max="3593" width="15.77734375" style="470" customWidth="1"/>
    <col min="3594" max="3840" width="8.88671875" style="470"/>
    <col min="3841" max="3841" width="3.77734375" style="470" customWidth="1"/>
    <col min="3842" max="3842" width="3.6640625" style="470" customWidth="1"/>
    <col min="3843" max="3843" width="15.6640625" style="470" customWidth="1"/>
    <col min="3844" max="3844" width="52.33203125" style="470" customWidth="1"/>
    <col min="3845" max="3845" width="6.6640625" style="470" customWidth="1"/>
    <col min="3846" max="3846" width="7.44140625" style="470" customWidth="1"/>
    <col min="3847" max="3847" width="13.6640625" style="470" customWidth="1"/>
    <col min="3848" max="3848" width="13.109375" style="470" customWidth="1"/>
    <col min="3849" max="3849" width="15.77734375" style="470" customWidth="1"/>
    <col min="3850" max="4096" width="8.88671875" style="470"/>
    <col min="4097" max="4097" width="3.77734375" style="470" customWidth="1"/>
    <col min="4098" max="4098" width="3.6640625" style="470" customWidth="1"/>
    <col min="4099" max="4099" width="15.6640625" style="470" customWidth="1"/>
    <col min="4100" max="4100" width="52.33203125" style="470" customWidth="1"/>
    <col min="4101" max="4101" width="6.6640625" style="470" customWidth="1"/>
    <col min="4102" max="4102" width="7.44140625" style="470" customWidth="1"/>
    <col min="4103" max="4103" width="13.6640625" style="470" customWidth="1"/>
    <col min="4104" max="4104" width="13.109375" style="470" customWidth="1"/>
    <col min="4105" max="4105" width="15.77734375" style="470" customWidth="1"/>
    <col min="4106" max="4352" width="8.88671875" style="470"/>
    <col min="4353" max="4353" width="3.77734375" style="470" customWidth="1"/>
    <col min="4354" max="4354" width="3.6640625" style="470" customWidth="1"/>
    <col min="4355" max="4355" width="15.6640625" style="470" customWidth="1"/>
    <col min="4356" max="4356" width="52.33203125" style="470" customWidth="1"/>
    <col min="4357" max="4357" width="6.6640625" style="470" customWidth="1"/>
    <col min="4358" max="4358" width="7.44140625" style="470" customWidth="1"/>
    <col min="4359" max="4359" width="13.6640625" style="470" customWidth="1"/>
    <col min="4360" max="4360" width="13.109375" style="470" customWidth="1"/>
    <col min="4361" max="4361" width="15.77734375" style="470" customWidth="1"/>
    <col min="4362" max="4608" width="8.88671875" style="470"/>
    <col min="4609" max="4609" width="3.77734375" style="470" customWidth="1"/>
    <col min="4610" max="4610" width="3.6640625" style="470" customWidth="1"/>
    <col min="4611" max="4611" width="15.6640625" style="470" customWidth="1"/>
    <col min="4612" max="4612" width="52.33203125" style="470" customWidth="1"/>
    <col min="4613" max="4613" width="6.6640625" style="470" customWidth="1"/>
    <col min="4614" max="4614" width="7.44140625" style="470" customWidth="1"/>
    <col min="4615" max="4615" width="13.6640625" style="470" customWidth="1"/>
    <col min="4616" max="4616" width="13.109375" style="470" customWidth="1"/>
    <col min="4617" max="4617" width="15.77734375" style="470" customWidth="1"/>
    <col min="4618" max="4864" width="8.88671875" style="470"/>
    <col min="4865" max="4865" width="3.77734375" style="470" customWidth="1"/>
    <col min="4866" max="4866" width="3.6640625" style="470" customWidth="1"/>
    <col min="4867" max="4867" width="15.6640625" style="470" customWidth="1"/>
    <col min="4868" max="4868" width="52.33203125" style="470" customWidth="1"/>
    <col min="4869" max="4869" width="6.6640625" style="470" customWidth="1"/>
    <col min="4870" max="4870" width="7.44140625" style="470" customWidth="1"/>
    <col min="4871" max="4871" width="13.6640625" style="470" customWidth="1"/>
    <col min="4872" max="4872" width="13.109375" style="470" customWidth="1"/>
    <col min="4873" max="4873" width="15.77734375" style="470" customWidth="1"/>
    <col min="4874" max="5120" width="8.88671875" style="470"/>
    <col min="5121" max="5121" width="3.77734375" style="470" customWidth="1"/>
    <col min="5122" max="5122" width="3.6640625" style="470" customWidth="1"/>
    <col min="5123" max="5123" width="15.6640625" style="470" customWidth="1"/>
    <col min="5124" max="5124" width="52.33203125" style="470" customWidth="1"/>
    <col min="5125" max="5125" width="6.6640625" style="470" customWidth="1"/>
    <col min="5126" max="5126" width="7.44140625" style="470" customWidth="1"/>
    <col min="5127" max="5127" width="13.6640625" style="470" customWidth="1"/>
    <col min="5128" max="5128" width="13.109375" style="470" customWidth="1"/>
    <col min="5129" max="5129" width="15.77734375" style="470" customWidth="1"/>
    <col min="5130" max="5376" width="8.88671875" style="470"/>
    <col min="5377" max="5377" width="3.77734375" style="470" customWidth="1"/>
    <col min="5378" max="5378" width="3.6640625" style="470" customWidth="1"/>
    <col min="5379" max="5379" width="15.6640625" style="470" customWidth="1"/>
    <col min="5380" max="5380" width="52.33203125" style="470" customWidth="1"/>
    <col min="5381" max="5381" width="6.6640625" style="470" customWidth="1"/>
    <col min="5382" max="5382" width="7.44140625" style="470" customWidth="1"/>
    <col min="5383" max="5383" width="13.6640625" style="470" customWidth="1"/>
    <col min="5384" max="5384" width="13.109375" style="470" customWidth="1"/>
    <col min="5385" max="5385" width="15.77734375" style="470" customWidth="1"/>
    <col min="5386" max="5632" width="8.88671875" style="470"/>
    <col min="5633" max="5633" width="3.77734375" style="470" customWidth="1"/>
    <col min="5634" max="5634" width="3.6640625" style="470" customWidth="1"/>
    <col min="5635" max="5635" width="15.6640625" style="470" customWidth="1"/>
    <col min="5636" max="5636" width="52.33203125" style="470" customWidth="1"/>
    <col min="5637" max="5637" width="6.6640625" style="470" customWidth="1"/>
    <col min="5638" max="5638" width="7.44140625" style="470" customWidth="1"/>
    <col min="5639" max="5639" width="13.6640625" style="470" customWidth="1"/>
    <col min="5640" max="5640" width="13.109375" style="470" customWidth="1"/>
    <col min="5641" max="5641" width="15.77734375" style="470" customWidth="1"/>
    <col min="5642" max="5888" width="8.88671875" style="470"/>
    <col min="5889" max="5889" width="3.77734375" style="470" customWidth="1"/>
    <col min="5890" max="5890" width="3.6640625" style="470" customWidth="1"/>
    <col min="5891" max="5891" width="15.6640625" style="470" customWidth="1"/>
    <col min="5892" max="5892" width="52.33203125" style="470" customWidth="1"/>
    <col min="5893" max="5893" width="6.6640625" style="470" customWidth="1"/>
    <col min="5894" max="5894" width="7.44140625" style="470" customWidth="1"/>
    <col min="5895" max="5895" width="13.6640625" style="470" customWidth="1"/>
    <col min="5896" max="5896" width="13.109375" style="470" customWidth="1"/>
    <col min="5897" max="5897" width="15.77734375" style="470" customWidth="1"/>
    <col min="5898" max="6144" width="8.88671875" style="470"/>
    <col min="6145" max="6145" width="3.77734375" style="470" customWidth="1"/>
    <col min="6146" max="6146" width="3.6640625" style="470" customWidth="1"/>
    <col min="6147" max="6147" width="15.6640625" style="470" customWidth="1"/>
    <col min="6148" max="6148" width="52.33203125" style="470" customWidth="1"/>
    <col min="6149" max="6149" width="6.6640625" style="470" customWidth="1"/>
    <col min="6150" max="6150" width="7.44140625" style="470" customWidth="1"/>
    <col min="6151" max="6151" width="13.6640625" style="470" customWidth="1"/>
    <col min="6152" max="6152" width="13.109375" style="470" customWidth="1"/>
    <col min="6153" max="6153" width="15.77734375" style="470" customWidth="1"/>
    <col min="6154" max="6400" width="8.88671875" style="470"/>
    <col min="6401" max="6401" width="3.77734375" style="470" customWidth="1"/>
    <col min="6402" max="6402" width="3.6640625" style="470" customWidth="1"/>
    <col min="6403" max="6403" width="15.6640625" style="470" customWidth="1"/>
    <col min="6404" max="6404" width="52.33203125" style="470" customWidth="1"/>
    <col min="6405" max="6405" width="6.6640625" style="470" customWidth="1"/>
    <col min="6406" max="6406" width="7.44140625" style="470" customWidth="1"/>
    <col min="6407" max="6407" width="13.6640625" style="470" customWidth="1"/>
    <col min="6408" max="6408" width="13.109375" style="470" customWidth="1"/>
    <col min="6409" max="6409" width="15.77734375" style="470" customWidth="1"/>
    <col min="6410" max="6656" width="8.88671875" style="470"/>
    <col min="6657" max="6657" width="3.77734375" style="470" customWidth="1"/>
    <col min="6658" max="6658" width="3.6640625" style="470" customWidth="1"/>
    <col min="6659" max="6659" width="15.6640625" style="470" customWidth="1"/>
    <col min="6660" max="6660" width="52.33203125" style="470" customWidth="1"/>
    <col min="6661" max="6661" width="6.6640625" style="470" customWidth="1"/>
    <col min="6662" max="6662" width="7.44140625" style="470" customWidth="1"/>
    <col min="6663" max="6663" width="13.6640625" style="470" customWidth="1"/>
    <col min="6664" max="6664" width="13.109375" style="470" customWidth="1"/>
    <col min="6665" max="6665" width="15.77734375" style="470" customWidth="1"/>
    <col min="6666" max="6912" width="8.88671875" style="470"/>
    <col min="6913" max="6913" width="3.77734375" style="470" customWidth="1"/>
    <col min="6914" max="6914" width="3.6640625" style="470" customWidth="1"/>
    <col min="6915" max="6915" width="15.6640625" style="470" customWidth="1"/>
    <col min="6916" max="6916" width="52.33203125" style="470" customWidth="1"/>
    <col min="6917" max="6917" width="6.6640625" style="470" customWidth="1"/>
    <col min="6918" max="6918" width="7.44140625" style="470" customWidth="1"/>
    <col min="6919" max="6919" width="13.6640625" style="470" customWidth="1"/>
    <col min="6920" max="6920" width="13.109375" style="470" customWidth="1"/>
    <col min="6921" max="6921" width="15.77734375" style="470" customWidth="1"/>
    <col min="6922" max="7168" width="8.88671875" style="470"/>
    <col min="7169" max="7169" width="3.77734375" style="470" customWidth="1"/>
    <col min="7170" max="7170" width="3.6640625" style="470" customWidth="1"/>
    <col min="7171" max="7171" width="15.6640625" style="470" customWidth="1"/>
    <col min="7172" max="7172" width="52.33203125" style="470" customWidth="1"/>
    <col min="7173" max="7173" width="6.6640625" style="470" customWidth="1"/>
    <col min="7174" max="7174" width="7.44140625" style="470" customWidth="1"/>
    <col min="7175" max="7175" width="13.6640625" style="470" customWidth="1"/>
    <col min="7176" max="7176" width="13.109375" style="470" customWidth="1"/>
    <col min="7177" max="7177" width="15.77734375" style="470" customWidth="1"/>
    <col min="7178" max="7424" width="8.88671875" style="470"/>
    <col min="7425" max="7425" width="3.77734375" style="470" customWidth="1"/>
    <col min="7426" max="7426" width="3.6640625" style="470" customWidth="1"/>
    <col min="7427" max="7427" width="15.6640625" style="470" customWidth="1"/>
    <col min="7428" max="7428" width="52.33203125" style="470" customWidth="1"/>
    <col min="7429" max="7429" width="6.6640625" style="470" customWidth="1"/>
    <col min="7430" max="7430" width="7.44140625" style="470" customWidth="1"/>
    <col min="7431" max="7431" width="13.6640625" style="470" customWidth="1"/>
    <col min="7432" max="7432" width="13.109375" style="470" customWidth="1"/>
    <col min="7433" max="7433" width="15.77734375" style="470" customWidth="1"/>
    <col min="7434" max="7680" width="8.88671875" style="470"/>
    <col min="7681" max="7681" width="3.77734375" style="470" customWidth="1"/>
    <col min="7682" max="7682" width="3.6640625" style="470" customWidth="1"/>
    <col min="7683" max="7683" width="15.6640625" style="470" customWidth="1"/>
    <col min="7684" max="7684" width="52.33203125" style="470" customWidth="1"/>
    <col min="7685" max="7685" width="6.6640625" style="470" customWidth="1"/>
    <col min="7686" max="7686" width="7.44140625" style="470" customWidth="1"/>
    <col min="7687" max="7687" width="13.6640625" style="470" customWidth="1"/>
    <col min="7688" max="7688" width="13.109375" style="470" customWidth="1"/>
    <col min="7689" max="7689" width="15.77734375" style="470" customWidth="1"/>
    <col min="7690" max="7936" width="8.88671875" style="470"/>
    <col min="7937" max="7937" width="3.77734375" style="470" customWidth="1"/>
    <col min="7938" max="7938" width="3.6640625" style="470" customWidth="1"/>
    <col min="7939" max="7939" width="15.6640625" style="470" customWidth="1"/>
    <col min="7940" max="7940" width="52.33203125" style="470" customWidth="1"/>
    <col min="7941" max="7941" width="6.6640625" style="470" customWidth="1"/>
    <col min="7942" max="7942" width="7.44140625" style="470" customWidth="1"/>
    <col min="7943" max="7943" width="13.6640625" style="470" customWidth="1"/>
    <col min="7944" max="7944" width="13.109375" style="470" customWidth="1"/>
    <col min="7945" max="7945" width="15.77734375" style="470" customWidth="1"/>
    <col min="7946" max="8192" width="8.88671875" style="470"/>
    <col min="8193" max="8193" width="3.77734375" style="470" customWidth="1"/>
    <col min="8194" max="8194" width="3.6640625" style="470" customWidth="1"/>
    <col min="8195" max="8195" width="15.6640625" style="470" customWidth="1"/>
    <col min="8196" max="8196" width="52.33203125" style="470" customWidth="1"/>
    <col min="8197" max="8197" width="6.6640625" style="470" customWidth="1"/>
    <col min="8198" max="8198" width="7.44140625" style="470" customWidth="1"/>
    <col min="8199" max="8199" width="13.6640625" style="470" customWidth="1"/>
    <col min="8200" max="8200" width="13.109375" style="470" customWidth="1"/>
    <col min="8201" max="8201" width="15.77734375" style="470" customWidth="1"/>
    <col min="8202" max="8448" width="8.88671875" style="470"/>
    <col min="8449" max="8449" width="3.77734375" style="470" customWidth="1"/>
    <col min="8450" max="8450" width="3.6640625" style="470" customWidth="1"/>
    <col min="8451" max="8451" width="15.6640625" style="470" customWidth="1"/>
    <col min="8452" max="8452" width="52.33203125" style="470" customWidth="1"/>
    <col min="8453" max="8453" width="6.6640625" style="470" customWidth="1"/>
    <col min="8454" max="8454" width="7.44140625" style="470" customWidth="1"/>
    <col min="8455" max="8455" width="13.6640625" style="470" customWidth="1"/>
    <col min="8456" max="8456" width="13.109375" style="470" customWidth="1"/>
    <col min="8457" max="8457" width="15.77734375" style="470" customWidth="1"/>
    <col min="8458" max="8704" width="8.88671875" style="470"/>
    <col min="8705" max="8705" width="3.77734375" style="470" customWidth="1"/>
    <col min="8706" max="8706" width="3.6640625" style="470" customWidth="1"/>
    <col min="8707" max="8707" width="15.6640625" style="470" customWidth="1"/>
    <col min="8708" max="8708" width="52.33203125" style="470" customWidth="1"/>
    <col min="8709" max="8709" width="6.6640625" style="470" customWidth="1"/>
    <col min="8710" max="8710" width="7.44140625" style="470" customWidth="1"/>
    <col min="8711" max="8711" width="13.6640625" style="470" customWidth="1"/>
    <col min="8712" max="8712" width="13.109375" style="470" customWidth="1"/>
    <col min="8713" max="8713" width="15.77734375" style="470" customWidth="1"/>
    <col min="8714" max="8960" width="8.88671875" style="470"/>
    <col min="8961" max="8961" width="3.77734375" style="470" customWidth="1"/>
    <col min="8962" max="8962" width="3.6640625" style="470" customWidth="1"/>
    <col min="8963" max="8963" width="15.6640625" style="470" customWidth="1"/>
    <col min="8964" max="8964" width="52.33203125" style="470" customWidth="1"/>
    <col min="8965" max="8965" width="6.6640625" style="470" customWidth="1"/>
    <col min="8966" max="8966" width="7.44140625" style="470" customWidth="1"/>
    <col min="8967" max="8967" width="13.6640625" style="470" customWidth="1"/>
    <col min="8968" max="8968" width="13.109375" style="470" customWidth="1"/>
    <col min="8969" max="8969" width="15.77734375" style="470" customWidth="1"/>
    <col min="8970" max="9216" width="8.88671875" style="470"/>
    <col min="9217" max="9217" width="3.77734375" style="470" customWidth="1"/>
    <col min="9218" max="9218" width="3.6640625" style="470" customWidth="1"/>
    <col min="9219" max="9219" width="15.6640625" style="470" customWidth="1"/>
    <col min="9220" max="9220" width="52.33203125" style="470" customWidth="1"/>
    <col min="9221" max="9221" width="6.6640625" style="470" customWidth="1"/>
    <col min="9222" max="9222" width="7.44140625" style="470" customWidth="1"/>
    <col min="9223" max="9223" width="13.6640625" style="470" customWidth="1"/>
    <col min="9224" max="9224" width="13.109375" style="470" customWidth="1"/>
    <col min="9225" max="9225" width="15.77734375" style="470" customWidth="1"/>
    <col min="9226" max="9472" width="8.88671875" style="470"/>
    <col min="9473" max="9473" width="3.77734375" style="470" customWidth="1"/>
    <col min="9474" max="9474" width="3.6640625" style="470" customWidth="1"/>
    <col min="9475" max="9475" width="15.6640625" style="470" customWidth="1"/>
    <col min="9476" max="9476" width="52.33203125" style="470" customWidth="1"/>
    <col min="9477" max="9477" width="6.6640625" style="470" customWidth="1"/>
    <col min="9478" max="9478" width="7.44140625" style="470" customWidth="1"/>
    <col min="9479" max="9479" width="13.6640625" style="470" customWidth="1"/>
    <col min="9480" max="9480" width="13.109375" style="470" customWidth="1"/>
    <col min="9481" max="9481" width="15.77734375" style="470" customWidth="1"/>
    <col min="9482" max="9728" width="8.88671875" style="470"/>
    <col min="9729" max="9729" width="3.77734375" style="470" customWidth="1"/>
    <col min="9730" max="9730" width="3.6640625" style="470" customWidth="1"/>
    <col min="9731" max="9731" width="15.6640625" style="470" customWidth="1"/>
    <col min="9732" max="9732" width="52.33203125" style="470" customWidth="1"/>
    <col min="9733" max="9733" width="6.6640625" style="470" customWidth="1"/>
    <col min="9734" max="9734" width="7.44140625" style="470" customWidth="1"/>
    <col min="9735" max="9735" width="13.6640625" style="470" customWidth="1"/>
    <col min="9736" max="9736" width="13.109375" style="470" customWidth="1"/>
    <col min="9737" max="9737" width="15.77734375" style="470" customWidth="1"/>
    <col min="9738" max="9984" width="8.88671875" style="470"/>
    <col min="9985" max="9985" width="3.77734375" style="470" customWidth="1"/>
    <col min="9986" max="9986" width="3.6640625" style="470" customWidth="1"/>
    <col min="9987" max="9987" width="15.6640625" style="470" customWidth="1"/>
    <col min="9988" max="9988" width="52.33203125" style="470" customWidth="1"/>
    <col min="9989" max="9989" width="6.6640625" style="470" customWidth="1"/>
    <col min="9990" max="9990" width="7.44140625" style="470" customWidth="1"/>
    <col min="9991" max="9991" width="13.6640625" style="470" customWidth="1"/>
    <col min="9992" max="9992" width="13.109375" style="470" customWidth="1"/>
    <col min="9993" max="9993" width="15.77734375" style="470" customWidth="1"/>
    <col min="9994" max="10240" width="8.88671875" style="470"/>
    <col min="10241" max="10241" width="3.77734375" style="470" customWidth="1"/>
    <col min="10242" max="10242" width="3.6640625" style="470" customWidth="1"/>
    <col min="10243" max="10243" width="15.6640625" style="470" customWidth="1"/>
    <col min="10244" max="10244" width="52.33203125" style="470" customWidth="1"/>
    <col min="10245" max="10245" width="6.6640625" style="470" customWidth="1"/>
    <col min="10246" max="10246" width="7.44140625" style="470" customWidth="1"/>
    <col min="10247" max="10247" width="13.6640625" style="470" customWidth="1"/>
    <col min="10248" max="10248" width="13.109375" style="470" customWidth="1"/>
    <col min="10249" max="10249" width="15.77734375" style="470" customWidth="1"/>
    <col min="10250" max="10496" width="8.88671875" style="470"/>
    <col min="10497" max="10497" width="3.77734375" style="470" customWidth="1"/>
    <col min="10498" max="10498" width="3.6640625" style="470" customWidth="1"/>
    <col min="10499" max="10499" width="15.6640625" style="470" customWidth="1"/>
    <col min="10500" max="10500" width="52.33203125" style="470" customWidth="1"/>
    <col min="10501" max="10501" width="6.6640625" style="470" customWidth="1"/>
    <col min="10502" max="10502" width="7.44140625" style="470" customWidth="1"/>
    <col min="10503" max="10503" width="13.6640625" style="470" customWidth="1"/>
    <col min="10504" max="10504" width="13.109375" style="470" customWidth="1"/>
    <col min="10505" max="10505" width="15.77734375" style="470" customWidth="1"/>
    <col min="10506" max="10752" width="8.88671875" style="470"/>
    <col min="10753" max="10753" width="3.77734375" style="470" customWidth="1"/>
    <col min="10754" max="10754" width="3.6640625" style="470" customWidth="1"/>
    <col min="10755" max="10755" width="15.6640625" style="470" customWidth="1"/>
    <col min="10756" max="10756" width="52.33203125" style="470" customWidth="1"/>
    <col min="10757" max="10757" width="6.6640625" style="470" customWidth="1"/>
    <col min="10758" max="10758" width="7.44140625" style="470" customWidth="1"/>
    <col min="10759" max="10759" width="13.6640625" style="470" customWidth="1"/>
    <col min="10760" max="10760" width="13.109375" style="470" customWidth="1"/>
    <col min="10761" max="10761" width="15.77734375" style="470" customWidth="1"/>
    <col min="10762" max="11008" width="8.88671875" style="470"/>
    <col min="11009" max="11009" width="3.77734375" style="470" customWidth="1"/>
    <col min="11010" max="11010" width="3.6640625" style="470" customWidth="1"/>
    <col min="11011" max="11011" width="15.6640625" style="470" customWidth="1"/>
    <col min="11012" max="11012" width="52.33203125" style="470" customWidth="1"/>
    <col min="11013" max="11013" width="6.6640625" style="470" customWidth="1"/>
    <col min="11014" max="11014" width="7.44140625" style="470" customWidth="1"/>
    <col min="11015" max="11015" width="13.6640625" style="470" customWidth="1"/>
    <col min="11016" max="11016" width="13.109375" style="470" customWidth="1"/>
    <col min="11017" max="11017" width="15.77734375" style="470" customWidth="1"/>
    <col min="11018" max="11264" width="8.88671875" style="470"/>
    <col min="11265" max="11265" width="3.77734375" style="470" customWidth="1"/>
    <col min="11266" max="11266" width="3.6640625" style="470" customWidth="1"/>
    <col min="11267" max="11267" width="15.6640625" style="470" customWidth="1"/>
    <col min="11268" max="11268" width="52.33203125" style="470" customWidth="1"/>
    <col min="11269" max="11269" width="6.6640625" style="470" customWidth="1"/>
    <col min="11270" max="11270" width="7.44140625" style="470" customWidth="1"/>
    <col min="11271" max="11271" width="13.6640625" style="470" customWidth="1"/>
    <col min="11272" max="11272" width="13.109375" style="470" customWidth="1"/>
    <col min="11273" max="11273" width="15.77734375" style="470" customWidth="1"/>
    <col min="11274" max="11520" width="8.88671875" style="470"/>
    <col min="11521" max="11521" width="3.77734375" style="470" customWidth="1"/>
    <col min="11522" max="11522" width="3.6640625" style="470" customWidth="1"/>
    <col min="11523" max="11523" width="15.6640625" style="470" customWidth="1"/>
    <col min="11524" max="11524" width="52.33203125" style="470" customWidth="1"/>
    <col min="11525" max="11525" width="6.6640625" style="470" customWidth="1"/>
    <col min="11526" max="11526" width="7.44140625" style="470" customWidth="1"/>
    <col min="11527" max="11527" width="13.6640625" style="470" customWidth="1"/>
    <col min="11528" max="11528" width="13.109375" style="470" customWidth="1"/>
    <col min="11529" max="11529" width="15.77734375" style="470" customWidth="1"/>
    <col min="11530" max="11776" width="8.88671875" style="470"/>
    <col min="11777" max="11777" width="3.77734375" style="470" customWidth="1"/>
    <col min="11778" max="11778" width="3.6640625" style="470" customWidth="1"/>
    <col min="11779" max="11779" width="15.6640625" style="470" customWidth="1"/>
    <col min="11780" max="11780" width="52.33203125" style="470" customWidth="1"/>
    <col min="11781" max="11781" width="6.6640625" style="470" customWidth="1"/>
    <col min="11782" max="11782" width="7.44140625" style="470" customWidth="1"/>
    <col min="11783" max="11783" width="13.6640625" style="470" customWidth="1"/>
    <col min="11784" max="11784" width="13.109375" style="470" customWidth="1"/>
    <col min="11785" max="11785" width="15.77734375" style="470" customWidth="1"/>
    <col min="11786" max="12032" width="8.88671875" style="470"/>
    <col min="12033" max="12033" width="3.77734375" style="470" customWidth="1"/>
    <col min="12034" max="12034" width="3.6640625" style="470" customWidth="1"/>
    <col min="12035" max="12035" width="15.6640625" style="470" customWidth="1"/>
    <col min="12036" max="12036" width="52.33203125" style="470" customWidth="1"/>
    <col min="12037" max="12037" width="6.6640625" style="470" customWidth="1"/>
    <col min="12038" max="12038" width="7.44140625" style="470" customWidth="1"/>
    <col min="12039" max="12039" width="13.6640625" style="470" customWidth="1"/>
    <col min="12040" max="12040" width="13.109375" style="470" customWidth="1"/>
    <col min="12041" max="12041" width="15.77734375" style="470" customWidth="1"/>
    <col min="12042" max="12288" width="8.88671875" style="470"/>
    <col min="12289" max="12289" width="3.77734375" style="470" customWidth="1"/>
    <col min="12290" max="12290" width="3.6640625" style="470" customWidth="1"/>
    <col min="12291" max="12291" width="15.6640625" style="470" customWidth="1"/>
    <col min="12292" max="12292" width="52.33203125" style="470" customWidth="1"/>
    <col min="12293" max="12293" width="6.6640625" style="470" customWidth="1"/>
    <col min="12294" max="12294" width="7.44140625" style="470" customWidth="1"/>
    <col min="12295" max="12295" width="13.6640625" style="470" customWidth="1"/>
    <col min="12296" max="12296" width="13.109375" style="470" customWidth="1"/>
    <col min="12297" max="12297" width="15.77734375" style="470" customWidth="1"/>
    <col min="12298" max="12544" width="8.88671875" style="470"/>
    <col min="12545" max="12545" width="3.77734375" style="470" customWidth="1"/>
    <col min="12546" max="12546" width="3.6640625" style="470" customWidth="1"/>
    <col min="12547" max="12547" width="15.6640625" style="470" customWidth="1"/>
    <col min="12548" max="12548" width="52.33203125" style="470" customWidth="1"/>
    <col min="12549" max="12549" width="6.6640625" style="470" customWidth="1"/>
    <col min="12550" max="12550" width="7.44140625" style="470" customWidth="1"/>
    <col min="12551" max="12551" width="13.6640625" style="470" customWidth="1"/>
    <col min="12552" max="12552" width="13.109375" style="470" customWidth="1"/>
    <col min="12553" max="12553" width="15.77734375" style="470" customWidth="1"/>
    <col min="12554" max="12800" width="8.88671875" style="470"/>
    <col min="12801" max="12801" width="3.77734375" style="470" customWidth="1"/>
    <col min="12802" max="12802" width="3.6640625" style="470" customWidth="1"/>
    <col min="12803" max="12803" width="15.6640625" style="470" customWidth="1"/>
    <col min="12804" max="12804" width="52.33203125" style="470" customWidth="1"/>
    <col min="12805" max="12805" width="6.6640625" style="470" customWidth="1"/>
    <col min="12806" max="12806" width="7.44140625" style="470" customWidth="1"/>
    <col min="12807" max="12807" width="13.6640625" style="470" customWidth="1"/>
    <col min="12808" max="12808" width="13.109375" style="470" customWidth="1"/>
    <col min="12809" max="12809" width="15.77734375" style="470" customWidth="1"/>
    <col min="12810" max="13056" width="8.88671875" style="470"/>
    <col min="13057" max="13057" width="3.77734375" style="470" customWidth="1"/>
    <col min="13058" max="13058" width="3.6640625" style="470" customWidth="1"/>
    <col min="13059" max="13059" width="15.6640625" style="470" customWidth="1"/>
    <col min="13060" max="13060" width="52.33203125" style="470" customWidth="1"/>
    <col min="13061" max="13061" width="6.6640625" style="470" customWidth="1"/>
    <col min="13062" max="13062" width="7.44140625" style="470" customWidth="1"/>
    <col min="13063" max="13063" width="13.6640625" style="470" customWidth="1"/>
    <col min="13064" max="13064" width="13.109375" style="470" customWidth="1"/>
    <col min="13065" max="13065" width="15.77734375" style="470" customWidth="1"/>
    <col min="13066" max="13312" width="8.88671875" style="470"/>
    <col min="13313" max="13313" width="3.77734375" style="470" customWidth="1"/>
    <col min="13314" max="13314" width="3.6640625" style="470" customWidth="1"/>
    <col min="13315" max="13315" width="15.6640625" style="470" customWidth="1"/>
    <col min="13316" max="13316" width="52.33203125" style="470" customWidth="1"/>
    <col min="13317" max="13317" width="6.6640625" style="470" customWidth="1"/>
    <col min="13318" max="13318" width="7.44140625" style="470" customWidth="1"/>
    <col min="13319" max="13319" width="13.6640625" style="470" customWidth="1"/>
    <col min="13320" max="13320" width="13.109375" style="470" customWidth="1"/>
    <col min="13321" max="13321" width="15.77734375" style="470" customWidth="1"/>
    <col min="13322" max="13568" width="8.88671875" style="470"/>
    <col min="13569" max="13569" width="3.77734375" style="470" customWidth="1"/>
    <col min="13570" max="13570" width="3.6640625" style="470" customWidth="1"/>
    <col min="13571" max="13571" width="15.6640625" style="470" customWidth="1"/>
    <col min="13572" max="13572" width="52.33203125" style="470" customWidth="1"/>
    <col min="13573" max="13573" width="6.6640625" style="470" customWidth="1"/>
    <col min="13574" max="13574" width="7.44140625" style="470" customWidth="1"/>
    <col min="13575" max="13575" width="13.6640625" style="470" customWidth="1"/>
    <col min="13576" max="13576" width="13.109375" style="470" customWidth="1"/>
    <col min="13577" max="13577" width="15.77734375" style="470" customWidth="1"/>
    <col min="13578" max="13824" width="8.88671875" style="470"/>
    <col min="13825" max="13825" width="3.77734375" style="470" customWidth="1"/>
    <col min="13826" max="13826" width="3.6640625" style="470" customWidth="1"/>
    <col min="13827" max="13827" width="15.6640625" style="470" customWidth="1"/>
    <col min="13828" max="13828" width="52.33203125" style="470" customWidth="1"/>
    <col min="13829" max="13829" width="6.6640625" style="470" customWidth="1"/>
    <col min="13830" max="13830" width="7.44140625" style="470" customWidth="1"/>
    <col min="13831" max="13831" width="13.6640625" style="470" customWidth="1"/>
    <col min="13832" max="13832" width="13.109375" style="470" customWidth="1"/>
    <col min="13833" max="13833" width="15.77734375" style="470" customWidth="1"/>
    <col min="13834" max="14080" width="8.88671875" style="470"/>
    <col min="14081" max="14081" width="3.77734375" style="470" customWidth="1"/>
    <col min="14082" max="14082" width="3.6640625" style="470" customWidth="1"/>
    <col min="14083" max="14083" width="15.6640625" style="470" customWidth="1"/>
    <col min="14084" max="14084" width="52.33203125" style="470" customWidth="1"/>
    <col min="14085" max="14085" width="6.6640625" style="470" customWidth="1"/>
    <col min="14086" max="14086" width="7.44140625" style="470" customWidth="1"/>
    <col min="14087" max="14087" width="13.6640625" style="470" customWidth="1"/>
    <col min="14088" max="14088" width="13.109375" style="470" customWidth="1"/>
    <col min="14089" max="14089" width="15.77734375" style="470" customWidth="1"/>
    <col min="14090" max="14336" width="8.88671875" style="470"/>
    <col min="14337" max="14337" width="3.77734375" style="470" customWidth="1"/>
    <col min="14338" max="14338" width="3.6640625" style="470" customWidth="1"/>
    <col min="14339" max="14339" width="15.6640625" style="470" customWidth="1"/>
    <col min="14340" max="14340" width="52.33203125" style="470" customWidth="1"/>
    <col min="14341" max="14341" width="6.6640625" style="470" customWidth="1"/>
    <col min="14342" max="14342" width="7.44140625" style="470" customWidth="1"/>
    <col min="14343" max="14343" width="13.6640625" style="470" customWidth="1"/>
    <col min="14344" max="14344" width="13.109375" style="470" customWidth="1"/>
    <col min="14345" max="14345" width="15.77734375" style="470" customWidth="1"/>
    <col min="14346" max="14592" width="8.88671875" style="470"/>
    <col min="14593" max="14593" width="3.77734375" style="470" customWidth="1"/>
    <col min="14594" max="14594" width="3.6640625" style="470" customWidth="1"/>
    <col min="14595" max="14595" width="15.6640625" style="470" customWidth="1"/>
    <col min="14596" max="14596" width="52.33203125" style="470" customWidth="1"/>
    <col min="14597" max="14597" width="6.6640625" style="470" customWidth="1"/>
    <col min="14598" max="14598" width="7.44140625" style="470" customWidth="1"/>
    <col min="14599" max="14599" width="13.6640625" style="470" customWidth="1"/>
    <col min="14600" max="14600" width="13.109375" style="470" customWidth="1"/>
    <col min="14601" max="14601" width="15.77734375" style="470" customWidth="1"/>
    <col min="14602" max="14848" width="8.88671875" style="470"/>
    <col min="14849" max="14849" width="3.77734375" style="470" customWidth="1"/>
    <col min="14850" max="14850" width="3.6640625" style="470" customWidth="1"/>
    <col min="14851" max="14851" width="15.6640625" style="470" customWidth="1"/>
    <col min="14852" max="14852" width="52.33203125" style="470" customWidth="1"/>
    <col min="14853" max="14853" width="6.6640625" style="470" customWidth="1"/>
    <col min="14854" max="14854" width="7.44140625" style="470" customWidth="1"/>
    <col min="14855" max="14855" width="13.6640625" style="470" customWidth="1"/>
    <col min="14856" max="14856" width="13.109375" style="470" customWidth="1"/>
    <col min="14857" max="14857" width="15.77734375" style="470" customWidth="1"/>
    <col min="14858" max="15104" width="8.88671875" style="470"/>
    <col min="15105" max="15105" width="3.77734375" style="470" customWidth="1"/>
    <col min="15106" max="15106" width="3.6640625" style="470" customWidth="1"/>
    <col min="15107" max="15107" width="15.6640625" style="470" customWidth="1"/>
    <col min="15108" max="15108" width="52.33203125" style="470" customWidth="1"/>
    <col min="15109" max="15109" width="6.6640625" style="470" customWidth="1"/>
    <col min="15110" max="15110" width="7.44140625" style="470" customWidth="1"/>
    <col min="15111" max="15111" width="13.6640625" style="470" customWidth="1"/>
    <col min="15112" max="15112" width="13.109375" style="470" customWidth="1"/>
    <col min="15113" max="15113" width="15.77734375" style="470" customWidth="1"/>
    <col min="15114" max="15360" width="8.88671875" style="470"/>
    <col min="15361" max="15361" width="3.77734375" style="470" customWidth="1"/>
    <col min="15362" max="15362" width="3.6640625" style="470" customWidth="1"/>
    <col min="15363" max="15363" width="15.6640625" style="470" customWidth="1"/>
    <col min="15364" max="15364" width="52.33203125" style="470" customWidth="1"/>
    <col min="15365" max="15365" width="6.6640625" style="470" customWidth="1"/>
    <col min="15366" max="15366" width="7.44140625" style="470" customWidth="1"/>
    <col min="15367" max="15367" width="13.6640625" style="470" customWidth="1"/>
    <col min="15368" max="15368" width="13.109375" style="470" customWidth="1"/>
    <col min="15369" max="15369" width="15.77734375" style="470" customWidth="1"/>
    <col min="15370" max="15616" width="8.88671875" style="470"/>
    <col min="15617" max="15617" width="3.77734375" style="470" customWidth="1"/>
    <col min="15618" max="15618" width="3.6640625" style="470" customWidth="1"/>
    <col min="15619" max="15619" width="15.6640625" style="470" customWidth="1"/>
    <col min="15620" max="15620" width="52.33203125" style="470" customWidth="1"/>
    <col min="15621" max="15621" width="6.6640625" style="470" customWidth="1"/>
    <col min="15622" max="15622" width="7.44140625" style="470" customWidth="1"/>
    <col min="15623" max="15623" width="13.6640625" style="470" customWidth="1"/>
    <col min="15624" max="15624" width="13.109375" style="470" customWidth="1"/>
    <col min="15625" max="15625" width="15.77734375" style="470" customWidth="1"/>
    <col min="15626" max="15872" width="8.88671875" style="470"/>
    <col min="15873" max="15873" width="3.77734375" style="470" customWidth="1"/>
    <col min="15874" max="15874" width="3.6640625" style="470" customWidth="1"/>
    <col min="15875" max="15875" width="15.6640625" style="470" customWidth="1"/>
    <col min="15876" max="15876" width="52.33203125" style="470" customWidth="1"/>
    <col min="15877" max="15877" width="6.6640625" style="470" customWidth="1"/>
    <col min="15878" max="15878" width="7.44140625" style="470" customWidth="1"/>
    <col min="15879" max="15879" width="13.6640625" style="470" customWidth="1"/>
    <col min="15880" max="15880" width="13.109375" style="470" customWidth="1"/>
    <col min="15881" max="15881" width="15.77734375" style="470" customWidth="1"/>
    <col min="15882" max="16128" width="8.88671875" style="470"/>
    <col min="16129" max="16129" width="3.77734375" style="470" customWidth="1"/>
    <col min="16130" max="16130" width="3.6640625" style="470" customWidth="1"/>
    <col min="16131" max="16131" width="15.6640625" style="470" customWidth="1"/>
    <col min="16132" max="16132" width="52.33203125" style="470" customWidth="1"/>
    <col min="16133" max="16133" width="6.6640625" style="470" customWidth="1"/>
    <col min="16134" max="16134" width="7.44140625" style="470" customWidth="1"/>
    <col min="16135" max="16135" width="13.6640625" style="470" customWidth="1"/>
    <col min="16136" max="16136" width="13.109375" style="470" customWidth="1"/>
    <col min="16137" max="16137" width="15.77734375" style="470" customWidth="1"/>
    <col min="16138" max="16384" width="8.88671875" style="470"/>
  </cols>
  <sheetData>
    <row r="1" spans="1:9">
      <c r="B1" s="467"/>
      <c r="C1" s="468" t="s">
        <v>3101</v>
      </c>
      <c r="D1" s="469" t="s">
        <v>3102</v>
      </c>
      <c r="G1" s="470"/>
      <c r="I1" s="471"/>
    </row>
    <row r="2" spans="1:9">
      <c r="B2" s="467"/>
      <c r="C2" s="468" t="s">
        <v>3103</v>
      </c>
      <c r="D2" s="469" t="s">
        <v>3104</v>
      </c>
      <c r="F2" s="472" t="s">
        <v>3105</v>
      </c>
      <c r="G2" s="469" t="s">
        <v>3106</v>
      </c>
      <c r="I2" s="471"/>
    </row>
    <row r="3" spans="1:9" ht="28">
      <c r="A3" s="473" t="s">
        <v>3107</v>
      </c>
      <c r="B3" s="474"/>
      <c r="C3" s="475" t="s">
        <v>3108</v>
      </c>
      <c r="D3" s="475" t="s">
        <v>2703</v>
      </c>
      <c r="E3" s="476" t="s">
        <v>116</v>
      </c>
      <c r="F3" s="477" t="s">
        <v>3109</v>
      </c>
      <c r="G3" s="478" t="s">
        <v>2737</v>
      </c>
      <c r="H3" s="479" t="s">
        <v>3110</v>
      </c>
      <c r="I3" s="480" t="s">
        <v>3111</v>
      </c>
    </row>
    <row r="4" spans="1:9">
      <c r="B4" s="481"/>
      <c r="C4" s="481"/>
      <c r="D4" s="481"/>
      <c r="E4" s="482"/>
      <c r="F4" s="481"/>
      <c r="G4" s="481"/>
      <c r="H4" s="483"/>
      <c r="I4" s="483"/>
    </row>
    <row r="5" spans="1:9">
      <c r="A5" s="466" t="s">
        <v>3112</v>
      </c>
      <c r="B5" s="467"/>
      <c r="C5" s="467"/>
      <c r="D5" s="484" t="s">
        <v>3113</v>
      </c>
      <c r="F5" s="467"/>
      <c r="G5" s="485"/>
    </row>
    <row r="6" spans="1:9" s="490" customFormat="1" ht="42">
      <c r="A6" s="486" t="s">
        <v>3112</v>
      </c>
      <c r="B6" s="487">
        <v>1</v>
      </c>
      <c r="C6" s="487">
        <v>10027031</v>
      </c>
      <c r="D6" s="487" t="s">
        <v>3114</v>
      </c>
      <c r="E6" s="486">
        <v>1</v>
      </c>
      <c r="F6" s="487" t="s">
        <v>2874</v>
      </c>
      <c r="G6" s="487"/>
      <c r="H6" s="488"/>
      <c r="I6" s="489">
        <f t="shared" ref="I6:I8" si="0">E6*H6</f>
        <v>0</v>
      </c>
    </row>
    <row r="7" spans="1:9" s="490" customFormat="1" ht="28">
      <c r="A7" s="486" t="s">
        <v>3112</v>
      </c>
      <c r="B7" s="487">
        <v>2</v>
      </c>
      <c r="C7" s="487">
        <v>20139895</v>
      </c>
      <c r="D7" s="487" t="s">
        <v>3115</v>
      </c>
      <c r="E7" s="486">
        <v>1</v>
      </c>
      <c r="F7" s="487" t="s">
        <v>2874</v>
      </c>
      <c r="G7" s="487" t="s">
        <v>3116</v>
      </c>
      <c r="H7" s="488"/>
      <c r="I7" s="489">
        <f t="shared" si="0"/>
        <v>0</v>
      </c>
    </row>
    <row r="8" spans="1:9" s="490" customFormat="1">
      <c r="A8" s="486" t="s">
        <v>3112</v>
      </c>
      <c r="B8" s="487">
        <v>3</v>
      </c>
      <c r="C8" s="487">
        <v>306787</v>
      </c>
      <c r="D8" s="487" t="s">
        <v>3117</v>
      </c>
      <c r="E8" s="486">
        <v>1</v>
      </c>
      <c r="F8" s="487" t="s">
        <v>2874</v>
      </c>
      <c r="G8" s="487"/>
      <c r="H8" s="488"/>
      <c r="I8" s="489">
        <f t="shared" si="0"/>
        <v>0</v>
      </c>
    </row>
    <row r="9" spans="1:9" s="494" customFormat="1" ht="12.5">
      <c r="A9" s="491"/>
      <c r="B9" s="492"/>
      <c r="C9" s="492"/>
      <c r="D9" s="493"/>
      <c r="G9" s="495"/>
      <c r="H9" s="495"/>
      <c r="I9" s="495"/>
    </row>
    <row r="10" spans="1:9" s="469" customFormat="1">
      <c r="A10" s="466" t="s">
        <v>3118</v>
      </c>
      <c r="B10" s="484"/>
      <c r="C10" s="484"/>
      <c r="D10" s="484" t="s">
        <v>3119</v>
      </c>
      <c r="E10" s="496"/>
      <c r="F10" s="484"/>
      <c r="G10" s="497"/>
      <c r="H10" s="498"/>
    </row>
    <row r="11" spans="1:9" s="502" customFormat="1" ht="56">
      <c r="A11" s="466" t="s">
        <v>3118</v>
      </c>
      <c r="B11" s="499">
        <v>1</v>
      </c>
      <c r="C11" s="499">
        <v>20147469</v>
      </c>
      <c r="D11" s="499" t="s">
        <v>3120</v>
      </c>
      <c r="E11" s="500">
        <v>1</v>
      </c>
      <c r="F11" s="499" t="s">
        <v>2874</v>
      </c>
      <c r="G11" s="499"/>
      <c r="H11" s="488"/>
      <c r="I11" s="501">
        <f>E11*H11</f>
        <v>0</v>
      </c>
    </row>
    <row r="12" spans="1:9" s="502" customFormat="1">
      <c r="A12" s="466" t="s">
        <v>3118</v>
      </c>
      <c r="B12" s="499">
        <v>2</v>
      </c>
      <c r="C12" s="499">
        <v>303250</v>
      </c>
      <c r="D12" s="499" t="s">
        <v>3121</v>
      </c>
      <c r="E12" s="500">
        <v>1</v>
      </c>
      <c r="F12" s="499" t="s">
        <v>1737</v>
      </c>
      <c r="G12" s="499"/>
      <c r="H12" s="488"/>
      <c r="I12" s="501">
        <f t="shared" ref="I12:I21" si="1">E12*H12</f>
        <v>0</v>
      </c>
    </row>
    <row r="13" spans="1:9" s="502" customFormat="1">
      <c r="A13" s="466" t="s">
        <v>3118</v>
      </c>
      <c r="B13" s="499">
        <v>3</v>
      </c>
      <c r="C13" s="499">
        <v>303218</v>
      </c>
      <c r="D13" s="499" t="s">
        <v>3122</v>
      </c>
      <c r="E13" s="500">
        <v>3</v>
      </c>
      <c r="F13" s="499" t="s">
        <v>2874</v>
      </c>
      <c r="G13" s="499"/>
      <c r="H13" s="488"/>
      <c r="I13" s="501">
        <f t="shared" si="1"/>
        <v>0</v>
      </c>
    </row>
    <row r="14" spans="1:9" s="502" customFormat="1">
      <c r="A14" s="466" t="s">
        <v>3118</v>
      </c>
      <c r="B14" s="499">
        <v>4</v>
      </c>
      <c r="C14" s="499">
        <v>303211</v>
      </c>
      <c r="D14" s="499" t="s">
        <v>3123</v>
      </c>
      <c r="E14" s="500">
        <v>1</v>
      </c>
      <c r="F14" s="499" t="s">
        <v>1737</v>
      </c>
      <c r="G14" s="499"/>
      <c r="H14" s="488"/>
      <c r="I14" s="501">
        <f t="shared" si="1"/>
        <v>0</v>
      </c>
    </row>
    <row r="15" spans="1:9" s="502" customFormat="1">
      <c r="A15" s="466" t="s">
        <v>3118</v>
      </c>
      <c r="B15" s="499">
        <v>5</v>
      </c>
      <c r="C15" s="499">
        <v>303202</v>
      </c>
      <c r="D15" s="499" t="s">
        <v>3124</v>
      </c>
      <c r="E15" s="500">
        <v>1</v>
      </c>
      <c r="F15" s="499" t="s">
        <v>2874</v>
      </c>
      <c r="G15" s="499"/>
      <c r="H15" s="488"/>
      <c r="I15" s="501">
        <f t="shared" si="1"/>
        <v>0</v>
      </c>
    </row>
    <row r="16" spans="1:9" s="502" customFormat="1">
      <c r="A16" s="466" t="s">
        <v>3118</v>
      </c>
      <c r="B16" s="499">
        <v>6</v>
      </c>
      <c r="C16" s="499">
        <v>303203</v>
      </c>
      <c r="D16" s="499" t="s">
        <v>3125</v>
      </c>
      <c r="E16" s="500">
        <v>4</v>
      </c>
      <c r="F16" s="499" t="s">
        <v>2874</v>
      </c>
      <c r="G16" s="499"/>
      <c r="H16" s="488"/>
      <c r="I16" s="501">
        <f t="shared" si="1"/>
        <v>0</v>
      </c>
    </row>
    <row r="17" spans="1:9" s="502" customFormat="1">
      <c r="A17" s="466" t="s">
        <v>3118</v>
      </c>
      <c r="B17" s="499">
        <v>7</v>
      </c>
      <c r="C17" s="499">
        <v>303205</v>
      </c>
      <c r="D17" s="499" t="s">
        <v>3126</v>
      </c>
      <c r="E17" s="500">
        <v>2</v>
      </c>
      <c r="F17" s="499" t="s">
        <v>2874</v>
      </c>
      <c r="G17" s="499"/>
      <c r="H17" s="488"/>
      <c r="I17" s="501">
        <f t="shared" si="1"/>
        <v>0</v>
      </c>
    </row>
    <row r="18" spans="1:9" s="502" customFormat="1" ht="15.75" customHeight="1">
      <c r="A18" s="466" t="s">
        <v>3118</v>
      </c>
      <c r="B18" s="499">
        <v>8</v>
      </c>
      <c r="C18" s="499">
        <v>303215</v>
      </c>
      <c r="D18" s="499" t="s">
        <v>3127</v>
      </c>
      <c r="E18" s="500">
        <v>1</v>
      </c>
      <c r="F18" s="499" t="s">
        <v>2874</v>
      </c>
      <c r="G18" s="499"/>
      <c r="H18" s="488"/>
      <c r="I18" s="501">
        <f t="shared" si="1"/>
        <v>0</v>
      </c>
    </row>
    <row r="19" spans="1:9" s="502" customFormat="1">
      <c r="A19" s="466" t="s">
        <v>3118</v>
      </c>
      <c r="B19" s="499">
        <v>9</v>
      </c>
      <c r="C19" s="499">
        <v>303616</v>
      </c>
      <c r="D19" s="499" t="s">
        <v>3128</v>
      </c>
      <c r="E19" s="500">
        <v>1</v>
      </c>
      <c r="F19" s="499" t="s">
        <v>1737</v>
      </c>
      <c r="G19" s="499"/>
      <c r="H19" s="488"/>
      <c r="I19" s="501">
        <f t="shared" si="1"/>
        <v>0</v>
      </c>
    </row>
    <row r="20" spans="1:9" s="502" customFormat="1">
      <c r="A20" s="466" t="s">
        <v>3118</v>
      </c>
      <c r="B20" s="499">
        <v>10</v>
      </c>
      <c r="C20" s="499">
        <v>303963</v>
      </c>
      <c r="D20" s="499" t="s">
        <v>3129</v>
      </c>
      <c r="E20" s="500">
        <v>1</v>
      </c>
      <c r="F20" s="499" t="s">
        <v>2874</v>
      </c>
      <c r="G20" s="499"/>
      <c r="H20" s="488"/>
      <c r="I20" s="501">
        <f t="shared" si="1"/>
        <v>0</v>
      </c>
    </row>
    <row r="21" spans="1:9" s="502" customFormat="1">
      <c r="A21" s="466" t="s">
        <v>3118</v>
      </c>
      <c r="B21" s="499">
        <v>11</v>
      </c>
      <c r="C21" s="499">
        <v>9494</v>
      </c>
      <c r="D21" s="499" t="s">
        <v>3130</v>
      </c>
      <c r="E21" s="500">
        <v>1</v>
      </c>
      <c r="F21" s="499" t="s">
        <v>1737</v>
      </c>
      <c r="G21" s="499"/>
      <c r="H21" s="488"/>
      <c r="I21" s="501">
        <f t="shared" si="1"/>
        <v>0</v>
      </c>
    </row>
    <row r="22" spans="1:9" s="494" customFormat="1" ht="12.5">
      <c r="A22" s="491"/>
      <c r="B22" s="492"/>
      <c r="C22" s="492"/>
      <c r="D22" s="493"/>
      <c r="G22" s="495"/>
      <c r="H22" s="495"/>
      <c r="I22" s="495"/>
    </row>
    <row r="23" spans="1:9">
      <c r="A23" s="466" t="s">
        <v>3131</v>
      </c>
      <c r="B23" s="467"/>
      <c r="C23" s="467"/>
      <c r="D23" s="484" t="s">
        <v>3132</v>
      </c>
      <c r="F23" s="467"/>
      <c r="G23" s="485"/>
    </row>
    <row r="24" spans="1:9">
      <c r="A24" s="466" t="s">
        <v>3131</v>
      </c>
      <c r="B24" s="467">
        <v>1</v>
      </c>
      <c r="C24" s="467"/>
      <c r="D24" s="487" t="s">
        <v>3133</v>
      </c>
      <c r="E24" s="466">
        <v>3</v>
      </c>
      <c r="F24" s="467" t="s">
        <v>258</v>
      </c>
      <c r="G24" s="467"/>
      <c r="H24" s="488"/>
      <c r="I24" s="471">
        <f t="shared" ref="I24:I32" si="2">E24*H24</f>
        <v>0</v>
      </c>
    </row>
    <row r="25" spans="1:9">
      <c r="A25" s="466" t="s">
        <v>3131</v>
      </c>
      <c r="B25" s="467">
        <v>2</v>
      </c>
      <c r="C25" s="467"/>
      <c r="D25" s="487" t="s">
        <v>3134</v>
      </c>
      <c r="E25" s="466">
        <v>9</v>
      </c>
      <c r="F25" s="467" t="s">
        <v>258</v>
      </c>
      <c r="G25" s="467"/>
      <c r="H25" s="488"/>
      <c r="I25" s="471">
        <f t="shared" si="2"/>
        <v>0</v>
      </c>
    </row>
    <row r="26" spans="1:9">
      <c r="A26" s="466" t="s">
        <v>3131</v>
      </c>
      <c r="B26" s="467">
        <v>3</v>
      </c>
      <c r="C26" s="467"/>
      <c r="D26" s="487" t="s">
        <v>3135</v>
      </c>
      <c r="E26" s="466">
        <v>12</v>
      </c>
      <c r="F26" s="467" t="s">
        <v>258</v>
      </c>
      <c r="G26" s="467"/>
      <c r="H26" s="488"/>
      <c r="I26" s="471">
        <f t="shared" si="2"/>
        <v>0</v>
      </c>
    </row>
    <row r="27" spans="1:9">
      <c r="A27" s="466" t="s">
        <v>3131</v>
      </c>
      <c r="B27" s="467">
        <v>4</v>
      </c>
      <c r="C27" s="467"/>
      <c r="D27" s="487" t="s">
        <v>3136</v>
      </c>
      <c r="E27" s="466">
        <v>1</v>
      </c>
      <c r="F27" s="467" t="s">
        <v>3087</v>
      </c>
      <c r="G27" s="467"/>
      <c r="H27" s="488"/>
      <c r="I27" s="471">
        <f t="shared" si="2"/>
        <v>0</v>
      </c>
    </row>
    <row r="28" spans="1:9">
      <c r="A28" s="466" t="s">
        <v>3131</v>
      </c>
      <c r="B28" s="467">
        <v>5</v>
      </c>
      <c r="C28" s="467"/>
      <c r="D28" s="487" t="s">
        <v>3137</v>
      </c>
      <c r="E28" s="466">
        <v>1</v>
      </c>
      <c r="F28" s="467" t="s">
        <v>3087</v>
      </c>
      <c r="G28" s="467"/>
      <c r="H28" s="488"/>
      <c r="I28" s="471">
        <f t="shared" si="2"/>
        <v>0</v>
      </c>
    </row>
    <row r="29" spans="1:9">
      <c r="A29" s="466" t="s">
        <v>3131</v>
      </c>
      <c r="B29" s="467">
        <v>6</v>
      </c>
      <c r="C29" s="467"/>
      <c r="D29" s="487" t="s">
        <v>3138</v>
      </c>
      <c r="E29" s="466">
        <v>1</v>
      </c>
      <c r="F29" s="467" t="s">
        <v>3087</v>
      </c>
      <c r="G29" s="467"/>
      <c r="H29" s="488"/>
      <c r="I29" s="471">
        <f t="shared" si="2"/>
        <v>0</v>
      </c>
    </row>
    <row r="30" spans="1:9" ht="16.5">
      <c r="A30" s="466" t="s">
        <v>3131</v>
      </c>
      <c r="B30" s="467">
        <v>7</v>
      </c>
      <c r="C30" s="467"/>
      <c r="D30" s="487" t="s">
        <v>3139</v>
      </c>
      <c r="E30" s="466">
        <v>3</v>
      </c>
      <c r="F30" s="467" t="s">
        <v>258</v>
      </c>
      <c r="G30" s="467"/>
      <c r="H30" s="488"/>
      <c r="I30" s="471">
        <f t="shared" si="2"/>
        <v>0</v>
      </c>
    </row>
    <row r="31" spans="1:9" ht="16.5">
      <c r="A31" s="466" t="s">
        <v>3131</v>
      </c>
      <c r="B31" s="467">
        <v>8</v>
      </c>
      <c r="C31" s="467"/>
      <c r="D31" s="487" t="s">
        <v>3140</v>
      </c>
      <c r="E31" s="466">
        <v>9</v>
      </c>
      <c r="F31" s="467" t="s">
        <v>258</v>
      </c>
      <c r="G31" s="467"/>
      <c r="H31" s="488"/>
      <c r="I31" s="471">
        <f t="shared" si="2"/>
        <v>0</v>
      </c>
    </row>
    <row r="32" spans="1:9" ht="30.5">
      <c r="A32" s="466" t="s">
        <v>3131</v>
      </c>
      <c r="B32" s="467">
        <v>9</v>
      </c>
      <c r="C32" s="467"/>
      <c r="D32" s="487" t="s">
        <v>3141</v>
      </c>
      <c r="E32" s="466">
        <v>12</v>
      </c>
      <c r="F32" s="467" t="s">
        <v>258</v>
      </c>
      <c r="G32" s="467"/>
      <c r="H32" s="488"/>
      <c r="I32" s="471">
        <f t="shared" si="2"/>
        <v>0</v>
      </c>
    </row>
    <row r="33" spans="1:9" s="494" customFormat="1" ht="12.5">
      <c r="A33" s="491"/>
      <c r="B33" s="492"/>
      <c r="C33" s="492"/>
      <c r="D33" s="493"/>
      <c r="G33" s="495"/>
      <c r="H33" s="495"/>
      <c r="I33" s="495"/>
    </row>
    <row r="34" spans="1:9">
      <c r="A34" s="466" t="s">
        <v>3142</v>
      </c>
      <c r="B34" s="467"/>
      <c r="C34" s="467"/>
      <c r="D34" s="484" t="s">
        <v>3143</v>
      </c>
      <c r="F34" s="467"/>
      <c r="G34" s="485"/>
    </row>
    <row r="35" spans="1:9" ht="28">
      <c r="A35" s="466" t="s">
        <v>3142</v>
      </c>
      <c r="B35" s="467">
        <v>1</v>
      </c>
      <c r="C35" s="467"/>
      <c r="D35" s="487" t="s">
        <v>3144</v>
      </c>
      <c r="E35" s="466">
        <v>3</v>
      </c>
      <c r="F35" s="467" t="s">
        <v>2874</v>
      </c>
      <c r="G35" s="485" t="s">
        <v>3145</v>
      </c>
      <c r="H35" s="488"/>
      <c r="I35" s="471">
        <f t="shared" ref="I35:I44" si="3">E35*H35</f>
        <v>0</v>
      </c>
    </row>
    <row r="36" spans="1:9">
      <c r="A36" s="466" t="s">
        <v>3142</v>
      </c>
      <c r="B36" s="467">
        <v>2</v>
      </c>
      <c r="C36" s="467"/>
      <c r="D36" s="487" t="s">
        <v>3146</v>
      </c>
      <c r="E36" s="466">
        <v>3</v>
      </c>
      <c r="F36" s="467" t="s">
        <v>2874</v>
      </c>
      <c r="G36" s="467" t="s">
        <v>3147</v>
      </c>
      <c r="H36" s="488"/>
      <c r="I36" s="471">
        <f t="shared" si="3"/>
        <v>0</v>
      </c>
    </row>
    <row r="37" spans="1:9">
      <c r="A37" s="466" t="s">
        <v>3142</v>
      </c>
      <c r="B37" s="467">
        <v>3</v>
      </c>
      <c r="C37" s="467"/>
      <c r="D37" s="487" t="s">
        <v>3148</v>
      </c>
      <c r="E37" s="466">
        <v>3</v>
      </c>
      <c r="F37" s="467" t="s">
        <v>2874</v>
      </c>
      <c r="G37" s="467" t="s">
        <v>3149</v>
      </c>
      <c r="H37" s="488"/>
      <c r="I37" s="471">
        <f t="shared" si="3"/>
        <v>0</v>
      </c>
    </row>
    <row r="38" spans="1:9">
      <c r="A38" s="466" t="s">
        <v>3142</v>
      </c>
      <c r="B38" s="467">
        <v>4</v>
      </c>
      <c r="C38" s="467"/>
      <c r="D38" s="487" t="s">
        <v>3150</v>
      </c>
      <c r="E38" s="466">
        <v>3</v>
      </c>
      <c r="F38" s="467" t="s">
        <v>2874</v>
      </c>
      <c r="G38" s="467" t="s">
        <v>3151</v>
      </c>
      <c r="H38" s="488"/>
      <c r="I38" s="471">
        <f t="shared" si="3"/>
        <v>0</v>
      </c>
    </row>
    <row r="39" spans="1:9">
      <c r="A39" s="466" t="s">
        <v>3142</v>
      </c>
      <c r="B39" s="467">
        <v>5</v>
      </c>
      <c r="C39" s="467"/>
      <c r="D39" s="487" t="s">
        <v>3152</v>
      </c>
      <c r="E39" s="466">
        <v>2</v>
      </c>
      <c r="F39" s="467" t="s">
        <v>2874</v>
      </c>
      <c r="G39" s="467" t="s">
        <v>3153</v>
      </c>
      <c r="H39" s="488"/>
      <c r="I39" s="471">
        <f t="shared" si="3"/>
        <v>0</v>
      </c>
    </row>
    <row r="40" spans="1:9">
      <c r="A40" s="466" t="s">
        <v>3142</v>
      </c>
      <c r="B40" s="467">
        <v>6</v>
      </c>
      <c r="C40" s="467"/>
      <c r="D40" s="487" t="s">
        <v>3154</v>
      </c>
      <c r="E40" s="466">
        <v>1</v>
      </c>
      <c r="F40" s="467" t="s">
        <v>2874</v>
      </c>
      <c r="G40" s="467" t="s">
        <v>2574</v>
      </c>
      <c r="H40" s="488"/>
      <c r="I40" s="471">
        <f t="shared" si="3"/>
        <v>0</v>
      </c>
    </row>
    <row r="41" spans="1:9" s="490" customFormat="1">
      <c r="A41" s="466" t="s">
        <v>3142</v>
      </c>
      <c r="B41" s="467">
        <v>7</v>
      </c>
      <c r="D41" s="502" t="s">
        <v>3155</v>
      </c>
      <c r="E41" s="466">
        <v>1</v>
      </c>
      <c r="F41" s="490" t="s">
        <v>2874</v>
      </c>
      <c r="G41" s="490" t="s">
        <v>3156</v>
      </c>
      <c r="H41" s="488"/>
      <c r="I41" s="471">
        <f t="shared" si="3"/>
        <v>0</v>
      </c>
    </row>
    <row r="42" spans="1:9" ht="28">
      <c r="A42" s="466" t="s">
        <v>3142</v>
      </c>
      <c r="B42" s="467">
        <v>8</v>
      </c>
      <c r="C42" s="467"/>
      <c r="D42" s="487" t="s">
        <v>3157</v>
      </c>
      <c r="E42" s="466">
        <v>2</v>
      </c>
      <c r="F42" s="467" t="s">
        <v>2874</v>
      </c>
      <c r="G42" s="467" t="s">
        <v>3158</v>
      </c>
      <c r="H42" s="488"/>
      <c r="I42" s="471">
        <f t="shared" si="3"/>
        <v>0</v>
      </c>
    </row>
    <row r="43" spans="1:9">
      <c r="A43" s="466" t="s">
        <v>3142</v>
      </c>
      <c r="B43" s="467">
        <v>9</v>
      </c>
      <c r="C43" s="467"/>
      <c r="D43" s="487" t="s">
        <v>3159</v>
      </c>
      <c r="E43" s="466">
        <v>1</v>
      </c>
      <c r="F43" s="467" t="s">
        <v>3087</v>
      </c>
      <c r="G43" s="467"/>
      <c r="H43" s="488"/>
      <c r="I43" s="471">
        <f t="shared" si="3"/>
        <v>0</v>
      </c>
    </row>
    <row r="44" spans="1:9">
      <c r="A44" s="466" t="s">
        <v>3142</v>
      </c>
      <c r="B44" s="467">
        <v>10</v>
      </c>
      <c r="C44" s="467"/>
      <c r="D44" s="487" t="s">
        <v>3160</v>
      </c>
      <c r="E44" s="466">
        <v>1</v>
      </c>
      <c r="F44" s="467" t="s">
        <v>2874</v>
      </c>
      <c r="G44" s="467"/>
      <c r="H44" s="488"/>
      <c r="I44" s="471">
        <f t="shared" si="3"/>
        <v>0</v>
      </c>
    </row>
    <row r="45" spans="1:9">
      <c r="B45" s="467"/>
      <c r="C45" s="467"/>
      <c r="D45" s="499"/>
      <c r="F45" s="467"/>
      <c r="G45" s="485"/>
    </row>
    <row r="46" spans="1:9" s="468" customFormat="1">
      <c r="A46" s="472"/>
      <c r="B46" s="503"/>
      <c r="C46" s="503"/>
      <c r="D46" s="484" t="s">
        <v>3161</v>
      </c>
      <c r="E46" s="472"/>
      <c r="F46" s="503"/>
      <c r="G46" s="504"/>
      <c r="H46" s="505"/>
      <c r="I46" s="505"/>
    </row>
    <row r="47" spans="1:9" s="502" customFormat="1">
      <c r="A47" s="466" t="s">
        <v>3162</v>
      </c>
      <c r="D47" s="469" t="s">
        <v>3163</v>
      </c>
      <c r="E47" s="500"/>
      <c r="G47" s="501"/>
      <c r="H47" s="501"/>
    </row>
    <row r="48" spans="1:9" s="490" customFormat="1" ht="28">
      <c r="A48" s="466" t="s">
        <v>3162</v>
      </c>
      <c r="B48" s="467">
        <v>1</v>
      </c>
      <c r="C48" s="487" t="s">
        <v>3164</v>
      </c>
      <c r="D48" s="487" t="s">
        <v>3165</v>
      </c>
      <c r="E48" s="487">
        <v>1</v>
      </c>
      <c r="F48" s="487" t="s">
        <v>2874</v>
      </c>
      <c r="G48" s="506"/>
      <c r="H48" s="488"/>
      <c r="I48" s="471">
        <f t="shared" ref="I48:I65" si="4">E48*H48</f>
        <v>0</v>
      </c>
    </row>
    <row r="49" spans="1:9" s="490" customFormat="1" ht="28">
      <c r="A49" s="466" t="s">
        <v>3162</v>
      </c>
      <c r="B49" s="467">
        <v>2</v>
      </c>
      <c r="C49" s="487" t="s">
        <v>3166</v>
      </c>
      <c r="D49" s="487" t="s">
        <v>3167</v>
      </c>
      <c r="E49" s="487">
        <v>1</v>
      </c>
      <c r="F49" s="487" t="s">
        <v>2874</v>
      </c>
      <c r="G49" s="506"/>
      <c r="H49" s="488"/>
      <c r="I49" s="471">
        <f t="shared" si="4"/>
        <v>0</v>
      </c>
    </row>
    <row r="50" spans="1:9" s="490" customFormat="1" ht="28">
      <c r="A50" s="466" t="s">
        <v>3162</v>
      </c>
      <c r="B50" s="467">
        <v>3</v>
      </c>
      <c r="C50" s="487" t="s">
        <v>3168</v>
      </c>
      <c r="D50" s="487" t="s">
        <v>3169</v>
      </c>
      <c r="E50" s="487">
        <v>1</v>
      </c>
      <c r="F50" s="487" t="s">
        <v>2874</v>
      </c>
      <c r="G50" s="506"/>
      <c r="H50" s="488"/>
      <c r="I50" s="471">
        <f t="shared" si="4"/>
        <v>0</v>
      </c>
    </row>
    <row r="51" spans="1:9" s="490" customFormat="1" ht="28">
      <c r="A51" s="466" t="s">
        <v>3162</v>
      </c>
      <c r="B51" s="467">
        <v>4</v>
      </c>
      <c r="C51" s="487" t="s">
        <v>3170</v>
      </c>
      <c r="D51" s="487" t="s">
        <v>3171</v>
      </c>
      <c r="E51" s="487">
        <v>1</v>
      </c>
      <c r="F51" s="487" t="s">
        <v>2874</v>
      </c>
      <c r="G51" s="506"/>
      <c r="H51" s="488"/>
      <c r="I51" s="471">
        <f t="shared" si="4"/>
        <v>0</v>
      </c>
    </row>
    <row r="52" spans="1:9" s="490" customFormat="1" ht="28">
      <c r="A52" s="466" t="s">
        <v>3162</v>
      </c>
      <c r="B52" s="467">
        <v>5</v>
      </c>
      <c r="C52" s="487" t="s">
        <v>3172</v>
      </c>
      <c r="D52" s="487" t="s">
        <v>3173</v>
      </c>
      <c r="E52" s="487">
        <v>1</v>
      </c>
      <c r="F52" s="487" t="s">
        <v>2874</v>
      </c>
      <c r="G52" s="506"/>
      <c r="H52" s="488"/>
      <c r="I52" s="471">
        <f t="shared" si="4"/>
        <v>0</v>
      </c>
    </row>
    <row r="53" spans="1:9" s="490" customFormat="1" ht="28">
      <c r="A53" s="466" t="s">
        <v>3162</v>
      </c>
      <c r="B53" s="467">
        <v>6</v>
      </c>
      <c r="C53" s="487" t="s">
        <v>3174</v>
      </c>
      <c r="D53" s="487" t="s">
        <v>3175</v>
      </c>
      <c r="E53" s="487">
        <v>4</v>
      </c>
      <c r="F53" s="487" t="s">
        <v>2874</v>
      </c>
      <c r="G53" s="506"/>
      <c r="H53" s="488"/>
      <c r="I53" s="471">
        <f t="shared" si="4"/>
        <v>0</v>
      </c>
    </row>
    <row r="54" spans="1:9" s="490" customFormat="1" ht="28">
      <c r="A54" s="466" t="s">
        <v>3162</v>
      </c>
      <c r="B54" s="467">
        <v>7</v>
      </c>
      <c r="C54" s="487" t="s">
        <v>3176</v>
      </c>
      <c r="D54" s="487" t="s">
        <v>3177</v>
      </c>
      <c r="E54" s="487">
        <v>4</v>
      </c>
      <c r="F54" s="487" t="s">
        <v>2874</v>
      </c>
      <c r="G54" s="506"/>
      <c r="H54" s="488"/>
      <c r="I54" s="471">
        <f t="shared" si="4"/>
        <v>0</v>
      </c>
    </row>
    <row r="55" spans="1:9" s="490" customFormat="1" ht="28">
      <c r="A55" s="466" t="s">
        <v>3162</v>
      </c>
      <c r="B55" s="467">
        <v>8</v>
      </c>
      <c r="C55" s="487" t="s">
        <v>3178</v>
      </c>
      <c r="D55" s="487" t="s">
        <v>3179</v>
      </c>
      <c r="E55" s="487">
        <v>3</v>
      </c>
      <c r="F55" s="487" t="s">
        <v>2874</v>
      </c>
      <c r="G55" s="506"/>
      <c r="H55" s="488"/>
      <c r="I55" s="471">
        <f t="shared" si="4"/>
        <v>0</v>
      </c>
    </row>
    <row r="56" spans="1:9" s="490" customFormat="1" ht="28">
      <c r="A56" s="466" t="s">
        <v>3162</v>
      </c>
      <c r="B56" s="467">
        <v>9</v>
      </c>
      <c r="C56" s="487" t="s">
        <v>3180</v>
      </c>
      <c r="D56" s="487" t="s">
        <v>3181</v>
      </c>
      <c r="E56" s="487">
        <v>6</v>
      </c>
      <c r="F56" s="487" t="s">
        <v>2874</v>
      </c>
      <c r="G56" s="506"/>
      <c r="H56" s="488"/>
      <c r="I56" s="471">
        <f t="shared" si="4"/>
        <v>0</v>
      </c>
    </row>
    <row r="57" spans="1:9" s="490" customFormat="1" ht="28">
      <c r="A57" s="466" t="s">
        <v>3162</v>
      </c>
      <c r="B57" s="467">
        <v>10</v>
      </c>
      <c r="C57" s="487" t="s">
        <v>3182</v>
      </c>
      <c r="D57" s="487" t="s">
        <v>3183</v>
      </c>
      <c r="E57" s="487">
        <v>1</v>
      </c>
      <c r="F57" s="487" t="s">
        <v>2874</v>
      </c>
      <c r="G57" s="506"/>
      <c r="H57" s="488"/>
      <c r="I57" s="471">
        <f t="shared" si="4"/>
        <v>0</v>
      </c>
    </row>
    <row r="58" spans="1:9" s="490" customFormat="1" ht="28">
      <c r="A58" s="466" t="s">
        <v>3162</v>
      </c>
      <c r="B58" s="467">
        <v>11</v>
      </c>
      <c r="C58" s="487" t="s">
        <v>3184</v>
      </c>
      <c r="D58" s="487" t="s">
        <v>3185</v>
      </c>
      <c r="E58" s="487">
        <v>2</v>
      </c>
      <c r="F58" s="487" t="s">
        <v>2874</v>
      </c>
      <c r="G58" s="506"/>
      <c r="H58" s="488"/>
      <c r="I58" s="471">
        <f t="shared" si="4"/>
        <v>0</v>
      </c>
    </row>
    <row r="59" spans="1:9" s="490" customFormat="1" ht="28">
      <c r="A59" s="466" t="s">
        <v>3162</v>
      </c>
      <c r="B59" s="467">
        <v>12</v>
      </c>
      <c r="C59" s="487" t="s">
        <v>3186</v>
      </c>
      <c r="D59" s="487" t="s">
        <v>3187</v>
      </c>
      <c r="E59" s="487">
        <v>1</v>
      </c>
      <c r="F59" s="487" t="s">
        <v>2874</v>
      </c>
      <c r="G59" s="506"/>
      <c r="H59" s="488"/>
      <c r="I59" s="471">
        <f t="shared" si="4"/>
        <v>0</v>
      </c>
    </row>
    <row r="60" spans="1:9" s="490" customFormat="1" ht="28">
      <c r="A60" s="466" t="s">
        <v>3162</v>
      </c>
      <c r="B60" s="467">
        <v>13</v>
      </c>
      <c r="C60" s="487" t="s">
        <v>3188</v>
      </c>
      <c r="D60" s="487" t="s">
        <v>3189</v>
      </c>
      <c r="E60" s="487">
        <v>1</v>
      </c>
      <c r="F60" s="487" t="s">
        <v>2874</v>
      </c>
      <c r="G60" s="506"/>
      <c r="H60" s="488"/>
      <c r="I60" s="471">
        <f t="shared" si="4"/>
        <v>0</v>
      </c>
    </row>
    <row r="61" spans="1:9" s="490" customFormat="1">
      <c r="A61" s="466" t="s">
        <v>3162</v>
      </c>
      <c r="B61" s="467">
        <v>14</v>
      </c>
      <c r="C61" s="487"/>
      <c r="D61" s="487" t="s">
        <v>3190</v>
      </c>
      <c r="E61" s="487">
        <v>27</v>
      </c>
      <c r="F61" s="487" t="s">
        <v>2874</v>
      </c>
      <c r="G61" s="506"/>
      <c r="H61" s="488"/>
      <c r="I61" s="471">
        <f t="shared" si="4"/>
        <v>0</v>
      </c>
    </row>
    <row r="62" spans="1:9" s="490" customFormat="1">
      <c r="A62" s="466" t="s">
        <v>3162</v>
      </c>
      <c r="B62" s="467">
        <v>15</v>
      </c>
      <c r="C62" s="487"/>
      <c r="D62" s="487" t="s">
        <v>3191</v>
      </c>
      <c r="E62" s="487">
        <v>54</v>
      </c>
      <c r="F62" s="487" t="s">
        <v>2874</v>
      </c>
      <c r="G62" s="506"/>
      <c r="H62" s="488"/>
      <c r="I62" s="471">
        <f t="shared" si="4"/>
        <v>0</v>
      </c>
    </row>
    <row r="63" spans="1:9" s="490" customFormat="1">
      <c r="A63" s="466" t="s">
        <v>3162</v>
      </c>
      <c r="B63" s="467">
        <v>16</v>
      </c>
      <c r="C63" s="487"/>
      <c r="D63" s="487" t="s">
        <v>3192</v>
      </c>
      <c r="E63" s="487">
        <v>54</v>
      </c>
      <c r="F63" s="487" t="s">
        <v>2874</v>
      </c>
      <c r="G63" s="506"/>
      <c r="H63" s="488"/>
      <c r="I63" s="471">
        <f t="shared" si="4"/>
        <v>0</v>
      </c>
    </row>
    <row r="64" spans="1:9" s="490" customFormat="1">
      <c r="A64" s="466" t="s">
        <v>3162</v>
      </c>
      <c r="B64" s="467">
        <v>17</v>
      </c>
      <c r="C64" s="487"/>
      <c r="D64" s="487" t="s">
        <v>3193</v>
      </c>
      <c r="E64" s="487">
        <v>27</v>
      </c>
      <c r="F64" s="487" t="s">
        <v>2874</v>
      </c>
      <c r="G64" s="506"/>
      <c r="H64" s="488"/>
      <c r="I64" s="471">
        <f t="shared" si="4"/>
        <v>0</v>
      </c>
    </row>
    <row r="65" spans="1:10" s="490" customFormat="1" ht="28">
      <c r="A65" s="466" t="s">
        <v>3162</v>
      </c>
      <c r="B65" s="467">
        <v>18</v>
      </c>
      <c r="C65" s="487"/>
      <c r="D65" s="487" t="s">
        <v>3194</v>
      </c>
      <c r="E65" s="487">
        <v>27</v>
      </c>
      <c r="F65" s="487" t="s">
        <v>2874</v>
      </c>
      <c r="G65" s="506"/>
      <c r="H65" s="488"/>
      <c r="I65" s="471">
        <f t="shared" si="4"/>
        <v>0</v>
      </c>
    </row>
    <row r="66" spans="1:10">
      <c r="B66" s="467"/>
      <c r="C66" s="467"/>
      <c r="D66" s="467"/>
      <c r="F66" s="467"/>
      <c r="G66" s="485"/>
      <c r="I66" s="471"/>
    </row>
    <row r="67" spans="1:10" s="468" customFormat="1">
      <c r="A67" s="500" t="s">
        <v>3195</v>
      </c>
      <c r="B67" s="503"/>
      <c r="C67" s="503"/>
      <c r="D67" s="507" t="s">
        <v>3196</v>
      </c>
      <c r="E67" s="472"/>
      <c r="F67" s="503"/>
      <c r="G67" s="504"/>
      <c r="H67" s="505"/>
      <c r="I67" s="505"/>
    </row>
    <row r="68" spans="1:10">
      <c r="A68" s="500" t="s">
        <v>3195</v>
      </c>
      <c r="B68" s="467">
        <v>1</v>
      </c>
      <c r="C68" s="467"/>
      <c r="D68" s="487" t="s">
        <v>3135</v>
      </c>
      <c r="E68" s="466">
        <v>6</v>
      </c>
      <c r="F68" s="467" t="s">
        <v>258</v>
      </c>
      <c r="G68" s="467"/>
      <c r="H68" s="488"/>
      <c r="I68" s="471">
        <f t="shared" ref="I68:I86" si="5">E68*H68</f>
        <v>0</v>
      </c>
    </row>
    <row r="69" spans="1:10">
      <c r="A69" s="500" t="s">
        <v>3195</v>
      </c>
      <c r="B69" s="467">
        <v>2</v>
      </c>
      <c r="C69" s="467"/>
      <c r="D69" s="487" t="s">
        <v>3136</v>
      </c>
      <c r="E69" s="466">
        <v>1</v>
      </c>
      <c r="F69" s="467" t="s">
        <v>3087</v>
      </c>
      <c r="G69" s="467"/>
      <c r="H69" s="488"/>
      <c r="I69" s="471">
        <f t="shared" si="5"/>
        <v>0</v>
      </c>
    </row>
    <row r="70" spans="1:10">
      <c r="A70" s="500" t="s">
        <v>3195</v>
      </c>
      <c r="B70" s="467">
        <v>3</v>
      </c>
      <c r="C70" s="467"/>
      <c r="D70" s="487" t="s">
        <v>3197</v>
      </c>
      <c r="E70" s="466">
        <v>1</v>
      </c>
      <c r="F70" s="467" t="s">
        <v>3087</v>
      </c>
      <c r="G70" s="467"/>
      <c r="H70" s="488"/>
      <c r="I70" s="471">
        <f t="shared" si="5"/>
        <v>0</v>
      </c>
    </row>
    <row r="71" spans="1:10" s="502" customFormat="1">
      <c r="A71" s="500" t="s">
        <v>3195</v>
      </c>
      <c r="B71" s="467">
        <v>4</v>
      </c>
      <c r="C71" s="499"/>
      <c r="D71" s="502" t="s">
        <v>3198</v>
      </c>
      <c r="E71" s="502">
        <v>235</v>
      </c>
      <c r="F71" s="502" t="s">
        <v>258</v>
      </c>
      <c r="G71" s="508"/>
      <c r="H71" s="488"/>
      <c r="I71" s="471">
        <f t="shared" si="5"/>
        <v>0</v>
      </c>
      <c r="J71" s="501"/>
    </row>
    <row r="72" spans="1:10" s="468" customFormat="1">
      <c r="A72" s="500" t="s">
        <v>3195</v>
      </c>
      <c r="B72" s="467">
        <v>5</v>
      </c>
      <c r="C72" s="503"/>
      <c r="D72" s="502" t="s">
        <v>3199</v>
      </c>
      <c r="E72" s="502">
        <v>55</v>
      </c>
      <c r="F72" s="502" t="s">
        <v>258</v>
      </c>
      <c r="G72" s="504"/>
      <c r="H72" s="488"/>
      <c r="I72" s="471">
        <f t="shared" si="5"/>
        <v>0</v>
      </c>
    </row>
    <row r="73" spans="1:10" s="502" customFormat="1">
      <c r="A73" s="500" t="s">
        <v>3195</v>
      </c>
      <c r="B73" s="467">
        <v>6</v>
      </c>
      <c r="C73" s="499"/>
      <c r="D73" s="502" t="s">
        <v>3200</v>
      </c>
      <c r="E73" s="502">
        <v>28</v>
      </c>
      <c r="F73" s="502" t="s">
        <v>258</v>
      </c>
      <c r="G73" s="508"/>
      <c r="H73" s="488"/>
      <c r="I73" s="471">
        <f t="shared" si="5"/>
        <v>0</v>
      </c>
    </row>
    <row r="74" spans="1:10" s="502" customFormat="1">
      <c r="A74" s="500" t="s">
        <v>3195</v>
      </c>
      <c r="B74" s="467">
        <v>7</v>
      </c>
      <c r="C74" s="499"/>
      <c r="D74" s="502" t="s">
        <v>3201</v>
      </c>
      <c r="E74" s="502">
        <v>28</v>
      </c>
      <c r="F74" s="502" t="s">
        <v>258</v>
      </c>
      <c r="G74" s="508"/>
      <c r="H74" s="488"/>
      <c r="I74" s="471">
        <f t="shared" si="5"/>
        <v>0</v>
      </c>
    </row>
    <row r="75" spans="1:10" s="502" customFormat="1">
      <c r="A75" s="500" t="s">
        <v>3195</v>
      </c>
      <c r="B75" s="467">
        <v>8</v>
      </c>
      <c r="C75" s="499"/>
      <c r="D75" s="502" t="s">
        <v>3202</v>
      </c>
      <c r="E75" s="502">
        <v>35</v>
      </c>
      <c r="F75" s="502" t="s">
        <v>258</v>
      </c>
      <c r="G75" s="508"/>
      <c r="H75" s="488"/>
      <c r="I75" s="471">
        <f t="shared" si="5"/>
        <v>0</v>
      </c>
    </row>
    <row r="76" spans="1:10" s="502" customFormat="1">
      <c r="A76" s="500" t="s">
        <v>3195</v>
      </c>
      <c r="B76" s="467">
        <v>9</v>
      </c>
      <c r="C76" s="499"/>
      <c r="D76" s="502" t="s">
        <v>3203</v>
      </c>
      <c r="E76" s="502">
        <v>35</v>
      </c>
      <c r="F76" s="502" t="s">
        <v>258</v>
      </c>
      <c r="G76" s="508"/>
      <c r="H76" s="488"/>
      <c r="I76" s="471">
        <f t="shared" si="5"/>
        <v>0</v>
      </c>
    </row>
    <row r="77" spans="1:10" s="502" customFormat="1">
      <c r="A77" s="500" t="s">
        <v>3195</v>
      </c>
      <c r="B77" s="467">
        <v>10</v>
      </c>
      <c r="C77" s="499"/>
      <c r="D77" s="502" t="s">
        <v>3204</v>
      </c>
      <c r="E77" s="502">
        <v>18</v>
      </c>
      <c r="F77" s="502" t="s">
        <v>258</v>
      </c>
      <c r="G77" s="508"/>
      <c r="H77" s="488"/>
      <c r="I77" s="471">
        <f t="shared" si="5"/>
        <v>0</v>
      </c>
    </row>
    <row r="78" spans="1:10" s="502" customFormat="1">
      <c r="A78" s="500" t="s">
        <v>3195</v>
      </c>
      <c r="B78" s="467">
        <v>11</v>
      </c>
      <c r="C78" s="499"/>
      <c r="D78" s="502" t="s">
        <v>3205</v>
      </c>
      <c r="E78" s="500">
        <v>1</v>
      </c>
      <c r="F78" s="502" t="s">
        <v>3087</v>
      </c>
      <c r="G78" s="508"/>
      <c r="H78" s="488"/>
      <c r="I78" s="471">
        <f t="shared" si="5"/>
        <v>0</v>
      </c>
    </row>
    <row r="79" spans="1:10" s="468" customFormat="1">
      <c r="A79" s="500" t="s">
        <v>3195</v>
      </c>
      <c r="B79" s="467">
        <v>12</v>
      </c>
      <c r="C79" s="503"/>
      <c r="D79" s="468" t="s">
        <v>3206</v>
      </c>
      <c r="E79" s="468">
        <v>235</v>
      </c>
      <c r="F79" s="468" t="s">
        <v>258</v>
      </c>
      <c r="H79" s="488"/>
      <c r="I79" s="471">
        <f t="shared" si="5"/>
        <v>0</v>
      </c>
    </row>
    <row r="80" spans="1:10" s="468" customFormat="1">
      <c r="A80" s="500" t="s">
        <v>3195</v>
      </c>
      <c r="B80" s="467">
        <v>13</v>
      </c>
      <c r="C80" s="503"/>
      <c r="D80" s="468" t="s">
        <v>3207</v>
      </c>
      <c r="E80" s="468">
        <v>55</v>
      </c>
      <c r="F80" s="468" t="s">
        <v>258</v>
      </c>
      <c r="G80" s="504"/>
      <c r="H80" s="488"/>
      <c r="I80" s="471">
        <f t="shared" si="5"/>
        <v>0</v>
      </c>
    </row>
    <row r="81" spans="1:9">
      <c r="A81" s="500" t="s">
        <v>3195</v>
      </c>
      <c r="B81" s="467">
        <v>14</v>
      </c>
      <c r="C81" s="467"/>
      <c r="D81" s="468" t="s">
        <v>3208</v>
      </c>
      <c r="E81" s="468">
        <v>28</v>
      </c>
      <c r="F81" s="468" t="s">
        <v>258</v>
      </c>
      <c r="G81" s="485"/>
      <c r="H81" s="488"/>
      <c r="I81" s="471">
        <f t="shared" si="5"/>
        <v>0</v>
      </c>
    </row>
    <row r="82" spans="1:9">
      <c r="A82" s="500" t="s">
        <v>3195</v>
      </c>
      <c r="B82" s="467">
        <v>15</v>
      </c>
      <c r="C82" s="467"/>
      <c r="D82" s="468" t="s">
        <v>3209</v>
      </c>
      <c r="E82" s="468">
        <v>28</v>
      </c>
      <c r="F82" s="468" t="s">
        <v>258</v>
      </c>
      <c r="G82" s="485"/>
      <c r="H82" s="488"/>
      <c r="I82" s="471">
        <f t="shared" si="5"/>
        <v>0</v>
      </c>
    </row>
    <row r="83" spans="1:9">
      <c r="A83" s="500" t="s">
        <v>3195</v>
      </c>
      <c r="B83" s="467">
        <v>16</v>
      </c>
      <c r="C83" s="467"/>
      <c r="D83" s="468" t="s">
        <v>3210</v>
      </c>
      <c r="E83" s="468">
        <v>35</v>
      </c>
      <c r="F83" s="468" t="s">
        <v>258</v>
      </c>
      <c r="G83" s="485"/>
      <c r="H83" s="488"/>
      <c r="I83" s="471">
        <f t="shared" si="5"/>
        <v>0</v>
      </c>
    </row>
    <row r="84" spans="1:9">
      <c r="A84" s="500" t="s">
        <v>3195</v>
      </c>
      <c r="B84" s="467">
        <v>17</v>
      </c>
      <c r="C84" s="467"/>
      <c r="D84" s="468" t="s">
        <v>3211</v>
      </c>
      <c r="E84" s="468">
        <v>35</v>
      </c>
      <c r="F84" s="468" t="s">
        <v>258</v>
      </c>
      <c r="G84" s="485"/>
      <c r="H84" s="488"/>
      <c r="I84" s="471">
        <f t="shared" si="5"/>
        <v>0</v>
      </c>
    </row>
    <row r="85" spans="1:9">
      <c r="A85" s="500" t="s">
        <v>3195</v>
      </c>
      <c r="B85" s="467">
        <v>18</v>
      </c>
      <c r="C85" s="467"/>
      <c r="D85" s="468" t="s">
        <v>3212</v>
      </c>
      <c r="E85" s="468">
        <v>18</v>
      </c>
      <c r="F85" s="468" t="s">
        <v>258</v>
      </c>
      <c r="G85" s="485"/>
      <c r="H85" s="488"/>
      <c r="I85" s="471">
        <f t="shared" si="5"/>
        <v>0</v>
      </c>
    </row>
    <row r="86" spans="1:9" ht="16.5">
      <c r="A86" s="500" t="s">
        <v>3195</v>
      </c>
      <c r="B86" s="467">
        <v>19</v>
      </c>
      <c r="C86" s="467"/>
      <c r="D86" s="487" t="s">
        <v>3213</v>
      </c>
      <c r="E86" s="466">
        <v>6</v>
      </c>
      <c r="F86" s="467" t="s">
        <v>258</v>
      </c>
      <c r="G86" s="467"/>
      <c r="H86" s="488"/>
      <c r="I86" s="471">
        <f t="shared" si="5"/>
        <v>0</v>
      </c>
    </row>
    <row r="87" spans="1:9">
      <c r="B87" s="467"/>
      <c r="C87" s="467"/>
      <c r="D87" s="468"/>
      <c r="E87" s="472"/>
      <c r="F87" s="468"/>
      <c r="G87" s="485"/>
      <c r="I87" s="471"/>
    </row>
    <row r="88" spans="1:9" s="502" customFormat="1">
      <c r="A88" s="472" t="s">
        <v>3214</v>
      </c>
      <c r="B88" s="499"/>
      <c r="D88" s="469" t="s">
        <v>3215</v>
      </c>
      <c r="E88" s="472"/>
      <c r="H88" s="501"/>
      <c r="I88" s="501"/>
    </row>
    <row r="89" spans="1:9" s="502" customFormat="1">
      <c r="A89" s="472" t="s">
        <v>3214</v>
      </c>
      <c r="B89" s="499">
        <v>1</v>
      </c>
      <c r="D89" s="502" t="s">
        <v>3216</v>
      </c>
      <c r="E89" s="472">
        <v>2</v>
      </c>
      <c r="F89" s="502" t="s">
        <v>2874</v>
      </c>
      <c r="G89" s="502" t="s">
        <v>3158</v>
      </c>
      <c r="H89" s="488"/>
      <c r="I89" s="505">
        <f t="shared" ref="I89:I99" si="6">E89*H89</f>
        <v>0</v>
      </c>
    </row>
    <row r="90" spans="1:9" s="502" customFormat="1">
      <c r="A90" s="472" t="s">
        <v>3214</v>
      </c>
      <c r="B90" s="499">
        <v>2</v>
      </c>
      <c r="D90" s="502" t="s">
        <v>3148</v>
      </c>
      <c r="E90" s="500">
        <v>2</v>
      </c>
      <c r="F90" s="502" t="s">
        <v>2874</v>
      </c>
      <c r="G90" s="502" t="s">
        <v>3149</v>
      </c>
      <c r="H90" s="488"/>
      <c r="I90" s="505">
        <f t="shared" si="6"/>
        <v>0</v>
      </c>
    </row>
    <row r="91" spans="1:9" s="502" customFormat="1">
      <c r="A91" s="472" t="s">
        <v>3214</v>
      </c>
      <c r="B91" s="499">
        <v>3</v>
      </c>
      <c r="D91" s="502" t="s">
        <v>3150</v>
      </c>
      <c r="E91" s="500">
        <v>1</v>
      </c>
      <c r="F91" s="502" t="s">
        <v>2874</v>
      </c>
      <c r="G91" s="502" t="s">
        <v>3151</v>
      </c>
      <c r="H91" s="488"/>
      <c r="I91" s="505">
        <f t="shared" si="6"/>
        <v>0</v>
      </c>
    </row>
    <row r="92" spans="1:9" s="502" customFormat="1" ht="28">
      <c r="A92" s="472" t="s">
        <v>3214</v>
      </c>
      <c r="B92" s="499">
        <v>4</v>
      </c>
      <c r="D92" s="502" t="s">
        <v>3217</v>
      </c>
      <c r="E92" s="500">
        <v>1</v>
      </c>
      <c r="F92" s="502" t="s">
        <v>2874</v>
      </c>
      <c r="G92" s="502" t="s">
        <v>3218</v>
      </c>
      <c r="H92" s="488"/>
      <c r="I92" s="505">
        <f t="shared" si="6"/>
        <v>0</v>
      </c>
    </row>
    <row r="93" spans="1:9" s="502" customFormat="1" ht="28">
      <c r="A93" s="472" t="s">
        <v>3214</v>
      </c>
      <c r="B93" s="499">
        <v>5</v>
      </c>
      <c r="D93" s="502" t="s">
        <v>3219</v>
      </c>
      <c r="E93" s="500">
        <v>1</v>
      </c>
      <c r="F93" s="502" t="s">
        <v>2874</v>
      </c>
      <c r="G93" s="502" t="s">
        <v>3220</v>
      </c>
      <c r="H93" s="488"/>
      <c r="I93" s="505">
        <f t="shared" si="6"/>
        <v>0</v>
      </c>
    </row>
    <row r="94" spans="1:9" s="502" customFormat="1">
      <c r="A94" s="472" t="s">
        <v>3214</v>
      </c>
      <c r="B94" s="499">
        <v>6</v>
      </c>
      <c r="D94" s="502" t="s">
        <v>3221</v>
      </c>
      <c r="E94" s="500">
        <v>3</v>
      </c>
      <c r="F94" s="502" t="s">
        <v>3087</v>
      </c>
      <c r="G94" s="502" t="s">
        <v>3153</v>
      </c>
      <c r="H94" s="488"/>
      <c r="I94" s="505">
        <f t="shared" si="6"/>
        <v>0</v>
      </c>
    </row>
    <row r="95" spans="1:9" s="502" customFormat="1">
      <c r="A95" s="472" t="s">
        <v>3214</v>
      </c>
      <c r="B95" s="499">
        <v>7</v>
      </c>
      <c r="D95" s="502" t="s">
        <v>3222</v>
      </c>
      <c r="E95" s="500">
        <v>1</v>
      </c>
      <c r="F95" s="502" t="s">
        <v>2874</v>
      </c>
      <c r="G95" s="502" t="s">
        <v>3223</v>
      </c>
      <c r="H95" s="488"/>
      <c r="I95" s="505">
        <f t="shared" si="6"/>
        <v>0</v>
      </c>
    </row>
    <row r="96" spans="1:9" s="502" customFormat="1" ht="28">
      <c r="A96" s="472" t="s">
        <v>3214</v>
      </c>
      <c r="B96" s="499">
        <v>8</v>
      </c>
      <c r="D96" s="502" t="s">
        <v>3224</v>
      </c>
      <c r="E96" s="500">
        <v>1</v>
      </c>
      <c r="F96" s="502" t="s">
        <v>2874</v>
      </c>
      <c r="G96" s="502" t="s">
        <v>3225</v>
      </c>
      <c r="H96" s="488"/>
      <c r="I96" s="505">
        <f t="shared" si="6"/>
        <v>0</v>
      </c>
    </row>
    <row r="97" spans="1:14" s="502" customFormat="1" ht="28">
      <c r="A97" s="472" t="s">
        <v>3214</v>
      </c>
      <c r="B97" s="499">
        <v>9</v>
      </c>
      <c r="D97" s="502" t="s">
        <v>3226</v>
      </c>
      <c r="E97" s="500">
        <v>1</v>
      </c>
      <c r="F97" s="502" t="s">
        <v>2874</v>
      </c>
      <c r="G97" s="502" t="s">
        <v>3227</v>
      </c>
      <c r="H97" s="488"/>
      <c r="I97" s="505">
        <f t="shared" si="6"/>
        <v>0</v>
      </c>
    </row>
    <row r="98" spans="1:14" s="502" customFormat="1">
      <c r="A98" s="472" t="s">
        <v>3214</v>
      </c>
      <c r="B98" s="499">
        <v>10</v>
      </c>
      <c r="D98" s="502" t="s">
        <v>3228</v>
      </c>
      <c r="E98" s="500">
        <v>1</v>
      </c>
      <c r="F98" s="502" t="s">
        <v>2874</v>
      </c>
      <c r="G98" s="502" t="s">
        <v>3227</v>
      </c>
      <c r="H98" s="488"/>
      <c r="I98" s="505">
        <f t="shared" si="6"/>
        <v>0</v>
      </c>
    </row>
    <row r="99" spans="1:14" s="502" customFormat="1">
      <c r="A99" s="472" t="s">
        <v>3214</v>
      </c>
      <c r="B99" s="499">
        <v>11</v>
      </c>
      <c r="D99" s="502" t="s">
        <v>3229</v>
      </c>
      <c r="E99" s="500">
        <v>1</v>
      </c>
      <c r="F99" s="502" t="s">
        <v>3087</v>
      </c>
      <c r="H99" s="488"/>
      <c r="I99" s="505">
        <f t="shared" si="6"/>
        <v>0</v>
      </c>
    </row>
    <row r="100" spans="1:14">
      <c r="A100" s="472" t="s">
        <v>3214</v>
      </c>
      <c r="B100" s="499">
        <v>12</v>
      </c>
      <c r="C100" s="467"/>
      <c r="D100" s="499" t="s">
        <v>3160</v>
      </c>
      <c r="E100" s="466">
        <v>4</v>
      </c>
      <c r="F100" s="467" t="s">
        <v>2874</v>
      </c>
      <c r="G100" s="485" t="s">
        <v>3230</v>
      </c>
      <c r="H100" s="488"/>
      <c r="I100" s="471">
        <f>E100*H100</f>
        <v>0</v>
      </c>
    </row>
    <row r="101" spans="1:14">
      <c r="A101" s="472"/>
      <c r="B101" s="499"/>
      <c r="C101" s="467"/>
      <c r="D101" s="499" t="s">
        <v>3231</v>
      </c>
      <c r="E101" s="466">
        <v>1</v>
      </c>
      <c r="F101" s="467" t="s">
        <v>2874</v>
      </c>
      <c r="G101" s="485"/>
      <c r="H101" s="488"/>
      <c r="I101" s="471">
        <f>E101*H101</f>
        <v>0</v>
      </c>
    </row>
    <row r="102" spans="1:14">
      <c r="A102" s="470"/>
      <c r="B102" s="487"/>
      <c r="D102" s="484" t="s">
        <v>3232</v>
      </c>
      <c r="H102" s="488"/>
      <c r="I102" s="509">
        <f>SUM(I6:I101)</f>
        <v>0</v>
      </c>
    </row>
    <row r="103" spans="1:14">
      <c r="A103" s="472"/>
      <c r="B103" s="467"/>
      <c r="G103" s="470"/>
      <c r="H103" s="510"/>
      <c r="I103" s="505"/>
      <c r="N103" s="490"/>
    </row>
    <row r="104" spans="1:14" s="468" customFormat="1">
      <c r="A104" s="500" t="s">
        <v>3233</v>
      </c>
      <c r="D104" s="469" t="s">
        <v>3234</v>
      </c>
      <c r="E104" s="472"/>
      <c r="G104" s="505"/>
      <c r="H104" s="510"/>
    </row>
    <row r="105" spans="1:14" s="502" customFormat="1" ht="56">
      <c r="A105" s="500" t="s">
        <v>3233</v>
      </c>
      <c r="B105" s="499">
        <v>1</v>
      </c>
      <c r="D105" s="502" t="s">
        <v>3235</v>
      </c>
      <c r="E105" s="500">
        <v>1</v>
      </c>
      <c r="F105" s="502" t="s">
        <v>3087</v>
      </c>
      <c r="G105" s="501"/>
      <c r="H105" s="488"/>
      <c r="I105" s="471">
        <f t="shared" ref="I105:I110" si="7">E105*H105</f>
        <v>0</v>
      </c>
    </row>
    <row r="106" spans="1:14" s="502" customFormat="1" ht="28">
      <c r="A106" s="500" t="s">
        <v>3233</v>
      </c>
      <c r="B106" s="499">
        <v>2</v>
      </c>
      <c r="D106" s="502" t="s">
        <v>3236</v>
      </c>
      <c r="E106" s="500">
        <v>1</v>
      </c>
      <c r="F106" s="502" t="s">
        <v>3087</v>
      </c>
      <c r="G106" s="501"/>
      <c r="H106" s="488"/>
      <c r="I106" s="471">
        <f t="shared" si="7"/>
        <v>0</v>
      </c>
    </row>
    <row r="107" spans="1:14" s="502" customFormat="1" ht="28">
      <c r="A107" s="500" t="s">
        <v>3233</v>
      </c>
      <c r="B107" s="499">
        <v>3</v>
      </c>
      <c r="D107" s="502" t="s">
        <v>3237</v>
      </c>
      <c r="E107" s="502">
        <v>1</v>
      </c>
      <c r="F107" s="502" t="s">
        <v>3087</v>
      </c>
      <c r="H107" s="488"/>
      <c r="I107" s="501">
        <f t="shared" si="7"/>
        <v>0</v>
      </c>
    </row>
    <row r="108" spans="1:14" s="468" customFormat="1">
      <c r="A108" s="500" t="s">
        <v>3233</v>
      </c>
      <c r="B108" s="499">
        <v>4</v>
      </c>
      <c r="D108" s="468" t="s">
        <v>3238</v>
      </c>
      <c r="E108" s="468">
        <v>1</v>
      </c>
      <c r="F108" s="468" t="s">
        <v>3087</v>
      </c>
      <c r="H108" s="488"/>
      <c r="I108" s="505">
        <f t="shared" si="7"/>
        <v>0</v>
      </c>
    </row>
    <row r="109" spans="1:14" s="468" customFormat="1">
      <c r="A109" s="500" t="s">
        <v>3233</v>
      </c>
      <c r="B109" s="499">
        <v>5</v>
      </c>
      <c r="D109" s="502" t="s">
        <v>3239</v>
      </c>
      <c r="E109" s="472">
        <v>1</v>
      </c>
      <c r="F109" s="468" t="s">
        <v>3087</v>
      </c>
      <c r="H109" s="488"/>
      <c r="I109" s="471">
        <f>E109*H109</f>
        <v>0</v>
      </c>
    </row>
    <row r="110" spans="1:14" s="468" customFormat="1" ht="42">
      <c r="A110" s="500" t="s">
        <v>3233</v>
      </c>
      <c r="B110" s="499">
        <v>6</v>
      </c>
      <c r="D110" s="502" t="s">
        <v>3240</v>
      </c>
      <c r="E110" s="472">
        <v>1</v>
      </c>
      <c r="F110" s="468" t="s">
        <v>3087</v>
      </c>
      <c r="G110" s="505"/>
      <c r="H110" s="488"/>
      <c r="I110" s="471">
        <f t="shared" si="7"/>
        <v>0</v>
      </c>
    </row>
    <row r="111" spans="1:14">
      <c r="D111" s="511" t="s">
        <v>3241</v>
      </c>
      <c r="I111" s="509">
        <f>SUM(I105:I110)</f>
        <v>0</v>
      </c>
    </row>
    <row r="113" spans="1:9" s="511" customFormat="1">
      <c r="A113" s="512"/>
      <c r="D113" s="511" t="s">
        <v>3242</v>
      </c>
      <c r="E113" s="512"/>
      <c r="G113" s="509"/>
      <c r="H113" s="509"/>
      <c r="I113" s="513">
        <f>I111+I102</f>
        <v>0</v>
      </c>
    </row>
  </sheetData>
  <mergeCells count="1">
    <mergeCell ref="A3:B3"/>
  </mergeCells>
  <pageMargins left="0.62992125984251968" right="0.5118110236220472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F5C5-40AF-42AB-BD45-2CADD05C54E7}">
  <dimension ref="A1:F113"/>
  <sheetViews>
    <sheetView topLeftCell="A76" zoomScaleNormal="100" workbookViewId="0">
      <selection activeCell="D128" sqref="D128"/>
    </sheetView>
  </sheetViews>
  <sheetFormatPr defaultColWidth="8.77734375" defaultRowHeight="11.5"/>
  <cols>
    <col min="1" max="1" width="71.44140625" style="515" customWidth="1"/>
    <col min="2" max="2" width="5.44140625" style="515" customWidth="1"/>
    <col min="3" max="3" width="8.33203125" style="515" customWidth="1"/>
    <col min="4" max="4" width="14.33203125" style="516" customWidth="1"/>
    <col min="5" max="5" width="15" style="516" customWidth="1"/>
    <col min="6" max="6" width="22.77734375" style="516" customWidth="1"/>
    <col min="7" max="9" width="8.77734375" style="515"/>
    <col min="10" max="10" width="9.77734375" style="515" bestFit="1" customWidth="1"/>
    <col min="11" max="16384" width="8.77734375" style="515"/>
  </cols>
  <sheetData>
    <row r="1" spans="1:6">
      <c r="A1" s="514" t="s">
        <v>3243</v>
      </c>
    </row>
    <row r="3" spans="1:6">
      <c r="A3" s="517" t="s">
        <v>3244</v>
      </c>
      <c r="B3" s="517"/>
    </row>
    <row r="4" spans="1:6">
      <c r="A4" s="517" t="s">
        <v>3245</v>
      </c>
      <c r="B4" s="517"/>
    </row>
    <row r="5" spans="1:6">
      <c r="A5" s="517" t="s">
        <v>3246</v>
      </c>
      <c r="B5" s="517"/>
    </row>
    <row r="6" spans="1:6">
      <c r="A6" s="517" t="s">
        <v>3247</v>
      </c>
      <c r="B6" s="517"/>
    </row>
    <row r="7" spans="1:6">
      <c r="A7" s="517" t="s">
        <v>3248</v>
      </c>
      <c r="B7" s="517"/>
    </row>
    <row r="9" spans="1:6">
      <c r="A9" s="518"/>
      <c r="B9" s="519"/>
      <c r="C9" s="519"/>
      <c r="D9" s="520" t="s">
        <v>3249</v>
      </c>
      <c r="E9" s="520" t="s">
        <v>3250</v>
      </c>
      <c r="F9" s="521" t="s">
        <v>3251</v>
      </c>
    </row>
    <row r="10" spans="1:6">
      <c r="A10" s="514" t="s">
        <v>80</v>
      </c>
    </row>
    <row r="11" spans="1:6">
      <c r="A11" s="522" t="s">
        <v>3252</v>
      </c>
      <c r="B11" s="523"/>
      <c r="C11" s="524"/>
      <c r="D11" s="525"/>
      <c r="E11" s="526"/>
      <c r="F11" s="527">
        <f>SUM(F12:F17)</f>
        <v>0</v>
      </c>
    </row>
    <row r="12" spans="1:6">
      <c r="A12" s="528" t="s">
        <v>3253</v>
      </c>
      <c r="C12" s="529" t="s">
        <v>2874</v>
      </c>
      <c r="D12" s="530">
        <v>19</v>
      </c>
      <c r="E12" s="531"/>
      <c r="F12" s="532">
        <f>D12*E12</f>
        <v>0</v>
      </c>
    </row>
    <row r="13" spans="1:6">
      <c r="A13" s="528" t="s">
        <v>3254</v>
      </c>
      <c r="C13" s="529" t="s">
        <v>2874</v>
      </c>
      <c r="D13" s="530">
        <v>9</v>
      </c>
      <c r="E13" s="531"/>
      <c r="F13" s="532">
        <f t="shared" ref="F13:F17" si="0">D13*E13</f>
        <v>0</v>
      </c>
    </row>
    <row r="14" spans="1:6">
      <c r="A14" s="528" t="s">
        <v>3255</v>
      </c>
      <c r="C14" s="529" t="s">
        <v>2874</v>
      </c>
      <c r="D14" s="530">
        <v>3</v>
      </c>
      <c r="E14" s="531"/>
      <c r="F14" s="532">
        <f t="shared" si="0"/>
        <v>0</v>
      </c>
    </row>
    <row r="15" spans="1:6">
      <c r="A15" s="528" t="s">
        <v>3256</v>
      </c>
      <c r="C15" s="529" t="s">
        <v>2874</v>
      </c>
      <c r="D15" s="530">
        <v>14</v>
      </c>
      <c r="E15" s="531"/>
      <c r="F15" s="532">
        <f t="shared" si="0"/>
        <v>0</v>
      </c>
    </row>
    <row r="16" spans="1:6">
      <c r="A16" s="528" t="s">
        <v>3257</v>
      </c>
      <c r="C16" s="529" t="s">
        <v>2874</v>
      </c>
      <c r="D16" s="530" t="s">
        <v>3258</v>
      </c>
      <c r="E16" s="531"/>
      <c r="F16" s="532">
        <f t="shared" si="0"/>
        <v>0</v>
      </c>
    </row>
    <row r="17" spans="1:6">
      <c r="A17" s="533" t="s">
        <v>3259</v>
      </c>
      <c r="B17" s="534"/>
      <c r="C17" s="535" t="s">
        <v>2874</v>
      </c>
      <c r="D17" s="536" t="s">
        <v>3260</v>
      </c>
      <c r="E17" s="537"/>
      <c r="F17" s="538">
        <f t="shared" si="0"/>
        <v>0</v>
      </c>
    </row>
    <row r="18" spans="1:6">
      <c r="D18" s="539"/>
      <c r="F18" s="531"/>
    </row>
    <row r="19" spans="1:6">
      <c r="A19" s="514" t="s">
        <v>82</v>
      </c>
      <c r="D19" s="539"/>
    </row>
    <row r="20" spans="1:6">
      <c r="A20" s="522" t="s">
        <v>3261</v>
      </c>
      <c r="B20" s="523"/>
      <c r="C20" s="524"/>
      <c r="D20" s="525"/>
      <c r="E20" s="526"/>
      <c r="F20" s="527">
        <f>SUM(F21:F25)</f>
        <v>0</v>
      </c>
    </row>
    <row r="21" spans="1:6" ht="13">
      <c r="A21" s="540" t="s">
        <v>3262</v>
      </c>
      <c r="B21" s="541" t="s">
        <v>258</v>
      </c>
      <c r="C21" s="529" t="s">
        <v>258</v>
      </c>
      <c r="D21" s="530">
        <v>70</v>
      </c>
      <c r="E21" s="531"/>
      <c r="F21" s="542">
        <f>D21*E21</f>
        <v>0</v>
      </c>
    </row>
    <row r="22" spans="1:6" ht="13">
      <c r="A22" s="543" t="s">
        <v>3263</v>
      </c>
      <c r="B22" s="541" t="s">
        <v>258</v>
      </c>
      <c r="C22" s="529" t="s">
        <v>258</v>
      </c>
      <c r="D22" s="530">
        <v>720</v>
      </c>
      <c r="E22" s="531"/>
      <c r="F22" s="542">
        <f t="shared" ref="F22:F25" si="1">D22*E22</f>
        <v>0</v>
      </c>
    </row>
    <row r="23" spans="1:6" ht="13">
      <c r="A23" s="543" t="s">
        <v>3264</v>
      </c>
      <c r="B23" s="541" t="s">
        <v>258</v>
      </c>
      <c r="C23" s="529" t="s">
        <v>258</v>
      </c>
      <c r="D23" s="530">
        <v>930</v>
      </c>
      <c r="E23" s="531"/>
      <c r="F23" s="542">
        <f t="shared" si="1"/>
        <v>0</v>
      </c>
    </row>
    <row r="24" spans="1:6" ht="13">
      <c r="A24" s="543" t="s">
        <v>3265</v>
      </c>
      <c r="B24" s="541" t="s">
        <v>258</v>
      </c>
      <c r="C24" s="529" t="s">
        <v>258</v>
      </c>
      <c r="D24" s="530">
        <v>90</v>
      </c>
      <c r="E24" s="531"/>
      <c r="F24" s="542">
        <f t="shared" si="1"/>
        <v>0</v>
      </c>
    </row>
    <row r="25" spans="1:6" ht="13">
      <c r="A25" s="544" t="s">
        <v>3266</v>
      </c>
      <c r="B25" s="545"/>
      <c r="C25" s="535" t="s">
        <v>258</v>
      </c>
      <c r="D25" s="536" t="s">
        <v>3267</v>
      </c>
      <c r="E25" s="537"/>
      <c r="F25" s="546">
        <f t="shared" si="1"/>
        <v>0</v>
      </c>
    </row>
    <row r="26" spans="1:6">
      <c r="A26" s="529"/>
      <c r="B26" s="541"/>
      <c r="C26" s="547"/>
      <c r="D26" s="530"/>
      <c r="E26" s="531"/>
    </row>
    <row r="27" spans="1:6">
      <c r="A27" s="514" t="s">
        <v>145</v>
      </c>
      <c r="B27" s="541"/>
      <c r="C27" s="547"/>
      <c r="D27" s="530"/>
      <c r="E27" s="531"/>
    </row>
    <row r="28" spans="1:6">
      <c r="A28" s="548" t="s">
        <v>3268</v>
      </c>
      <c r="B28" s="523"/>
      <c r="C28" s="549"/>
      <c r="D28" s="550"/>
      <c r="E28" s="551"/>
      <c r="F28" s="527">
        <f>SUM(F29:F52)</f>
        <v>0</v>
      </c>
    </row>
    <row r="29" spans="1:6">
      <c r="A29" s="540" t="s">
        <v>3269</v>
      </c>
      <c r="B29" s="552" t="s">
        <v>2874</v>
      </c>
      <c r="C29" s="529" t="s">
        <v>2874</v>
      </c>
      <c r="D29" s="530" t="s">
        <v>3270</v>
      </c>
      <c r="E29" s="531"/>
      <c r="F29" s="542">
        <f>D29*E29</f>
        <v>0</v>
      </c>
    </row>
    <row r="30" spans="1:6">
      <c r="A30" s="543" t="s">
        <v>3271</v>
      </c>
      <c r="C30" s="529" t="s">
        <v>2874</v>
      </c>
      <c r="D30" s="553">
        <v>5</v>
      </c>
      <c r="E30" s="531"/>
      <c r="F30" s="532">
        <f>D30*E30</f>
        <v>0</v>
      </c>
    </row>
    <row r="31" spans="1:6">
      <c r="A31" s="528" t="s">
        <v>3272</v>
      </c>
      <c r="C31" s="554" t="s">
        <v>2874</v>
      </c>
      <c r="D31" s="530" t="s">
        <v>3273</v>
      </c>
      <c r="E31" s="531"/>
      <c r="F31" s="532">
        <f t="shared" ref="F31:F50" si="2">D31*E31</f>
        <v>0</v>
      </c>
    </row>
    <row r="32" spans="1:6">
      <c r="A32" s="528" t="s">
        <v>3274</v>
      </c>
      <c r="C32" s="529" t="s">
        <v>2874</v>
      </c>
      <c r="D32" s="530" t="s">
        <v>3275</v>
      </c>
      <c r="E32" s="531"/>
      <c r="F32" s="532">
        <f t="shared" si="2"/>
        <v>0</v>
      </c>
    </row>
    <row r="33" spans="1:6">
      <c r="A33" s="528" t="s">
        <v>3276</v>
      </c>
      <c r="C33" s="529" t="s">
        <v>2874</v>
      </c>
      <c r="D33" s="530" t="s">
        <v>3277</v>
      </c>
      <c r="E33" s="531"/>
      <c r="F33" s="532">
        <f t="shared" si="2"/>
        <v>0</v>
      </c>
    </row>
    <row r="34" spans="1:6">
      <c r="A34" s="528" t="s">
        <v>3278</v>
      </c>
      <c r="C34" s="529" t="s">
        <v>2874</v>
      </c>
      <c r="D34" s="530" t="s">
        <v>3279</v>
      </c>
      <c r="E34" s="531"/>
      <c r="F34" s="532">
        <f t="shared" si="2"/>
        <v>0</v>
      </c>
    </row>
    <row r="35" spans="1:6">
      <c r="A35" s="528" t="s">
        <v>3280</v>
      </c>
      <c r="C35" s="529" t="s">
        <v>2874</v>
      </c>
      <c r="D35" s="530" t="s">
        <v>3281</v>
      </c>
      <c r="E35" s="531"/>
      <c r="F35" s="532">
        <f t="shared" si="2"/>
        <v>0</v>
      </c>
    </row>
    <row r="36" spans="1:6">
      <c r="A36" s="528" t="s">
        <v>3282</v>
      </c>
      <c r="C36" s="529" t="s">
        <v>2874</v>
      </c>
      <c r="D36" s="530" t="s">
        <v>3283</v>
      </c>
      <c r="E36" s="531"/>
      <c r="F36" s="532">
        <f t="shared" si="2"/>
        <v>0</v>
      </c>
    </row>
    <row r="37" spans="1:6">
      <c r="A37" s="528" t="s">
        <v>3284</v>
      </c>
      <c r="C37" s="529" t="s">
        <v>2874</v>
      </c>
      <c r="D37" s="530" t="s">
        <v>3285</v>
      </c>
      <c r="E37" s="531"/>
      <c r="F37" s="532">
        <f t="shared" si="2"/>
        <v>0</v>
      </c>
    </row>
    <row r="38" spans="1:6">
      <c r="A38" s="528" t="s">
        <v>3286</v>
      </c>
      <c r="C38" s="529" t="s">
        <v>2874</v>
      </c>
      <c r="D38" s="530" t="s">
        <v>3287</v>
      </c>
      <c r="E38" s="531"/>
      <c r="F38" s="532">
        <f t="shared" si="2"/>
        <v>0</v>
      </c>
    </row>
    <row r="39" spans="1:6">
      <c r="A39" s="528" t="s">
        <v>3288</v>
      </c>
      <c r="C39" s="529" t="s">
        <v>2874</v>
      </c>
      <c r="D39" s="530" t="s">
        <v>3275</v>
      </c>
      <c r="E39" s="531"/>
      <c r="F39" s="532">
        <f t="shared" si="2"/>
        <v>0</v>
      </c>
    </row>
    <row r="40" spans="1:6">
      <c r="A40" s="528" t="s">
        <v>3289</v>
      </c>
      <c r="C40" s="529" t="s">
        <v>2874</v>
      </c>
      <c r="D40" s="530" t="s">
        <v>3290</v>
      </c>
      <c r="E40" s="531"/>
      <c r="F40" s="532">
        <f t="shared" si="2"/>
        <v>0</v>
      </c>
    </row>
    <row r="41" spans="1:6">
      <c r="A41" s="528" t="s">
        <v>3291</v>
      </c>
      <c r="C41" s="515" t="s">
        <v>2874</v>
      </c>
      <c r="D41" s="530" t="s">
        <v>3292</v>
      </c>
      <c r="E41" s="531"/>
      <c r="F41" s="532">
        <f t="shared" si="2"/>
        <v>0</v>
      </c>
    </row>
    <row r="42" spans="1:6">
      <c r="A42" s="528" t="s">
        <v>3293</v>
      </c>
      <c r="C42" s="515" t="s">
        <v>2874</v>
      </c>
      <c r="D42" s="530" t="s">
        <v>3275</v>
      </c>
      <c r="E42" s="531"/>
      <c r="F42" s="532">
        <f t="shared" si="2"/>
        <v>0</v>
      </c>
    </row>
    <row r="43" spans="1:6">
      <c r="A43" s="528" t="s">
        <v>3294</v>
      </c>
      <c r="C43" s="515" t="s">
        <v>2874</v>
      </c>
      <c r="D43" s="530" t="s">
        <v>3295</v>
      </c>
      <c r="E43" s="531"/>
      <c r="F43" s="532">
        <f t="shared" si="2"/>
        <v>0</v>
      </c>
    </row>
    <row r="44" spans="1:6">
      <c r="A44" s="528" t="s">
        <v>3296</v>
      </c>
      <c r="C44" s="515" t="s">
        <v>2874</v>
      </c>
      <c r="D44" s="530" t="s">
        <v>3277</v>
      </c>
      <c r="E44" s="531"/>
      <c r="F44" s="532">
        <f t="shared" si="2"/>
        <v>0</v>
      </c>
    </row>
    <row r="45" spans="1:6">
      <c r="A45" s="528" t="s">
        <v>3297</v>
      </c>
      <c r="C45" s="515" t="s">
        <v>2874</v>
      </c>
      <c r="D45" s="530" t="s">
        <v>3298</v>
      </c>
      <c r="E45" s="531"/>
      <c r="F45" s="532">
        <f t="shared" si="2"/>
        <v>0</v>
      </c>
    </row>
    <row r="46" spans="1:6">
      <c r="A46" s="528" t="s">
        <v>3299</v>
      </c>
      <c r="C46" s="515" t="s">
        <v>2874</v>
      </c>
      <c r="D46" s="530" t="s">
        <v>3277</v>
      </c>
      <c r="E46" s="531"/>
      <c r="F46" s="532">
        <f t="shared" si="2"/>
        <v>0</v>
      </c>
    </row>
    <row r="47" spans="1:6">
      <c r="A47" s="528" t="s">
        <v>3300</v>
      </c>
      <c r="C47" s="515" t="s">
        <v>2874</v>
      </c>
      <c r="D47" s="530" t="s">
        <v>3295</v>
      </c>
      <c r="E47" s="531"/>
      <c r="F47" s="532">
        <f t="shared" si="2"/>
        <v>0</v>
      </c>
    </row>
    <row r="48" spans="1:6">
      <c r="A48" s="528" t="s">
        <v>3301</v>
      </c>
      <c r="C48" s="515" t="s">
        <v>2874</v>
      </c>
      <c r="D48" s="530" t="s">
        <v>3277</v>
      </c>
      <c r="E48" s="531"/>
      <c r="F48" s="532">
        <f t="shared" si="2"/>
        <v>0</v>
      </c>
    </row>
    <row r="49" spans="1:6">
      <c r="A49" s="528" t="s">
        <v>3302</v>
      </c>
      <c r="C49" s="515" t="s">
        <v>2874</v>
      </c>
      <c r="D49" s="530" t="s">
        <v>3281</v>
      </c>
      <c r="E49" s="531"/>
      <c r="F49" s="532">
        <f t="shared" si="2"/>
        <v>0</v>
      </c>
    </row>
    <row r="50" spans="1:6">
      <c r="A50" s="528" t="s">
        <v>3303</v>
      </c>
      <c r="C50" s="515" t="s">
        <v>2874</v>
      </c>
      <c r="D50" s="530" t="s">
        <v>3304</v>
      </c>
      <c r="E50" s="531"/>
      <c r="F50" s="532">
        <f t="shared" si="2"/>
        <v>0</v>
      </c>
    </row>
    <row r="51" spans="1:6">
      <c r="A51" s="528" t="s">
        <v>3305</v>
      </c>
      <c r="C51" s="515" t="s">
        <v>2874</v>
      </c>
      <c r="D51" s="530">
        <v>1</v>
      </c>
      <c r="E51" s="531"/>
      <c r="F51" s="532">
        <f>E51*D51</f>
        <v>0</v>
      </c>
    </row>
    <row r="52" spans="1:6">
      <c r="A52" s="533" t="s">
        <v>3306</v>
      </c>
      <c r="B52" s="534"/>
      <c r="C52" s="534" t="s">
        <v>2874</v>
      </c>
      <c r="D52" s="555">
        <v>1</v>
      </c>
      <c r="E52" s="537"/>
      <c r="F52" s="538">
        <f>E52*D52</f>
        <v>0</v>
      </c>
    </row>
    <row r="53" spans="1:6">
      <c r="D53" s="539"/>
    </row>
    <row r="54" spans="1:6">
      <c r="A54" s="556">
        <v>4</v>
      </c>
    </row>
    <row r="55" spans="1:6" ht="14.25" customHeight="1">
      <c r="A55" s="548" t="s">
        <v>3307</v>
      </c>
      <c r="B55" s="523"/>
      <c r="C55" s="557"/>
      <c r="D55" s="526"/>
      <c r="E55" s="526"/>
      <c r="F55" s="527">
        <f>F56</f>
        <v>0</v>
      </c>
    </row>
    <row r="56" spans="1:6">
      <c r="A56" s="544" t="s">
        <v>3308</v>
      </c>
      <c r="B56" s="558"/>
      <c r="C56" s="534" t="s">
        <v>3087</v>
      </c>
      <c r="D56" s="536">
        <v>1</v>
      </c>
      <c r="E56" s="537"/>
      <c r="F56" s="538">
        <f>D56*E56</f>
        <v>0</v>
      </c>
    </row>
    <row r="57" spans="1:6">
      <c r="A57" s="529"/>
      <c r="B57" s="559"/>
      <c r="C57" s="560"/>
      <c r="D57" s="530"/>
      <c r="E57" s="531"/>
    </row>
    <row r="58" spans="1:6">
      <c r="A58" s="556">
        <v>5</v>
      </c>
      <c r="B58" s="559"/>
      <c r="C58" s="560"/>
      <c r="D58" s="530"/>
      <c r="E58" s="531"/>
    </row>
    <row r="59" spans="1:6">
      <c r="A59" s="548" t="s">
        <v>3309</v>
      </c>
      <c r="B59" s="561"/>
      <c r="C59" s="562"/>
      <c r="D59" s="550"/>
      <c r="E59" s="551"/>
      <c r="F59" s="527">
        <f>SUM(F60:F64)</f>
        <v>0</v>
      </c>
    </row>
    <row r="60" spans="1:6">
      <c r="A60" s="543" t="s">
        <v>3310</v>
      </c>
      <c r="B60" s="559"/>
      <c r="C60" s="515" t="s">
        <v>2874</v>
      </c>
      <c r="D60" s="530">
        <v>3</v>
      </c>
      <c r="E60" s="531"/>
      <c r="F60" s="532">
        <f>E60*D60</f>
        <v>0</v>
      </c>
    </row>
    <row r="61" spans="1:6">
      <c r="A61" s="543" t="s">
        <v>3311</v>
      </c>
      <c r="B61" s="559"/>
      <c r="C61" s="515" t="s">
        <v>2874</v>
      </c>
      <c r="D61" s="530">
        <v>1</v>
      </c>
      <c r="E61" s="531"/>
      <c r="F61" s="532">
        <f t="shared" ref="F61:F64" si="3">E61*D61</f>
        <v>0</v>
      </c>
    </row>
    <row r="62" spans="1:6">
      <c r="A62" s="543" t="s">
        <v>3312</v>
      </c>
      <c r="B62" s="559"/>
      <c r="C62" s="515" t="s">
        <v>2874</v>
      </c>
      <c r="D62" s="530">
        <v>1</v>
      </c>
      <c r="E62" s="531"/>
      <c r="F62" s="532">
        <f t="shared" si="3"/>
        <v>0</v>
      </c>
    </row>
    <row r="63" spans="1:6">
      <c r="A63" s="543" t="s">
        <v>3313</v>
      </c>
      <c r="B63" s="559"/>
      <c r="C63" s="515" t="s">
        <v>2874</v>
      </c>
      <c r="D63" s="530">
        <v>1</v>
      </c>
      <c r="E63" s="531"/>
      <c r="F63" s="532">
        <f t="shared" si="3"/>
        <v>0</v>
      </c>
    </row>
    <row r="64" spans="1:6">
      <c r="A64" s="544" t="s">
        <v>3314</v>
      </c>
      <c r="B64" s="558"/>
      <c r="C64" s="534" t="s">
        <v>2874</v>
      </c>
      <c r="D64" s="536">
        <v>1</v>
      </c>
      <c r="E64" s="537"/>
      <c r="F64" s="538">
        <f t="shared" si="3"/>
        <v>0</v>
      </c>
    </row>
    <row r="65" spans="1:6">
      <c r="A65" s="529"/>
      <c r="B65" s="559"/>
      <c r="D65" s="530"/>
      <c r="E65" s="531"/>
    </row>
    <row r="66" spans="1:6">
      <c r="A66" s="556">
        <v>6</v>
      </c>
      <c r="B66" s="559"/>
      <c r="D66" s="530"/>
      <c r="E66" s="531"/>
    </row>
    <row r="67" spans="1:6">
      <c r="A67" s="548" t="s">
        <v>3315</v>
      </c>
      <c r="B67" s="561"/>
      <c r="C67" s="563"/>
      <c r="D67" s="550"/>
      <c r="E67" s="551"/>
      <c r="F67" s="527">
        <f>SUM(F69:F92)</f>
        <v>0</v>
      </c>
    </row>
    <row r="68" spans="1:6">
      <c r="A68" s="564" t="s">
        <v>3316</v>
      </c>
      <c r="C68" s="565"/>
      <c r="D68" s="566"/>
      <c r="E68" s="567"/>
      <c r="F68" s="532"/>
    </row>
    <row r="69" spans="1:6">
      <c r="A69" s="568" t="s">
        <v>3317</v>
      </c>
      <c r="B69" s="559"/>
      <c r="C69" s="569" t="s">
        <v>258</v>
      </c>
      <c r="D69" s="570">
        <v>700</v>
      </c>
      <c r="E69" s="531"/>
      <c r="F69" s="532">
        <f>E69*D69</f>
        <v>0</v>
      </c>
    </row>
    <row r="70" spans="1:6">
      <c r="A70" s="564" t="s">
        <v>3318</v>
      </c>
      <c r="C70" s="565"/>
      <c r="D70" s="566"/>
      <c r="E70" s="567"/>
      <c r="F70" s="532"/>
    </row>
    <row r="71" spans="1:6">
      <c r="A71" s="568" t="s">
        <v>3319</v>
      </c>
      <c r="B71" s="559"/>
      <c r="C71" s="569" t="s">
        <v>258</v>
      </c>
      <c r="D71" s="570">
        <v>175</v>
      </c>
      <c r="E71" s="531"/>
      <c r="F71" s="532">
        <f>E71*D71</f>
        <v>0</v>
      </c>
    </row>
    <row r="72" spans="1:6">
      <c r="A72" s="564" t="s">
        <v>3320</v>
      </c>
      <c r="C72" s="565"/>
      <c r="D72" s="566"/>
      <c r="E72" s="567"/>
      <c r="F72" s="532"/>
    </row>
    <row r="73" spans="1:6">
      <c r="A73" s="568" t="s">
        <v>3321</v>
      </c>
      <c r="C73" s="569" t="s">
        <v>2874</v>
      </c>
      <c r="D73" s="570">
        <v>8</v>
      </c>
      <c r="E73" s="531"/>
      <c r="F73" s="532">
        <f>E73*D73</f>
        <v>0</v>
      </c>
    </row>
    <row r="74" spans="1:6">
      <c r="A74" s="564" t="s">
        <v>3322</v>
      </c>
      <c r="C74" s="565"/>
      <c r="D74" s="566"/>
      <c r="E74" s="567"/>
      <c r="F74" s="532"/>
    </row>
    <row r="75" spans="1:6">
      <c r="A75" s="568" t="s">
        <v>3323</v>
      </c>
      <c r="C75" s="569" t="s">
        <v>2874</v>
      </c>
      <c r="D75" s="570">
        <v>14</v>
      </c>
      <c r="E75" s="531"/>
      <c r="F75" s="532">
        <f>E75*D75</f>
        <v>0</v>
      </c>
    </row>
    <row r="76" spans="1:6">
      <c r="A76" s="564" t="s">
        <v>3324</v>
      </c>
      <c r="C76" s="565"/>
      <c r="D76" s="566"/>
      <c r="E76" s="567"/>
      <c r="F76" s="532"/>
    </row>
    <row r="77" spans="1:6">
      <c r="A77" s="568" t="s">
        <v>3325</v>
      </c>
      <c r="C77" s="569" t="s">
        <v>2874</v>
      </c>
      <c r="D77" s="570">
        <v>118</v>
      </c>
      <c r="E77" s="531"/>
      <c r="F77" s="532">
        <f>E77*D77</f>
        <v>0</v>
      </c>
    </row>
    <row r="78" spans="1:6">
      <c r="A78" s="564" t="s">
        <v>3324</v>
      </c>
      <c r="C78" s="565"/>
      <c r="D78" s="566"/>
      <c r="E78" s="567"/>
      <c r="F78" s="532"/>
    </row>
    <row r="79" spans="1:6">
      <c r="A79" s="568" t="s">
        <v>3326</v>
      </c>
      <c r="C79" s="569" t="s">
        <v>2874</v>
      </c>
      <c r="D79" s="570">
        <v>110</v>
      </c>
      <c r="E79" s="531"/>
      <c r="F79" s="532">
        <f>E79*D79</f>
        <v>0</v>
      </c>
    </row>
    <row r="80" spans="1:6">
      <c r="A80" s="564" t="s">
        <v>3324</v>
      </c>
      <c r="C80" s="565"/>
      <c r="D80" s="566"/>
      <c r="E80" s="567"/>
      <c r="F80" s="532"/>
    </row>
    <row r="81" spans="1:6">
      <c r="A81" s="568" t="s">
        <v>3327</v>
      </c>
      <c r="C81" s="569" t="s">
        <v>2874</v>
      </c>
      <c r="D81" s="570">
        <v>30</v>
      </c>
      <c r="E81" s="531"/>
      <c r="F81" s="532">
        <f>E81*D81</f>
        <v>0</v>
      </c>
    </row>
    <row r="82" spans="1:6">
      <c r="A82" s="564" t="s">
        <v>3328</v>
      </c>
      <c r="C82" s="565"/>
      <c r="D82" s="566"/>
      <c r="E82" s="567"/>
      <c r="F82" s="532"/>
    </row>
    <row r="83" spans="1:6">
      <c r="A83" s="568" t="s">
        <v>3329</v>
      </c>
      <c r="C83" s="569" t="s">
        <v>2874</v>
      </c>
      <c r="D83" s="570">
        <v>4</v>
      </c>
      <c r="E83" s="531"/>
      <c r="F83" s="532">
        <f t="shared" ref="F83:F87" si="4">E83*D83</f>
        <v>0</v>
      </c>
    </row>
    <row r="84" spans="1:6">
      <c r="A84" s="568" t="s">
        <v>3330</v>
      </c>
      <c r="C84" s="569" t="s">
        <v>2874</v>
      </c>
      <c r="D84" s="570">
        <v>77</v>
      </c>
      <c r="E84" s="531"/>
      <c r="F84" s="532">
        <f t="shared" si="4"/>
        <v>0</v>
      </c>
    </row>
    <row r="85" spans="1:6">
      <c r="A85" s="568" t="s">
        <v>3331</v>
      </c>
      <c r="C85" s="569" t="s">
        <v>2874</v>
      </c>
      <c r="D85" s="570">
        <v>28</v>
      </c>
      <c r="E85" s="531"/>
      <c r="F85" s="532">
        <f t="shared" si="4"/>
        <v>0</v>
      </c>
    </row>
    <row r="86" spans="1:6">
      <c r="A86" s="568" t="s">
        <v>3332</v>
      </c>
      <c r="C86" s="569" t="s">
        <v>2874</v>
      </c>
      <c r="D86" s="570">
        <v>13</v>
      </c>
      <c r="E86" s="531"/>
      <c r="F86" s="532">
        <f t="shared" si="4"/>
        <v>0</v>
      </c>
    </row>
    <row r="87" spans="1:6">
      <c r="A87" s="568" t="s">
        <v>3333</v>
      </c>
      <c r="C87" s="569" t="s">
        <v>2874</v>
      </c>
      <c r="D87" s="570">
        <v>30</v>
      </c>
      <c r="E87" s="531"/>
      <c r="F87" s="532">
        <f t="shared" si="4"/>
        <v>0</v>
      </c>
    </row>
    <row r="88" spans="1:6">
      <c r="A88" s="564" t="s">
        <v>3334</v>
      </c>
      <c r="C88" s="565"/>
      <c r="D88" s="566"/>
      <c r="E88" s="567"/>
      <c r="F88" s="532"/>
    </row>
    <row r="89" spans="1:6">
      <c r="A89" s="568" t="s">
        <v>3335</v>
      </c>
      <c r="C89" s="569" t="s">
        <v>2874</v>
      </c>
      <c r="D89" s="570">
        <v>5</v>
      </c>
      <c r="E89" s="531"/>
      <c r="F89" s="532">
        <f>E89*D89</f>
        <v>0</v>
      </c>
    </row>
    <row r="90" spans="1:6">
      <c r="A90" s="564" t="s">
        <v>3336</v>
      </c>
      <c r="C90" s="565"/>
      <c r="D90" s="566"/>
      <c r="E90" s="567"/>
      <c r="F90" s="532"/>
    </row>
    <row r="91" spans="1:6">
      <c r="A91" s="568" t="s">
        <v>3337</v>
      </c>
      <c r="C91" s="569" t="s">
        <v>2874</v>
      </c>
      <c r="D91" s="570">
        <v>11</v>
      </c>
      <c r="E91" s="531"/>
      <c r="F91" s="532">
        <f>E91*D91</f>
        <v>0</v>
      </c>
    </row>
    <row r="92" spans="1:6">
      <c r="A92" s="571" t="s">
        <v>3338</v>
      </c>
      <c r="B92" s="534"/>
      <c r="C92" s="572" t="s">
        <v>2874</v>
      </c>
      <c r="D92" s="573">
        <v>22</v>
      </c>
      <c r="E92" s="537"/>
      <c r="F92" s="538">
        <f>E92*D92</f>
        <v>0</v>
      </c>
    </row>
    <row r="93" spans="1:6">
      <c r="A93" s="574"/>
      <c r="C93" s="574"/>
      <c r="D93" s="575"/>
      <c r="E93" s="576"/>
    </row>
    <row r="94" spans="1:6">
      <c r="A94" s="577" t="s">
        <v>3339</v>
      </c>
      <c r="B94" s="519"/>
      <c r="C94" s="578" t="s">
        <v>192</v>
      </c>
      <c r="D94" s="579">
        <v>1</v>
      </c>
      <c r="E94" s="580"/>
      <c r="F94" s="581">
        <f>E94*D94</f>
        <v>0</v>
      </c>
    </row>
    <row r="95" spans="1:6">
      <c r="A95" s="574"/>
      <c r="C95" s="574"/>
      <c r="D95" s="575"/>
      <c r="E95" s="576"/>
    </row>
    <row r="96" spans="1:6">
      <c r="A96" s="582" t="s">
        <v>3340</v>
      </c>
      <c r="B96" s="563"/>
      <c r="C96" s="583"/>
      <c r="D96" s="584"/>
      <c r="E96" s="526"/>
      <c r="F96" s="527">
        <f>SUM(F97:F102)</f>
        <v>0</v>
      </c>
    </row>
    <row r="97" spans="1:6">
      <c r="A97" s="585" t="s">
        <v>3341</v>
      </c>
      <c r="C97" s="574" t="s">
        <v>1014</v>
      </c>
      <c r="D97" s="576">
        <v>9</v>
      </c>
      <c r="E97" s="531"/>
      <c r="F97" s="532">
        <f>E97*D97</f>
        <v>0</v>
      </c>
    </row>
    <row r="98" spans="1:6">
      <c r="A98" s="564" t="s">
        <v>3342</v>
      </c>
      <c r="C98" s="565"/>
      <c r="D98" s="586"/>
      <c r="F98" s="532"/>
    </row>
    <row r="99" spans="1:6">
      <c r="A99" s="564" t="s">
        <v>3343</v>
      </c>
      <c r="C99" s="565"/>
      <c r="D99" s="586"/>
      <c r="F99" s="532"/>
    </row>
    <row r="100" spans="1:6">
      <c r="A100" s="585" t="s">
        <v>3344</v>
      </c>
      <c r="C100" s="574" t="s">
        <v>1014</v>
      </c>
      <c r="D100" s="576">
        <v>20</v>
      </c>
      <c r="E100" s="531"/>
      <c r="F100" s="532">
        <f t="shared" ref="F100:F102" si="5">E100*D100</f>
        <v>0</v>
      </c>
    </row>
    <row r="101" spans="1:6">
      <c r="A101" s="585" t="s">
        <v>3345</v>
      </c>
      <c r="C101" s="574" t="s">
        <v>1014</v>
      </c>
      <c r="D101" s="576">
        <v>5</v>
      </c>
      <c r="E101" s="531"/>
      <c r="F101" s="532">
        <f t="shared" si="5"/>
        <v>0</v>
      </c>
    </row>
    <row r="102" spans="1:6">
      <c r="A102" s="571" t="s">
        <v>3346</v>
      </c>
      <c r="B102" s="534"/>
      <c r="C102" s="572" t="s">
        <v>192</v>
      </c>
      <c r="D102" s="587">
        <v>1</v>
      </c>
      <c r="E102" s="537"/>
      <c r="F102" s="538">
        <f t="shared" si="5"/>
        <v>0</v>
      </c>
    </row>
    <row r="103" spans="1:6">
      <c r="A103" s="574"/>
      <c r="C103" s="574"/>
      <c r="D103" s="575"/>
      <c r="E103" s="576"/>
    </row>
    <row r="104" spans="1:6" ht="12" thickBot="1">
      <c r="A104" s="588" t="s">
        <v>3347</v>
      </c>
      <c r="B104" s="589"/>
      <c r="C104" s="589"/>
      <c r="D104" s="590"/>
      <c r="E104" s="590"/>
      <c r="F104" s="591">
        <f>F96+F94+F67+F59+F55+F28+F20+F11</f>
        <v>0</v>
      </c>
    </row>
    <row r="105" spans="1:6">
      <c r="A105" s="574"/>
      <c r="C105" s="574"/>
      <c r="D105" s="575"/>
      <c r="E105" s="576"/>
    </row>
    <row r="106" spans="1:6">
      <c r="A106" s="582" t="s">
        <v>3348</v>
      </c>
      <c r="B106" s="563"/>
      <c r="C106" s="592"/>
      <c r="D106" s="593"/>
      <c r="E106" s="594"/>
      <c r="F106" s="527">
        <f>SUM(F108:F111)</f>
        <v>0</v>
      </c>
    </row>
    <row r="107" spans="1:6">
      <c r="A107" s="564" t="s">
        <v>3349</v>
      </c>
      <c r="C107" s="565"/>
      <c r="D107" s="586"/>
      <c r="E107" s="567"/>
      <c r="F107" s="532"/>
    </row>
    <row r="108" spans="1:6">
      <c r="A108" s="568" t="s">
        <v>3350</v>
      </c>
      <c r="C108" s="569" t="s">
        <v>258</v>
      </c>
      <c r="D108" s="567">
        <v>150</v>
      </c>
      <c r="E108" s="531"/>
      <c r="F108" s="532">
        <f>E108*D108</f>
        <v>0</v>
      </c>
    </row>
    <row r="109" spans="1:6">
      <c r="A109" s="564" t="s">
        <v>3351</v>
      </c>
      <c r="C109" s="565"/>
      <c r="D109" s="586"/>
      <c r="E109" s="567"/>
      <c r="F109" s="532"/>
    </row>
    <row r="110" spans="1:6">
      <c r="A110" s="568" t="s">
        <v>3352</v>
      </c>
      <c r="C110" s="569" t="s">
        <v>258</v>
      </c>
      <c r="D110" s="567">
        <v>150</v>
      </c>
      <c r="E110" s="531"/>
      <c r="F110" s="532">
        <f>E110*D110</f>
        <v>0</v>
      </c>
    </row>
    <row r="111" spans="1:6">
      <c r="A111" s="533" t="s">
        <v>3353</v>
      </c>
      <c r="B111" s="534"/>
      <c r="C111" s="595" t="s">
        <v>133</v>
      </c>
      <c r="D111" s="596">
        <v>45</v>
      </c>
      <c r="E111" s="537"/>
      <c r="F111" s="538">
        <f>E111*D111</f>
        <v>0</v>
      </c>
    </row>
    <row r="112" spans="1:6" ht="12" thickBot="1">
      <c r="A112" s="574"/>
      <c r="C112" s="574"/>
      <c r="D112" s="575"/>
      <c r="E112" s="576"/>
    </row>
    <row r="113" spans="1:6" ht="23.25" customHeight="1" thickBot="1">
      <c r="A113" s="597" t="s">
        <v>3354</v>
      </c>
      <c r="B113" s="598"/>
      <c r="C113" s="598"/>
      <c r="D113" s="599"/>
      <c r="E113" s="599"/>
      <c r="F113" s="600">
        <f>F104+F106</f>
        <v>0</v>
      </c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2FAE0-8564-4157-8E9A-1DF27DB274EB}">
  <sheetPr>
    <pageSetUpPr fitToPage="1"/>
  </sheetPr>
  <dimension ref="A2:E128"/>
  <sheetViews>
    <sheetView topLeftCell="A96" zoomScaleNormal="100" workbookViewId="0">
      <selection activeCell="D128" sqref="D128"/>
    </sheetView>
  </sheetViews>
  <sheetFormatPr defaultColWidth="10.6640625" defaultRowHeight="12.75" customHeight="1"/>
  <cols>
    <col min="1" max="1" width="90.109375" style="608" customWidth="1"/>
    <col min="2" max="2" width="9.6640625" style="608" customWidth="1"/>
    <col min="3" max="3" width="7.6640625" style="608" customWidth="1"/>
    <col min="4" max="4" width="17" style="608" customWidth="1"/>
    <col min="5" max="5" width="25.77734375" style="608" customWidth="1"/>
    <col min="6" max="16384" width="10.6640625" style="608"/>
  </cols>
  <sheetData>
    <row r="2" spans="1:5" s="603" customFormat="1" ht="29.65" customHeight="1">
      <c r="A2" s="601" t="s">
        <v>2684</v>
      </c>
      <c r="B2" s="602"/>
      <c r="C2" s="602"/>
      <c r="D2" s="602"/>
      <c r="E2" s="602"/>
    </row>
    <row r="3" spans="1:5" s="603" customFormat="1" ht="11.15" customHeight="1"/>
    <row r="4" spans="1:5" s="603" customFormat="1" ht="83.65" customHeight="1">
      <c r="A4" s="604" t="s">
        <v>3355</v>
      </c>
      <c r="B4" s="605"/>
      <c r="C4" s="605"/>
      <c r="D4" s="605"/>
      <c r="E4" s="605"/>
    </row>
    <row r="5" spans="1:5" ht="48" customHeight="1">
      <c r="A5" s="606" t="s">
        <v>3356</v>
      </c>
      <c r="B5" s="607" t="s">
        <v>3357</v>
      </c>
      <c r="C5" s="607" t="s">
        <v>3358</v>
      </c>
      <c r="D5" s="607" t="s">
        <v>3359</v>
      </c>
      <c r="E5" s="607" t="s">
        <v>3360</v>
      </c>
    </row>
    <row r="6" spans="1:5" ht="12.75" customHeight="1">
      <c r="A6" s="609" t="s">
        <v>3361</v>
      </c>
      <c r="B6" s="607"/>
      <c r="C6" s="607"/>
      <c r="D6" s="607"/>
      <c r="E6" s="607"/>
    </row>
    <row r="7" spans="1:5" ht="12.75" customHeight="1">
      <c r="A7" s="610" t="s">
        <v>3362</v>
      </c>
      <c r="B7" s="610">
        <v>25</v>
      </c>
      <c r="C7" s="610" t="s">
        <v>3363</v>
      </c>
      <c r="D7" s="610"/>
      <c r="E7" s="610">
        <f>B7*D7</f>
        <v>0</v>
      </c>
    </row>
    <row r="8" spans="1:5" ht="12.75" customHeight="1">
      <c r="A8" s="610" t="s">
        <v>3364</v>
      </c>
      <c r="B8" s="610">
        <v>15</v>
      </c>
      <c r="C8" s="610" t="s">
        <v>414</v>
      </c>
      <c r="D8" s="610"/>
      <c r="E8" s="610">
        <f>B8*D8</f>
        <v>0</v>
      </c>
    </row>
    <row r="9" spans="1:5" ht="12.75" customHeight="1">
      <c r="A9" s="610" t="s">
        <v>3365</v>
      </c>
      <c r="B9" s="610">
        <v>22</v>
      </c>
      <c r="C9" s="610" t="s">
        <v>414</v>
      </c>
      <c r="D9" s="610"/>
      <c r="E9" s="610">
        <f t="shared" ref="E9:E24" si="0">B9*D9</f>
        <v>0</v>
      </c>
    </row>
    <row r="10" spans="1:5" ht="12.75" customHeight="1">
      <c r="A10" s="610" t="s">
        <v>3366</v>
      </c>
      <c r="B10" s="610">
        <v>100</v>
      </c>
      <c r="C10" s="610" t="s">
        <v>3363</v>
      </c>
      <c r="D10" s="610"/>
      <c r="E10" s="610">
        <f t="shared" si="0"/>
        <v>0</v>
      </c>
    </row>
    <row r="11" spans="1:5" ht="12.75" customHeight="1">
      <c r="A11" s="610" t="s">
        <v>3367</v>
      </c>
      <c r="B11" s="610">
        <v>1</v>
      </c>
      <c r="C11" s="610" t="s">
        <v>3368</v>
      </c>
      <c r="D11" s="610"/>
      <c r="E11" s="610">
        <f t="shared" si="0"/>
        <v>0</v>
      </c>
    </row>
    <row r="12" spans="1:5" ht="12.75" customHeight="1">
      <c r="A12" s="610" t="s">
        <v>3369</v>
      </c>
      <c r="B12" s="610">
        <v>1</v>
      </c>
      <c r="C12" s="610" t="s">
        <v>3368</v>
      </c>
      <c r="D12" s="610"/>
      <c r="E12" s="610">
        <f t="shared" si="0"/>
        <v>0</v>
      </c>
    </row>
    <row r="13" spans="1:5" ht="12.75" customHeight="1">
      <c r="A13" s="610" t="s">
        <v>3370</v>
      </c>
      <c r="B13" s="610">
        <v>1</v>
      </c>
      <c r="C13" s="610" t="s">
        <v>3368</v>
      </c>
      <c r="D13" s="610"/>
      <c r="E13" s="610">
        <f t="shared" si="0"/>
        <v>0</v>
      </c>
    </row>
    <row r="14" spans="1:5" ht="12.75" customHeight="1">
      <c r="A14" s="610" t="s">
        <v>3371</v>
      </c>
      <c r="B14" s="610">
        <v>22</v>
      </c>
      <c r="C14" s="610" t="s">
        <v>414</v>
      </c>
      <c r="D14" s="610"/>
      <c r="E14" s="610">
        <f t="shared" si="0"/>
        <v>0</v>
      </c>
    </row>
    <row r="15" spans="1:5" ht="12.75" customHeight="1">
      <c r="A15" s="610" t="s">
        <v>3372</v>
      </c>
      <c r="B15" s="610">
        <v>1</v>
      </c>
      <c r="C15" s="610" t="s">
        <v>3368</v>
      </c>
      <c r="D15" s="610"/>
      <c r="E15" s="610">
        <f t="shared" si="0"/>
        <v>0</v>
      </c>
    </row>
    <row r="16" spans="1:5" ht="12.75" customHeight="1">
      <c r="A16" s="610" t="s">
        <v>3373</v>
      </c>
      <c r="B16" s="610">
        <v>10</v>
      </c>
      <c r="C16" s="610" t="s">
        <v>3363</v>
      </c>
      <c r="D16" s="610"/>
      <c r="E16" s="610">
        <f t="shared" si="0"/>
        <v>0</v>
      </c>
    </row>
    <row r="17" spans="1:5" ht="12.75" customHeight="1">
      <c r="A17" s="610" t="s">
        <v>3374</v>
      </c>
      <c r="B17" s="610">
        <v>38</v>
      </c>
      <c r="C17" s="610" t="s">
        <v>3363</v>
      </c>
      <c r="D17" s="610"/>
      <c r="E17" s="610">
        <f t="shared" si="0"/>
        <v>0</v>
      </c>
    </row>
    <row r="18" spans="1:5" ht="12.75" customHeight="1">
      <c r="A18" s="610" t="s">
        <v>3375</v>
      </c>
      <c r="B18" s="610">
        <v>5</v>
      </c>
      <c r="C18" s="610" t="s">
        <v>3363</v>
      </c>
      <c r="D18" s="610"/>
      <c r="E18" s="610">
        <f t="shared" si="0"/>
        <v>0</v>
      </c>
    </row>
    <row r="19" spans="1:5" ht="12.75" customHeight="1">
      <c r="A19" s="610" t="s">
        <v>3376</v>
      </c>
      <c r="B19" s="610">
        <v>1</v>
      </c>
      <c r="C19" s="610" t="s">
        <v>3368</v>
      </c>
      <c r="D19" s="610"/>
      <c r="E19" s="610">
        <f t="shared" si="0"/>
        <v>0</v>
      </c>
    </row>
    <row r="20" spans="1:5" ht="12.75" customHeight="1">
      <c r="A20" s="610" t="s">
        <v>3377</v>
      </c>
      <c r="B20" s="610">
        <v>1</v>
      </c>
      <c r="C20" s="610" t="s">
        <v>3368</v>
      </c>
      <c r="D20" s="610"/>
      <c r="E20" s="610">
        <f t="shared" si="0"/>
        <v>0</v>
      </c>
    </row>
    <row r="21" spans="1:5" ht="12.75" customHeight="1">
      <c r="A21" s="610" t="s">
        <v>3378</v>
      </c>
      <c r="B21" s="610">
        <v>1</v>
      </c>
      <c r="C21" s="610" t="s">
        <v>3368</v>
      </c>
      <c r="D21" s="610"/>
      <c r="E21" s="610">
        <f t="shared" si="0"/>
        <v>0</v>
      </c>
    </row>
    <row r="22" spans="1:5" ht="12.75" customHeight="1">
      <c r="A22" s="610" t="s">
        <v>3379</v>
      </c>
      <c r="B22" s="610">
        <v>1</v>
      </c>
      <c r="C22" s="610" t="s">
        <v>3368</v>
      </c>
      <c r="D22" s="610"/>
      <c r="E22" s="610">
        <f t="shared" si="0"/>
        <v>0</v>
      </c>
    </row>
    <row r="23" spans="1:5" ht="12.75" customHeight="1">
      <c r="A23" s="610" t="s">
        <v>3380</v>
      </c>
      <c r="B23" s="610">
        <v>1</v>
      </c>
      <c r="C23" s="610" t="s">
        <v>3368</v>
      </c>
      <c r="D23" s="610"/>
      <c r="E23" s="610">
        <f t="shared" si="0"/>
        <v>0</v>
      </c>
    </row>
    <row r="24" spans="1:5" ht="12.75" customHeight="1">
      <c r="A24" s="610" t="s">
        <v>3381</v>
      </c>
      <c r="B24" s="610">
        <v>1</v>
      </c>
      <c r="C24" s="610" t="s">
        <v>3368</v>
      </c>
      <c r="D24" s="610"/>
      <c r="E24" s="610">
        <f t="shared" si="0"/>
        <v>0</v>
      </c>
    </row>
    <row r="25" spans="1:5" ht="48" customHeight="1">
      <c r="A25" s="606" t="s">
        <v>3382</v>
      </c>
      <c r="B25" s="607"/>
      <c r="C25" s="607"/>
      <c r="D25" s="607"/>
      <c r="E25" s="607"/>
    </row>
    <row r="26" spans="1:5" ht="12.75" customHeight="1">
      <c r="A26" s="609" t="s">
        <v>3361</v>
      </c>
      <c r="B26" s="607"/>
      <c r="C26" s="607"/>
      <c r="D26" s="607"/>
      <c r="E26" s="607"/>
    </row>
    <row r="27" spans="1:5" ht="12.75" customHeight="1">
      <c r="A27" s="610" t="s">
        <v>3383</v>
      </c>
      <c r="B27" s="610">
        <v>32</v>
      </c>
      <c r="C27" s="610" t="s">
        <v>3363</v>
      </c>
      <c r="D27" s="610"/>
      <c r="E27" s="610">
        <f t="shared" ref="E27:E54" si="1">B27*D27</f>
        <v>0</v>
      </c>
    </row>
    <row r="28" spans="1:5" ht="12.75" customHeight="1">
      <c r="A28" s="610" t="s">
        <v>3384</v>
      </c>
      <c r="B28" s="610">
        <v>41</v>
      </c>
      <c r="C28" s="610" t="s">
        <v>3363</v>
      </c>
      <c r="D28" s="610"/>
      <c r="E28" s="610">
        <f t="shared" si="1"/>
        <v>0</v>
      </c>
    </row>
    <row r="29" spans="1:5" ht="12.75" customHeight="1">
      <c r="A29" s="610" t="s">
        <v>3385</v>
      </c>
      <c r="B29" s="610">
        <v>1</v>
      </c>
      <c r="C29" s="610" t="s">
        <v>3363</v>
      </c>
      <c r="D29" s="610"/>
      <c r="E29" s="610">
        <f t="shared" si="1"/>
        <v>0</v>
      </c>
    </row>
    <row r="30" spans="1:5" ht="12.75" customHeight="1">
      <c r="A30" s="610" t="s">
        <v>3386</v>
      </c>
      <c r="B30" s="610">
        <v>85</v>
      </c>
      <c r="C30" s="610" t="s">
        <v>414</v>
      </c>
      <c r="D30" s="610"/>
      <c r="E30" s="610">
        <f t="shared" si="1"/>
        <v>0</v>
      </c>
    </row>
    <row r="31" spans="1:5" ht="12.75" customHeight="1">
      <c r="A31" s="610" t="s">
        <v>3386</v>
      </c>
      <c r="B31" s="610">
        <v>45</v>
      </c>
      <c r="C31" s="610" t="s">
        <v>414</v>
      </c>
      <c r="D31" s="610"/>
      <c r="E31" s="610">
        <f t="shared" si="1"/>
        <v>0</v>
      </c>
    </row>
    <row r="32" spans="1:5" ht="12.75" customHeight="1">
      <c r="A32" s="610" t="s">
        <v>3386</v>
      </c>
      <c r="B32" s="610">
        <v>20</v>
      </c>
      <c r="C32" s="610" t="s">
        <v>414</v>
      </c>
      <c r="D32" s="610"/>
      <c r="E32" s="610">
        <f t="shared" si="1"/>
        <v>0</v>
      </c>
    </row>
    <row r="33" spans="1:5" ht="12.75" customHeight="1">
      <c r="A33" s="610" t="s">
        <v>3387</v>
      </c>
      <c r="B33" s="610">
        <v>4</v>
      </c>
      <c r="C33" s="610" t="s">
        <v>3363</v>
      </c>
      <c r="D33" s="610"/>
      <c r="E33" s="610">
        <f t="shared" si="1"/>
        <v>0</v>
      </c>
    </row>
    <row r="34" spans="1:5" ht="12.75" customHeight="1">
      <c r="A34" s="610" t="s">
        <v>3388</v>
      </c>
      <c r="B34" s="610">
        <v>5</v>
      </c>
      <c r="C34" s="610" t="s">
        <v>3363</v>
      </c>
      <c r="D34" s="610"/>
      <c r="E34" s="610">
        <f t="shared" si="1"/>
        <v>0</v>
      </c>
    </row>
    <row r="35" spans="1:5" ht="12.75" customHeight="1">
      <c r="A35" s="610" t="s">
        <v>3389</v>
      </c>
      <c r="B35" s="610">
        <v>2700</v>
      </c>
      <c r="C35" s="610" t="s">
        <v>414</v>
      </c>
      <c r="D35" s="610"/>
      <c r="E35" s="610">
        <f t="shared" si="1"/>
        <v>0</v>
      </c>
    </row>
    <row r="36" spans="1:5" ht="12.75" customHeight="1">
      <c r="A36" s="610" t="s">
        <v>3390</v>
      </c>
      <c r="B36" s="610">
        <v>25</v>
      </c>
      <c r="C36" s="610" t="s">
        <v>414</v>
      </c>
      <c r="D36" s="610"/>
      <c r="E36" s="610">
        <f t="shared" si="1"/>
        <v>0</v>
      </c>
    </row>
    <row r="37" spans="1:5" ht="12.75" customHeight="1">
      <c r="A37" s="610" t="s">
        <v>3391</v>
      </c>
      <c r="B37" s="610">
        <v>25</v>
      </c>
      <c r="C37" s="610" t="s">
        <v>3363</v>
      </c>
      <c r="D37" s="610"/>
      <c r="E37" s="610">
        <f t="shared" si="1"/>
        <v>0</v>
      </c>
    </row>
    <row r="38" spans="1:5" ht="12.75" customHeight="1">
      <c r="A38" s="610" t="s">
        <v>3392</v>
      </c>
      <c r="B38" s="610">
        <v>5</v>
      </c>
      <c r="C38" s="610" t="s">
        <v>3363</v>
      </c>
      <c r="D38" s="610"/>
      <c r="E38" s="610">
        <f t="shared" si="1"/>
        <v>0</v>
      </c>
    </row>
    <row r="39" spans="1:5" ht="12.75" customHeight="1">
      <c r="A39" s="610" t="s">
        <v>3393</v>
      </c>
      <c r="B39" s="610">
        <v>64</v>
      </c>
      <c r="C39" s="610" t="s">
        <v>3363</v>
      </c>
      <c r="D39" s="610"/>
      <c r="E39" s="610">
        <f t="shared" si="1"/>
        <v>0</v>
      </c>
    </row>
    <row r="40" spans="1:5" ht="12.75" customHeight="1">
      <c r="A40" s="610" t="s">
        <v>3367</v>
      </c>
      <c r="B40" s="610">
        <v>1</v>
      </c>
      <c r="C40" s="610" t="s">
        <v>3368</v>
      </c>
      <c r="D40" s="610"/>
      <c r="E40" s="610">
        <f t="shared" si="1"/>
        <v>0</v>
      </c>
    </row>
    <row r="41" spans="1:5" ht="12.75" customHeight="1">
      <c r="A41" s="610" t="s">
        <v>3394</v>
      </c>
      <c r="B41" s="610">
        <v>80</v>
      </c>
      <c r="C41" s="610" t="s">
        <v>3363</v>
      </c>
      <c r="D41" s="610"/>
      <c r="E41" s="610">
        <f t="shared" si="1"/>
        <v>0</v>
      </c>
    </row>
    <row r="42" spans="1:5" ht="12.75" customHeight="1">
      <c r="A42" s="610" t="s">
        <v>3395</v>
      </c>
      <c r="B42" s="610">
        <v>1</v>
      </c>
      <c r="C42" s="610" t="s">
        <v>3363</v>
      </c>
      <c r="D42" s="610"/>
      <c r="E42" s="610">
        <f t="shared" si="1"/>
        <v>0</v>
      </c>
    </row>
    <row r="43" spans="1:5" ht="12.75" customHeight="1">
      <c r="A43" s="610" t="s">
        <v>3396</v>
      </c>
      <c r="B43" s="610">
        <v>5</v>
      </c>
      <c r="C43" s="610" t="s">
        <v>3363</v>
      </c>
      <c r="D43" s="610"/>
      <c r="E43" s="610">
        <f t="shared" si="1"/>
        <v>0</v>
      </c>
    </row>
    <row r="44" spans="1:5" ht="12.75" customHeight="1">
      <c r="A44" s="610" t="s">
        <v>3397</v>
      </c>
      <c r="B44" s="610">
        <v>41</v>
      </c>
      <c r="C44" s="610" t="s">
        <v>3363</v>
      </c>
      <c r="D44" s="610"/>
      <c r="E44" s="610">
        <f t="shared" si="1"/>
        <v>0</v>
      </c>
    </row>
    <row r="45" spans="1:5" ht="12.75" customHeight="1">
      <c r="A45" s="610" t="s">
        <v>3398</v>
      </c>
      <c r="B45" s="610">
        <v>3</v>
      </c>
      <c r="C45" s="610" t="s">
        <v>3363</v>
      </c>
      <c r="D45" s="610"/>
      <c r="E45" s="610">
        <f t="shared" si="1"/>
        <v>0</v>
      </c>
    </row>
    <row r="46" spans="1:5" ht="12.75" customHeight="1">
      <c r="A46" s="610" t="s">
        <v>3399</v>
      </c>
      <c r="B46" s="610">
        <v>4</v>
      </c>
      <c r="C46" s="610" t="s">
        <v>3363</v>
      </c>
      <c r="D46" s="610"/>
      <c r="E46" s="610">
        <f t="shared" si="1"/>
        <v>0</v>
      </c>
    </row>
    <row r="47" spans="1:5" ht="12.75" customHeight="1">
      <c r="A47" s="610" t="s">
        <v>3400</v>
      </c>
      <c r="B47" s="610">
        <v>2</v>
      </c>
      <c r="C47" s="610" t="s">
        <v>3363</v>
      </c>
      <c r="D47" s="610"/>
      <c r="E47" s="610">
        <f t="shared" si="1"/>
        <v>0</v>
      </c>
    </row>
    <row r="48" spans="1:5" ht="12.75" customHeight="1">
      <c r="A48" s="610" t="s">
        <v>3401</v>
      </c>
      <c r="B48" s="610">
        <v>5</v>
      </c>
      <c r="C48" s="610" t="s">
        <v>3363</v>
      </c>
      <c r="D48" s="610"/>
      <c r="E48" s="610">
        <f t="shared" si="1"/>
        <v>0</v>
      </c>
    </row>
    <row r="49" spans="1:5" ht="12.75" customHeight="1">
      <c r="A49" s="610" t="s">
        <v>3402</v>
      </c>
      <c r="B49" s="610">
        <v>1</v>
      </c>
      <c r="C49" s="610" t="s">
        <v>3363</v>
      </c>
      <c r="D49" s="610"/>
      <c r="E49" s="610">
        <f t="shared" si="1"/>
        <v>0</v>
      </c>
    </row>
    <row r="50" spans="1:5" ht="12.75" customHeight="1">
      <c r="A50" s="610" t="s">
        <v>3403</v>
      </c>
      <c r="B50" s="610">
        <v>1</v>
      </c>
      <c r="C50" s="610" t="s">
        <v>3368</v>
      </c>
      <c r="D50" s="610"/>
      <c r="E50" s="610">
        <f t="shared" si="1"/>
        <v>0</v>
      </c>
    </row>
    <row r="51" spans="1:5" ht="12.75" customHeight="1">
      <c r="A51" s="610" t="s">
        <v>3404</v>
      </c>
      <c r="B51" s="610">
        <v>1</v>
      </c>
      <c r="C51" s="610" t="s">
        <v>3368</v>
      </c>
      <c r="D51" s="610"/>
      <c r="E51" s="610">
        <f t="shared" si="1"/>
        <v>0</v>
      </c>
    </row>
    <row r="52" spans="1:5" ht="12.75" customHeight="1">
      <c r="A52" s="610" t="s">
        <v>3405</v>
      </c>
      <c r="B52" s="610">
        <v>1</v>
      </c>
      <c r="C52" s="610" t="s">
        <v>3368</v>
      </c>
      <c r="D52" s="610"/>
      <c r="E52" s="610">
        <f t="shared" si="1"/>
        <v>0</v>
      </c>
    </row>
    <row r="53" spans="1:5" ht="12.75" customHeight="1">
      <c r="A53" s="610" t="s">
        <v>3406</v>
      </c>
      <c r="B53" s="610">
        <v>1</v>
      </c>
      <c r="C53" s="610" t="s">
        <v>3368</v>
      </c>
      <c r="D53" s="610"/>
      <c r="E53" s="610">
        <f t="shared" si="1"/>
        <v>0</v>
      </c>
    </row>
    <row r="54" spans="1:5" ht="12.75" customHeight="1">
      <c r="A54" s="610" t="s">
        <v>3407</v>
      </c>
      <c r="B54" s="610">
        <v>1</v>
      </c>
      <c r="C54" s="610" t="s">
        <v>3368</v>
      </c>
      <c r="D54" s="610"/>
      <c r="E54" s="610">
        <f t="shared" si="1"/>
        <v>0</v>
      </c>
    </row>
    <row r="55" spans="1:5" ht="48" customHeight="1">
      <c r="A55" s="606" t="s">
        <v>3408</v>
      </c>
      <c r="B55" s="607"/>
      <c r="C55" s="607"/>
      <c r="D55" s="607"/>
      <c r="E55" s="607"/>
    </row>
    <row r="56" spans="1:5" ht="12.75" customHeight="1">
      <c r="A56" s="609" t="s">
        <v>3361</v>
      </c>
      <c r="B56" s="607"/>
      <c r="C56" s="607"/>
      <c r="D56" s="607"/>
      <c r="E56" s="607"/>
    </row>
    <row r="57" spans="1:5" ht="12.75" customHeight="1">
      <c r="A57" s="610" t="s">
        <v>3409</v>
      </c>
      <c r="B57" s="610">
        <v>6</v>
      </c>
      <c r="C57" s="610" t="s">
        <v>3363</v>
      </c>
      <c r="D57" s="610"/>
      <c r="E57" s="610">
        <f t="shared" ref="E57:E68" si="2">B57*D57</f>
        <v>0</v>
      </c>
    </row>
    <row r="58" spans="1:5" ht="12.75" customHeight="1">
      <c r="A58" s="610" t="s">
        <v>3410</v>
      </c>
      <c r="B58" s="610">
        <v>48</v>
      </c>
      <c r="C58" s="610" t="s">
        <v>3363</v>
      </c>
      <c r="D58" s="610"/>
      <c r="E58" s="610">
        <f t="shared" si="2"/>
        <v>0</v>
      </c>
    </row>
    <row r="59" spans="1:5" ht="12.75" customHeight="1">
      <c r="A59" s="610" t="s">
        <v>3411</v>
      </c>
      <c r="B59" s="610">
        <v>205</v>
      </c>
      <c r="C59" s="610" t="s">
        <v>414</v>
      </c>
      <c r="D59" s="610"/>
      <c r="E59" s="610">
        <f t="shared" si="2"/>
        <v>0</v>
      </c>
    </row>
    <row r="60" spans="1:5" ht="12.75" customHeight="1">
      <c r="A60" s="610" t="s">
        <v>3412</v>
      </c>
      <c r="B60" s="610">
        <v>175</v>
      </c>
      <c r="C60" s="610" t="s">
        <v>414</v>
      </c>
      <c r="D60" s="610"/>
      <c r="E60" s="610">
        <f t="shared" si="2"/>
        <v>0</v>
      </c>
    </row>
    <row r="61" spans="1:5" ht="12.75" customHeight="1">
      <c r="A61" s="610" t="s">
        <v>3413</v>
      </c>
      <c r="B61" s="610">
        <v>48</v>
      </c>
      <c r="C61" s="610" t="s">
        <v>3363</v>
      </c>
      <c r="D61" s="610"/>
      <c r="E61" s="610">
        <f t="shared" si="2"/>
        <v>0</v>
      </c>
    </row>
    <row r="62" spans="1:5" ht="12.75" customHeight="1">
      <c r="A62" s="610" t="s">
        <v>3414</v>
      </c>
      <c r="B62" s="610">
        <v>6</v>
      </c>
      <c r="C62" s="610" t="s">
        <v>3363</v>
      </c>
      <c r="D62" s="610"/>
      <c r="E62" s="610">
        <f t="shared" si="2"/>
        <v>0</v>
      </c>
    </row>
    <row r="63" spans="1:5" ht="12.75" customHeight="1">
      <c r="A63" s="610" t="s">
        <v>3415</v>
      </c>
      <c r="B63" s="610">
        <v>48</v>
      </c>
      <c r="C63" s="610" t="s">
        <v>3363</v>
      </c>
      <c r="D63" s="610"/>
      <c r="E63" s="610">
        <f t="shared" si="2"/>
        <v>0</v>
      </c>
    </row>
    <row r="64" spans="1:5" ht="12.75" customHeight="1">
      <c r="A64" s="610" t="s">
        <v>3416</v>
      </c>
      <c r="B64" s="610">
        <v>6</v>
      </c>
      <c r="C64" s="610" t="s">
        <v>3363</v>
      </c>
      <c r="D64" s="610"/>
      <c r="E64" s="610">
        <f t="shared" si="2"/>
        <v>0</v>
      </c>
    </row>
    <row r="65" spans="1:5" ht="12.75" customHeight="1">
      <c r="A65" s="610" t="s">
        <v>3417</v>
      </c>
      <c r="B65" s="610">
        <v>1</v>
      </c>
      <c r="C65" s="610" t="s">
        <v>3368</v>
      </c>
      <c r="D65" s="610"/>
      <c r="E65" s="610">
        <f t="shared" si="2"/>
        <v>0</v>
      </c>
    </row>
    <row r="66" spans="1:5" ht="12.75" customHeight="1">
      <c r="A66" s="610" t="s">
        <v>3418</v>
      </c>
      <c r="B66" s="610">
        <v>1</v>
      </c>
      <c r="C66" s="610" t="s">
        <v>3368</v>
      </c>
      <c r="D66" s="610"/>
      <c r="E66" s="610">
        <f t="shared" si="2"/>
        <v>0</v>
      </c>
    </row>
    <row r="67" spans="1:5" ht="12.75" customHeight="1">
      <c r="A67" s="610" t="s">
        <v>3419</v>
      </c>
      <c r="B67" s="610">
        <v>1</v>
      </c>
      <c r="C67" s="610" t="s">
        <v>3368</v>
      </c>
      <c r="D67" s="610"/>
      <c r="E67" s="610">
        <f t="shared" si="2"/>
        <v>0</v>
      </c>
    </row>
    <row r="68" spans="1:5" ht="12.75" customHeight="1">
      <c r="A68" s="610" t="s">
        <v>3420</v>
      </c>
      <c r="B68" s="610">
        <v>1</v>
      </c>
      <c r="C68" s="610" t="s">
        <v>3368</v>
      </c>
      <c r="D68" s="610"/>
      <c r="E68" s="610">
        <f t="shared" si="2"/>
        <v>0</v>
      </c>
    </row>
    <row r="69" spans="1:5" ht="48" customHeight="1">
      <c r="A69" s="606" t="s">
        <v>3421</v>
      </c>
      <c r="B69" s="607"/>
      <c r="C69" s="607"/>
      <c r="D69" s="607"/>
      <c r="E69" s="607"/>
    </row>
    <row r="70" spans="1:5" ht="12.75" customHeight="1">
      <c r="A70" s="609" t="s">
        <v>3361</v>
      </c>
      <c r="B70" s="607"/>
      <c r="C70" s="607"/>
      <c r="D70" s="607"/>
      <c r="E70" s="607"/>
    </row>
    <row r="71" spans="1:5" ht="12.75" customHeight="1">
      <c r="A71" s="610" t="s">
        <v>3422</v>
      </c>
      <c r="B71" s="610">
        <v>60</v>
      </c>
      <c r="C71" s="610" t="s">
        <v>414</v>
      </c>
      <c r="D71" s="610"/>
      <c r="E71" s="610">
        <f t="shared" ref="E71:E75" si="3">B71*D71</f>
        <v>0</v>
      </c>
    </row>
    <row r="72" spans="1:5" ht="12.75" customHeight="1">
      <c r="A72" s="610" t="s">
        <v>3423</v>
      </c>
      <c r="B72" s="610">
        <v>8</v>
      </c>
      <c r="C72" s="610" t="s">
        <v>3363</v>
      </c>
      <c r="D72" s="610"/>
      <c r="E72" s="610">
        <f t="shared" si="3"/>
        <v>0</v>
      </c>
    </row>
    <row r="73" spans="1:5" ht="12.75" customHeight="1">
      <c r="A73" s="610" t="s">
        <v>3424</v>
      </c>
      <c r="B73" s="610">
        <v>8</v>
      </c>
      <c r="C73" s="610" t="s">
        <v>3363</v>
      </c>
      <c r="D73" s="610"/>
      <c r="E73" s="610">
        <f t="shared" si="3"/>
        <v>0</v>
      </c>
    </row>
    <row r="74" spans="1:5" ht="12.75" customHeight="1">
      <c r="A74" s="610" t="s">
        <v>3425</v>
      </c>
      <c r="B74" s="610">
        <v>1</v>
      </c>
      <c r="C74" s="610" t="s">
        <v>3368</v>
      </c>
      <c r="D74" s="610"/>
      <c r="E74" s="610">
        <f t="shared" si="3"/>
        <v>0</v>
      </c>
    </row>
    <row r="75" spans="1:5" ht="12.75" customHeight="1">
      <c r="A75" s="610" t="s">
        <v>3405</v>
      </c>
      <c r="B75" s="610">
        <v>1</v>
      </c>
      <c r="C75" s="610" t="s">
        <v>3368</v>
      </c>
      <c r="D75" s="610"/>
      <c r="E75" s="610">
        <f t="shared" si="3"/>
        <v>0</v>
      </c>
    </row>
    <row r="76" spans="1:5" ht="48" customHeight="1">
      <c r="A76" s="606" t="s">
        <v>3426</v>
      </c>
      <c r="B76" s="607"/>
      <c r="C76" s="607"/>
      <c r="D76" s="607"/>
      <c r="E76" s="607"/>
    </row>
    <row r="77" spans="1:5" ht="12.75" customHeight="1">
      <c r="A77" s="609" t="s">
        <v>3361</v>
      </c>
      <c r="B77" s="607"/>
      <c r="C77" s="607"/>
      <c r="D77" s="607"/>
      <c r="E77" s="607"/>
    </row>
    <row r="78" spans="1:5" ht="12.75" customHeight="1">
      <c r="A78" s="610" t="s">
        <v>3427</v>
      </c>
      <c r="B78" s="610">
        <v>7</v>
      </c>
      <c r="C78" s="610" t="s">
        <v>3363</v>
      </c>
      <c r="D78" s="610"/>
      <c r="E78" s="610">
        <f t="shared" ref="E78:E83" si="4">B78*D78</f>
        <v>0</v>
      </c>
    </row>
    <row r="79" spans="1:5" ht="12.75" customHeight="1">
      <c r="A79" s="610" t="s">
        <v>3422</v>
      </c>
      <c r="B79" s="610">
        <v>180</v>
      </c>
      <c r="C79" s="610" t="s">
        <v>414</v>
      </c>
      <c r="D79" s="610"/>
      <c r="E79" s="610">
        <f t="shared" si="4"/>
        <v>0</v>
      </c>
    </row>
    <row r="80" spans="1:5" ht="12.75" customHeight="1">
      <c r="A80" s="610" t="s">
        <v>3391</v>
      </c>
      <c r="B80" s="610">
        <v>2</v>
      </c>
      <c r="C80" s="610" t="s">
        <v>3363</v>
      </c>
      <c r="D80" s="610"/>
      <c r="E80" s="610">
        <f t="shared" si="4"/>
        <v>0</v>
      </c>
    </row>
    <row r="81" spans="1:5" ht="12.75" customHeight="1">
      <c r="A81" s="610" t="s">
        <v>3367</v>
      </c>
      <c r="B81" s="610">
        <v>1</v>
      </c>
      <c r="C81" s="610" t="s">
        <v>3368</v>
      </c>
      <c r="D81" s="610"/>
      <c r="E81" s="610">
        <f t="shared" si="4"/>
        <v>0</v>
      </c>
    </row>
    <row r="82" spans="1:5" ht="12.75" customHeight="1">
      <c r="A82" s="610" t="s">
        <v>3428</v>
      </c>
      <c r="B82" s="610">
        <v>1</v>
      </c>
      <c r="C82" s="610" t="s">
        <v>3368</v>
      </c>
      <c r="D82" s="610"/>
      <c r="E82" s="610">
        <f t="shared" si="4"/>
        <v>0</v>
      </c>
    </row>
    <row r="83" spans="1:5" ht="12.75" customHeight="1">
      <c r="A83" s="610" t="s">
        <v>3429</v>
      </c>
      <c r="B83" s="610">
        <v>1</v>
      </c>
      <c r="C83" s="610" t="s">
        <v>3368</v>
      </c>
      <c r="D83" s="610"/>
      <c r="E83" s="610">
        <f t="shared" si="4"/>
        <v>0</v>
      </c>
    </row>
    <row r="84" spans="1:5" ht="48" customHeight="1">
      <c r="A84" s="606" t="s">
        <v>3430</v>
      </c>
      <c r="B84" s="607"/>
      <c r="C84" s="607"/>
      <c r="D84" s="607"/>
      <c r="E84" s="607"/>
    </row>
    <row r="85" spans="1:5" ht="12.75" customHeight="1">
      <c r="A85" s="609" t="s">
        <v>3361</v>
      </c>
      <c r="B85" s="607"/>
      <c r="C85" s="607"/>
      <c r="D85" s="607"/>
      <c r="E85" s="607"/>
    </row>
    <row r="86" spans="1:5" ht="12.75" customHeight="1">
      <c r="A86" s="610" t="s">
        <v>3422</v>
      </c>
      <c r="B86" s="610">
        <v>95</v>
      </c>
      <c r="C86" s="610" t="s">
        <v>414</v>
      </c>
      <c r="D86" s="610"/>
      <c r="E86" s="610">
        <f t="shared" ref="E86:E90" si="5">B86*D86</f>
        <v>0</v>
      </c>
    </row>
    <row r="87" spans="1:5" ht="12.75" customHeight="1">
      <c r="A87" s="610" t="s">
        <v>3367</v>
      </c>
      <c r="B87" s="610">
        <v>1</v>
      </c>
      <c r="C87" s="610" t="s">
        <v>3368</v>
      </c>
      <c r="D87" s="610"/>
      <c r="E87" s="610">
        <f t="shared" si="5"/>
        <v>0</v>
      </c>
    </row>
    <row r="88" spans="1:5" ht="12.75" customHeight="1">
      <c r="A88" s="610" t="s">
        <v>3431</v>
      </c>
      <c r="B88" s="610">
        <v>1</v>
      </c>
      <c r="C88" s="610" t="s">
        <v>3363</v>
      </c>
      <c r="D88" s="610"/>
      <c r="E88" s="610">
        <f t="shared" si="5"/>
        <v>0</v>
      </c>
    </row>
    <row r="89" spans="1:5" ht="12.75" customHeight="1">
      <c r="A89" s="610" t="s">
        <v>3432</v>
      </c>
      <c r="B89" s="610">
        <v>1</v>
      </c>
      <c r="C89" s="610" t="s">
        <v>3368</v>
      </c>
      <c r="D89" s="610"/>
      <c r="E89" s="610">
        <f t="shared" si="5"/>
        <v>0</v>
      </c>
    </row>
    <row r="90" spans="1:5" ht="12.75" customHeight="1">
      <c r="A90" s="610" t="s">
        <v>3429</v>
      </c>
      <c r="B90" s="610">
        <v>1</v>
      </c>
      <c r="C90" s="610" t="s">
        <v>3368</v>
      </c>
      <c r="D90" s="610"/>
      <c r="E90" s="610">
        <f t="shared" si="5"/>
        <v>0</v>
      </c>
    </row>
    <row r="91" spans="1:5" ht="48" customHeight="1">
      <c r="A91" s="606" t="s">
        <v>3433</v>
      </c>
      <c r="B91" s="607"/>
      <c r="C91" s="607"/>
      <c r="D91" s="607"/>
      <c r="E91" s="607"/>
    </row>
    <row r="92" spans="1:5" ht="12.75" customHeight="1">
      <c r="A92" s="609" t="s">
        <v>3361</v>
      </c>
      <c r="B92" s="607"/>
      <c r="C92" s="607"/>
      <c r="D92" s="607"/>
      <c r="E92" s="607"/>
    </row>
    <row r="93" spans="1:5" ht="12.75" customHeight="1">
      <c r="A93" s="610" t="s">
        <v>3434</v>
      </c>
      <c r="B93" s="610">
        <v>1</v>
      </c>
      <c r="C93" s="610" t="s">
        <v>3363</v>
      </c>
      <c r="D93" s="610"/>
      <c r="E93" s="610">
        <f t="shared" ref="E93:E103" si="6">B93*D93</f>
        <v>0</v>
      </c>
    </row>
    <row r="94" spans="1:5" ht="12.75" customHeight="1">
      <c r="A94" s="610" t="s">
        <v>3435</v>
      </c>
      <c r="B94" s="610">
        <v>1</v>
      </c>
      <c r="C94" s="610" t="s">
        <v>3363</v>
      </c>
      <c r="D94" s="610"/>
      <c r="E94" s="610">
        <f t="shared" si="6"/>
        <v>0</v>
      </c>
    </row>
    <row r="95" spans="1:5" ht="12.75" customHeight="1">
      <c r="A95" s="610" t="s">
        <v>3436</v>
      </c>
      <c r="B95" s="610">
        <v>1</v>
      </c>
      <c r="C95" s="610" t="s">
        <v>3363</v>
      </c>
      <c r="D95" s="610"/>
      <c r="E95" s="610">
        <f t="shared" si="6"/>
        <v>0</v>
      </c>
    </row>
    <row r="96" spans="1:5" ht="12.75" customHeight="1">
      <c r="A96" s="610" t="s">
        <v>3437</v>
      </c>
      <c r="B96" s="610">
        <v>1</v>
      </c>
      <c r="C96" s="610" t="s">
        <v>3363</v>
      </c>
      <c r="D96" s="610"/>
      <c r="E96" s="610">
        <f t="shared" si="6"/>
        <v>0</v>
      </c>
    </row>
    <row r="97" spans="1:5" ht="12.75" customHeight="1">
      <c r="A97" s="610" t="s">
        <v>3438</v>
      </c>
      <c r="B97" s="610">
        <v>55</v>
      </c>
      <c r="C97" s="610" t="s">
        <v>414</v>
      </c>
      <c r="D97" s="610"/>
      <c r="E97" s="610">
        <f t="shared" si="6"/>
        <v>0</v>
      </c>
    </row>
    <row r="98" spans="1:5" ht="12.75" customHeight="1">
      <c r="A98" s="610" t="s">
        <v>3367</v>
      </c>
      <c r="B98" s="610">
        <v>1</v>
      </c>
      <c r="C98" s="610" t="s">
        <v>3368</v>
      </c>
      <c r="D98" s="610"/>
      <c r="E98" s="610">
        <f t="shared" si="6"/>
        <v>0</v>
      </c>
    </row>
    <row r="99" spans="1:5" ht="12.75" customHeight="1">
      <c r="A99" s="610" t="s">
        <v>3439</v>
      </c>
      <c r="B99" s="610">
        <v>1</v>
      </c>
      <c r="C99" s="610" t="s">
        <v>3363</v>
      </c>
      <c r="D99" s="610"/>
      <c r="E99" s="610">
        <f t="shared" si="6"/>
        <v>0</v>
      </c>
    </row>
    <row r="100" spans="1:5" ht="12.75" customHeight="1">
      <c r="A100" s="610" t="s">
        <v>3440</v>
      </c>
      <c r="B100" s="610">
        <v>1</v>
      </c>
      <c r="C100" s="610" t="s">
        <v>3363</v>
      </c>
      <c r="D100" s="610"/>
      <c r="E100" s="610">
        <f t="shared" si="6"/>
        <v>0</v>
      </c>
    </row>
    <row r="101" spans="1:5" ht="12.75" customHeight="1">
      <c r="A101" s="610" t="s">
        <v>3404</v>
      </c>
      <c r="B101" s="610">
        <v>1</v>
      </c>
      <c r="C101" s="610" t="s">
        <v>3368</v>
      </c>
      <c r="D101" s="610"/>
      <c r="E101" s="610">
        <f t="shared" si="6"/>
        <v>0</v>
      </c>
    </row>
    <row r="102" spans="1:5" ht="12.75" customHeight="1">
      <c r="A102" s="610" t="s">
        <v>3441</v>
      </c>
      <c r="B102" s="610">
        <v>1</v>
      </c>
      <c r="C102" s="610" t="s">
        <v>3368</v>
      </c>
      <c r="D102" s="610"/>
      <c r="E102" s="610">
        <f t="shared" si="6"/>
        <v>0</v>
      </c>
    </row>
    <row r="103" spans="1:5" ht="12.75" customHeight="1">
      <c r="A103" s="610" t="s">
        <v>3442</v>
      </c>
      <c r="B103" s="610">
        <v>1</v>
      </c>
      <c r="C103" s="610" t="s">
        <v>3368</v>
      </c>
      <c r="D103" s="610"/>
      <c r="E103" s="610">
        <f t="shared" si="6"/>
        <v>0</v>
      </c>
    </row>
    <row r="104" spans="1:5" ht="48" customHeight="1">
      <c r="A104" s="606" t="s">
        <v>3443</v>
      </c>
      <c r="B104" s="607"/>
      <c r="C104" s="607"/>
      <c r="D104" s="607"/>
      <c r="E104" s="607"/>
    </row>
    <row r="105" spans="1:5" ht="12.75" customHeight="1">
      <c r="A105" s="609" t="s">
        <v>3361</v>
      </c>
      <c r="B105" s="607"/>
      <c r="C105" s="607"/>
      <c r="D105" s="607"/>
      <c r="E105" s="607"/>
    </row>
    <row r="106" spans="1:5" ht="12.75" customHeight="1">
      <c r="A106" s="610" t="s">
        <v>3438</v>
      </c>
      <c r="B106" s="610">
        <v>75</v>
      </c>
      <c r="C106" s="610" t="s">
        <v>414</v>
      </c>
      <c r="D106" s="610"/>
      <c r="E106" s="610">
        <f t="shared" ref="E106:E109" si="7">B106*D106</f>
        <v>0</v>
      </c>
    </row>
    <row r="107" spans="1:5" ht="12.75" customHeight="1">
      <c r="A107" s="610" t="s">
        <v>3444</v>
      </c>
      <c r="B107" s="610">
        <v>1</v>
      </c>
      <c r="C107" s="610" t="s">
        <v>3363</v>
      </c>
      <c r="D107" s="610"/>
      <c r="E107" s="610">
        <f t="shared" si="7"/>
        <v>0</v>
      </c>
    </row>
    <row r="108" spans="1:5" ht="12.75" customHeight="1">
      <c r="A108" s="610" t="s">
        <v>3445</v>
      </c>
      <c r="B108" s="610">
        <v>1</v>
      </c>
      <c r="C108" s="610" t="s">
        <v>3368</v>
      </c>
      <c r="D108" s="610"/>
      <c r="E108" s="610">
        <f t="shared" si="7"/>
        <v>0</v>
      </c>
    </row>
    <row r="109" spans="1:5" ht="12.75" customHeight="1">
      <c r="A109" s="610" t="s">
        <v>3429</v>
      </c>
      <c r="B109" s="610">
        <v>1</v>
      </c>
      <c r="C109" s="610" t="s">
        <v>3368</v>
      </c>
      <c r="D109" s="610"/>
      <c r="E109" s="610">
        <f t="shared" si="7"/>
        <v>0</v>
      </c>
    </row>
    <row r="110" spans="1:5" ht="48" customHeight="1">
      <c r="A110" s="606" t="s">
        <v>3446</v>
      </c>
      <c r="B110" s="607"/>
      <c r="C110" s="607"/>
      <c r="D110" s="607"/>
      <c r="E110" s="607"/>
    </row>
    <row r="111" spans="1:5" ht="12.75" customHeight="1">
      <c r="A111" s="609" t="s">
        <v>3361</v>
      </c>
      <c r="B111" s="607"/>
      <c r="C111" s="607"/>
      <c r="D111" s="607"/>
      <c r="E111" s="607"/>
    </row>
    <row r="112" spans="1:5" ht="12.75" customHeight="1">
      <c r="A112" s="610" t="s">
        <v>3447</v>
      </c>
      <c r="B112" s="610">
        <v>60</v>
      </c>
      <c r="C112" s="610" t="s">
        <v>414</v>
      </c>
      <c r="D112" s="610"/>
      <c r="E112" s="610">
        <f t="shared" ref="E112:E116" si="8">B112*D112</f>
        <v>0</v>
      </c>
    </row>
    <row r="113" spans="1:5" ht="12.75" customHeight="1">
      <c r="A113" s="610" t="s">
        <v>3448</v>
      </c>
      <c r="B113" s="610">
        <v>1</v>
      </c>
      <c r="C113" s="610" t="s">
        <v>3363</v>
      </c>
      <c r="D113" s="610"/>
      <c r="E113" s="610">
        <f>B113*D113</f>
        <v>0</v>
      </c>
    </row>
    <row r="114" spans="1:5" ht="12.75" customHeight="1">
      <c r="A114" s="610" t="s">
        <v>3449</v>
      </c>
      <c r="B114" s="610">
        <v>2</v>
      </c>
      <c r="C114" s="610" t="s">
        <v>3363</v>
      </c>
      <c r="D114" s="610"/>
      <c r="E114" s="610">
        <f t="shared" si="8"/>
        <v>0</v>
      </c>
    </row>
    <row r="115" spans="1:5" ht="12.75" customHeight="1">
      <c r="A115" s="610" t="s">
        <v>3450</v>
      </c>
      <c r="B115" s="610">
        <v>1</v>
      </c>
      <c r="C115" s="610" t="s">
        <v>3368</v>
      </c>
      <c r="D115" s="610"/>
      <c r="E115" s="610">
        <f>B115*D115</f>
        <v>0</v>
      </c>
    </row>
    <row r="116" spans="1:5" ht="12.75" customHeight="1">
      <c r="A116" s="610" t="s">
        <v>3451</v>
      </c>
      <c r="B116" s="610">
        <v>1</v>
      </c>
      <c r="C116" s="610" t="s">
        <v>3368</v>
      </c>
      <c r="D116" s="610"/>
      <c r="E116" s="610">
        <f t="shared" si="8"/>
        <v>0</v>
      </c>
    </row>
    <row r="117" spans="1:5" ht="12.75" customHeight="1">
      <c r="A117" s="610" t="s">
        <v>3452</v>
      </c>
      <c r="B117" s="610">
        <v>1</v>
      </c>
      <c r="C117" s="610" t="s">
        <v>3368</v>
      </c>
      <c r="D117" s="610"/>
      <c r="E117" s="610">
        <f>B117*D117</f>
        <v>0</v>
      </c>
    </row>
    <row r="118" spans="1:5" ht="48" customHeight="1">
      <c r="A118" s="606" t="s">
        <v>3453</v>
      </c>
      <c r="B118" s="607"/>
      <c r="C118" s="607"/>
      <c r="D118" s="607"/>
      <c r="E118" s="607"/>
    </row>
    <row r="119" spans="1:5" ht="12.75" customHeight="1">
      <c r="A119" s="609" t="s">
        <v>3361</v>
      </c>
      <c r="B119" s="607"/>
      <c r="C119" s="607"/>
      <c r="D119" s="607"/>
      <c r="E119" s="607"/>
    </row>
    <row r="120" spans="1:5" ht="12.75" customHeight="1">
      <c r="A120" s="610" t="s">
        <v>3454</v>
      </c>
      <c r="B120" s="610">
        <v>2</v>
      </c>
      <c r="C120" s="610" t="s">
        <v>3363</v>
      </c>
      <c r="D120" s="610"/>
      <c r="E120" s="610">
        <f>B120*D120</f>
        <v>0</v>
      </c>
    </row>
    <row r="121" spans="1:5" ht="12.75" customHeight="1">
      <c r="A121" s="610" t="s">
        <v>3455</v>
      </c>
      <c r="B121" s="610">
        <v>2</v>
      </c>
      <c r="C121" s="610" t="s">
        <v>3363</v>
      </c>
      <c r="D121" s="610"/>
      <c r="E121" s="610">
        <f t="shared" ref="E121:E124" si="9">B121*D121</f>
        <v>0</v>
      </c>
    </row>
    <row r="122" spans="1:5" ht="12.75" customHeight="1">
      <c r="A122" s="610" t="s">
        <v>3423</v>
      </c>
      <c r="B122" s="610">
        <v>2</v>
      </c>
      <c r="C122" s="610" t="s">
        <v>3363</v>
      </c>
      <c r="D122" s="610"/>
      <c r="E122" s="610">
        <f t="shared" si="9"/>
        <v>0</v>
      </c>
    </row>
    <row r="123" spans="1:5" ht="12.75" customHeight="1">
      <c r="A123" s="610" t="s">
        <v>3456</v>
      </c>
      <c r="B123" s="610">
        <v>2</v>
      </c>
      <c r="C123" s="610" t="s">
        <v>3363</v>
      </c>
      <c r="D123" s="610"/>
      <c r="E123" s="610">
        <f>B123*D123</f>
        <v>0</v>
      </c>
    </row>
    <row r="124" spans="1:5" ht="12.75" customHeight="1">
      <c r="A124" s="610" t="s">
        <v>3457</v>
      </c>
      <c r="B124" s="610">
        <v>1</v>
      </c>
      <c r="C124" s="610" t="s">
        <v>3368</v>
      </c>
      <c r="D124" s="610"/>
      <c r="E124" s="610">
        <f t="shared" si="9"/>
        <v>0</v>
      </c>
    </row>
    <row r="125" spans="1:5" ht="12.75" customHeight="1">
      <c r="A125" s="610" t="s">
        <v>3458</v>
      </c>
      <c r="B125" s="610">
        <v>1</v>
      </c>
      <c r="C125" s="610" t="s">
        <v>3368</v>
      </c>
      <c r="D125" s="610"/>
      <c r="E125" s="610">
        <f>B125*D125</f>
        <v>0</v>
      </c>
    </row>
    <row r="126" spans="1:5" ht="12.75" customHeight="1" thickBot="1">
      <c r="A126" s="611"/>
      <c r="B126" s="611"/>
      <c r="C126" s="611"/>
      <c r="D126" s="611"/>
      <c r="E126" s="611"/>
    </row>
    <row r="127" spans="1:5" ht="19.399999999999999" customHeight="1">
      <c r="A127" s="612" t="s">
        <v>3459</v>
      </c>
      <c r="B127" s="610"/>
      <c r="C127" s="610"/>
      <c r="D127" s="613"/>
      <c r="E127" s="614">
        <f>SUM(E7:E125)</f>
        <v>0</v>
      </c>
    </row>
    <row r="128" spans="1:5" ht="19.399999999999999" customHeight="1">
      <c r="A128" s="606" t="s">
        <v>3460</v>
      </c>
      <c r="D128" s="615"/>
      <c r="E128" s="616">
        <f>E127*1.21</f>
        <v>0</v>
      </c>
    </row>
  </sheetData>
  <mergeCells count="42">
    <mergeCell ref="B118:B119"/>
    <mergeCell ref="C118:C119"/>
    <mergeCell ref="D118:D119"/>
    <mergeCell ref="E118:E119"/>
    <mergeCell ref="B104:B105"/>
    <mergeCell ref="C104:C105"/>
    <mergeCell ref="D104:D105"/>
    <mergeCell ref="E104:E105"/>
    <mergeCell ref="B110:B111"/>
    <mergeCell ref="C110:C111"/>
    <mergeCell ref="D110:D111"/>
    <mergeCell ref="E110:E111"/>
    <mergeCell ref="B84:B85"/>
    <mergeCell ref="C84:C85"/>
    <mergeCell ref="D84:D85"/>
    <mergeCell ref="E84:E85"/>
    <mergeCell ref="B91:B92"/>
    <mergeCell ref="C91:C92"/>
    <mergeCell ref="D91:D92"/>
    <mergeCell ref="E91:E92"/>
    <mergeCell ref="B69:B70"/>
    <mergeCell ref="C69:C70"/>
    <mergeCell ref="D69:D70"/>
    <mergeCell ref="E69:E70"/>
    <mergeCell ref="B76:B77"/>
    <mergeCell ref="C76:C77"/>
    <mergeCell ref="D76:D77"/>
    <mergeCell ref="E76:E77"/>
    <mergeCell ref="B25:B26"/>
    <mergeCell ref="C25:C26"/>
    <mergeCell ref="D25:D26"/>
    <mergeCell ref="E25:E26"/>
    <mergeCell ref="B55:B56"/>
    <mergeCell ref="C55:C56"/>
    <mergeCell ref="D55:D56"/>
    <mergeCell ref="E55:E56"/>
    <mergeCell ref="A2:E2"/>
    <mergeCell ref="A4:E4"/>
    <mergeCell ref="B5:B6"/>
    <mergeCell ref="C5:C6"/>
    <mergeCell ref="D5:D6"/>
    <mergeCell ref="E5:E6"/>
  </mergeCells>
  <pageMargins left="0.78740157499999996" right="0.78740157499999996" top="0.984251969" bottom="0.984251969" header="0.4921259845" footer="0.4921259845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03F1-DECC-4F7B-9612-A0538884A38D}">
  <dimension ref="A1:Q70"/>
  <sheetViews>
    <sheetView topLeftCell="A31" zoomScaleNormal="100" workbookViewId="0">
      <selection activeCell="D128" sqref="D128"/>
    </sheetView>
  </sheetViews>
  <sheetFormatPr defaultColWidth="8.77734375" defaultRowHeight="12.5"/>
  <cols>
    <col min="1" max="1" width="10.44140625" style="618" customWidth="1"/>
    <col min="2" max="2" width="0.109375" style="618" customWidth="1"/>
    <col min="3" max="3" width="11.109375" style="618" hidden="1" customWidth="1"/>
    <col min="4" max="4" width="27.44140625" style="618" customWidth="1"/>
    <col min="5" max="5" width="72" style="618" customWidth="1"/>
    <col min="6" max="6" width="7.109375" style="618" customWidth="1"/>
    <col min="7" max="7" width="6.77734375" style="618" customWidth="1"/>
    <col min="8" max="8" width="11.109375" style="618" hidden="1" customWidth="1"/>
    <col min="9" max="9" width="14.6640625" style="618" customWidth="1"/>
    <col min="10" max="10" width="19.44140625" style="618" customWidth="1"/>
    <col min="11" max="11" width="14.6640625" style="618" customWidth="1"/>
    <col min="12" max="12" width="6" style="618" customWidth="1"/>
    <col min="13" max="13" width="46.109375" style="618" customWidth="1"/>
    <col min="14" max="21" width="8.77734375" style="618"/>
    <col min="22" max="22" width="15.44140625" style="618" bestFit="1" customWidth="1"/>
    <col min="23" max="16384" width="8.77734375" style="618"/>
  </cols>
  <sheetData>
    <row r="1" spans="1:17" ht="13">
      <c r="A1" s="617"/>
      <c r="B1" s="617"/>
      <c r="C1" s="617"/>
      <c r="D1" s="617"/>
      <c r="E1" s="617"/>
      <c r="F1" s="617"/>
      <c r="G1" s="617"/>
    </row>
    <row r="2" spans="1:17" ht="15.5">
      <c r="A2" s="619" t="s">
        <v>3461</v>
      </c>
      <c r="B2" s="619"/>
      <c r="C2" s="619"/>
      <c r="D2" s="619"/>
      <c r="E2" s="619"/>
      <c r="F2" s="620"/>
      <c r="G2" s="620"/>
      <c r="H2" s="621"/>
      <c r="I2" s="621"/>
      <c r="J2" s="621"/>
      <c r="K2" s="621"/>
    </row>
    <row r="3" spans="1:17" ht="15.5">
      <c r="A3" s="619" t="s">
        <v>3462</v>
      </c>
      <c r="B3" s="619"/>
      <c r="C3" s="619"/>
      <c r="D3" s="619"/>
      <c r="E3" s="619"/>
      <c r="F3" s="620"/>
      <c r="G3" s="620"/>
      <c r="H3" s="621"/>
      <c r="I3" s="621"/>
      <c r="J3" s="621"/>
      <c r="K3" s="621"/>
    </row>
    <row r="4" spans="1:17" ht="13">
      <c r="A4" s="620"/>
      <c r="B4" s="620"/>
      <c r="C4" s="620"/>
      <c r="D4" s="620"/>
      <c r="E4" s="620"/>
      <c r="F4" s="620"/>
      <c r="G4" s="620"/>
      <c r="H4" s="621"/>
      <c r="I4" s="621"/>
      <c r="J4" s="621"/>
      <c r="K4" s="621"/>
    </row>
    <row r="5" spans="1:17" ht="13">
      <c r="A5" s="620" t="s">
        <v>3463</v>
      </c>
      <c r="B5" s="620"/>
      <c r="C5" s="620"/>
      <c r="D5" s="620" t="s">
        <v>3464</v>
      </c>
      <c r="E5" s="620" t="s">
        <v>3465</v>
      </c>
      <c r="F5" s="620" t="s">
        <v>3466</v>
      </c>
      <c r="G5" s="620" t="s">
        <v>115</v>
      </c>
      <c r="H5" s="621"/>
      <c r="I5" s="622" t="s">
        <v>3467</v>
      </c>
      <c r="J5" s="622" t="s">
        <v>2846</v>
      </c>
      <c r="K5" s="622" t="s">
        <v>2845</v>
      </c>
      <c r="O5" s="623"/>
      <c r="P5" s="623"/>
      <c r="Q5" s="623"/>
    </row>
    <row r="6" spans="1:17" ht="12.75" customHeight="1">
      <c r="A6" s="620"/>
      <c r="B6" s="620"/>
      <c r="C6" s="620"/>
      <c r="D6" s="624"/>
      <c r="E6" s="620"/>
      <c r="F6" s="620"/>
      <c r="G6" s="620"/>
      <c r="H6" s="621"/>
      <c r="I6" s="621"/>
      <c r="J6" s="621"/>
      <c r="K6" s="621"/>
    </row>
    <row r="7" spans="1:17" ht="12.75" customHeight="1">
      <c r="A7" s="620"/>
      <c r="B7" s="620"/>
      <c r="C7" s="620"/>
      <c r="D7" s="624"/>
      <c r="E7" s="620"/>
      <c r="F7" s="620"/>
      <c r="G7" s="620"/>
      <c r="H7" s="621"/>
      <c r="I7" s="621"/>
      <c r="J7" s="621"/>
      <c r="K7" s="621"/>
      <c r="M7" s="625"/>
    </row>
    <row r="8" spans="1:17" ht="12.75" customHeight="1">
      <c r="A8" s="620"/>
      <c r="B8" s="620"/>
      <c r="C8" s="620"/>
      <c r="D8" s="624"/>
      <c r="E8" s="620"/>
      <c r="F8" s="620"/>
      <c r="G8" s="620"/>
      <c r="H8" s="621"/>
      <c r="I8" s="621"/>
      <c r="J8" s="621"/>
      <c r="K8" s="621"/>
      <c r="M8" s="625"/>
    </row>
    <row r="9" spans="1:17" ht="13">
      <c r="A9" s="620"/>
      <c r="B9" s="620"/>
      <c r="C9" s="620"/>
      <c r="D9" s="624"/>
      <c r="E9" s="620"/>
      <c r="F9" s="620"/>
      <c r="G9" s="620"/>
      <c r="H9" s="621"/>
      <c r="I9" s="621"/>
      <c r="J9" s="621"/>
      <c r="K9" s="621"/>
      <c r="M9" s="625"/>
    </row>
    <row r="10" spans="1:17" ht="18">
      <c r="A10" s="626">
        <v>101</v>
      </c>
      <c r="B10" s="620"/>
      <c r="C10" s="620"/>
      <c r="D10" s="624"/>
      <c r="E10" s="619" t="s">
        <v>3468</v>
      </c>
      <c r="F10" s="620"/>
      <c r="G10" s="620"/>
      <c r="H10" s="621"/>
      <c r="I10" s="621"/>
      <c r="J10" s="621"/>
      <c r="K10" s="621"/>
      <c r="M10" s="625"/>
    </row>
    <row r="11" spans="1:17" ht="13">
      <c r="A11" s="620"/>
      <c r="B11" s="620"/>
      <c r="C11" s="620"/>
      <c r="D11" s="624"/>
      <c r="E11" s="620"/>
      <c r="F11" s="620"/>
      <c r="G11" s="620"/>
      <c r="H11" s="621"/>
      <c r="I11" s="621"/>
      <c r="J11" s="621"/>
      <c r="K11" s="621"/>
      <c r="M11" s="625"/>
    </row>
    <row r="12" spans="1:17" ht="25.75" customHeight="1">
      <c r="A12" s="627">
        <v>101</v>
      </c>
      <c r="B12" s="620"/>
      <c r="C12" s="620"/>
      <c r="D12" s="621" t="s">
        <v>3469</v>
      </c>
      <c r="E12" s="628" t="s">
        <v>3470</v>
      </c>
      <c r="F12" s="621">
        <v>1</v>
      </c>
      <c r="G12" s="621" t="s">
        <v>2874</v>
      </c>
      <c r="H12" s="621"/>
      <c r="I12" s="621"/>
      <c r="J12" s="621">
        <f t="shared" ref="J12:J21" si="0">I12*F12</f>
        <v>0</v>
      </c>
      <c r="K12" s="621"/>
    </row>
    <row r="13" spans="1:17" ht="25.75" customHeight="1">
      <c r="A13" s="627">
        <f>A12+1</f>
        <v>102</v>
      </c>
      <c r="B13" s="620"/>
      <c r="C13" s="620"/>
      <c r="D13" s="621" t="s">
        <v>3469</v>
      </c>
      <c r="E13" s="628" t="s">
        <v>3471</v>
      </c>
      <c r="F13" s="621">
        <v>1</v>
      </c>
      <c r="G13" s="621" t="s">
        <v>2874</v>
      </c>
      <c r="H13" s="621"/>
      <c r="I13" s="621"/>
      <c r="J13" s="621">
        <f t="shared" si="0"/>
        <v>0</v>
      </c>
      <c r="K13" s="621"/>
    </row>
    <row r="14" spans="1:17" ht="25.75" customHeight="1">
      <c r="A14" s="627">
        <f t="shared" ref="A14:A21" si="1">A13+1</f>
        <v>103</v>
      </c>
      <c r="B14" s="620"/>
      <c r="C14" s="620"/>
      <c r="D14" s="621" t="s">
        <v>3469</v>
      </c>
      <c r="E14" s="628" t="s">
        <v>3472</v>
      </c>
      <c r="F14" s="621">
        <v>1</v>
      </c>
      <c r="G14" s="621" t="s">
        <v>2874</v>
      </c>
      <c r="H14" s="621"/>
      <c r="I14" s="621"/>
      <c r="J14" s="621">
        <f t="shared" si="0"/>
        <v>0</v>
      </c>
      <c r="K14" s="621"/>
    </row>
    <row r="15" spans="1:17" ht="25.75" customHeight="1">
      <c r="A15" s="627">
        <f t="shared" si="1"/>
        <v>104</v>
      </c>
      <c r="B15" s="620"/>
      <c r="C15" s="620"/>
      <c r="D15" s="621" t="s">
        <v>3469</v>
      </c>
      <c r="E15" s="628" t="s">
        <v>3473</v>
      </c>
      <c r="F15" s="621">
        <v>3</v>
      </c>
      <c r="G15" s="621" t="s">
        <v>2874</v>
      </c>
      <c r="H15" s="621"/>
      <c r="I15" s="621"/>
      <c r="J15" s="621">
        <f t="shared" si="0"/>
        <v>0</v>
      </c>
      <c r="K15" s="621"/>
    </row>
    <row r="16" spans="1:17" ht="25.75" customHeight="1">
      <c r="A16" s="627">
        <f t="shared" si="1"/>
        <v>105</v>
      </c>
      <c r="B16" s="620"/>
      <c r="C16" s="620"/>
      <c r="D16" s="621" t="s">
        <v>3469</v>
      </c>
      <c r="E16" s="628" t="s">
        <v>3474</v>
      </c>
      <c r="F16" s="621">
        <v>2</v>
      </c>
      <c r="G16" s="621" t="s">
        <v>2874</v>
      </c>
      <c r="H16" s="621"/>
      <c r="I16" s="621"/>
      <c r="J16" s="621">
        <f t="shared" si="0"/>
        <v>0</v>
      </c>
      <c r="K16" s="621"/>
    </row>
    <row r="17" spans="1:13">
      <c r="A17" s="627">
        <f t="shared" si="1"/>
        <v>106</v>
      </c>
      <c r="B17" s="621"/>
      <c r="C17" s="621"/>
      <c r="D17" s="621" t="s">
        <v>3469</v>
      </c>
      <c r="E17" s="621" t="s">
        <v>3475</v>
      </c>
      <c r="F17" s="621">
        <v>7</v>
      </c>
      <c r="G17" s="621" t="s">
        <v>2874</v>
      </c>
      <c r="H17" s="621"/>
      <c r="I17" s="621"/>
      <c r="J17" s="621">
        <f t="shared" si="0"/>
        <v>0</v>
      </c>
      <c r="K17" s="621"/>
      <c r="M17" s="625"/>
    </row>
    <row r="18" spans="1:13">
      <c r="A18" s="627">
        <f t="shared" si="1"/>
        <v>107</v>
      </c>
      <c r="B18" s="621"/>
      <c r="C18" s="621"/>
      <c r="D18" s="621"/>
      <c r="E18" s="628" t="s">
        <v>3476</v>
      </c>
      <c r="F18" s="628">
        <v>55</v>
      </c>
      <c r="G18" s="628" t="s">
        <v>3477</v>
      </c>
      <c r="H18" s="621"/>
      <c r="I18" s="621"/>
      <c r="J18" s="621">
        <f t="shared" si="0"/>
        <v>0</v>
      </c>
      <c r="K18" s="621"/>
      <c r="M18" s="625"/>
    </row>
    <row r="19" spans="1:13">
      <c r="A19" s="627">
        <f t="shared" si="1"/>
        <v>108</v>
      </c>
      <c r="B19" s="629"/>
      <c r="C19" s="629"/>
      <c r="D19" s="629"/>
      <c r="E19" s="630" t="s">
        <v>3478</v>
      </c>
      <c r="F19" s="630">
        <v>6.5</v>
      </c>
      <c r="G19" s="630" t="s">
        <v>2019</v>
      </c>
      <c r="H19" s="629"/>
      <c r="I19" s="621"/>
      <c r="J19" s="621">
        <f t="shared" si="0"/>
        <v>0</v>
      </c>
      <c r="K19" s="621"/>
      <c r="M19" s="625"/>
    </row>
    <row r="20" spans="1:13">
      <c r="A20" s="627">
        <f t="shared" si="1"/>
        <v>109</v>
      </c>
      <c r="B20" s="629"/>
      <c r="C20" s="629"/>
      <c r="D20" s="629"/>
      <c r="E20" s="630" t="s">
        <v>3479</v>
      </c>
      <c r="F20" s="630">
        <v>1</v>
      </c>
      <c r="G20" s="630" t="s">
        <v>3087</v>
      </c>
      <c r="H20" s="629"/>
      <c r="I20" s="621"/>
      <c r="J20" s="621">
        <f t="shared" si="0"/>
        <v>0</v>
      </c>
      <c r="K20" s="621"/>
      <c r="M20" s="625"/>
    </row>
    <row r="21" spans="1:13" ht="13.5" thickBot="1">
      <c r="A21" s="627">
        <f t="shared" si="1"/>
        <v>110</v>
      </c>
      <c r="B21" s="629"/>
      <c r="C21" s="629"/>
      <c r="D21" s="631"/>
      <c r="E21" s="629" t="s">
        <v>3480</v>
      </c>
      <c r="F21" s="629">
        <v>1</v>
      </c>
      <c r="G21" s="629" t="s">
        <v>3087</v>
      </c>
      <c r="H21" s="629"/>
      <c r="I21" s="621"/>
      <c r="J21" s="621">
        <f t="shared" si="0"/>
        <v>0</v>
      </c>
      <c r="K21" s="621"/>
      <c r="M21" s="625"/>
    </row>
    <row r="22" spans="1:13" ht="13">
      <c r="A22" s="632"/>
      <c r="B22" s="632"/>
      <c r="C22" s="632"/>
      <c r="D22" s="633" t="s">
        <v>3481</v>
      </c>
      <c r="E22" s="632"/>
      <c r="F22" s="632"/>
      <c r="G22" s="632"/>
      <c r="H22" s="634"/>
      <c r="I22" s="634"/>
      <c r="J22" s="632">
        <f>SUM(J12:J21)</f>
        <v>0</v>
      </c>
      <c r="K22" s="635">
        <f>SUM(K12:K21)</f>
        <v>0</v>
      </c>
      <c r="M22" s="625"/>
    </row>
    <row r="23" spans="1:13" ht="13">
      <c r="A23" s="620"/>
      <c r="B23" s="620"/>
      <c r="C23" s="620"/>
      <c r="D23" s="624"/>
      <c r="E23" s="620"/>
      <c r="F23" s="620"/>
      <c r="G23" s="620"/>
      <c r="H23" s="621"/>
      <c r="I23" s="621"/>
      <c r="J23" s="621"/>
      <c r="K23" s="636"/>
      <c r="M23" s="625"/>
    </row>
    <row r="24" spans="1:13" ht="13">
      <c r="A24" s="620"/>
      <c r="B24" s="620"/>
      <c r="C24" s="620"/>
      <c r="D24" s="624"/>
      <c r="E24" s="620"/>
      <c r="F24" s="620"/>
      <c r="G24" s="620"/>
      <c r="H24" s="621"/>
      <c r="I24" s="621"/>
      <c r="J24" s="621"/>
      <c r="K24" s="636"/>
      <c r="M24" s="625"/>
    </row>
    <row r="25" spans="1:13" ht="13">
      <c r="A25" s="620"/>
      <c r="B25" s="620"/>
      <c r="C25" s="620"/>
      <c r="D25" s="624"/>
      <c r="E25" s="620"/>
      <c r="F25" s="620"/>
      <c r="G25" s="620"/>
      <c r="H25" s="621"/>
      <c r="I25" s="621"/>
      <c r="J25" s="621"/>
      <c r="K25" s="636"/>
      <c r="M25" s="625"/>
    </row>
    <row r="26" spans="1:13" ht="18">
      <c r="A26" s="626">
        <v>201</v>
      </c>
      <c r="B26" s="620"/>
      <c r="C26" s="620"/>
      <c r="D26" s="624"/>
      <c r="E26" s="626" t="s">
        <v>3482</v>
      </c>
      <c r="F26" s="620"/>
      <c r="G26" s="620"/>
      <c r="H26" s="621"/>
      <c r="I26" s="621"/>
      <c r="J26" s="621"/>
      <c r="K26" s="636"/>
      <c r="M26" s="625"/>
    </row>
    <row r="27" spans="1:13" ht="13">
      <c r="A27" s="620"/>
      <c r="B27" s="620"/>
      <c r="C27" s="620"/>
      <c r="D27" s="624"/>
      <c r="E27" s="620"/>
      <c r="F27" s="620"/>
      <c r="G27" s="620"/>
      <c r="H27" s="621"/>
      <c r="I27" s="621"/>
      <c r="J27" s="621"/>
      <c r="K27" s="636"/>
      <c r="M27" s="625"/>
    </row>
    <row r="28" spans="1:13" s="637" customFormat="1" ht="25">
      <c r="A28" s="628">
        <v>201</v>
      </c>
      <c r="B28" s="628"/>
      <c r="C28" s="628"/>
      <c r="D28" s="628" t="s">
        <v>3469</v>
      </c>
      <c r="E28" s="628" t="s">
        <v>3483</v>
      </c>
      <c r="F28" s="628">
        <v>1</v>
      </c>
      <c r="G28" s="628" t="s">
        <v>2874</v>
      </c>
      <c r="H28" s="628"/>
      <c r="I28" s="621"/>
      <c r="J28" s="628">
        <f>I28*F28</f>
        <v>0</v>
      </c>
      <c r="K28" s="621"/>
      <c r="M28" s="625"/>
    </row>
    <row r="29" spans="1:13">
      <c r="A29" s="621">
        <v>202</v>
      </c>
      <c r="B29" s="621"/>
      <c r="C29" s="621"/>
      <c r="D29" s="628"/>
      <c r="E29" s="621" t="s">
        <v>3484</v>
      </c>
      <c r="F29" s="621">
        <v>90</v>
      </c>
      <c r="G29" s="621" t="s">
        <v>3477</v>
      </c>
      <c r="H29" s="621"/>
      <c r="I29" s="621"/>
      <c r="J29" s="628">
        <f>I29*F29</f>
        <v>0</v>
      </c>
      <c r="K29" s="621"/>
      <c r="M29" s="625"/>
    </row>
    <row r="30" spans="1:13" ht="13" thickBot="1">
      <c r="A30" s="621">
        <v>203</v>
      </c>
      <c r="B30" s="629"/>
      <c r="C30" s="629"/>
      <c r="D30" s="628"/>
      <c r="E30" s="629" t="s">
        <v>3485</v>
      </c>
      <c r="F30" s="629">
        <v>1</v>
      </c>
      <c r="G30" s="629" t="s">
        <v>3087</v>
      </c>
      <c r="H30" s="629"/>
      <c r="I30" s="621"/>
      <c r="J30" s="628">
        <v>0</v>
      </c>
      <c r="K30" s="621"/>
      <c r="M30" s="625"/>
    </row>
    <row r="31" spans="1:13" ht="13">
      <c r="A31" s="632"/>
      <c r="B31" s="632"/>
      <c r="C31" s="632"/>
      <c r="D31" s="633" t="s">
        <v>3481</v>
      </c>
      <c r="E31" s="632"/>
      <c r="F31" s="632"/>
      <c r="G31" s="632"/>
      <c r="H31" s="634"/>
      <c r="I31" s="634"/>
      <c r="J31" s="632">
        <f>SUM(J28:J30)</f>
        <v>0</v>
      </c>
      <c r="K31" s="635">
        <f>SUM(K28:K30)</f>
        <v>0</v>
      </c>
      <c r="M31" s="625"/>
    </row>
    <row r="32" spans="1:13" ht="13">
      <c r="A32" s="620"/>
      <c r="B32" s="620"/>
      <c r="C32" s="620"/>
      <c r="D32" s="624"/>
      <c r="E32" s="620"/>
      <c r="F32" s="620"/>
      <c r="G32" s="620"/>
      <c r="H32" s="621"/>
      <c r="I32" s="621"/>
      <c r="J32" s="621"/>
      <c r="K32" s="636"/>
    </row>
    <row r="33" spans="1:11" ht="13">
      <c r="A33" s="620"/>
      <c r="B33" s="620"/>
      <c r="C33" s="620"/>
      <c r="D33" s="624"/>
      <c r="E33" s="620"/>
      <c r="F33" s="620"/>
      <c r="G33" s="620"/>
      <c r="H33" s="621"/>
      <c r="I33" s="621"/>
      <c r="J33" s="621"/>
      <c r="K33" s="636"/>
    </row>
    <row r="34" spans="1:11" ht="18">
      <c r="A34" s="626">
        <v>301</v>
      </c>
      <c r="B34" s="620"/>
      <c r="C34" s="620"/>
      <c r="D34" s="624"/>
      <c r="E34" s="619" t="s">
        <v>3486</v>
      </c>
      <c r="F34" s="620"/>
      <c r="G34" s="620"/>
      <c r="H34" s="621"/>
      <c r="I34" s="621"/>
      <c r="J34" s="621"/>
      <c r="K34" s="636"/>
    </row>
    <row r="35" spans="1:11" ht="13">
      <c r="A35" s="620"/>
      <c r="B35" s="620"/>
      <c r="C35" s="620"/>
      <c r="D35" s="624"/>
      <c r="E35" s="620"/>
      <c r="F35" s="620"/>
      <c r="G35" s="620"/>
      <c r="H35" s="621"/>
      <c r="I35" s="621"/>
      <c r="J35" s="621"/>
      <c r="K35" s="636"/>
    </row>
    <row r="36" spans="1:11">
      <c r="A36" s="627">
        <v>301</v>
      </c>
      <c r="B36" s="621"/>
      <c r="C36" s="621"/>
      <c r="D36" s="621" t="s">
        <v>3469</v>
      </c>
      <c r="E36" s="621" t="s">
        <v>3487</v>
      </c>
      <c r="F36" s="621">
        <v>1</v>
      </c>
      <c r="G36" s="621" t="s">
        <v>2874</v>
      </c>
      <c r="H36" s="621"/>
      <c r="I36" s="621"/>
      <c r="J36" s="621">
        <f t="shared" ref="J36:J43" si="2">I36*F36</f>
        <v>0</v>
      </c>
      <c r="K36" s="621"/>
    </row>
    <row r="37" spans="1:11">
      <c r="A37" s="627">
        <f>A36+1</f>
        <v>302</v>
      </c>
      <c r="B37" s="621"/>
      <c r="C37" s="621"/>
      <c r="D37" s="621" t="s">
        <v>3469</v>
      </c>
      <c r="E37" s="621" t="s">
        <v>3488</v>
      </c>
      <c r="F37" s="621">
        <v>1</v>
      </c>
      <c r="G37" s="621" t="s">
        <v>2874</v>
      </c>
      <c r="H37" s="621"/>
      <c r="I37" s="621"/>
      <c r="J37" s="621">
        <f t="shared" si="2"/>
        <v>0</v>
      </c>
      <c r="K37" s="621"/>
    </row>
    <row r="38" spans="1:11">
      <c r="A38" s="627">
        <f t="shared" ref="A38:A43" si="3">A37+1</f>
        <v>303</v>
      </c>
      <c r="B38" s="621"/>
      <c r="C38" s="621"/>
      <c r="D38" s="621" t="s">
        <v>3469</v>
      </c>
      <c r="E38" s="621" t="s">
        <v>3475</v>
      </c>
      <c r="F38" s="621">
        <v>1</v>
      </c>
      <c r="G38" s="621" t="s">
        <v>2874</v>
      </c>
      <c r="H38" s="621"/>
      <c r="I38" s="621"/>
      <c r="J38" s="621">
        <f t="shared" si="2"/>
        <v>0</v>
      </c>
      <c r="K38" s="621"/>
    </row>
    <row r="39" spans="1:11" ht="25.75" customHeight="1">
      <c r="A39" s="627">
        <f t="shared" si="3"/>
        <v>304</v>
      </c>
      <c r="B39" s="620"/>
      <c r="C39" s="620"/>
      <c r="D39" s="621" t="s">
        <v>3469</v>
      </c>
      <c r="E39" s="628" t="s">
        <v>3489</v>
      </c>
      <c r="F39" s="621">
        <v>1</v>
      </c>
      <c r="G39" s="621" t="s">
        <v>2874</v>
      </c>
      <c r="H39" s="621"/>
      <c r="I39" s="621"/>
      <c r="J39" s="621">
        <f t="shared" si="2"/>
        <v>0</v>
      </c>
      <c r="K39" s="621"/>
    </row>
    <row r="40" spans="1:11" ht="13">
      <c r="A40" s="627">
        <f t="shared" si="3"/>
        <v>305</v>
      </c>
      <c r="B40" s="620"/>
      <c r="C40" s="620"/>
      <c r="D40" s="621" t="s">
        <v>3469</v>
      </c>
      <c r="E40" s="621" t="s">
        <v>3475</v>
      </c>
      <c r="F40" s="621">
        <v>1</v>
      </c>
      <c r="G40" s="621" t="s">
        <v>2874</v>
      </c>
      <c r="H40" s="621"/>
      <c r="I40" s="621"/>
      <c r="J40" s="621">
        <f t="shared" si="2"/>
        <v>0</v>
      </c>
      <c r="K40" s="621"/>
    </row>
    <row r="41" spans="1:11" ht="13">
      <c r="A41" s="627">
        <f t="shared" si="3"/>
        <v>306</v>
      </c>
      <c r="B41" s="620"/>
      <c r="C41" s="620"/>
      <c r="D41" s="621"/>
      <c r="E41" s="628" t="s">
        <v>3476</v>
      </c>
      <c r="F41" s="628">
        <v>15</v>
      </c>
      <c r="G41" s="628" t="s">
        <v>3477</v>
      </c>
      <c r="H41" s="621"/>
      <c r="I41" s="621"/>
      <c r="J41" s="621">
        <f t="shared" si="2"/>
        <v>0</v>
      </c>
      <c r="K41" s="621"/>
    </row>
    <row r="42" spans="1:11" ht="13">
      <c r="A42" s="627">
        <f t="shared" si="3"/>
        <v>307</v>
      </c>
      <c r="B42" s="620"/>
      <c r="C42" s="620"/>
      <c r="D42" s="629"/>
      <c r="E42" s="630" t="s">
        <v>3479</v>
      </c>
      <c r="F42" s="630">
        <v>1</v>
      </c>
      <c r="G42" s="630" t="s">
        <v>3087</v>
      </c>
      <c r="H42" s="629"/>
      <c r="I42" s="621"/>
      <c r="J42" s="621">
        <f t="shared" si="2"/>
        <v>0</v>
      </c>
      <c r="K42" s="621"/>
    </row>
    <row r="43" spans="1:11" ht="13.5" thickBot="1">
      <c r="A43" s="627">
        <f t="shared" si="3"/>
        <v>308</v>
      </c>
      <c r="B43" s="620"/>
      <c r="C43" s="620"/>
      <c r="D43" s="631"/>
      <c r="E43" s="629" t="s">
        <v>3480</v>
      </c>
      <c r="F43" s="629">
        <v>1</v>
      </c>
      <c r="G43" s="629" t="s">
        <v>3087</v>
      </c>
      <c r="H43" s="629"/>
      <c r="I43" s="621"/>
      <c r="J43" s="621">
        <f t="shared" si="2"/>
        <v>0</v>
      </c>
      <c r="K43" s="621"/>
    </row>
    <row r="44" spans="1:11" ht="13">
      <c r="A44" s="632"/>
      <c r="B44" s="632"/>
      <c r="C44" s="632"/>
      <c r="D44" s="633" t="s">
        <v>3481</v>
      </c>
      <c r="E44" s="632"/>
      <c r="F44" s="632"/>
      <c r="G44" s="632"/>
      <c r="H44" s="634"/>
      <c r="I44" s="634"/>
      <c r="J44" s="632">
        <f>SUM(J36:J43)</f>
        <v>0</v>
      </c>
      <c r="K44" s="635">
        <f>SUM(K36:K43)</f>
        <v>0</v>
      </c>
    </row>
    <row r="45" spans="1:11" ht="13">
      <c r="A45" s="627"/>
      <c r="B45" s="620"/>
      <c r="C45" s="620"/>
      <c r="D45" s="631"/>
      <c r="E45" s="629"/>
      <c r="F45" s="629"/>
      <c r="G45" s="629"/>
      <c r="H45" s="629"/>
      <c r="I45" s="629"/>
      <c r="J45" s="621"/>
      <c r="K45" s="629"/>
    </row>
    <row r="46" spans="1:11">
      <c r="A46" s="621"/>
      <c r="B46" s="621"/>
      <c r="C46" s="621"/>
      <c r="D46" s="621"/>
      <c r="E46" s="621"/>
      <c r="F46" s="621"/>
      <c r="G46" s="621"/>
      <c r="H46" s="621"/>
      <c r="I46" s="621"/>
      <c r="J46" s="621"/>
      <c r="K46" s="621"/>
    </row>
    <row r="47" spans="1:11" ht="15.5">
      <c r="A47" s="621"/>
      <c r="B47" s="621"/>
      <c r="C47" s="621"/>
      <c r="D47" s="621"/>
      <c r="E47" s="619" t="s">
        <v>3490</v>
      </c>
      <c r="F47" s="621"/>
      <c r="G47" s="621"/>
      <c r="H47" s="621"/>
      <c r="I47" s="621"/>
      <c r="J47" s="621"/>
      <c r="K47" s="621"/>
    </row>
    <row r="48" spans="1:11">
      <c r="A48" s="621"/>
      <c r="B48" s="621"/>
      <c r="C48" s="621"/>
      <c r="D48" s="621"/>
      <c r="E48" s="621"/>
      <c r="F48" s="621"/>
      <c r="G48" s="621"/>
      <c r="H48" s="621"/>
      <c r="I48" s="621"/>
      <c r="J48" s="621"/>
      <c r="K48" s="621"/>
    </row>
    <row r="49" spans="1:11" ht="15.5">
      <c r="A49" s="621"/>
      <c r="B49" s="621"/>
      <c r="C49" s="621"/>
      <c r="D49" s="621"/>
      <c r="E49" s="638" t="s">
        <v>2844</v>
      </c>
      <c r="F49" s="638"/>
      <c r="G49" s="638"/>
      <c r="H49" s="638"/>
      <c r="I49" s="638"/>
      <c r="J49" s="639">
        <f>J22+J31+J44</f>
        <v>0</v>
      </c>
      <c r="K49" s="621"/>
    </row>
    <row r="50" spans="1:11" ht="15.5">
      <c r="A50" s="621"/>
      <c r="B50" s="621"/>
      <c r="C50" s="621"/>
      <c r="D50" s="621"/>
      <c r="E50" s="638" t="s">
        <v>2845</v>
      </c>
      <c r="F50" s="638"/>
      <c r="G50" s="638"/>
      <c r="H50" s="638"/>
      <c r="I50" s="638"/>
      <c r="J50" s="639">
        <f>K22+K31+K44</f>
        <v>0</v>
      </c>
      <c r="K50" s="621"/>
    </row>
    <row r="51" spans="1:11" ht="15.5">
      <c r="A51" s="621"/>
      <c r="B51" s="621"/>
      <c r="C51" s="621"/>
      <c r="D51" s="621"/>
      <c r="E51" s="640" t="s">
        <v>3491</v>
      </c>
      <c r="F51" s="640"/>
      <c r="G51" s="640"/>
      <c r="H51" s="640"/>
      <c r="I51" s="640"/>
      <c r="J51" s="641"/>
      <c r="K51" s="621"/>
    </row>
    <row r="52" spans="1:11" ht="16" thickBot="1">
      <c r="A52" s="621"/>
      <c r="B52" s="621"/>
      <c r="C52" s="621"/>
      <c r="D52" s="621"/>
      <c r="E52" s="640" t="s">
        <v>3492</v>
      </c>
      <c r="F52" s="640"/>
      <c r="G52" s="640"/>
      <c r="H52" s="640"/>
      <c r="I52" s="640"/>
      <c r="J52" s="641"/>
      <c r="K52" s="621"/>
    </row>
    <row r="53" spans="1:11" ht="15.5">
      <c r="A53" s="621"/>
      <c r="B53" s="621"/>
      <c r="C53" s="621"/>
      <c r="D53" s="621"/>
      <c r="E53" s="642" t="s">
        <v>3493</v>
      </c>
      <c r="F53" s="642"/>
      <c r="G53" s="642"/>
      <c r="H53" s="642"/>
      <c r="I53" s="642"/>
      <c r="J53" s="643">
        <f>SUM(J49:J52)</f>
        <v>0</v>
      </c>
      <c r="K53" s="621"/>
    </row>
    <row r="54" spans="1:11">
      <c r="A54" s="621"/>
      <c r="B54" s="621"/>
      <c r="C54" s="621"/>
      <c r="D54" s="621"/>
      <c r="E54" s="621"/>
      <c r="F54" s="621"/>
      <c r="G54" s="621"/>
      <c r="H54" s="621"/>
      <c r="I54" s="621"/>
      <c r="J54" s="621"/>
      <c r="K54" s="621"/>
    </row>
    <row r="55" spans="1:11">
      <c r="A55" s="621"/>
      <c r="B55" s="621"/>
      <c r="C55" s="621"/>
      <c r="D55" s="621"/>
      <c r="E55" s="621"/>
      <c r="F55" s="621"/>
      <c r="G55" s="621"/>
      <c r="H55" s="621"/>
      <c r="I55" s="621"/>
      <c r="J55" s="621"/>
      <c r="K55" s="621"/>
    </row>
    <row r="56" spans="1:11" ht="15.5">
      <c r="A56" s="621"/>
      <c r="B56" s="621"/>
      <c r="C56" s="621"/>
      <c r="D56" s="638"/>
      <c r="E56" s="638" t="s">
        <v>3494</v>
      </c>
      <c r="F56" s="621"/>
      <c r="G56" s="621"/>
      <c r="H56" s="621"/>
      <c r="I56" s="621"/>
      <c r="J56" s="621"/>
      <c r="K56" s="621"/>
    </row>
    <row r="57" spans="1:11">
      <c r="A57" s="621"/>
      <c r="B57" s="621"/>
      <c r="C57" s="621"/>
      <c r="D57" s="621"/>
      <c r="E57" s="621" t="s">
        <v>3495</v>
      </c>
      <c r="F57" s="621"/>
      <c r="G57" s="621"/>
      <c r="H57" s="621"/>
      <c r="I57" s="621"/>
      <c r="J57" s="621"/>
      <c r="K57" s="621"/>
    </row>
    <row r="58" spans="1:11">
      <c r="A58" s="621"/>
      <c r="B58" s="621"/>
      <c r="C58" s="621"/>
      <c r="D58" s="621"/>
      <c r="E58" s="621" t="s">
        <v>3496</v>
      </c>
      <c r="F58" s="621"/>
      <c r="G58" s="621"/>
      <c r="H58" s="621"/>
      <c r="I58" s="621"/>
      <c r="J58" s="621"/>
      <c r="K58" s="621"/>
    </row>
    <row r="59" spans="1:11">
      <c r="A59" s="621"/>
      <c r="B59" s="621"/>
      <c r="C59" s="621"/>
      <c r="D59" s="621"/>
      <c r="E59" s="621" t="s">
        <v>3497</v>
      </c>
      <c r="F59" s="621"/>
      <c r="G59" s="621"/>
      <c r="H59" s="621"/>
      <c r="I59" s="621"/>
      <c r="J59" s="621"/>
      <c r="K59" s="621"/>
    </row>
    <row r="60" spans="1:11">
      <c r="A60" s="621"/>
      <c r="B60" s="621"/>
      <c r="C60" s="621"/>
      <c r="D60" s="621"/>
      <c r="E60" s="621" t="s">
        <v>3498</v>
      </c>
      <c r="F60" s="621"/>
      <c r="G60" s="621"/>
      <c r="H60" s="621"/>
      <c r="I60" s="621"/>
      <c r="J60" s="621"/>
      <c r="K60" s="621"/>
    </row>
    <row r="61" spans="1:11">
      <c r="A61" s="621"/>
      <c r="B61" s="621"/>
      <c r="C61" s="621"/>
      <c r="D61" s="621"/>
      <c r="E61" s="621"/>
      <c r="F61" s="621"/>
      <c r="G61" s="621"/>
      <c r="H61" s="621"/>
      <c r="I61" s="621"/>
      <c r="J61" s="621"/>
      <c r="K61" s="621"/>
    </row>
    <row r="62" spans="1:11">
      <c r="A62" s="621"/>
      <c r="B62" s="621"/>
      <c r="C62" s="621"/>
      <c r="D62" s="621"/>
      <c r="E62" s="621"/>
      <c r="F62" s="621"/>
      <c r="G62" s="621"/>
      <c r="H62" s="621"/>
      <c r="I62" s="621"/>
      <c r="J62" s="621"/>
      <c r="K62" s="621"/>
    </row>
    <row r="63" spans="1:11">
      <c r="A63" s="621"/>
      <c r="B63" s="621"/>
      <c r="C63" s="621"/>
      <c r="D63" s="621"/>
      <c r="E63" s="621"/>
      <c r="F63" s="621"/>
      <c r="G63" s="621"/>
      <c r="H63" s="621"/>
      <c r="I63" s="621"/>
      <c r="J63" s="621"/>
      <c r="K63" s="621"/>
    </row>
    <row r="64" spans="1:11">
      <c r="A64" s="621"/>
      <c r="B64" s="621"/>
      <c r="C64" s="621"/>
      <c r="D64" s="621"/>
      <c r="E64" s="621"/>
      <c r="F64" s="621"/>
      <c r="G64" s="621"/>
      <c r="H64" s="621"/>
      <c r="I64" s="621"/>
      <c r="J64" s="621"/>
      <c r="K64" s="621"/>
    </row>
    <row r="65" spans="1:11">
      <c r="A65" s="621"/>
      <c r="B65" s="621"/>
      <c r="C65" s="621"/>
      <c r="D65" s="621"/>
      <c r="E65" s="621"/>
      <c r="F65" s="621"/>
      <c r="G65" s="621"/>
      <c r="H65" s="621"/>
      <c r="I65" s="621"/>
      <c r="J65" s="621"/>
      <c r="K65" s="621"/>
    </row>
    <row r="66" spans="1:11">
      <c r="A66" s="621"/>
      <c r="B66" s="621"/>
      <c r="C66" s="621"/>
      <c r="D66" s="621"/>
      <c r="E66" s="621"/>
      <c r="F66" s="621"/>
      <c r="G66" s="621"/>
      <c r="H66" s="621"/>
      <c r="I66" s="621"/>
      <c r="J66" s="621"/>
      <c r="K66" s="621"/>
    </row>
    <row r="67" spans="1:11">
      <c r="A67" s="621"/>
      <c r="B67" s="621"/>
      <c r="C67" s="621"/>
      <c r="D67" s="621"/>
      <c r="E67" s="621"/>
      <c r="F67" s="621"/>
      <c r="G67" s="621"/>
      <c r="H67" s="621"/>
      <c r="I67" s="621"/>
      <c r="J67" s="621"/>
      <c r="K67" s="621"/>
    </row>
    <row r="68" spans="1:11">
      <c r="A68" s="621"/>
      <c r="B68" s="621"/>
      <c r="C68" s="621"/>
      <c r="D68" s="621"/>
      <c r="E68" s="621"/>
      <c r="F68" s="621"/>
      <c r="G68" s="621"/>
      <c r="H68" s="621"/>
      <c r="I68" s="621"/>
      <c r="J68" s="621"/>
      <c r="K68" s="621"/>
    </row>
    <row r="69" spans="1:11">
      <c r="A69" s="621"/>
      <c r="B69" s="621"/>
      <c r="C69" s="621"/>
      <c r="D69" s="621"/>
      <c r="E69" s="621"/>
      <c r="F69" s="621"/>
      <c r="G69" s="621"/>
      <c r="H69" s="621"/>
      <c r="I69" s="621"/>
      <c r="J69" s="621"/>
      <c r="K69" s="621"/>
    </row>
    <row r="70" spans="1:11">
      <c r="A70" s="621"/>
      <c r="B70" s="621"/>
      <c r="C70" s="621"/>
      <c r="D70" s="621"/>
      <c r="E70" s="621"/>
      <c r="F70" s="621"/>
      <c r="G70" s="621"/>
      <c r="H70" s="621"/>
      <c r="I70" s="621"/>
      <c r="J70" s="621"/>
      <c r="K70" s="621"/>
    </row>
  </sheetData>
  <pageMargins left="0.78740157480314965" right="0.78740157480314965" top="0.98425196850393704" bottom="0.98425196850393704" header="0.51181102362204722" footer="0.51181102362204722"/>
  <pageSetup paperSize="9" scale="61" fitToHeight="10" orientation="portrait" r:id="rId1"/>
  <headerFooter alignWithMargins="0">
    <oddHeader>&amp;LAC PALACHOVKA</oddHeader>
    <oddFooter>&amp;CStránka &amp;P</oddFooter>
  </headerFooter>
  <rowBreaks count="1" manualBreakCount="1">
    <brk id="24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43EA2-FC66-469E-8428-C57D5154F25D}">
  <dimension ref="A3:I18"/>
  <sheetViews>
    <sheetView topLeftCell="A4" zoomScale="90" zoomScaleNormal="90" workbookViewId="0">
      <selection activeCell="D128" sqref="D128"/>
    </sheetView>
  </sheetViews>
  <sheetFormatPr defaultColWidth="13.33203125" defaultRowHeight="12.5"/>
  <cols>
    <col min="1" max="1" width="6.109375" style="618" customWidth="1"/>
    <col min="2" max="2" width="49.6640625" style="618" customWidth="1"/>
    <col min="3" max="3" width="4.6640625" style="618" customWidth="1"/>
    <col min="4" max="6" width="11.109375" style="618" customWidth="1"/>
    <col min="7" max="256" width="13.33203125" style="618"/>
    <col min="257" max="257" width="6.109375" style="618" customWidth="1"/>
    <col min="258" max="258" width="49.6640625" style="618" customWidth="1"/>
    <col min="259" max="259" width="4.6640625" style="618" customWidth="1"/>
    <col min="260" max="262" width="11.109375" style="618" customWidth="1"/>
    <col min="263" max="512" width="13.33203125" style="618"/>
    <col min="513" max="513" width="6.109375" style="618" customWidth="1"/>
    <col min="514" max="514" width="49.6640625" style="618" customWidth="1"/>
    <col min="515" max="515" width="4.6640625" style="618" customWidth="1"/>
    <col min="516" max="518" width="11.109375" style="618" customWidth="1"/>
    <col min="519" max="768" width="13.33203125" style="618"/>
    <col min="769" max="769" width="6.109375" style="618" customWidth="1"/>
    <col min="770" max="770" width="49.6640625" style="618" customWidth="1"/>
    <col min="771" max="771" width="4.6640625" style="618" customWidth="1"/>
    <col min="772" max="774" width="11.109375" style="618" customWidth="1"/>
    <col min="775" max="1024" width="13.33203125" style="618"/>
    <col min="1025" max="1025" width="6.109375" style="618" customWidth="1"/>
    <col min="1026" max="1026" width="49.6640625" style="618" customWidth="1"/>
    <col min="1027" max="1027" width="4.6640625" style="618" customWidth="1"/>
    <col min="1028" max="1030" width="11.109375" style="618" customWidth="1"/>
    <col min="1031" max="1280" width="13.33203125" style="618"/>
    <col min="1281" max="1281" width="6.109375" style="618" customWidth="1"/>
    <col min="1282" max="1282" width="49.6640625" style="618" customWidth="1"/>
    <col min="1283" max="1283" width="4.6640625" style="618" customWidth="1"/>
    <col min="1284" max="1286" width="11.109375" style="618" customWidth="1"/>
    <col min="1287" max="1536" width="13.33203125" style="618"/>
    <col min="1537" max="1537" width="6.109375" style="618" customWidth="1"/>
    <col min="1538" max="1538" width="49.6640625" style="618" customWidth="1"/>
    <col min="1539" max="1539" width="4.6640625" style="618" customWidth="1"/>
    <col min="1540" max="1542" width="11.109375" style="618" customWidth="1"/>
    <col min="1543" max="1792" width="13.33203125" style="618"/>
    <col min="1793" max="1793" width="6.109375" style="618" customWidth="1"/>
    <col min="1794" max="1794" width="49.6640625" style="618" customWidth="1"/>
    <col min="1795" max="1795" width="4.6640625" style="618" customWidth="1"/>
    <col min="1796" max="1798" width="11.109375" style="618" customWidth="1"/>
    <col min="1799" max="2048" width="13.33203125" style="618"/>
    <col min="2049" max="2049" width="6.109375" style="618" customWidth="1"/>
    <col min="2050" max="2050" width="49.6640625" style="618" customWidth="1"/>
    <col min="2051" max="2051" width="4.6640625" style="618" customWidth="1"/>
    <col min="2052" max="2054" width="11.109375" style="618" customWidth="1"/>
    <col min="2055" max="2304" width="13.33203125" style="618"/>
    <col min="2305" max="2305" width="6.109375" style="618" customWidth="1"/>
    <col min="2306" max="2306" width="49.6640625" style="618" customWidth="1"/>
    <col min="2307" max="2307" width="4.6640625" style="618" customWidth="1"/>
    <col min="2308" max="2310" width="11.109375" style="618" customWidth="1"/>
    <col min="2311" max="2560" width="13.33203125" style="618"/>
    <col min="2561" max="2561" width="6.109375" style="618" customWidth="1"/>
    <col min="2562" max="2562" width="49.6640625" style="618" customWidth="1"/>
    <col min="2563" max="2563" width="4.6640625" style="618" customWidth="1"/>
    <col min="2564" max="2566" width="11.109375" style="618" customWidth="1"/>
    <col min="2567" max="2816" width="13.33203125" style="618"/>
    <col min="2817" max="2817" width="6.109375" style="618" customWidth="1"/>
    <col min="2818" max="2818" width="49.6640625" style="618" customWidth="1"/>
    <col min="2819" max="2819" width="4.6640625" style="618" customWidth="1"/>
    <col min="2820" max="2822" width="11.109375" style="618" customWidth="1"/>
    <col min="2823" max="3072" width="13.33203125" style="618"/>
    <col min="3073" max="3073" width="6.109375" style="618" customWidth="1"/>
    <col min="3074" max="3074" width="49.6640625" style="618" customWidth="1"/>
    <col min="3075" max="3075" width="4.6640625" style="618" customWidth="1"/>
    <col min="3076" max="3078" width="11.109375" style="618" customWidth="1"/>
    <col min="3079" max="3328" width="13.33203125" style="618"/>
    <col min="3329" max="3329" width="6.109375" style="618" customWidth="1"/>
    <col min="3330" max="3330" width="49.6640625" style="618" customWidth="1"/>
    <col min="3331" max="3331" width="4.6640625" style="618" customWidth="1"/>
    <col min="3332" max="3334" width="11.109375" style="618" customWidth="1"/>
    <col min="3335" max="3584" width="13.33203125" style="618"/>
    <col min="3585" max="3585" width="6.109375" style="618" customWidth="1"/>
    <col min="3586" max="3586" width="49.6640625" style="618" customWidth="1"/>
    <col min="3587" max="3587" width="4.6640625" style="618" customWidth="1"/>
    <col min="3588" max="3590" width="11.109375" style="618" customWidth="1"/>
    <col min="3591" max="3840" width="13.33203125" style="618"/>
    <col min="3841" max="3841" width="6.109375" style="618" customWidth="1"/>
    <col min="3842" max="3842" width="49.6640625" style="618" customWidth="1"/>
    <col min="3843" max="3843" width="4.6640625" style="618" customWidth="1"/>
    <col min="3844" max="3846" width="11.109375" style="618" customWidth="1"/>
    <col min="3847" max="4096" width="13.33203125" style="618"/>
    <col min="4097" max="4097" width="6.109375" style="618" customWidth="1"/>
    <col min="4098" max="4098" width="49.6640625" style="618" customWidth="1"/>
    <col min="4099" max="4099" width="4.6640625" style="618" customWidth="1"/>
    <col min="4100" max="4102" width="11.109375" style="618" customWidth="1"/>
    <col min="4103" max="4352" width="13.33203125" style="618"/>
    <col min="4353" max="4353" width="6.109375" style="618" customWidth="1"/>
    <col min="4354" max="4354" width="49.6640625" style="618" customWidth="1"/>
    <col min="4355" max="4355" width="4.6640625" style="618" customWidth="1"/>
    <col min="4356" max="4358" width="11.109375" style="618" customWidth="1"/>
    <col min="4359" max="4608" width="13.33203125" style="618"/>
    <col min="4609" max="4609" width="6.109375" style="618" customWidth="1"/>
    <col min="4610" max="4610" width="49.6640625" style="618" customWidth="1"/>
    <col min="4611" max="4611" width="4.6640625" style="618" customWidth="1"/>
    <col min="4612" max="4614" width="11.109375" style="618" customWidth="1"/>
    <col min="4615" max="4864" width="13.33203125" style="618"/>
    <col min="4865" max="4865" width="6.109375" style="618" customWidth="1"/>
    <col min="4866" max="4866" width="49.6640625" style="618" customWidth="1"/>
    <col min="4867" max="4867" width="4.6640625" style="618" customWidth="1"/>
    <col min="4868" max="4870" width="11.109375" style="618" customWidth="1"/>
    <col min="4871" max="5120" width="13.33203125" style="618"/>
    <col min="5121" max="5121" width="6.109375" style="618" customWidth="1"/>
    <col min="5122" max="5122" width="49.6640625" style="618" customWidth="1"/>
    <col min="5123" max="5123" width="4.6640625" style="618" customWidth="1"/>
    <col min="5124" max="5126" width="11.109375" style="618" customWidth="1"/>
    <col min="5127" max="5376" width="13.33203125" style="618"/>
    <col min="5377" max="5377" width="6.109375" style="618" customWidth="1"/>
    <col min="5378" max="5378" width="49.6640625" style="618" customWidth="1"/>
    <col min="5379" max="5379" width="4.6640625" style="618" customWidth="1"/>
    <col min="5380" max="5382" width="11.109375" style="618" customWidth="1"/>
    <col min="5383" max="5632" width="13.33203125" style="618"/>
    <col min="5633" max="5633" width="6.109375" style="618" customWidth="1"/>
    <col min="5634" max="5634" width="49.6640625" style="618" customWidth="1"/>
    <col min="5635" max="5635" width="4.6640625" style="618" customWidth="1"/>
    <col min="5636" max="5638" width="11.109375" style="618" customWidth="1"/>
    <col min="5639" max="5888" width="13.33203125" style="618"/>
    <col min="5889" max="5889" width="6.109375" style="618" customWidth="1"/>
    <col min="5890" max="5890" width="49.6640625" style="618" customWidth="1"/>
    <col min="5891" max="5891" width="4.6640625" style="618" customWidth="1"/>
    <col min="5892" max="5894" width="11.109375" style="618" customWidth="1"/>
    <col min="5895" max="6144" width="13.33203125" style="618"/>
    <col min="6145" max="6145" width="6.109375" style="618" customWidth="1"/>
    <col min="6146" max="6146" width="49.6640625" style="618" customWidth="1"/>
    <col min="6147" max="6147" width="4.6640625" style="618" customWidth="1"/>
    <col min="6148" max="6150" width="11.109375" style="618" customWidth="1"/>
    <col min="6151" max="6400" width="13.33203125" style="618"/>
    <col min="6401" max="6401" width="6.109375" style="618" customWidth="1"/>
    <col min="6402" max="6402" width="49.6640625" style="618" customWidth="1"/>
    <col min="6403" max="6403" width="4.6640625" style="618" customWidth="1"/>
    <col min="6404" max="6406" width="11.109375" style="618" customWidth="1"/>
    <col min="6407" max="6656" width="13.33203125" style="618"/>
    <col min="6657" max="6657" width="6.109375" style="618" customWidth="1"/>
    <col min="6658" max="6658" width="49.6640625" style="618" customWidth="1"/>
    <col min="6659" max="6659" width="4.6640625" style="618" customWidth="1"/>
    <col min="6660" max="6662" width="11.109375" style="618" customWidth="1"/>
    <col min="6663" max="6912" width="13.33203125" style="618"/>
    <col min="6913" max="6913" width="6.109375" style="618" customWidth="1"/>
    <col min="6914" max="6914" width="49.6640625" style="618" customWidth="1"/>
    <col min="6915" max="6915" width="4.6640625" style="618" customWidth="1"/>
    <col min="6916" max="6918" width="11.109375" style="618" customWidth="1"/>
    <col min="6919" max="7168" width="13.33203125" style="618"/>
    <col min="7169" max="7169" width="6.109375" style="618" customWidth="1"/>
    <col min="7170" max="7170" width="49.6640625" style="618" customWidth="1"/>
    <col min="7171" max="7171" width="4.6640625" style="618" customWidth="1"/>
    <col min="7172" max="7174" width="11.109375" style="618" customWidth="1"/>
    <col min="7175" max="7424" width="13.33203125" style="618"/>
    <col min="7425" max="7425" width="6.109375" style="618" customWidth="1"/>
    <col min="7426" max="7426" width="49.6640625" style="618" customWidth="1"/>
    <col min="7427" max="7427" width="4.6640625" style="618" customWidth="1"/>
    <col min="7428" max="7430" width="11.109375" style="618" customWidth="1"/>
    <col min="7431" max="7680" width="13.33203125" style="618"/>
    <col min="7681" max="7681" width="6.109375" style="618" customWidth="1"/>
    <col min="7682" max="7682" width="49.6640625" style="618" customWidth="1"/>
    <col min="7683" max="7683" width="4.6640625" style="618" customWidth="1"/>
    <col min="7684" max="7686" width="11.109375" style="618" customWidth="1"/>
    <col min="7687" max="7936" width="13.33203125" style="618"/>
    <col min="7937" max="7937" width="6.109375" style="618" customWidth="1"/>
    <col min="7938" max="7938" width="49.6640625" style="618" customWidth="1"/>
    <col min="7939" max="7939" width="4.6640625" style="618" customWidth="1"/>
    <col min="7940" max="7942" width="11.109375" style="618" customWidth="1"/>
    <col min="7943" max="8192" width="13.33203125" style="618"/>
    <col min="8193" max="8193" width="6.109375" style="618" customWidth="1"/>
    <col min="8194" max="8194" width="49.6640625" style="618" customWidth="1"/>
    <col min="8195" max="8195" width="4.6640625" style="618" customWidth="1"/>
    <col min="8196" max="8198" width="11.109375" style="618" customWidth="1"/>
    <col min="8199" max="8448" width="13.33203125" style="618"/>
    <col min="8449" max="8449" width="6.109375" style="618" customWidth="1"/>
    <col min="8450" max="8450" width="49.6640625" style="618" customWidth="1"/>
    <col min="8451" max="8451" width="4.6640625" style="618" customWidth="1"/>
    <col min="8452" max="8454" width="11.109375" style="618" customWidth="1"/>
    <col min="8455" max="8704" width="13.33203125" style="618"/>
    <col min="8705" max="8705" width="6.109375" style="618" customWidth="1"/>
    <col min="8706" max="8706" width="49.6640625" style="618" customWidth="1"/>
    <col min="8707" max="8707" width="4.6640625" style="618" customWidth="1"/>
    <col min="8708" max="8710" width="11.109375" style="618" customWidth="1"/>
    <col min="8711" max="8960" width="13.33203125" style="618"/>
    <col min="8961" max="8961" width="6.109375" style="618" customWidth="1"/>
    <col min="8962" max="8962" width="49.6640625" style="618" customWidth="1"/>
    <col min="8963" max="8963" width="4.6640625" style="618" customWidth="1"/>
    <col min="8964" max="8966" width="11.109375" style="618" customWidth="1"/>
    <col min="8967" max="9216" width="13.33203125" style="618"/>
    <col min="9217" max="9217" width="6.109375" style="618" customWidth="1"/>
    <col min="9218" max="9218" width="49.6640625" style="618" customWidth="1"/>
    <col min="9219" max="9219" width="4.6640625" style="618" customWidth="1"/>
    <col min="9220" max="9222" width="11.109375" style="618" customWidth="1"/>
    <col min="9223" max="9472" width="13.33203125" style="618"/>
    <col min="9473" max="9473" width="6.109375" style="618" customWidth="1"/>
    <col min="9474" max="9474" width="49.6640625" style="618" customWidth="1"/>
    <col min="9475" max="9475" width="4.6640625" style="618" customWidth="1"/>
    <col min="9476" max="9478" width="11.109375" style="618" customWidth="1"/>
    <col min="9479" max="9728" width="13.33203125" style="618"/>
    <col min="9729" max="9729" width="6.109375" style="618" customWidth="1"/>
    <col min="9730" max="9730" width="49.6640625" style="618" customWidth="1"/>
    <col min="9731" max="9731" width="4.6640625" style="618" customWidth="1"/>
    <col min="9732" max="9734" width="11.109375" style="618" customWidth="1"/>
    <col min="9735" max="9984" width="13.33203125" style="618"/>
    <col min="9985" max="9985" width="6.109375" style="618" customWidth="1"/>
    <col min="9986" max="9986" width="49.6640625" style="618" customWidth="1"/>
    <col min="9987" max="9987" width="4.6640625" style="618" customWidth="1"/>
    <col min="9988" max="9990" width="11.109375" style="618" customWidth="1"/>
    <col min="9991" max="10240" width="13.33203125" style="618"/>
    <col min="10241" max="10241" width="6.109375" style="618" customWidth="1"/>
    <col min="10242" max="10242" width="49.6640625" style="618" customWidth="1"/>
    <col min="10243" max="10243" width="4.6640625" style="618" customWidth="1"/>
    <col min="10244" max="10246" width="11.109375" style="618" customWidth="1"/>
    <col min="10247" max="10496" width="13.33203125" style="618"/>
    <col min="10497" max="10497" width="6.109375" style="618" customWidth="1"/>
    <col min="10498" max="10498" width="49.6640625" style="618" customWidth="1"/>
    <col min="10499" max="10499" width="4.6640625" style="618" customWidth="1"/>
    <col min="10500" max="10502" width="11.109375" style="618" customWidth="1"/>
    <col min="10503" max="10752" width="13.33203125" style="618"/>
    <col min="10753" max="10753" width="6.109375" style="618" customWidth="1"/>
    <col min="10754" max="10754" width="49.6640625" style="618" customWidth="1"/>
    <col min="10755" max="10755" width="4.6640625" style="618" customWidth="1"/>
    <col min="10756" max="10758" width="11.109375" style="618" customWidth="1"/>
    <col min="10759" max="11008" width="13.33203125" style="618"/>
    <col min="11009" max="11009" width="6.109375" style="618" customWidth="1"/>
    <col min="11010" max="11010" width="49.6640625" style="618" customWidth="1"/>
    <col min="11011" max="11011" width="4.6640625" style="618" customWidth="1"/>
    <col min="11012" max="11014" width="11.109375" style="618" customWidth="1"/>
    <col min="11015" max="11264" width="13.33203125" style="618"/>
    <col min="11265" max="11265" width="6.109375" style="618" customWidth="1"/>
    <col min="11266" max="11266" width="49.6640625" style="618" customWidth="1"/>
    <col min="11267" max="11267" width="4.6640625" style="618" customWidth="1"/>
    <col min="11268" max="11270" width="11.109375" style="618" customWidth="1"/>
    <col min="11271" max="11520" width="13.33203125" style="618"/>
    <col min="11521" max="11521" width="6.109375" style="618" customWidth="1"/>
    <col min="11522" max="11522" width="49.6640625" style="618" customWidth="1"/>
    <col min="11523" max="11523" width="4.6640625" style="618" customWidth="1"/>
    <col min="11524" max="11526" width="11.109375" style="618" customWidth="1"/>
    <col min="11527" max="11776" width="13.33203125" style="618"/>
    <col min="11777" max="11777" width="6.109375" style="618" customWidth="1"/>
    <col min="11778" max="11778" width="49.6640625" style="618" customWidth="1"/>
    <col min="11779" max="11779" width="4.6640625" style="618" customWidth="1"/>
    <col min="11780" max="11782" width="11.109375" style="618" customWidth="1"/>
    <col min="11783" max="12032" width="13.33203125" style="618"/>
    <col min="12033" max="12033" width="6.109375" style="618" customWidth="1"/>
    <col min="12034" max="12034" width="49.6640625" style="618" customWidth="1"/>
    <col min="12035" max="12035" width="4.6640625" style="618" customWidth="1"/>
    <col min="12036" max="12038" width="11.109375" style="618" customWidth="1"/>
    <col min="12039" max="12288" width="13.33203125" style="618"/>
    <col min="12289" max="12289" width="6.109375" style="618" customWidth="1"/>
    <col min="12290" max="12290" width="49.6640625" style="618" customWidth="1"/>
    <col min="12291" max="12291" width="4.6640625" style="618" customWidth="1"/>
    <col min="12292" max="12294" width="11.109375" style="618" customWidth="1"/>
    <col min="12295" max="12544" width="13.33203125" style="618"/>
    <col min="12545" max="12545" width="6.109375" style="618" customWidth="1"/>
    <col min="12546" max="12546" width="49.6640625" style="618" customWidth="1"/>
    <col min="12547" max="12547" width="4.6640625" style="618" customWidth="1"/>
    <col min="12548" max="12550" width="11.109375" style="618" customWidth="1"/>
    <col min="12551" max="12800" width="13.33203125" style="618"/>
    <col min="12801" max="12801" width="6.109375" style="618" customWidth="1"/>
    <col min="12802" max="12802" width="49.6640625" style="618" customWidth="1"/>
    <col min="12803" max="12803" width="4.6640625" style="618" customWidth="1"/>
    <col min="12804" max="12806" width="11.109375" style="618" customWidth="1"/>
    <col min="12807" max="13056" width="13.33203125" style="618"/>
    <col min="13057" max="13057" width="6.109375" style="618" customWidth="1"/>
    <col min="13058" max="13058" width="49.6640625" style="618" customWidth="1"/>
    <col min="13059" max="13059" width="4.6640625" style="618" customWidth="1"/>
    <col min="13060" max="13062" width="11.109375" style="618" customWidth="1"/>
    <col min="13063" max="13312" width="13.33203125" style="618"/>
    <col min="13313" max="13313" width="6.109375" style="618" customWidth="1"/>
    <col min="13314" max="13314" width="49.6640625" style="618" customWidth="1"/>
    <col min="13315" max="13315" width="4.6640625" style="618" customWidth="1"/>
    <col min="13316" max="13318" width="11.109375" style="618" customWidth="1"/>
    <col min="13319" max="13568" width="13.33203125" style="618"/>
    <col min="13569" max="13569" width="6.109375" style="618" customWidth="1"/>
    <col min="13570" max="13570" width="49.6640625" style="618" customWidth="1"/>
    <col min="13571" max="13571" width="4.6640625" style="618" customWidth="1"/>
    <col min="13572" max="13574" width="11.109375" style="618" customWidth="1"/>
    <col min="13575" max="13824" width="13.33203125" style="618"/>
    <col min="13825" max="13825" width="6.109375" style="618" customWidth="1"/>
    <col min="13826" max="13826" width="49.6640625" style="618" customWidth="1"/>
    <col min="13827" max="13827" width="4.6640625" style="618" customWidth="1"/>
    <col min="13828" max="13830" width="11.109375" style="618" customWidth="1"/>
    <col min="13831" max="14080" width="13.33203125" style="618"/>
    <col min="14081" max="14081" width="6.109375" style="618" customWidth="1"/>
    <col min="14082" max="14082" width="49.6640625" style="618" customWidth="1"/>
    <col min="14083" max="14083" width="4.6640625" style="618" customWidth="1"/>
    <col min="14084" max="14086" width="11.109375" style="618" customWidth="1"/>
    <col min="14087" max="14336" width="13.33203125" style="618"/>
    <col min="14337" max="14337" width="6.109375" style="618" customWidth="1"/>
    <col min="14338" max="14338" width="49.6640625" style="618" customWidth="1"/>
    <col min="14339" max="14339" width="4.6640625" style="618" customWidth="1"/>
    <col min="14340" max="14342" width="11.109375" style="618" customWidth="1"/>
    <col min="14343" max="14592" width="13.33203125" style="618"/>
    <col min="14593" max="14593" width="6.109375" style="618" customWidth="1"/>
    <col min="14594" max="14594" width="49.6640625" style="618" customWidth="1"/>
    <col min="14595" max="14595" width="4.6640625" style="618" customWidth="1"/>
    <col min="14596" max="14598" width="11.109375" style="618" customWidth="1"/>
    <col min="14599" max="14848" width="13.33203125" style="618"/>
    <col min="14849" max="14849" width="6.109375" style="618" customWidth="1"/>
    <col min="14850" max="14850" width="49.6640625" style="618" customWidth="1"/>
    <col min="14851" max="14851" width="4.6640625" style="618" customWidth="1"/>
    <col min="14852" max="14854" width="11.109375" style="618" customWidth="1"/>
    <col min="14855" max="15104" width="13.33203125" style="618"/>
    <col min="15105" max="15105" width="6.109375" style="618" customWidth="1"/>
    <col min="15106" max="15106" width="49.6640625" style="618" customWidth="1"/>
    <col min="15107" max="15107" width="4.6640625" style="618" customWidth="1"/>
    <col min="15108" max="15110" width="11.109375" style="618" customWidth="1"/>
    <col min="15111" max="15360" width="13.33203125" style="618"/>
    <col min="15361" max="15361" width="6.109375" style="618" customWidth="1"/>
    <col min="15362" max="15362" width="49.6640625" style="618" customWidth="1"/>
    <col min="15363" max="15363" width="4.6640625" style="618" customWidth="1"/>
    <col min="15364" max="15366" width="11.109375" style="618" customWidth="1"/>
    <col min="15367" max="15616" width="13.33203125" style="618"/>
    <col min="15617" max="15617" width="6.109375" style="618" customWidth="1"/>
    <col min="15618" max="15618" width="49.6640625" style="618" customWidth="1"/>
    <col min="15619" max="15619" width="4.6640625" style="618" customWidth="1"/>
    <col min="15620" max="15622" width="11.109375" style="618" customWidth="1"/>
    <col min="15623" max="15872" width="13.33203125" style="618"/>
    <col min="15873" max="15873" width="6.109375" style="618" customWidth="1"/>
    <col min="15874" max="15874" width="49.6640625" style="618" customWidth="1"/>
    <col min="15875" max="15875" width="4.6640625" style="618" customWidth="1"/>
    <col min="15876" max="15878" width="11.109375" style="618" customWidth="1"/>
    <col min="15879" max="16128" width="13.33203125" style="618"/>
    <col min="16129" max="16129" width="6.109375" style="618" customWidth="1"/>
    <col min="16130" max="16130" width="49.6640625" style="618" customWidth="1"/>
    <col min="16131" max="16131" width="4.6640625" style="618" customWidth="1"/>
    <col min="16132" max="16134" width="11.109375" style="618" customWidth="1"/>
    <col min="16135" max="16384" width="13.33203125" style="618"/>
  </cols>
  <sheetData>
    <row r="3" spans="1:9" ht="30.65" customHeight="1">
      <c r="B3" s="644" t="s">
        <v>3499</v>
      </c>
      <c r="C3" s="644"/>
      <c r="D3" s="644"/>
      <c r="E3" s="644"/>
      <c r="F3" s="644"/>
      <c r="G3" s="644"/>
      <c r="H3" s="644"/>
      <c r="I3" s="644"/>
    </row>
    <row r="5" spans="1:9" ht="53" thickTop="1" thickBot="1">
      <c r="A5" s="645" t="s">
        <v>3500</v>
      </c>
      <c r="B5" s="646" t="s">
        <v>3501</v>
      </c>
      <c r="C5" s="647" t="s">
        <v>3502</v>
      </c>
      <c r="D5" s="648" t="s">
        <v>3503</v>
      </c>
      <c r="E5" s="647" t="s">
        <v>3504</v>
      </c>
      <c r="F5" s="648" t="s">
        <v>3505</v>
      </c>
      <c r="G5" s="649" t="s">
        <v>3506</v>
      </c>
      <c r="H5" s="650" t="s">
        <v>3507</v>
      </c>
      <c r="I5" s="651" t="s">
        <v>3508</v>
      </c>
    </row>
    <row r="6" spans="1:9" ht="17.149999999999999" customHeight="1">
      <c r="A6" s="652"/>
      <c r="B6" s="653" t="s">
        <v>3509</v>
      </c>
      <c r="C6" s="654"/>
      <c r="D6" s="655"/>
      <c r="E6" s="656"/>
      <c r="F6" s="656"/>
      <c r="G6" s="656"/>
      <c r="H6" s="656"/>
      <c r="I6" s="657"/>
    </row>
    <row r="7" spans="1:9" ht="173.25" customHeight="1">
      <c r="A7" s="658" t="s">
        <v>3510</v>
      </c>
      <c r="B7" s="659" t="s">
        <v>3511</v>
      </c>
      <c r="C7" s="660">
        <v>2</v>
      </c>
      <c r="D7" s="661"/>
      <c r="E7" s="661"/>
      <c r="F7" s="662"/>
      <c r="G7" s="661">
        <f t="shared" ref="G7:G8" si="0">C7*D7</f>
        <v>0</v>
      </c>
      <c r="H7" s="661">
        <f t="shared" ref="H7:H8" si="1">C7*E7</f>
        <v>0</v>
      </c>
      <c r="I7" s="663">
        <f t="shared" ref="I7:I8" si="2">C7*F7</f>
        <v>0</v>
      </c>
    </row>
    <row r="8" spans="1:9" s="670" customFormat="1" ht="172.5" customHeight="1">
      <c r="A8" s="664" t="s">
        <v>3512</v>
      </c>
      <c r="B8" s="665" t="s">
        <v>3513</v>
      </c>
      <c r="C8" s="666">
        <v>2</v>
      </c>
      <c r="D8" s="667"/>
      <c r="E8" s="667"/>
      <c r="F8" s="668"/>
      <c r="G8" s="667">
        <f t="shared" si="0"/>
        <v>0</v>
      </c>
      <c r="H8" s="667">
        <f t="shared" si="1"/>
        <v>0</v>
      </c>
      <c r="I8" s="669">
        <f t="shared" si="2"/>
        <v>0</v>
      </c>
    </row>
    <row r="9" spans="1:9" ht="17.149999999999999" customHeight="1">
      <c r="A9" s="671"/>
      <c r="B9" s="672" t="s">
        <v>3514</v>
      </c>
      <c r="C9" s="660"/>
      <c r="D9" s="661"/>
      <c r="E9" s="661"/>
      <c r="F9" s="661"/>
      <c r="G9" s="673">
        <f>SUM(G7:G8)</f>
        <v>0</v>
      </c>
      <c r="H9" s="673">
        <f>SUM(H7:H8)</f>
        <v>0</v>
      </c>
      <c r="I9" s="674">
        <f>SUM(I7:I8)</f>
        <v>0</v>
      </c>
    </row>
    <row r="10" spans="1:9" ht="2.9" customHeight="1">
      <c r="A10" s="671"/>
      <c r="B10" s="675"/>
      <c r="C10" s="660"/>
      <c r="D10" s="661"/>
      <c r="E10" s="661"/>
      <c r="F10" s="661"/>
      <c r="G10" s="661"/>
      <c r="H10" s="661"/>
      <c r="I10" s="663"/>
    </row>
    <row r="11" spans="1:9" ht="17.149999999999999" customHeight="1">
      <c r="A11" s="676"/>
      <c r="B11" s="677" t="s">
        <v>621</v>
      </c>
      <c r="C11" s="678"/>
      <c r="D11" s="679"/>
      <c r="E11" s="661"/>
      <c r="F11" s="661"/>
      <c r="G11" s="680"/>
      <c r="H11" s="680"/>
      <c r="I11" s="681"/>
    </row>
    <row r="12" spans="1:9" ht="17.149999999999999" customHeight="1">
      <c r="A12" s="671" t="s">
        <v>3515</v>
      </c>
      <c r="B12" s="682" t="s">
        <v>3516</v>
      </c>
      <c r="C12" s="660">
        <v>1</v>
      </c>
      <c r="D12" s="661"/>
      <c r="E12" s="661"/>
      <c r="F12" s="662"/>
      <c r="G12" s="661">
        <f t="shared" ref="G12:G15" si="3">C12*D12</f>
        <v>0</v>
      </c>
      <c r="H12" s="661">
        <f t="shared" ref="H12:H15" si="4">C12*E12</f>
        <v>0</v>
      </c>
      <c r="I12" s="663">
        <f t="shared" ref="I12:I15" si="5">C12*F12</f>
        <v>0</v>
      </c>
    </row>
    <row r="13" spans="1:9" ht="17.149999999999999" customHeight="1">
      <c r="A13" s="671" t="s">
        <v>3517</v>
      </c>
      <c r="B13" s="682" t="s">
        <v>3518</v>
      </c>
      <c r="C13" s="660">
        <v>1</v>
      </c>
      <c r="D13" s="661"/>
      <c r="E13" s="661"/>
      <c r="F13" s="662"/>
      <c r="G13" s="661">
        <f t="shared" si="3"/>
        <v>0</v>
      </c>
      <c r="H13" s="661">
        <f t="shared" si="4"/>
        <v>0</v>
      </c>
      <c r="I13" s="663">
        <f t="shared" si="5"/>
        <v>0</v>
      </c>
    </row>
    <row r="14" spans="1:9" ht="17.149999999999999" customHeight="1">
      <c r="A14" s="671" t="s">
        <v>3519</v>
      </c>
      <c r="B14" s="682" t="s">
        <v>3520</v>
      </c>
      <c r="C14" s="660">
        <v>1</v>
      </c>
      <c r="D14" s="661"/>
      <c r="E14" s="661"/>
      <c r="F14" s="662"/>
      <c r="G14" s="661">
        <f t="shared" si="3"/>
        <v>0</v>
      </c>
      <c r="H14" s="661">
        <f t="shared" si="4"/>
        <v>0</v>
      </c>
      <c r="I14" s="663">
        <f t="shared" si="5"/>
        <v>0</v>
      </c>
    </row>
    <row r="15" spans="1:9" ht="17.149999999999999" customHeight="1">
      <c r="A15" s="671" t="s">
        <v>3521</v>
      </c>
      <c r="B15" s="682" t="s">
        <v>3522</v>
      </c>
      <c r="C15" s="660">
        <v>1</v>
      </c>
      <c r="D15" s="661"/>
      <c r="E15" s="661"/>
      <c r="F15" s="662"/>
      <c r="G15" s="661">
        <f t="shared" si="3"/>
        <v>0</v>
      </c>
      <c r="H15" s="661">
        <f t="shared" si="4"/>
        <v>0</v>
      </c>
      <c r="I15" s="663">
        <f t="shared" si="5"/>
        <v>0</v>
      </c>
    </row>
    <row r="16" spans="1:9" ht="17.149999999999999" customHeight="1" thickBot="1">
      <c r="A16" s="683"/>
      <c r="B16" s="684" t="s">
        <v>3523</v>
      </c>
      <c r="C16" s="678"/>
      <c r="D16" s="679"/>
      <c r="E16" s="685"/>
      <c r="F16" s="680"/>
      <c r="G16" s="673">
        <f>SUM(G12:G15)</f>
        <v>0</v>
      </c>
      <c r="H16" s="673">
        <f>SUM(H12:H15)</f>
        <v>0</v>
      </c>
      <c r="I16" s="674">
        <f>SUM(I12:I15)</f>
        <v>0</v>
      </c>
    </row>
    <row r="17" spans="1:9" ht="20.149999999999999" customHeight="1" thickBot="1">
      <c r="A17" s="686" t="s">
        <v>3524</v>
      </c>
      <c r="B17" s="687"/>
      <c r="C17" s="688"/>
      <c r="D17" s="689"/>
      <c r="E17" s="690"/>
      <c r="F17" s="691"/>
      <c r="G17" s="692">
        <f>G9+G16</f>
        <v>0</v>
      </c>
      <c r="H17" s="692">
        <f>H9+H16</f>
        <v>0</v>
      </c>
      <c r="I17" s="693">
        <f>I9+I16</f>
        <v>0</v>
      </c>
    </row>
    <row r="18" spans="1:9" ht="13.5" thickTop="1">
      <c r="A18" s="694"/>
      <c r="B18" s="695"/>
      <c r="C18" s="694"/>
      <c r="D18" s="696"/>
      <c r="E18" s="697"/>
      <c r="F18" s="697"/>
      <c r="G18" s="697"/>
      <c r="H18" s="697"/>
      <c r="I18" s="697"/>
    </row>
  </sheetData>
  <sheetProtection selectLockedCells="1" selectUnlockedCells="1"/>
  <mergeCells count="1">
    <mergeCell ref="B3:I3"/>
  </mergeCells>
  <pageMargins left="0.39374999999999999" right="0.39374999999999999" top="0.39374999999999999" bottom="0.39374999999999999" header="0.51180555555555551" footer="0.51180555555555551"/>
  <pageSetup paperSize="9" scale="77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5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88</v>
      </c>
    </row>
    <row r="3" spans="1:4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5" customHeight="1">
      <c r="B4" s="21"/>
      <c r="D4" s="104" t="s">
        <v>89</v>
      </c>
      <c r="L4" s="21"/>
      <c r="M4" s="105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gymnáziu Hostivice - rekonstrukce gymnázia II.etapa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90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2563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9. 12. 2022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32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33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33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ROUND(J85,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17" t="s">
        <v>42</v>
      </c>
      <c r="E33" s="106" t="s">
        <v>43</v>
      </c>
      <c r="F33" s="118">
        <f>ROUND((SUM(BE85:BE124)),  2)</f>
        <v>0</v>
      </c>
      <c r="G33" s="35"/>
      <c r="H33" s="35"/>
      <c r="I33" s="119">
        <v>0.21</v>
      </c>
      <c r="J33" s="118">
        <f>ROUND(((SUM(BE85:BE124))*I33),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06" t="s">
        <v>44</v>
      </c>
      <c r="F34" s="118">
        <f>ROUND((SUM(BF85:BF124)),  2)</f>
        <v>0</v>
      </c>
      <c r="G34" s="35"/>
      <c r="H34" s="35"/>
      <c r="I34" s="119">
        <v>0.15</v>
      </c>
      <c r="J34" s="118">
        <f>ROUND(((SUM(BF85:BF124))*I34),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45</v>
      </c>
      <c r="F35" s="118">
        <f>ROUND((SUM(BG85:BG124)),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46</v>
      </c>
      <c r="F36" s="118">
        <f>ROUND((SUM(BH85:BH124)),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47</v>
      </c>
      <c r="F37" s="118">
        <f>ROUND((SUM(BI85:BI124)),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gymnáziu Hostivice - rekonstrukce gymnázia II.etapa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5" t="str">
        <f>E9</f>
        <v>03 - Vedlejší rozpočtové náklady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Gymnázium Hostivice, Komenského 141</v>
      </c>
      <c r="G52" s="37"/>
      <c r="H52" s="37"/>
      <c r="I52" s="30" t="s">
        <v>23</v>
      </c>
      <c r="J52" s="60" t="str">
        <f>IF(J12="","",J12)</f>
        <v>9. 12. 2022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15" customHeight="1">
      <c r="A54" s="35"/>
      <c r="B54" s="36"/>
      <c r="C54" s="30" t="s">
        <v>25</v>
      </c>
      <c r="D54" s="37"/>
      <c r="E54" s="37"/>
      <c r="F54" s="28" t="str">
        <f>E15</f>
        <v>Středočeský kraj, Zborovská 81/11, Praha 5</v>
      </c>
      <c r="G54" s="37"/>
      <c r="H54" s="37"/>
      <c r="I54" s="30" t="s">
        <v>31</v>
      </c>
      <c r="J54" s="33" t="str">
        <f>E21</f>
        <v>Ing. Petr Petele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Petr Petele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2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93</v>
      </c>
      <c r="D57" s="132"/>
      <c r="E57" s="132"/>
      <c r="F57" s="132"/>
      <c r="G57" s="132"/>
      <c r="H57" s="132"/>
      <c r="I57" s="132"/>
      <c r="J57" s="133" t="s">
        <v>94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2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75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J85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5" customHeight="1">
      <c r="B60" s="135"/>
      <c r="C60" s="136"/>
      <c r="D60" s="137" t="s">
        <v>111</v>
      </c>
      <c r="E60" s="138"/>
      <c r="F60" s="138"/>
      <c r="G60" s="138"/>
      <c r="H60" s="138"/>
      <c r="I60" s="138"/>
      <c r="J60" s="139">
        <f>J86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2564</v>
      </c>
      <c r="E61" s="144"/>
      <c r="F61" s="144"/>
      <c r="G61" s="144"/>
      <c r="H61" s="144"/>
      <c r="I61" s="144"/>
      <c r="J61" s="145">
        <f>J87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2565</v>
      </c>
      <c r="E62" s="144"/>
      <c r="F62" s="144"/>
      <c r="G62" s="144"/>
      <c r="H62" s="144"/>
      <c r="I62" s="144"/>
      <c r="J62" s="145">
        <f>J109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2566</v>
      </c>
      <c r="E63" s="144"/>
      <c r="F63" s="144"/>
      <c r="G63" s="144"/>
      <c r="H63" s="144"/>
      <c r="I63" s="144"/>
      <c r="J63" s="145">
        <f>J116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2567</v>
      </c>
      <c r="E64" s="144"/>
      <c r="F64" s="144"/>
      <c r="G64" s="144"/>
      <c r="H64" s="144"/>
      <c r="I64" s="144"/>
      <c r="J64" s="145">
        <f>J119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112</v>
      </c>
      <c r="E65" s="144"/>
      <c r="F65" s="144"/>
      <c r="G65" s="144"/>
      <c r="H65" s="144"/>
      <c r="I65" s="144"/>
      <c r="J65" s="145">
        <f>J122</f>
        <v>0</v>
      </c>
      <c r="K65" s="142"/>
      <c r="L65" s="146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7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7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5" customHeight="1">
      <c r="A72" s="35"/>
      <c r="B72" s="36"/>
      <c r="C72" s="24" t="s">
        <v>113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7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73" t="str">
        <f>E7</f>
        <v>gymnáziu Hostivice - rekonstrukce gymnázia II.etapa</v>
      </c>
      <c r="F75" s="374"/>
      <c r="G75" s="374"/>
      <c r="H75" s="374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90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45" t="str">
        <f>E9</f>
        <v>03 - Vedlejší rozpočtové náklady</v>
      </c>
      <c r="F77" s="375"/>
      <c r="G77" s="375"/>
      <c r="H77" s="375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7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7"/>
      <c r="E79" s="37"/>
      <c r="F79" s="28" t="str">
        <f>F12</f>
        <v>Gymnázium Hostivice, Komenského 141</v>
      </c>
      <c r="G79" s="37"/>
      <c r="H79" s="37"/>
      <c r="I79" s="30" t="s">
        <v>23</v>
      </c>
      <c r="J79" s="60" t="str">
        <f>IF(J12="","",J12)</f>
        <v>9. 12. 2022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7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15" customHeight="1">
      <c r="A81" s="35"/>
      <c r="B81" s="36"/>
      <c r="C81" s="30" t="s">
        <v>25</v>
      </c>
      <c r="D81" s="37"/>
      <c r="E81" s="37"/>
      <c r="F81" s="28" t="str">
        <f>E15</f>
        <v>Středočeský kraj, Zborovská 81/11, Praha 5</v>
      </c>
      <c r="G81" s="37"/>
      <c r="H81" s="37"/>
      <c r="I81" s="30" t="s">
        <v>31</v>
      </c>
      <c r="J81" s="33" t="str">
        <f>E21</f>
        <v>Ing. Petr Petele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15" customHeight="1">
      <c r="A82" s="35"/>
      <c r="B82" s="36"/>
      <c r="C82" s="30" t="s">
        <v>29</v>
      </c>
      <c r="D82" s="37"/>
      <c r="E82" s="37"/>
      <c r="F82" s="28" t="str">
        <f>IF(E18="","",E18)</f>
        <v>Vyplň údaj</v>
      </c>
      <c r="G82" s="37"/>
      <c r="H82" s="37"/>
      <c r="I82" s="30" t="s">
        <v>35</v>
      </c>
      <c r="J82" s="33" t="str">
        <f>E24</f>
        <v>Ing. Petr Petele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2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7"/>
      <c r="B84" s="148"/>
      <c r="C84" s="149" t="s">
        <v>114</v>
      </c>
      <c r="D84" s="150" t="s">
        <v>57</v>
      </c>
      <c r="E84" s="150" t="s">
        <v>53</v>
      </c>
      <c r="F84" s="150" t="s">
        <v>54</v>
      </c>
      <c r="G84" s="150" t="s">
        <v>115</v>
      </c>
      <c r="H84" s="150" t="s">
        <v>116</v>
      </c>
      <c r="I84" s="150" t="s">
        <v>117</v>
      </c>
      <c r="J84" s="150" t="s">
        <v>94</v>
      </c>
      <c r="K84" s="151" t="s">
        <v>118</v>
      </c>
      <c r="L84" s="152"/>
      <c r="M84" s="69" t="s">
        <v>19</v>
      </c>
      <c r="N84" s="70" t="s">
        <v>42</v>
      </c>
      <c r="O84" s="70" t="s">
        <v>119</v>
      </c>
      <c r="P84" s="70" t="s">
        <v>120</v>
      </c>
      <c r="Q84" s="70" t="s">
        <v>121</v>
      </c>
      <c r="R84" s="70" t="s">
        <v>122</v>
      </c>
      <c r="S84" s="70" t="s">
        <v>123</v>
      </c>
      <c r="T84" s="71" t="s">
        <v>124</v>
      </c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65" s="2" customFormat="1" ht="22.75" customHeight="1">
      <c r="A85" s="35"/>
      <c r="B85" s="36"/>
      <c r="C85" s="76" t="s">
        <v>125</v>
      </c>
      <c r="D85" s="37"/>
      <c r="E85" s="37"/>
      <c r="F85" s="37"/>
      <c r="G85" s="37"/>
      <c r="H85" s="37"/>
      <c r="I85" s="37"/>
      <c r="J85" s="153">
        <f>BK85</f>
        <v>0</v>
      </c>
      <c r="K85" s="37"/>
      <c r="L85" s="40"/>
      <c r="M85" s="72"/>
      <c r="N85" s="154"/>
      <c r="O85" s="73"/>
      <c r="P85" s="155">
        <f>P86</f>
        <v>0</v>
      </c>
      <c r="Q85" s="73"/>
      <c r="R85" s="155">
        <f>R86</f>
        <v>0</v>
      </c>
      <c r="S85" s="73"/>
      <c r="T85" s="156">
        <f>T86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71</v>
      </c>
      <c r="AU85" s="18" t="s">
        <v>95</v>
      </c>
      <c r="BK85" s="157">
        <f>BK86</f>
        <v>0</v>
      </c>
    </row>
    <row r="86" spans="1:65" s="12" customFormat="1" ht="25.9" customHeight="1">
      <c r="B86" s="158"/>
      <c r="C86" s="159"/>
      <c r="D86" s="160" t="s">
        <v>71</v>
      </c>
      <c r="E86" s="161" t="s">
        <v>619</v>
      </c>
      <c r="F86" s="161" t="s">
        <v>87</v>
      </c>
      <c r="G86" s="159"/>
      <c r="H86" s="159"/>
      <c r="I86" s="162"/>
      <c r="J86" s="163">
        <f>BK86</f>
        <v>0</v>
      </c>
      <c r="K86" s="159"/>
      <c r="L86" s="164"/>
      <c r="M86" s="165"/>
      <c r="N86" s="166"/>
      <c r="O86" s="166"/>
      <c r="P86" s="167">
        <f>P87+P109+P116+P119+P122</f>
        <v>0</v>
      </c>
      <c r="Q86" s="166"/>
      <c r="R86" s="167">
        <f>R87+R109+R116+R119+R122</f>
        <v>0</v>
      </c>
      <c r="S86" s="166"/>
      <c r="T86" s="168">
        <f>T87+T109+T116+T119+T122</f>
        <v>0</v>
      </c>
      <c r="AR86" s="169" t="s">
        <v>160</v>
      </c>
      <c r="AT86" s="170" t="s">
        <v>71</v>
      </c>
      <c r="AU86" s="170" t="s">
        <v>72</v>
      </c>
      <c r="AY86" s="169" t="s">
        <v>128</v>
      </c>
      <c r="BK86" s="171">
        <f>BK87+BK109+BK116+BK119+BK122</f>
        <v>0</v>
      </c>
    </row>
    <row r="87" spans="1:65" s="12" customFormat="1" ht="22.75" customHeight="1">
      <c r="B87" s="158"/>
      <c r="C87" s="159"/>
      <c r="D87" s="160" t="s">
        <v>71</v>
      </c>
      <c r="E87" s="172" t="s">
        <v>2568</v>
      </c>
      <c r="F87" s="172" t="s">
        <v>2569</v>
      </c>
      <c r="G87" s="159"/>
      <c r="H87" s="159"/>
      <c r="I87" s="162"/>
      <c r="J87" s="173">
        <f>BK87</f>
        <v>0</v>
      </c>
      <c r="K87" s="159"/>
      <c r="L87" s="164"/>
      <c r="M87" s="165"/>
      <c r="N87" s="166"/>
      <c r="O87" s="166"/>
      <c r="P87" s="167">
        <f>SUM(P88:P108)</f>
        <v>0</v>
      </c>
      <c r="Q87" s="166"/>
      <c r="R87" s="167">
        <f>SUM(R88:R108)</f>
        <v>0</v>
      </c>
      <c r="S87" s="166"/>
      <c r="T87" s="168">
        <f>SUM(T88:T108)</f>
        <v>0</v>
      </c>
      <c r="AR87" s="169" t="s">
        <v>160</v>
      </c>
      <c r="AT87" s="170" t="s">
        <v>71</v>
      </c>
      <c r="AU87" s="170" t="s">
        <v>80</v>
      </c>
      <c r="AY87" s="169" t="s">
        <v>128</v>
      </c>
      <c r="BK87" s="171">
        <f>SUM(BK88:BK108)</f>
        <v>0</v>
      </c>
    </row>
    <row r="88" spans="1:65" s="2" customFormat="1" ht="16.5" customHeight="1">
      <c r="A88" s="35"/>
      <c r="B88" s="36"/>
      <c r="C88" s="174" t="s">
        <v>80</v>
      </c>
      <c r="D88" s="174" t="s">
        <v>130</v>
      </c>
      <c r="E88" s="175" t="s">
        <v>2570</v>
      </c>
      <c r="F88" s="176" t="s">
        <v>2571</v>
      </c>
      <c r="G88" s="177" t="s">
        <v>192</v>
      </c>
      <c r="H88" s="178">
        <v>1</v>
      </c>
      <c r="I88" s="179"/>
      <c r="J88" s="180">
        <f>ROUND(I88*H88,2)</f>
        <v>0</v>
      </c>
      <c r="K88" s="176" t="s">
        <v>134</v>
      </c>
      <c r="L88" s="40"/>
      <c r="M88" s="181" t="s">
        <v>19</v>
      </c>
      <c r="N88" s="182" t="s">
        <v>43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625</v>
      </c>
      <c r="AT88" s="185" t="s">
        <v>130</v>
      </c>
      <c r="AU88" s="185" t="s">
        <v>82</v>
      </c>
      <c r="AY88" s="18" t="s">
        <v>128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80</v>
      </c>
      <c r="BK88" s="186">
        <f>ROUND(I88*H88,2)</f>
        <v>0</v>
      </c>
      <c r="BL88" s="18" t="s">
        <v>625</v>
      </c>
      <c r="BM88" s="185" t="s">
        <v>2572</v>
      </c>
    </row>
    <row r="89" spans="1:65" s="2" customFormat="1" ht="10">
      <c r="A89" s="35"/>
      <c r="B89" s="36"/>
      <c r="C89" s="37"/>
      <c r="D89" s="187" t="s">
        <v>137</v>
      </c>
      <c r="E89" s="37"/>
      <c r="F89" s="188" t="s">
        <v>2573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137</v>
      </c>
      <c r="AU89" s="18" t="s">
        <v>82</v>
      </c>
    </row>
    <row r="90" spans="1:65" s="2" customFormat="1" ht="18">
      <c r="A90" s="35"/>
      <c r="B90" s="36"/>
      <c r="C90" s="37"/>
      <c r="D90" s="194" t="s">
        <v>2574</v>
      </c>
      <c r="E90" s="37"/>
      <c r="F90" s="244" t="s">
        <v>2575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2574</v>
      </c>
      <c r="AU90" s="18" t="s">
        <v>82</v>
      </c>
    </row>
    <row r="91" spans="1:65" s="2" customFormat="1" ht="16.5" customHeight="1">
      <c r="A91" s="35"/>
      <c r="B91" s="36"/>
      <c r="C91" s="174" t="s">
        <v>82</v>
      </c>
      <c r="D91" s="174" t="s">
        <v>130</v>
      </c>
      <c r="E91" s="175" t="s">
        <v>2576</v>
      </c>
      <c r="F91" s="176" t="s">
        <v>2577</v>
      </c>
      <c r="G91" s="177" t="s">
        <v>192</v>
      </c>
      <c r="H91" s="178">
        <v>1</v>
      </c>
      <c r="I91" s="179"/>
      <c r="J91" s="180">
        <f>ROUND(I91*H91,2)</f>
        <v>0</v>
      </c>
      <c r="K91" s="176" t="s">
        <v>134</v>
      </c>
      <c r="L91" s="40"/>
      <c r="M91" s="181" t="s">
        <v>19</v>
      </c>
      <c r="N91" s="182" t="s">
        <v>43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625</v>
      </c>
      <c r="AT91" s="185" t="s">
        <v>130</v>
      </c>
      <c r="AU91" s="185" t="s">
        <v>82</v>
      </c>
      <c r="AY91" s="18" t="s">
        <v>128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80</v>
      </c>
      <c r="BK91" s="186">
        <f>ROUND(I91*H91,2)</f>
        <v>0</v>
      </c>
      <c r="BL91" s="18" t="s">
        <v>625</v>
      </c>
      <c r="BM91" s="185" t="s">
        <v>2578</v>
      </c>
    </row>
    <row r="92" spans="1:65" s="2" customFormat="1" ht="10">
      <c r="A92" s="35"/>
      <c r="B92" s="36"/>
      <c r="C92" s="37"/>
      <c r="D92" s="187" t="s">
        <v>137</v>
      </c>
      <c r="E92" s="37"/>
      <c r="F92" s="188" t="s">
        <v>2579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137</v>
      </c>
      <c r="AU92" s="18" t="s">
        <v>82</v>
      </c>
    </row>
    <row r="93" spans="1:65" s="2" customFormat="1" ht="18">
      <c r="A93" s="35"/>
      <c r="B93" s="36"/>
      <c r="C93" s="37"/>
      <c r="D93" s="194" t="s">
        <v>2574</v>
      </c>
      <c r="E93" s="37"/>
      <c r="F93" s="244" t="s">
        <v>2580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2574</v>
      </c>
      <c r="AU93" s="18" t="s">
        <v>82</v>
      </c>
    </row>
    <row r="94" spans="1:65" s="2" customFormat="1" ht="16.5" customHeight="1">
      <c r="A94" s="35"/>
      <c r="B94" s="36"/>
      <c r="C94" s="174" t="s">
        <v>145</v>
      </c>
      <c r="D94" s="174" t="s">
        <v>130</v>
      </c>
      <c r="E94" s="175" t="s">
        <v>2581</v>
      </c>
      <c r="F94" s="176" t="s">
        <v>2582</v>
      </c>
      <c r="G94" s="177" t="s">
        <v>192</v>
      </c>
      <c r="H94" s="178">
        <v>1</v>
      </c>
      <c r="I94" s="179"/>
      <c r="J94" s="180">
        <f>ROUND(I94*H94,2)</f>
        <v>0</v>
      </c>
      <c r="K94" s="176" t="s">
        <v>134</v>
      </c>
      <c r="L94" s="40"/>
      <c r="M94" s="181" t="s">
        <v>19</v>
      </c>
      <c r="N94" s="182" t="s">
        <v>43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625</v>
      </c>
      <c r="AT94" s="185" t="s">
        <v>130</v>
      </c>
      <c r="AU94" s="185" t="s">
        <v>82</v>
      </c>
      <c r="AY94" s="18" t="s">
        <v>128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80</v>
      </c>
      <c r="BK94" s="186">
        <f>ROUND(I94*H94,2)</f>
        <v>0</v>
      </c>
      <c r="BL94" s="18" t="s">
        <v>625</v>
      </c>
      <c r="BM94" s="185" t="s">
        <v>2583</v>
      </c>
    </row>
    <row r="95" spans="1:65" s="2" customFormat="1" ht="10">
      <c r="A95" s="35"/>
      <c r="B95" s="36"/>
      <c r="C95" s="37"/>
      <c r="D95" s="187" t="s">
        <v>137</v>
      </c>
      <c r="E95" s="37"/>
      <c r="F95" s="188" t="s">
        <v>2584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137</v>
      </c>
      <c r="AU95" s="18" t="s">
        <v>82</v>
      </c>
    </row>
    <row r="96" spans="1:65" s="2" customFormat="1" ht="16.5" customHeight="1">
      <c r="A96" s="35"/>
      <c r="B96" s="36"/>
      <c r="C96" s="174" t="s">
        <v>135</v>
      </c>
      <c r="D96" s="174" t="s">
        <v>130</v>
      </c>
      <c r="E96" s="175" t="s">
        <v>2585</v>
      </c>
      <c r="F96" s="176" t="s">
        <v>2586</v>
      </c>
      <c r="G96" s="177" t="s">
        <v>192</v>
      </c>
      <c r="H96" s="178">
        <v>1</v>
      </c>
      <c r="I96" s="179"/>
      <c r="J96" s="180">
        <f>ROUND(I96*H96,2)</f>
        <v>0</v>
      </c>
      <c r="K96" s="176" t="s">
        <v>134</v>
      </c>
      <c r="L96" s="40"/>
      <c r="M96" s="181" t="s">
        <v>19</v>
      </c>
      <c r="N96" s="182" t="s">
        <v>43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625</v>
      </c>
      <c r="AT96" s="185" t="s">
        <v>130</v>
      </c>
      <c r="AU96" s="185" t="s">
        <v>82</v>
      </c>
      <c r="AY96" s="18" t="s">
        <v>128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80</v>
      </c>
      <c r="BK96" s="186">
        <f>ROUND(I96*H96,2)</f>
        <v>0</v>
      </c>
      <c r="BL96" s="18" t="s">
        <v>625</v>
      </c>
      <c r="BM96" s="185" t="s">
        <v>2587</v>
      </c>
    </row>
    <row r="97" spans="1:65" s="2" customFormat="1" ht="10">
      <c r="A97" s="35"/>
      <c r="B97" s="36"/>
      <c r="C97" s="37"/>
      <c r="D97" s="187" t="s">
        <v>137</v>
      </c>
      <c r="E97" s="37"/>
      <c r="F97" s="188" t="s">
        <v>2588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137</v>
      </c>
      <c r="AU97" s="18" t="s">
        <v>82</v>
      </c>
    </row>
    <row r="98" spans="1:65" s="2" customFormat="1" ht="36">
      <c r="A98" s="35"/>
      <c r="B98" s="36"/>
      <c r="C98" s="37"/>
      <c r="D98" s="194" t="s">
        <v>2574</v>
      </c>
      <c r="E98" s="37"/>
      <c r="F98" s="244" t="s">
        <v>2589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2574</v>
      </c>
      <c r="AU98" s="18" t="s">
        <v>82</v>
      </c>
    </row>
    <row r="99" spans="1:65" s="2" customFormat="1" ht="16.5" customHeight="1">
      <c r="A99" s="35"/>
      <c r="B99" s="36"/>
      <c r="C99" s="174" t="s">
        <v>160</v>
      </c>
      <c r="D99" s="174" t="s">
        <v>130</v>
      </c>
      <c r="E99" s="175" t="s">
        <v>2590</v>
      </c>
      <c r="F99" s="176" t="s">
        <v>2591</v>
      </c>
      <c r="G99" s="177" t="s">
        <v>192</v>
      </c>
      <c r="H99" s="178">
        <v>1</v>
      </c>
      <c r="I99" s="179"/>
      <c r="J99" s="180">
        <f>ROUND(I99*H99,2)</f>
        <v>0</v>
      </c>
      <c r="K99" s="176" t="s">
        <v>134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625</v>
      </c>
      <c r="AT99" s="185" t="s">
        <v>130</v>
      </c>
      <c r="AU99" s="185" t="s">
        <v>82</v>
      </c>
      <c r="AY99" s="18" t="s">
        <v>128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625</v>
      </c>
      <c r="BM99" s="185" t="s">
        <v>2592</v>
      </c>
    </row>
    <row r="100" spans="1:65" s="2" customFormat="1" ht="10">
      <c r="A100" s="35"/>
      <c r="B100" s="36"/>
      <c r="C100" s="37"/>
      <c r="D100" s="187" t="s">
        <v>137</v>
      </c>
      <c r="E100" s="37"/>
      <c r="F100" s="188" t="s">
        <v>2593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137</v>
      </c>
      <c r="AU100" s="18" t="s">
        <v>82</v>
      </c>
    </row>
    <row r="101" spans="1:65" s="2" customFormat="1" ht="16.5" customHeight="1">
      <c r="A101" s="35"/>
      <c r="B101" s="36"/>
      <c r="C101" s="174" t="s">
        <v>166</v>
      </c>
      <c r="D101" s="174" t="s">
        <v>130</v>
      </c>
      <c r="E101" s="175" t="s">
        <v>2594</v>
      </c>
      <c r="F101" s="176" t="s">
        <v>2595</v>
      </c>
      <c r="G101" s="177" t="s">
        <v>192</v>
      </c>
      <c r="H101" s="178">
        <v>1</v>
      </c>
      <c r="I101" s="179"/>
      <c r="J101" s="180">
        <f>ROUND(I101*H101,2)</f>
        <v>0</v>
      </c>
      <c r="K101" s="176" t="s">
        <v>19</v>
      </c>
      <c r="L101" s="40"/>
      <c r="M101" s="181" t="s">
        <v>19</v>
      </c>
      <c r="N101" s="182" t="s">
        <v>43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625</v>
      </c>
      <c r="AT101" s="185" t="s">
        <v>130</v>
      </c>
      <c r="AU101" s="185" t="s">
        <v>82</v>
      </c>
      <c r="AY101" s="18" t="s">
        <v>128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80</v>
      </c>
      <c r="BK101" s="186">
        <f>ROUND(I101*H101,2)</f>
        <v>0</v>
      </c>
      <c r="BL101" s="18" t="s">
        <v>625</v>
      </c>
      <c r="BM101" s="185" t="s">
        <v>2596</v>
      </c>
    </row>
    <row r="102" spans="1:65" s="2" customFormat="1" ht="16.5" customHeight="1">
      <c r="A102" s="35"/>
      <c r="B102" s="36"/>
      <c r="C102" s="174" t="s">
        <v>171</v>
      </c>
      <c r="D102" s="174" t="s">
        <v>130</v>
      </c>
      <c r="E102" s="175" t="s">
        <v>2597</v>
      </c>
      <c r="F102" s="176" t="s">
        <v>2598</v>
      </c>
      <c r="G102" s="177" t="s">
        <v>192</v>
      </c>
      <c r="H102" s="178">
        <v>1</v>
      </c>
      <c r="I102" s="179"/>
      <c r="J102" s="180">
        <f>ROUND(I102*H102,2)</f>
        <v>0</v>
      </c>
      <c r="K102" s="176" t="s">
        <v>134</v>
      </c>
      <c r="L102" s="40"/>
      <c r="M102" s="181" t="s">
        <v>19</v>
      </c>
      <c r="N102" s="182" t="s">
        <v>43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625</v>
      </c>
      <c r="AT102" s="185" t="s">
        <v>130</v>
      </c>
      <c r="AU102" s="185" t="s">
        <v>82</v>
      </c>
      <c r="AY102" s="18" t="s">
        <v>128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80</v>
      </c>
      <c r="BK102" s="186">
        <f>ROUND(I102*H102,2)</f>
        <v>0</v>
      </c>
      <c r="BL102" s="18" t="s">
        <v>625</v>
      </c>
      <c r="BM102" s="185" t="s">
        <v>2599</v>
      </c>
    </row>
    <row r="103" spans="1:65" s="2" customFormat="1" ht="10">
      <c r="A103" s="35"/>
      <c r="B103" s="36"/>
      <c r="C103" s="37"/>
      <c r="D103" s="187" t="s">
        <v>137</v>
      </c>
      <c r="E103" s="37"/>
      <c r="F103" s="188" t="s">
        <v>2600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137</v>
      </c>
      <c r="AU103" s="18" t="s">
        <v>82</v>
      </c>
    </row>
    <row r="104" spans="1:65" s="2" customFormat="1" ht="27">
      <c r="A104" s="35"/>
      <c r="B104" s="36"/>
      <c r="C104" s="37"/>
      <c r="D104" s="194" t="s">
        <v>2574</v>
      </c>
      <c r="E104" s="37"/>
      <c r="F104" s="244" t="s">
        <v>2601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2574</v>
      </c>
      <c r="AU104" s="18" t="s">
        <v>82</v>
      </c>
    </row>
    <row r="105" spans="1:65" s="2" customFormat="1" ht="16.5" customHeight="1">
      <c r="A105" s="35"/>
      <c r="B105" s="36"/>
      <c r="C105" s="174" t="s">
        <v>178</v>
      </c>
      <c r="D105" s="174" t="s">
        <v>130</v>
      </c>
      <c r="E105" s="175" t="s">
        <v>2602</v>
      </c>
      <c r="F105" s="176" t="s">
        <v>2603</v>
      </c>
      <c r="G105" s="177" t="s">
        <v>192</v>
      </c>
      <c r="H105" s="178">
        <v>1</v>
      </c>
      <c r="I105" s="179"/>
      <c r="J105" s="180">
        <f>ROUND(I105*H105,2)</f>
        <v>0</v>
      </c>
      <c r="K105" s="176" t="s">
        <v>134</v>
      </c>
      <c r="L105" s="40"/>
      <c r="M105" s="181" t="s">
        <v>19</v>
      </c>
      <c r="N105" s="182" t="s">
        <v>43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625</v>
      </c>
      <c r="AT105" s="185" t="s">
        <v>130</v>
      </c>
      <c r="AU105" s="185" t="s">
        <v>82</v>
      </c>
      <c r="AY105" s="18" t="s">
        <v>128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80</v>
      </c>
      <c r="BK105" s="186">
        <f>ROUND(I105*H105,2)</f>
        <v>0</v>
      </c>
      <c r="BL105" s="18" t="s">
        <v>625</v>
      </c>
      <c r="BM105" s="185" t="s">
        <v>2604</v>
      </c>
    </row>
    <row r="106" spans="1:65" s="2" customFormat="1" ht="10">
      <c r="A106" s="35"/>
      <c r="B106" s="36"/>
      <c r="C106" s="37"/>
      <c r="D106" s="187" t="s">
        <v>137</v>
      </c>
      <c r="E106" s="37"/>
      <c r="F106" s="188" t="s">
        <v>2605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137</v>
      </c>
      <c r="AU106" s="18" t="s">
        <v>82</v>
      </c>
    </row>
    <row r="107" spans="1:65" s="2" customFormat="1" ht="16.5" customHeight="1">
      <c r="A107" s="35"/>
      <c r="B107" s="36"/>
      <c r="C107" s="174" t="s">
        <v>189</v>
      </c>
      <c r="D107" s="174" t="s">
        <v>130</v>
      </c>
      <c r="E107" s="175" t="s">
        <v>2606</v>
      </c>
      <c r="F107" s="176" t="s">
        <v>2607</v>
      </c>
      <c r="G107" s="177" t="s">
        <v>192</v>
      </c>
      <c r="H107" s="178">
        <v>1</v>
      </c>
      <c r="I107" s="179"/>
      <c r="J107" s="180">
        <f>ROUND(I107*H107,2)</f>
        <v>0</v>
      </c>
      <c r="K107" s="176" t="s">
        <v>134</v>
      </c>
      <c r="L107" s="40"/>
      <c r="M107" s="181" t="s">
        <v>19</v>
      </c>
      <c r="N107" s="182" t="s">
        <v>43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625</v>
      </c>
      <c r="AT107" s="185" t="s">
        <v>130</v>
      </c>
      <c r="AU107" s="185" t="s">
        <v>82</v>
      </c>
      <c r="AY107" s="18" t="s">
        <v>128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80</v>
      </c>
      <c r="BK107" s="186">
        <f>ROUND(I107*H107,2)</f>
        <v>0</v>
      </c>
      <c r="BL107" s="18" t="s">
        <v>625</v>
      </c>
      <c r="BM107" s="185" t="s">
        <v>2608</v>
      </c>
    </row>
    <row r="108" spans="1:65" s="2" customFormat="1" ht="10">
      <c r="A108" s="35"/>
      <c r="B108" s="36"/>
      <c r="C108" s="37"/>
      <c r="D108" s="187" t="s">
        <v>137</v>
      </c>
      <c r="E108" s="37"/>
      <c r="F108" s="188" t="s">
        <v>2609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137</v>
      </c>
      <c r="AU108" s="18" t="s">
        <v>82</v>
      </c>
    </row>
    <row r="109" spans="1:65" s="12" customFormat="1" ht="22.75" customHeight="1">
      <c r="B109" s="158"/>
      <c r="C109" s="159"/>
      <c r="D109" s="160" t="s">
        <v>71</v>
      </c>
      <c r="E109" s="172" t="s">
        <v>2610</v>
      </c>
      <c r="F109" s="172" t="s">
        <v>2611</v>
      </c>
      <c r="G109" s="159"/>
      <c r="H109" s="159"/>
      <c r="I109" s="162"/>
      <c r="J109" s="173">
        <f>BK109</f>
        <v>0</v>
      </c>
      <c r="K109" s="159"/>
      <c r="L109" s="164"/>
      <c r="M109" s="165"/>
      <c r="N109" s="166"/>
      <c r="O109" s="166"/>
      <c r="P109" s="167">
        <f>SUM(P110:P115)</f>
        <v>0</v>
      </c>
      <c r="Q109" s="166"/>
      <c r="R109" s="167">
        <f>SUM(R110:R115)</f>
        <v>0</v>
      </c>
      <c r="S109" s="166"/>
      <c r="T109" s="168">
        <f>SUM(T110:T115)</f>
        <v>0</v>
      </c>
      <c r="AR109" s="169" t="s">
        <v>160</v>
      </c>
      <c r="AT109" s="170" t="s">
        <v>71</v>
      </c>
      <c r="AU109" s="170" t="s">
        <v>80</v>
      </c>
      <c r="AY109" s="169" t="s">
        <v>128</v>
      </c>
      <c r="BK109" s="171">
        <f>SUM(BK110:BK115)</f>
        <v>0</v>
      </c>
    </row>
    <row r="110" spans="1:65" s="2" customFormat="1" ht="16.5" customHeight="1">
      <c r="A110" s="35"/>
      <c r="B110" s="36"/>
      <c r="C110" s="174" t="s">
        <v>201</v>
      </c>
      <c r="D110" s="174" t="s">
        <v>130</v>
      </c>
      <c r="E110" s="175" t="s">
        <v>2612</v>
      </c>
      <c r="F110" s="176" t="s">
        <v>2611</v>
      </c>
      <c r="G110" s="177" t="s">
        <v>192</v>
      </c>
      <c r="H110" s="178">
        <v>1</v>
      </c>
      <c r="I110" s="179"/>
      <c r="J110" s="180">
        <f>ROUND(I110*H110,2)</f>
        <v>0</v>
      </c>
      <c r="K110" s="176" t="s">
        <v>134</v>
      </c>
      <c r="L110" s="40"/>
      <c r="M110" s="181" t="s">
        <v>19</v>
      </c>
      <c r="N110" s="182" t="s">
        <v>43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625</v>
      </c>
      <c r="AT110" s="185" t="s">
        <v>130</v>
      </c>
      <c r="AU110" s="185" t="s">
        <v>82</v>
      </c>
      <c r="AY110" s="18" t="s">
        <v>128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80</v>
      </c>
      <c r="BK110" s="186">
        <f>ROUND(I110*H110,2)</f>
        <v>0</v>
      </c>
      <c r="BL110" s="18" t="s">
        <v>625</v>
      </c>
      <c r="BM110" s="185" t="s">
        <v>2613</v>
      </c>
    </row>
    <row r="111" spans="1:65" s="2" customFormat="1" ht="10">
      <c r="A111" s="35"/>
      <c r="B111" s="36"/>
      <c r="C111" s="37"/>
      <c r="D111" s="187" t="s">
        <v>137</v>
      </c>
      <c r="E111" s="37"/>
      <c r="F111" s="188" t="s">
        <v>2614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137</v>
      </c>
      <c r="AU111" s="18" t="s">
        <v>82</v>
      </c>
    </row>
    <row r="112" spans="1:65" s="2" customFormat="1" ht="16.5" customHeight="1">
      <c r="A112" s="35"/>
      <c r="B112" s="36"/>
      <c r="C112" s="174" t="s">
        <v>207</v>
      </c>
      <c r="D112" s="174" t="s">
        <v>130</v>
      </c>
      <c r="E112" s="175" t="s">
        <v>2615</v>
      </c>
      <c r="F112" s="176" t="s">
        <v>2616</v>
      </c>
      <c r="G112" s="177" t="s">
        <v>192</v>
      </c>
      <c r="H112" s="178">
        <v>1</v>
      </c>
      <c r="I112" s="179"/>
      <c r="J112" s="180">
        <f>ROUND(I112*H112,2)</f>
        <v>0</v>
      </c>
      <c r="K112" s="176" t="s">
        <v>134</v>
      </c>
      <c r="L112" s="40"/>
      <c r="M112" s="181" t="s">
        <v>19</v>
      </c>
      <c r="N112" s="182" t="s">
        <v>43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625</v>
      </c>
      <c r="AT112" s="185" t="s">
        <v>130</v>
      </c>
      <c r="AU112" s="185" t="s">
        <v>82</v>
      </c>
      <c r="AY112" s="18" t="s">
        <v>128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80</v>
      </c>
      <c r="BK112" s="186">
        <f>ROUND(I112*H112,2)</f>
        <v>0</v>
      </c>
      <c r="BL112" s="18" t="s">
        <v>625</v>
      </c>
      <c r="BM112" s="185" t="s">
        <v>2617</v>
      </c>
    </row>
    <row r="113" spans="1:65" s="2" customFormat="1" ht="10">
      <c r="A113" s="35"/>
      <c r="B113" s="36"/>
      <c r="C113" s="37"/>
      <c r="D113" s="187" t="s">
        <v>137</v>
      </c>
      <c r="E113" s="37"/>
      <c r="F113" s="188" t="s">
        <v>2618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137</v>
      </c>
      <c r="AU113" s="18" t="s">
        <v>82</v>
      </c>
    </row>
    <row r="114" spans="1:65" s="2" customFormat="1" ht="16.5" customHeight="1">
      <c r="A114" s="35"/>
      <c r="B114" s="36"/>
      <c r="C114" s="174" t="s">
        <v>212</v>
      </c>
      <c r="D114" s="174" t="s">
        <v>130</v>
      </c>
      <c r="E114" s="175" t="s">
        <v>2619</v>
      </c>
      <c r="F114" s="176" t="s">
        <v>2620</v>
      </c>
      <c r="G114" s="177" t="s">
        <v>192</v>
      </c>
      <c r="H114" s="178">
        <v>1</v>
      </c>
      <c r="I114" s="179"/>
      <c r="J114" s="180">
        <f>ROUND(I114*H114,2)</f>
        <v>0</v>
      </c>
      <c r="K114" s="176" t="s">
        <v>134</v>
      </c>
      <c r="L114" s="40"/>
      <c r="M114" s="181" t="s">
        <v>19</v>
      </c>
      <c r="N114" s="182" t="s">
        <v>43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625</v>
      </c>
      <c r="AT114" s="185" t="s">
        <v>130</v>
      </c>
      <c r="AU114" s="185" t="s">
        <v>82</v>
      </c>
      <c r="AY114" s="18" t="s">
        <v>128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80</v>
      </c>
      <c r="BK114" s="186">
        <f>ROUND(I114*H114,2)</f>
        <v>0</v>
      </c>
      <c r="BL114" s="18" t="s">
        <v>625</v>
      </c>
      <c r="BM114" s="185" t="s">
        <v>2621</v>
      </c>
    </row>
    <row r="115" spans="1:65" s="2" customFormat="1" ht="10">
      <c r="A115" s="35"/>
      <c r="B115" s="36"/>
      <c r="C115" s="37"/>
      <c r="D115" s="187" t="s">
        <v>137</v>
      </c>
      <c r="E115" s="37"/>
      <c r="F115" s="188" t="s">
        <v>2622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137</v>
      </c>
      <c r="AU115" s="18" t="s">
        <v>82</v>
      </c>
    </row>
    <row r="116" spans="1:65" s="12" customFormat="1" ht="22.75" customHeight="1">
      <c r="B116" s="158"/>
      <c r="C116" s="159"/>
      <c r="D116" s="160" t="s">
        <v>71</v>
      </c>
      <c r="E116" s="172" t="s">
        <v>2623</v>
      </c>
      <c r="F116" s="172" t="s">
        <v>2624</v>
      </c>
      <c r="G116" s="159"/>
      <c r="H116" s="159"/>
      <c r="I116" s="162"/>
      <c r="J116" s="173">
        <f>BK116</f>
        <v>0</v>
      </c>
      <c r="K116" s="159"/>
      <c r="L116" s="164"/>
      <c r="M116" s="165"/>
      <c r="N116" s="166"/>
      <c r="O116" s="166"/>
      <c r="P116" s="167">
        <f>SUM(P117:P118)</f>
        <v>0</v>
      </c>
      <c r="Q116" s="166"/>
      <c r="R116" s="167">
        <f>SUM(R117:R118)</f>
        <v>0</v>
      </c>
      <c r="S116" s="166"/>
      <c r="T116" s="168">
        <f>SUM(T117:T118)</f>
        <v>0</v>
      </c>
      <c r="AR116" s="169" t="s">
        <v>160</v>
      </c>
      <c r="AT116" s="170" t="s">
        <v>71</v>
      </c>
      <c r="AU116" s="170" t="s">
        <v>80</v>
      </c>
      <c r="AY116" s="169" t="s">
        <v>128</v>
      </c>
      <c r="BK116" s="171">
        <f>SUM(BK117:BK118)</f>
        <v>0</v>
      </c>
    </row>
    <row r="117" spans="1:65" s="2" customFormat="1" ht="16.5" customHeight="1">
      <c r="A117" s="35"/>
      <c r="B117" s="36"/>
      <c r="C117" s="174" t="s">
        <v>8</v>
      </c>
      <c r="D117" s="174" t="s">
        <v>130</v>
      </c>
      <c r="E117" s="175" t="s">
        <v>2625</v>
      </c>
      <c r="F117" s="176" t="s">
        <v>2626</v>
      </c>
      <c r="G117" s="177" t="s">
        <v>192</v>
      </c>
      <c r="H117" s="178">
        <v>1</v>
      </c>
      <c r="I117" s="179"/>
      <c r="J117" s="180">
        <f>ROUND(I117*H117,2)</f>
        <v>0</v>
      </c>
      <c r="K117" s="176" t="s">
        <v>134</v>
      </c>
      <c r="L117" s="40"/>
      <c r="M117" s="181" t="s">
        <v>19</v>
      </c>
      <c r="N117" s="182" t="s">
        <v>43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625</v>
      </c>
      <c r="AT117" s="185" t="s">
        <v>130</v>
      </c>
      <c r="AU117" s="185" t="s">
        <v>82</v>
      </c>
      <c r="AY117" s="18" t="s">
        <v>128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80</v>
      </c>
      <c r="BK117" s="186">
        <f>ROUND(I117*H117,2)</f>
        <v>0</v>
      </c>
      <c r="BL117" s="18" t="s">
        <v>625</v>
      </c>
      <c r="BM117" s="185" t="s">
        <v>2627</v>
      </c>
    </row>
    <row r="118" spans="1:65" s="2" customFormat="1" ht="10">
      <c r="A118" s="35"/>
      <c r="B118" s="36"/>
      <c r="C118" s="37"/>
      <c r="D118" s="187" t="s">
        <v>137</v>
      </c>
      <c r="E118" s="37"/>
      <c r="F118" s="188" t="s">
        <v>2628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137</v>
      </c>
      <c r="AU118" s="18" t="s">
        <v>82</v>
      </c>
    </row>
    <row r="119" spans="1:65" s="12" customFormat="1" ht="22.75" customHeight="1">
      <c r="B119" s="158"/>
      <c r="C119" s="159"/>
      <c r="D119" s="160" t="s">
        <v>71</v>
      </c>
      <c r="E119" s="172" t="s">
        <v>2629</v>
      </c>
      <c r="F119" s="172" t="s">
        <v>2630</v>
      </c>
      <c r="G119" s="159"/>
      <c r="H119" s="159"/>
      <c r="I119" s="162"/>
      <c r="J119" s="173">
        <f>BK119</f>
        <v>0</v>
      </c>
      <c r="K119" s="159"/>
      <c r="L119" s="164"/>
      <c r="M119" s="165"/>
      <c r="N119" s="166"/>
      <c r="O119" s="166"/>
      <c r="P119" s="167">
        <f>SUM(P120:P121)</f>
        <v>0</v>
      </c>
      <c r="Q119" s="166"/>
      <c r="R119" s="167">
        <f>SUM(R120:R121)</f>
        <v>0</v>
      </c>
      <c r="S119" s="166"/>
      <c r="T119" s="168">
        <f>SUM(T120:T121)</f>
        <v>0</v>
      </c>
      <c r="AR119" s="169" t="s">
        <v>160</v>
      </c>
      <c r="AT119" s="170" t="s">
        <v>71</v>
      </c>
      <c r="AU119" s="170" t="s">
        <v>80</v>
      </c>
      <c r="AY119" s="169" t="s">
        <v>128</v>
      </c>
      <c r="BK119" s="171">
        <f>SUM(BK120:BK121)</f>
        <v>0</v>
      </c>
    </row>
    <row r="120" spans="1:65" s="2" customFormat="1" ht="16.5" customHeight="1">
      <c r="A120" s="35"/>
      <c r="B120" s="36"/>
      <c r="C120" s="174" t="s">
        <v>236</v>
      </c>
      <c r="D120" s="174" t="s">
        <v>130</v>
      </c>
      <c r="E120" s="175" t="s">
        <v>2631</v>
      </c>
      <c r="F120" s="176" t="s">
        <v>2632</v>
      </c>
      <c r="G120" s="177" t="s">
        <v>192</v>
      </c>
      <c r="H120" s="178">
        <v>1</v>
      </c>
      <c r="I120" s="179"/>
      <c r="J120" s="180">
        <f>ROUND(I120*H120,2)</f>
        <v>0</v>
      </c>
      <c r="K120" s="176" t="s">
        <v>134</v>
      </c>
      <c r="L120" s="40"/>
      <c r="M120" s="181" t="s">
        <v>19</v>
      </c>
      <c r="N120" s="182" t="s">
        <v>43</v>
      </c>
      <c r="O120" s="65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625</v>
      </c>
      <c r="AT120" s="185" t="s">
        <v>130</v>
      </c>
      <c r="AU120" s="185" t="s">
        <v>82</v>
      </c>
      <c r="AY120" s="18" t="s">
        <v>128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80</v>
      </c>
      <c r="BK120" s="186">
        <f>ROUND(I120*H120,2)</f>
        <v>0</v>
      </c>
      <c r="BL120" s="18" t="s">
        <v>625</v>
      </c>
      <c r="BM120" s="185" t="s">
        <v>2633</v>
      </c>
    </row>
    <row r="121" spans="1:65" s="2" customFormat="1" ht="10">
      <c r="A121" s="35"/>
      <c r="B121" s="36"/>
      <c r="C121" s="37"/>
      <c r="D121" s="187" t="s">
        <v>137</v>
      </c>
      <c r="E121" s="37"/>
      <c r="F121" s="188" t="s">
        <v>2634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137</v>
      </c>
      <c r="AU121" s="18" t="s">
        <v>82</v>
      </c>
    </row>
    <row r="122" spans="1:65" s="12" customFormat="1" ht="22.75" customHeight="1">
      <c r="B122" s="158"/>
      <c r="C122" s="159"/>
      <c r="D122" s="160" t="s">
        <v>71</v>
      </c>
      <c r="E122" s="172" t="s">
        <v>620</v>
      </c>
      <c r="F122" s="172" t="s">
        <v>621</v>
      </c>
      <c r="G122" s="159"/>
      <c r="H122" s="159"/>
      <c r="I122" s="162"/>
      <c r="J122" s="173">
        <f>BK122</f>
        <v>0</v>
      </c>
      <c r="K122" s="159"/>
      <c r="L122" s="164"/>
      <c r="M122" s="165"/>
      <c r="N122" s="166"/>
      <c r="O122" s="166"/>
      <c r="P122" s="167">
        <f>SUM(P123:P124)</f>
        <v>0</v>
      </c>
      <c r="Q122" s="166"/>
      <c r="R122" s="167">
        <f>SUM(R123:R124)</f>
        <v>0</v>
      </c>
      <c r="S122" s="166"/>
      <c r="T122" s="168">
        <f>SUM(T123:T124)</f>
        <v>0</v>
      </c>
      <c r="AR122" s="169" t="s">
        <v>160</v>
      </c>
      <c r="AT122" s="170" t="s">
        <v>71</v>
      </c>
      <c r="AU122" s="170" t="s">
        <v>80</v>
      </c>
      <c r="AY122" s="169" t="s">
        <v>128</v>
      </c>
      <c r="BK122" s="171">
        <f>SUM(BK123:BK124)</f>
        <v>0</v>
      </c>
    </row>
    <row r="123" spans="1:65" s="2" customFormat="1" ht="16.5" customHeight="1">
      <c r="A123" s="35"/>
      <c r="B123" s="36"/>
      <c r="C123" s="174" t="s">
        <v>242</v>
      </c>
      <c r="D123" s="174" t="s">
        <v>130</v>
      </c>
      <c r="E123" s="175" t="s">
        <v>2635</v>
      </c>
      <c r="F123" s="176" t="s">
        <v>2636</v>
      </c>
      <c r="G123" s="177" t="s">
        <v>192</v>
      </c>
      <c r="H123" s="178">
        <v>1</v>
      </c>
      <c r="I123" s="179"/>
      <c r="J123" s="180">
        <f>ROUND(I123*H123,2)</f>
        <v>0</v>
      </c>
      <c r="K123" s="176" t="s">
        <v>134</v>
      </c>
      <c r="L123" s="40"/>
      <c r="M123" s="181" t="s">
        <v>19</v>
      </c>
      <c r="N123" s="182" t="s">
        <v>43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625</v>
      </c>
      <c r="AT123" s="185" t="s">
        <v>130</v>
      </c>
      <c r="AU123" s="185" t="s">
        <v>82</v>
      </c>
      <c r="AY123" s="18" t="s">
        <v>128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625</v>
      </c>
      <c r="BM123" s="185" t="s">
        <v>2637</v>
      </c>
    </row>
    <row r="124" spans="1:65" s="2" customFormat="1" ht="10">
      <c r="A124" s="35"/>
      <c r="B124" s="36"/>
      <c r="C124" s="37"/>
      <c r="D124" s="187" t="s">
        <v>137</v>
      </c>
      <c r="E124" s="37"/>
      <c r="F124" s="188" t="s">
        <v>2638</v>
      </c>
      <c r="G124" s="37"/>
      <c r="H124" s="37"/>
      <c r="I124" s="189"/>
      <c r="J124" s="37"/>
      <c r="K124" s="37"/>
      <c r="L124" s="40"/>
      <c r="M124" s="226"/>
      <c r="N124" s="227"/>
      <c r="O124" s="228"/>
      <c r="P124" s="228"/>
      <c r="Q124" s="228"/>
      <c r="R124" s="228"/>
      <c r="S124" s="228"/>
      <c r="T124" s="22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137</v>
      </c>
      <c r="AU124" s="18" t="s">
        <v>82</v>
      </c>
    </row>
    <row r="125" spans="1:65" s="2" customFormat="1" ht="7" customHeight="1">
      <c r="A125" s="35"/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0"/>
      <c r="M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</sheetData>
  <sheetProtection algorithmName="SHA-512" hashValue="kpnIuecGQMaNr2TKAvHOwqd3uoPE3tDl/1Y795UXL2MSkFKF56zJa6Bl9tyLT/Q2gH50U1r18maxkOicx1ID0g==" saltValue="iaL1axpA3k2JlOcCff1b+iei6zcYq985Y6lnIGlgU9jmsTP4g44a76VcGTWNF9NB5gM/BwGDD01z3dZohVsbtQ==" spinCount="100000" sheet="1" objects="1" scenarios="1" formatColumns="0" formatRows="0" autoFilter="0"/>
  <autoFilter ref="C84:K124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2" r:id="rId2" xr:uid="{00000000-0004-0000-0300-000001000000}"/>
    <hyperlink ref="F95" r:id="rId3" xr:uid="{00000000-0004-0000-0300-000002000000}"/>
    <hyperlink ref="F97" r:id="rId4" xr:uid="{00000000-0004-0000-0300-000003000000}"/>
    <hyperlink ref="F100" r:id="rId5" xr:uid="{00000000-0004-0000-0300-000004000000}"/>
    <hyperlink ref="F103" r:id="rId6" xr:uid="{00000000-0004-0000-0300-000005000000}"/>
    <hyperlink ref="F106" r:id="rId7" xr:uid="{00000000-0004-0000-0300-000006000000}"/>
    <hyperlink ref="F108" r:id="rId8" xr:uid="{00000000-0004-0000-0300-000007000000}"/>
    <hyperlink ref="F111" r:id="rId9" xr:uid="{00000000-0004-0000-0300-000008000000}"/>
    <hyperlink ref="F113" r:id="rId10" xr:uid="{00000000-0004-0000-0300-000009000000}"/>
    <hyperlink ref="F115" r:id="rId11" xr:uid="{00000000-0004-0000-0300-00000A000000}"/>
    <hyperlink ref="F118" r:id="rId12" xr:uid="{00000000-0004-0000-0300-00000B000000}"/>
    <hyperlink ref="F121" r:id="rId13" xr:uid="{00000000-0004-0000-0300-00000C000000}"/>
    <hyperlink ref="F124" r:id="rId14" xr:uid="{00000000-0004-0000-03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4.5"/>
  <cols>
    <col min="1" max="1" width="8.33203125" style="245" customWidth="1"/>
    <col min="2" max="2" width="1.6640625" style="245" customWidth="1"/>
    <col min="3" max="4" width="5" style="245" customWidth="1"/>
    <col min="5" max="5" width="11.6640625" style="245" customWidth="1"/>
    <col min="6" max="6" width="9.109375" style="245" customWidth="1"/>
    <col min="7" max="7" width="5" style="245" customWidth="1"/>
    <col min="8" max="8" width="77.77734375" style="245" customWidth="1"/>
    <col min="9" max="10" width="20" style="245" customWidth="1"/>
    <col min="11" max="11" width="1.6640625" style="245" customWidth="1"/>
  </cols>
  <sheetData>
    <row r="1" spans="2:11" s="1" customFormat="1" ht="37.5" customHeight="1"/>
    <row r="2" spans="2:11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pans="2:11" s="16" customFormat="1" ht="45" customHeight="1">
      <c r="B3" s="249"/>
      <c r="C3" s="377" t="s">
        <v>2639</v>
      </c>
      <c r="D3" s="377"/>
      <c r="E3" s="377"/>
      <c r="F3" s="377"/>
      <c r="G3" s="377"/>
      <c r="H3" s="377"/>
      <c r="I3" s="377"/>
      <c r="J3" s="377"/>
      <c r="K3" s="250"/>
    </row>
    <row r="4" spans="2:11" s="1" customFormat="1" ht="25.5" customHeight="1">
      <c r="B4" s="251"/>
      <c r="C4" s="382" t="s">
        <v>2640</v>
      </c>
      <c r="D4" s="382"/>
      <c r="E4" s="382"/>
      <c r="F4" s="382"/>
      <c r="G4" s="382"/>
      <c r="H4" s="382"/>
      <c r="I4" s="382"/>
      <c r="J4" s="382"/>
      <c r="K4" s="252"/>
    </row>
    <row r="5" spans="2:11" s="1" customFormat="1" ht="5.25" customHeight="1">
      <c r="B5" s="251"/>
      <c r="C5" s="253"/>
      <c r="D5" s="253"/>
      <c r="E5" s="253"/>
      <c r="F5" s="253"/>
      <c r="G5" s="253"/>
      <c r="H5" s="253"/>
      <c r="I5" s="253"/>
      <c r="J5" s="253"/>
      <c r="K5" s="252"/>
    </row>
    <row r="6" spans="2:11" s="1" customFormat="1" ht="15" customHeight="1">
      <c r="B6" s="251"/>
      <c r="C6" s="381" t="s">
        <v>2641</v>
      </c>
      <c r="D6" s="381"/>
      <c r="E6" s="381"/>
      <c r="F6" s="381"/>
      <c r="G6" s="381"/>
      <c r="H6" s="381"/>
      <c r="I6" s="381"/>
      <c r="J6" s="381"/>
      <c r="K6" s="252"/>
    </row>
    <row r="7" spans="2:11" s="1" customFormat="1" ht="15" customHeight="1">
      <c r="B7" s="255"/>
      <c r="C7" s="381" t="s">
        <v>2642</v>
      </c>
      <c r="D7" s="381"/>
      <c r="E7" s="381"/>
      <c r="F7" s="381"/>
      <c r="G7" s="381"/>
      <c r="H7" s="381"/>
      <c r="I7" s="381"/>
      <c r="J7" s="381"/>
      <c r="K7" s="252"/>
    </row>
    <row r="8" spans="2:11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pans="2:11" s="1" customFormat="1" ht="15" customHeight="1">
      <c r="B9" s="255"/>
      <c r="C9" s="381" t="s">
        <v>2643</v>
      </c>
      <c r="D9" s="381"/>
      <c r="E9" s="381"/>
      <c r="F9" s="381"/>
      <c r="G9" s="381"/>
      <c r="H9" s="381"/>
      <c r="I9" s="381"/>
      <c r="J9" s="381"/>
      <c r="K9" s="252"/>
    </row>
    <row r="10" spans="2:11" s="1" customFormat="1" ht="15" customHeight="1">
      <c r="B10" s="255"/>
      <c r="C10" s="254"/>
      <c r="D10" s="381" t="s">
        <v>2644</v>
      </c>
      <c r="E10" s="381"/>
      <c r="F10" s="381"/>
      <c r="G10" s="381"/>
      <c r="H10" s="381"/>
      <c r="I10" s="381"/>
      <c r="J10" s="381"/>
      <c r="K10" s="252"/>
    </row>
    <row r="11" spans="2:11" s="1" customFormat="1" ht="15" customHeight="1">
      <c r="B11" s="255"/>
      <c r="C11" s="256"/>
      <c r="D11" s="381" t="s">
        <v>2645</v>
      </c>
      <c r="E11" s="381"/>
      <c r="F11" s="381"/>
      <c r="G11" s="381"/>
      <c r="H11" s="381"/>
      <c r="I11" s="381"/>
      <c r="J11" s="381"/>
      <c r="K11" s="252"/>
    </row>
    <row r="12" spans="2:11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pans="2:11" s="1" customFormat="1" ht="15" customHeight="1">
      <c r="B13" s="255"/>
      <c r="C13" s="256"/>
      <c r="D13" s="257" t="s">
        <v>2646</v>
      </c>
      <c r="E13" s="254"/>
      <c r="F13" s="254"/>
      <c r="G13" s="254"/>
      <c r="H13" s="254"/>
      <c r="I13" s="254"/>
      <c r="J13" s="254"/>
      <c r="K13" s="252"/>
    </row>
    <row r="14" spans="2:11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pans="2:11" s="1" customFormat="1" ht="15" customHeight="1">
      <c r="B15" s="255"/>
      <c r="C15" s="256"/>
      <c r="D15" s="381" t="s">
        <v>2647</v>
      </c>
      <c r="E15" s="381"/>
      <c r="F15" s="381"/>
      <c r="G15" s="381"/>
      <c r="H15" s="381"/>
      <c r="I15" s="381"/>
      <c r="J15" s="381"/>
      <c r="K15" s="252"/>
    </row>
    <row r="16" spans="2:11" s="1" customFormat="1" ht="15" customHeight="1">
      <c r="B16" s="255"/>
      <c r="C16" s="256"/>
      <c r="D16" s="381" t="s">
        <v>2648</v>
      </c>
      <c r="E16" s="381"/>
      <c r="F16" s="381"/>
      <c r="G16" s="381"/>
      <c r="H16" s="381"/>
      <c r="I16" s="381"/>
      <c r="J16" s="381"/>
      <c r="K16" s="252"/>
    </row>
    <row r="17" spans="2:11" s="1" customFormat="1" ht="15" customHeight="1">
      <c r="B17" s="255"/>
      <c r="C17" s="256"/>
      <c r="D17" s="381" t="s">
        <v>2649</v>
      </c>
      <c r="E17" s="381"/>
      <c r="F17" s="381"/>
      <c r="G17" s="381"/>
      <c r="H17" s="381"/>
      <c r="I17" s="381"/>
      <c r="J17" s="381"/>
      <c r="K17" s="252"/>
    </row>
    <row r="18" spans="2:11" s="1" customFormat="1" ht="15" customHeight="1">
      <c r="B18" s="255"/>
      <c r="C18" s="256"/>
      <c r="D18" s="256"/>
      <c r="E18" s="258" t="s">
        <v>79</v>
      </c>
      <c r="F18" s="381" t="s">
        <v>2650</v>
      </c>
      <c r="G18" s="381"/>
      <c r="H18" s="381"/>
      <c r="I18" s="381"/>
      <c r="J18" s="381"/>
      <c r="K18" s="252"/>
    </row>
    <row r="19" spans="2:11" s="1" customFormat="1" ht="15" customHeight="1">
      <c r="B19" s="255"/>
      <c r="C19" s="256"/>
      <c r="D19" s="256"/>
      <c r="E19" s="258" t="s">
        <v>2651</v>
      </c>
      <c r="F19" s="381" t="s">
        <v>2652</v>
      </c>
      <c r="G19" s="381"/>
      <c r="H19" s="381"/>
      <c r="I19" s="381"/>
      <c r="J19" s="381"/>
      <c r="K19" s="252"/>
    </row>
    <row r="20" spans="2:11" s="1" customFormat="1" ht="15" customHeight="1">
      <c r="B20" s="255"/>
      <c r="C20" s="256"/>
      <c r="D20" s="256"/>
      <c r="E20" s="258" t="s">
        <v>2653</v>
      </c>
      <c r="F20" s="381" t="s">
        <v>2654</v>
      </c>
      <c r="G20" s="381"/>
      <c r="H20" s="381"/>
      <c r="I20" s="381"/>
      <c r="J20" s="381"/>
      <c r="K20" s="252"/>
    </row>
    <row r="21" spans="2:11" s="1" customFormat="1" ht="15" customHeight="1">
      <c r="B21" s="255"/>
      <c r="C21" s="256"/>
      <c r="D21" s="256"/>
      <c r="E21" s="258" t="s">
        <v>2655</v>
      </c>
      <c r="F21" s="381" t="s">
        <v>2656</v>
      </c>
      <c r="G21" s="381"/>
      <c r="H21" s="381"/>
      <c r="I21" s="381"/>
      <c r="J21" s="381"/>
      <c r="K21" s="252"/>
    </row>
    <row r="22" spans="2:11" s="1" customFormat="1" ht="15" customHeight="1">
      <c r="B22" s="255"/>
      <c r="C22" s="256"/>
      <c r="D22" s="256"/>
      <c r="E22" s="258" t="s">
        <v>2545</v>
      </c>
      <c r="F22" s="381" t="s">
        <v>2546</v>
      </c>
      <c r="G22" s="381"/>
      <c r="H22" s="381"/>
      <c r="I22" s="381"/>
      <c r="J22" s="381"/>
      <c r="K22" s="252"/>
    </row>
    <row r="23" spans="2:11" s="1" customFormat="1" ht="15" customHeight="1">
      <c r="B23" s="255"/>
      <c r="C23" s="256"/>
      <c r="D23" s="256"/>
      <c r="E23" s="258" t="s">
        <v>2657</v>
      </c>
      <c r="F23" s="381" t="s">
        <v>2658</v>
      </c>
      <c r="G23" s="381"/>
      <c r="H23" s="381"/>
      <c r="I23" s="381"/>
      <c r="J23" s="381"/>
      <c r="K23" s="252"/>
    </row>
    <row r="24" spans="2:11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pans="2:11" s="1" customFormat="1" ht="15" customHeight="1">
      <c r="B25" s="255"/>
      <c r="C25" s="381" t="s">
        <v>2659</v>
      </c>
      <c r="D25" s="381"/>
      <c r="E25" s="381"/>
      <c r="F25" s="381"/>
      <c r="G25" s="381"/>
      <c r="H25" s="381"/>
      <c r="I25" s="381"/>
      <c r="J25" s="381"/>
      <c r="K25" s="252"/>
    </row>
    <row r="26" spans="2:11" s="1" customFormat="1" ht="15" customHeight="1">
      <c r="B26" s="255"/>
      <c r="C26" s="381" t="s">
        <v>2660</v>
      </c>
      <c r="D26" s="381"/>
      <c r="E26" s="381"/>
      <c r="F26" s="381"/>
      <c r="G26" s="381"/>
      <c r="H26" s="381"/>
      <c r="I26" s="381"/>
      <c r="J26" s="381"/>
      <c r="K26" s="252"/>
    </row>
    <row r="27" spans="2:11" s="1" customFormat="1" ht="15" customHeight="1">
      <c r="B27" s="255"/>
      <c r="C27" s="254"/>
      <c r="D27" s="381" t="s">
        <v>2661</v>
      </c>
      <c r="E27" s="381"/>
      <c r="F27" s="381"/>
      <c r="G27" s="381"/>
      <c r="H27" s="381"/>
      <c r="I27" s="381"/>
      <c r="J27" s="381"/>
      <c r="K27" s="252"/>
    </row>
    <row r="28" spans="2:11" s="1" customFormat="1" ht="15" customHeight="1">
      <c r="B28" s="255"/>
      <c r="C28" s="256"/>
      <c r="D28" s="381" t="s">
        <v>2662</v>
      </c>
      <c r="E28" s="381"/>
      <c r="F28" s="381"/>
      <c r="G28" s="381"/>
      <c r="H28" s="381"/>
      <c r="I28" s="381"/>
      <c r="J28" s="381"/>
      <c r="K28" s="252"/>
    </row>
    <row r="29" spans="2:11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pans="2:11" s="1" customFormat="1" ht="15" customHeight="1">
      <c r="B30" s="255"/>
      <c r="C30" s="256"/>
      <c r="D30" s="381" t="s">
        <v>2663</v>
      </c>
      <c r="E30" s="381"/>
      <c r="F30" s="381"/>
      <c r="G30" s="381"/>
      <c r="H30" s="381"/>
      <c r="I30" s="381"/>
      <c r="J30" s="381"/>
      <c r="K30" s="252"/>
    </row>
    <row r="31" spans="2:11" s="1" customFormat="1" ht="15" customHeight="1">
      <c r="B31" s="255"/>
      <c r="C31" s="256"/>
      <c r="D31" s="381" t="s">
        <v>2664</v>
      </c>
      <c r="E31" s="381"/>
      <c r="F31" s="381"/>
      <c r="G31" s="381"/>
      <c r="H31" s="381"/>
      <c r="I31" s="381"/>
      <c r="J31" s="381"/>
      <c r="K31" s="252"/>
    </row>
    <row r="32" spans="2:11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pans="2:11" s="1" customFormat="1" ht="15" customHeight="1">
      <c r="B33" s="255"/>
      <c r="C33" s="256"/>
      <c r="D33" s="381" t="s">
        <v>2665</v>
      </c>
      <c r="E33" s="381"/>
      <c r="F33" s="381"/>
      <c r="G33" s="381"/>
      <c r="H33" s="381"/>
      <c r="I33" s="381"/>
      <c r="J33" s="381"/>
      <c r="K33" s="252"/>
    </row>
    <row r="34" spans="2:11" s="1" customFormat="1" ht="15" customHeight="1">
      <c r="B34" s="255"/>
      <c r="C34" s="256"/>
      <c r="D34" s="381" t="s">
        <v>2666</v>
      </c>
      <c r="E34" s="381"/>
      <c r="F34" s="381"/>
      <c r="G34" s="381"/>
      <c r="H34" s="381"/>
      <c r="I34" s="381"/>
      <c r="J34" s="381"/>
      <c r="K34" s="252"/>
    </row>
    <row r="35" spans="2:11" s="1" customFormat="1" ht="15" customHeight="1">
      <c r="B35" s="255"/>
      <c r="C35" s="256"/>
      <c r="D35" s="381" t="s">
        <v>2667</v>
      </c>
      <c r="E35" s="381"/>
      <c r="F35" s="381"/>
      <c r="G35" s="381"/>
      <c r="H35" s="381"/>
      <c r="I35" s="381"/>
      <c r="J35" s="381"/>
      <c r="K35" s="252"/>
    </row>
    <row r="36" spans="2:11" s="1" customFormat="1" ht="15" customHeight="1">
      <c r="B36" s="255"/>
      <c r="C36" s="256"/>
      <c r="D36" s="254"/>
      <c r="E36" s="257" t="s">
        <v>114</v>
      </c>
      <c r="F36" s="254"/>
      <c r="G36" s="381" t="s">
        <v>2668</v>
      </c>
      <c r="H36" s="381"/>
      <c r="I36" s="381"/>
      <c r="J36" s="381"/>
      <c r="K36" s="252"/>
    </row>
    <row r="37" spans="2:11" s="1" customFormat="1" ht="30.75" customHeight="1">
      <c r="B37" s="255"/>
      <c r="C37" s="256"/>
      <c r="D37" s="254"/>
      <c r="E37" s="257" t="s">
        <v>2669</v>
      </c>
      <c r="F37" s="254"/>
      <c r="G37" s="381" t="s">
        <v>2670</v>
      </c>
      <c r="H37" s="381"/>
      <c r="I37" s="381"/>
      <c r="J37" s="381"/>
      <c r="K37" s="252"/>
    </row>
    <row r="38" spans="2:11" s="1" customFormat="1" ht="15" customHeight="1">
      <c r="B38" s="255"/>
      <c r="C38" s="256"/>
      <c r="D38" s="254"/>
      <c r="E38" s="257" t="s">
        <v>53</v>
      </c>
      <c r="F38" s="254"/>
      <c r="G38" s="381" t="s">
        <v>2671</v>
      </c>
      <c r="H38" s="381"/>
      <c r="I38" s="381"/>
      <c r="J38" s="381"/>
      <c r="K38" s="252"/>
    </row>
    <row r="39" spans="2:11" s="1" customFormat="1" ht="15" customHeight="1">
      <c r="B39" s="255"/>
      <c r="C39" s="256"/>
      <c r="D39" s="254"/>
      <c r="E39" s="257" t="s">
        <v>54</v>
      </c>
      <c r="F39" s="254"/>
      <c r="G39" s="381" t="s">
        <v>2672</v>
      </c>
      <c r="H39" s="381"/>
      <c r="I39" s="381"/>
      <c r="J39" s="381"/>
      <c r="K39" s="252"/>
    </row>
    <row r="40" spans="2:11" s="1" customFormat="1" ht="15" customHeight="1">
      <c r="B40" s="255"/>
      <c r="C40" s="256"/>
      <c r="D40" s="254"/>
      <c r="E40" s="257" t="s">
        <v>115</v>
      </c>
      <c r="F40" s="254"/>
      <c r="G40" s="381" t="s">
        <v>2673</v>
      </c>
      <c r="H40" s="381"/>
      <c r="I40" s="381"/>
      <c r="J40" s="381"/>
      <c r="K40" s="252"/>
    </row>
    <row r="41" spans="2:11" s="1" customFormat="1" ht="15" customHeight="1">
      <c r="B41" s="255"/>
      <c r="C41" s="256"/>
      <c r="D41" s="254"/>
      <c r="E41" s="257" t="s">
        <v>116</v>
      </c>
      <c r="F41" s="254"/>
      <c r="G41" s="381" t="s">
        <v>2674</v>
      </c>
      <c r="H41" s="381"/>
      <c r="I41" s="381"/>
      <c r="J41" s="381"/>
      <c r="K41" s="252"/>
    </row>
    <row r="42" spans="2:11" s="1" customFormat="1" ht="15" customHeight="1">
      <c r="B42" s="255"/>
      <c r="C42" s="256"/>
      <c r="D42" s="254"/>
      <c r="E42" s="257" t="s">
        <v>2675</v>
      </c>
      <c r="F42" s="254"/>
      <c r="G42" s="381" t="s">
        <v>2676</v>
      </c>
      <c r="H42" s="381"/>
      <c r="I42" s="381"/>
      <c r="J42" s="381"/>
      <c r="K42" s="252"/>
    </row>
    <row r="43" spans="2:11" s="1" customFormat="1" ht="15" customHeight="1">
      <c r="B43" s="255"/>
      <c r="C43" s="256"/>
      <c r="D43" s="254"/>
      <c r="E43" s="257"/>
      <c r="F43" s="254"/>
      <c r="G43" s="381" t="s">
        <v>2677</v>
      </c>
      <c r="H43" s="381"/>
      <c r="I43" s="381"/>
      <c r="J43" s="381"/>
      <c r="K43" s="252"/>
    </row>
    <row r="44" spans="2:11" s="1" customFormat="1" ht="15" customHeight="1">
      <c r="B44" s="255"/>
      <c r="C44" s="256"/>
      <c r="D44" s="254"/>
      <c r="E44" s="257" t="s">
        <v>2678</v>
      </c>
      <c r="F44" s="254"/>
      <c r="G44" s="381" t="s">
        <v>2679</v>
      </c>
      <c r="H44" s="381"/>
      <c r="I44" s="381"/>
      <c r="J44" s="381"/>
      <c r="K44" s="252"/>
    </row>
    <row r="45" spans="2:11" s="1" customFormat="1" ht="15" customHeight="1">
      <c r="B45" s="255"/>
      <c r="C45" s="256"/>
      <c r="D45" s="254"/>
      <c r="E45" s="257" t="s">
        <v>118</v>
      </c>
      <c r="F45" s="254"/>
      <c r="G45" s="381" t="s">
        <v>2680</v>
      </c>
      <c r="H45" s="381"/>
      <c r="I45" s="381"/>
      <c r="J45" s="381"/>
      <c r="K45" s="252"/>
    </row>
    <row r="46" spans="2:11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pans="2:11" s="1" customFormat="1" ht="15" customHeight="1">
      <c r="B47" s="255"/>
      <c r="C47" s="256"/>
      <c r="D47" s="381" t="s">
        <v>2681</v>
      </c>
      <c r="E47" s="381"/>
      <c r="F47" s="381"/>
      <c r="G47" s="381"/>
      <c r="H47" s="381"/>
      <c r="I47" s="381"/>
      <c r="J47" s="381"/>
      <c r="K47" s="252"/>
    </row>
    <row r="48" spans="2:11" s="1" customFormat="1" ht="15" customHeight="1">
      <c r="B48" s="255"/>
      <c r="C48" s="256"/>
      <c r="D48" s="256"/>
      <c r="E48" s="381" t="s">
        <v>2682</v>
      </c>
      <c r="F48" s="381"/>
      <c r="G48" s="381"/>
      <c r="H48" s="381"/>
      <c r="I48" s="381"/>
      <c r="J48" s="381"/>
      <c r="K48" s="252"/>
    </row>
    <row r="49" spans="2:11" s="1" customFormat="1" ht="15" customHeight="1">
      <c r="B49" s="255"/>
      <c r="C49" s="256"/>
      <c r="D49" s="256"/>
      <c r="E49" s="381" t="s">
        <v>2683</v>
      </c>
      <c r="F49" s="381"/>
      <c r="G49" s="381"/>
      <c r="H49" s="381"/>
      <c r="I49" s="381"/>
      <c r="J49" s="381"/>
      <c r="K49" s="252"/>
    </row>
    <row r="50" spans="2:11" s="1" customFormat="1" ht="15" customHeight="1">
      <c r="B50" s="255"/>
      <c r="C50" s="256"/>
      <c r="D50" s="256"/>
      <c r="E50" s="381" t="s">
        <v>2684</v>
      </c>
      <c r="F50" s="381"/>
      <c r="G50" s="381"/>
      <c r="H50" s="381"/>
      <c r="I50" s="381"/>
      <c r="J50" s="381"/>
      <c r="K50" s="252"/>
    </row>
    <row r="51" spans="2:11" s="1" customFormat="1" ht="15" customHeight="1">
      <c r="B51" s="255"/>
      <c r="C51" s="256"/>
      <c r="D51" s="381" t="s">
        <v>2685</v>
      </c>
      <c r="E51" s="381"/>
      <c r="F51" s="381"/>
      <c r="G51" s="381"/>
      <c r="H51" s="381"/>
      <c r="I51" s="381"/>
      <c r="J51" s="381"/>
      <c r="K51" s="252"/>
    </row>
    <row r="52" spans="2:11" s="1" customFormat="1" ht="25.5" customHeight="1">
      <c r="B52" s="251"/>
      <c r="C52" s="382" t="s">
        <v>2686</v>
      </c>
      <c r="D52" s="382"/>
      <c r="E52" s="382"/>
      <c r="F52" s="382"/>
      <c r="G52" s="382"/>
      <c r="H52" s="382"/>
      <c r="I52" s="382"/>
      <c r="J52" s="382"/>
      <c r="K52" s="252"/>
    </row>
    <row r="53" spans="2:11" s="1" customFormat="1" ht="5.25" customHeight="1">
      <c r="B53" s="251"/>
      <c r="C53" s="253"/>
      <c r="D53" s="253"/>
      <c r="E53" s="253"/>
      <c r="F53" s="253"/>
      <c r="G53" s="253"/>
      <c r="H53" s="253"/>
      <c r="I53" s="253"/>
      <c r="J53" s="253"/>
      <c r="K53" s="252"/>
    </row>
    <row r="54" spans="2:11" s="1" customFormat="1" ht="15" customHeight="1">
      <c r="B54" s="251"/>
      <c r="C54" s="381" t="s">
        <v>2687</v>
      </c>
      <c r="D54" s="381"/>
      <c r="E54" s="381"/>
      <c r="F54" s="381"/>
      <c r="G54" s="381"/>
      <c r="H54" s="381"/>
      <c r="I54" s="381"/>
      <c r="J54" s="381"/>
      <c r="K54" s="252"/>
    </row>
    <row r="55" spans="2:11" s="1" customFormat="1" ht="15" customHeight="1">
      <c r="B55" s="251"/>
      <c r="C55" s="381" t="s">
        <v>2688</v>
      </c>
      <c r="D55" s="381"/>
      <c r="E55" s="381"/>
      <c r="F55" s="381"/>
      <c r="G55" s="381"/>
      <c r="H55" s="381"/>
      <c r="I55" s="381"/>
      <c r="J55" s="381"/>
      <c r="K55" s="252"/>
    </row>
    <row r="56" spans="2:11" s="1" customFormat="1" ht="12.75" customHeight="1">
      <c r="B56" s="251"/>
      <c r="C56" s="254"/>
      <c r="D56" s="254"/>
      <c r="E56" s="254"/>
      <c r="F56" s="254"/>
      <c r="G56" s="254"/>
      <c r="H56" s="254"/>
      <c r="I56" s="254"/>
      <c r="J56" s="254"/>
      <c r="K56" s="252"/>
    </row>
    <row r="57" spans="2:11" s="1" customFormat="1" ht="15" customHeight="1">
      <c r="B57" s="251"/>
      <c r="C57" s="381" t="s">
        <v>2689</v>
      </c>
      <c r="D57" s="381"/>
      <c r="E57" s="381"/>
      <c r="F57" s="381"/>
      <c r="G57" s="381"/>
      <c r="H57" s="381"/>
      <c r="I57" s="381"/>
      <c r="J57" s="381"/>
      <c r="K57" s="252"/>
    </row>
    <row r="58" spans="2:11" s="1" customFormat="1" ht="15" customHeight="1">
      <c r="B58" s="251"/>
      <c r="C58" s="256"/>
      <c r="D58" s="381" t="s">
        <v>2690</v>
      </c>
      <c r="E58" s="381"/>
      <c r="F58" s="381"/>
      <c r="G58" s="381"/>
      <c r="H58" s="381"/>
      <c r="I58" s="381"/>
      <c r="J58" s="381"/>
      <c r="K58" s="252"/>
    </row>
    <row r="59" spans="2:11" s="1" customFormat="1" ht="15" customHeight="1">
      <c r="B59" s="251"/>
      <c r="C59" s="256"/>
      <c r="D59" s="381" t="s">
        <v>2691</v>
      </c>
      <c r="E59" s="381"/>
      <c r="F59" s="381"/>
      <c r="G59" s="381"/>
      <c r="H59" s="381"/>
      <c r="I59" s="381"/>
      <c r="J59" s="381"/>
      <c r="K59" s="252"/>
    </row>
    <row r="60" spans="2:11" s="1" customFormat="1" ht="15" customHeight="1">
      <c r="B60" s="251"/>
      <c r="C60" s="256"/>
      <c r="D60" s="381" t="s">
        <v>2692</v>
      </c>
      <c r="E60" s="381"/>
      <c r="F60" s="381"/>
      <c r="G60" s="381"/>
      <c r="H60" s="381"/>
      <c r="I60" s="381"/>
      <c r="J60" s="381"/>
      <c r="K60" s="252"/>
    </row>
    <row r="61" spans="2:11" s="1" customFormat="1" ht="15" customHeight="1">
      <c r="B61" s="251"/>
      <c r="C61" s="256"/>
      <c r="D61" s="381" t="s">
        <v>2693</v>
      </c>
      <c r="E61" s="381"/>
      <c r="F61" s="381"/>
      <c r="G61" s="381"/>
      <c r="H61" s="381"/>
      <c r="I61" s="381"/>
      <c r="J61" s="381"/>
      <c r="K61" s="252"/>
    </row>
    <row r="62" spans="2:11" s="1" customFormat="1" ht="15" customHeight="1">
      <c r="B62" s="251"/>
      <c r="C62" s="256"/>
      <c r="D62" s="383" t="s">
        <v>2694</v>
      </c>
      <c r="E62" s="383"/>
      <c r="F62" s="383"/>
      <c r="G62" s="383"/>
      <c r="H62" s="383"/>
      <c r="I62" s="383"/>
      <c r="J62" s="383"/>
      <c r="K62" s="252"/>
    </row>
    <row r="63" spans="2:11" s="1" customFormat="1" ht="15" customHeight="1">
      <c r="B63" s="251"/>
      <c r="C63" s="256"/>
      <c r="D63" s="381" t="s">
        <v>2695</v>
      </c>
      <c r="E63" s="381"/>
      <c r="F63" s="381"/>
      <c r="G63" s="381"/>
      <c r="H63" s="381"/>
      <c r="I63" s="381"/>
      <c r="J63" s="381"/>
      <c r="K63" s="252"/>
    </row>
    <row r="64" spans="2:11" s="1" customFormat="1" ht="12.75" customHeight="1">
      <c r="B64" s="251"/>
      <c r="C64" s="256"/>
      <c r="D64" s="256"/>
      <c r="E64" s="259"/>
      <c r="F64" s="256"/>
      <c r="G64" s="256"/>
      <c r="H64" s="256"/>
      <c r="I64" s="256"/>
      <c r="J64" s="256"/>
      <c r="K64" s="252"/>
    </row>
    <row r="65" spans="2:11" s="1" customFormat="1" ht="15" customHeight="1">
      <c r="B65" s="251"/>
      <c r="C65" s="256"/>
      <c r="D65" s="381" t="s">
        <v>2696</v>
      </c>
      <c r="E65" s="381"/>
      <c r="F65" s="381"/>
      <c r="G65" s="381"/>
      <c r="H65" s="381"/>
      <c r="I65" s="381"/>
      <c r="J65" s="381"/>
      <c r="K65" s="252"/>
    </row>
    <row r="66" spans="2:11" s="1" customFormat="1" ht="15" customHeight="1">
      <c r="B66" s="251"/>
      <c r="C66" s="256"/>
      <c r="D66" s="383" t="s">
        <v>2697</v>
      </c>
      <c r="E66" s="383"/>
      <c r="F66" s="383"/>
      <c r="G66" s="383"/>
      <c r="H66" s="383"/>
      <c r="I66" s="383"/>
      <c r="J66" s="383"/>
      <c r="K66" s="252"/>
    </row>
    <row r="67" spans="2:11" s="1" customFormat="1" ht="15" customHeight="1">
      <c r="B67" s="251"/>
      <c r="C67" s="256"/>
      <c r="D67" s="381" t="s">
        <v>2698</v>
      </c>
      <c r="E67" s="381"/>
      <c r="F67" s="381"/>
      <c r="G67" s="381"/>
      <c r="H67" s="381"/>
      <c r="I67" s="381"/>
      <c r="J67" s="381"/>
      <c r="K67" s="252"/>
    </row>
    <row r="68" spans="2:11" s="1" customFormat="1" ht="15" customHeight="1">
      <c r="B68" s="251"/>
      <c r="C68" s="256"/>
      <c r="D68" s="381" t="s">
        <v>2699</v>
      </c>
      <c r="E68" s="381"/>
      <c r="F68" s="381"/>
      <c r="G68" s="381"/>
      <c r="H68" s="381"/>
      <c r="I68" s="381"/>
      <c r="J68" s="381"/>
      <c r="K68" s="252"/>
    </row>
    <row r="69" spans="2:11" s="1" customFormat="1" ht="15" customHeight="1">
      <c r="B69" s="251"/>
      <c r="C69" s="256"/>
      <c r="D69" s="381" t="s">
        <v>2700</v>
      </c>
      <c r="E69" s="381"/>
      <c r="F69" s="381"/>
      <c r="G69" s="381"/>
      <c r="H69" s="381"/>
      <c r="I69" s="381"/>
      <c r="J69" s="381"/>
      <c r="K69" s="252"/>
    </row>
    <row r="70" spans="2:11" s="1" customFormat="1" ht="15" customHeight="1">
      <c r="B70" s="251"/>
      <c r="C70" s="256"/>
      <c r="D70" s="381" t="s">
        <v>2701</v>
      </c>
      <c r="E70" s="381"/>
      <c r="F70" s="381"/>
      <c r="G70" s="381"/>
      <c r="H70" s="381"/>
      <c r="I70" s="381"/>
      <c r="J70" s="381"/>
      <c r="K70" s="252"/>
    </row>
    <row r="71" spans="2:1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pans="2:11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pans="2:11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pans="2:11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pans="2:11" s="1" customFormat="1" ht="45" customHeight="1">
      <c r="B75" s="268"/>
      <c r="C75" s="376" t="s">
        <v>2702</v>
      </c>
      <c r="D75" s="376"/>
      <c r="E75" s="376"/>
      <c r="F75" s="376"/>
      <c r="G75" s="376"/>
      <c r="H75" s="376"/>
      <c r="I75" s="376"/>
      <c r="J75" s="376"/>
      <c r="K75" s="269"/>
    </row>
    <row r="76" spans="2:11" s="1" customFormat="1" ht="17.25" customHeight="1">
      <c r="B76" s="268"/>
      <c r="C76" s="270" t="s">
        <v>2703</v>
      </c>
      <c r="D76" s="270"/>
      <c r="E76" s="270"/>
      <c r="F76" s="270" t="s">
        <v>2704</v>
      </c>
      <c r="G76" s="271"/>
      <c r="H76" s="270" t="s">
        <v>54</v>
      </c>
      <c r="I76" s="270" t="s">
        <v>57</v>
      </c>
      <c r="J76" s="270" t="s">
        <v>2705</v>
      </c>
      <c r="K76" s="269"/>
    </row>
    <row r="77" spans="2:11" s="1" customFormat="1" ht="17.25" customHeight="1">
      <c r="B77" s="268"/>
      <c r="C77" s="272" t="s">
        <v>2706</v>
      </c>
      <c r="D77" s="272"/>
      <c r="E77" s="272"/>
      <c r="F77" s="273" t="s">
        <v>2707</v>
      </c>
      <c r="G77" s="274"/>
      <c r="H77" s="272"/>
      <c r="I77" s="272"/>
      <c r="J77" s="272" t="s">
        <v>2708</v>
      </c>
      <c r="K77" s="269"/>
    </row>
    <row r="78" spans="2:11" s="1" customFormat="1" ht="5.25" customHeight="1">
      <c r="B78" s="268"/>
      <c r="C78" s="275"/>
      <c r="D78" s="275"/>
      <c r="E78" s="275"/>
      <c r="F78" s="275"/>
      <c r="G78" s="276"/>
      <c r="H78" s="275"/>
      <c r="I78" s="275"/>
      <c r="J78" s="275"/>
      <c r="K78" s="269"/>
    </row>
    <row r="79" spans="2:11" s="1" customFormat="1" ht="15" customHeight="1">
      <c r="B79" s="268"/>
      <c r="C79" s="257" t="s">
        <v>53</v>
      </c>
      <c r="D79" s="277"/>
      <c r="E79" s="277"/>
      <c r="F79" s="278" t="s">
        <v>2709</v>
      </c>
      <c r="G79" s="279"/>
      <c r="H79" s="257" t="s">
        <v>2710</v>
      </c>
      <c r="I79" s="257" t="s">
        <v>2711</v>
      </c>
      <c r="J79" s="257">
        <v>20</v>
      </c>
      <c r="K79" s="269"/>
    </row>
    <row r="80" spans="2:11" s="1" customFormat="1" ht="15" customHeight="1">
      <c r="B80" s="268"/>
      <c r="C80" s="257" t="s">
        <v>2712</v>
      </c>
      <c r="D80" s="257"/>
      <c r="E80" s="257"/>
      <c r="F80" s="278" t="s">
        <v>2709</v>
      </c>
      <c r="G80" s="279"/>
      <c r="H80" s="257" t="s">
        <v>2713</v>
      </c>
      <c r="I80" s="257" t="s">
        <v>2711</v>
      </c>
      <c r="J80" s="257">
        <v>120</v>
      </c>
      <c r="K80" s="269"/>
    </row>
    <row r="81" spans="2:11" s="1" customFormat="1" ht="15" customHeight="1">
      <c r="B81" s="280"/>
      <c r="C81" s="257" t="s">
        <v>2714</v>
      </c>
      <c r="D81" s="257"/>
      <c r="E81" s="257"/>
      <c r="F81" s="278" t="s">
        <v>2715</v>
      </c>
      <c r="G81" s="279"/>
      <c r="H81" s="257" t="s">
        <v>2716</v>
      </c>
      <c r="I81" s="257" t="s">
        <v>2711</v>
      </c>
      <c r="J81" s="257">
        <v>50</v>
      </c>
      <c r="K81" s="269"/>
    </row>
    <row r="82" spans="2:11" s="1" customFormat="1" ht="15" customHeight="1">
      <c r="B82" s="280"/>
      <c r="C82" s="257" t="s">
        <v>2717</v>
      </c>
      <c r="D82" s="257"/>
      <c r="E82" s="257"/>
      <c r="F82" s="278" t="s">
        <v>2709</v>
      </c>
      <c r="G82" s="279"/>
      <c r="H82" s="257" t="s">
        <v>2718</v>
      </c>
      <c r="I82" s="257" t="s">
        <v>2719</v>
      </c>
      <c r="J82" s="257"/>
      <c r="K82" s="269"/>
    </row>
    <row r="83" spans="2:11" s="1" customFormat="1" ht="15" customHeight="1">
      <c r="B83" s="280"/>
      <c r="C83" s="281" t="s">
        <v>2720</v>
      </c>
      <c r="D83" s="281"/>
      <c r="E83" s="281"/>
      <c r="F83" s="282" t="s">
        <v>2715</v>
      </c>
      <c r="G83" s="281"/>
      <c r="H83" s="281" t="s">
        <v>2721</v>
      </c>
      <c r="I83" s="281" t="s">
        <v>2711</v>
      </c>
      <c r="J83" s="281">
        <v>15</v>
      </c>
      <c r="K83" s="269"/>
    </row>
    <row r="84" spans="2:11" s="1" customFormat="1" ht="15" customHeight="1">
      <c r="B84" s="280"/>
      <c r="C84" s="281" t="s">
        <v>2722</v>
      </c>
      <c r="D84" s="281"/>
      <c r="E84" s="281"/>
      <c r="F84" s="282" t="s">
        <v>2715</v>
      </c>
      <c r="G84" s="281"/>
      <c r="H84" s="281" t="s">
        <v>2723</v>
      </c>
      <c r="I84" s="281" t="s">
        <v>2711</v>
      </c>
      <c r="J84" s="281">
        <v>15</v>
      </c>
      <c r="K84" s="269"/>
    </row>
    <row r="85" spans="2:11" s="1" customFormat="1" ht="15" customHeight="1">
      <c r="B85" s="280"/>
      <c r="C85" s="281" t="s">
        <v>2724</v>
      </c>
      <c r="D85" s="281"/>
      <c r="E85" s="281"/>
      <c r="F85" s="282" t="s">
        <v>2715</v>
      </c>
      <c r="G85" s="281"/>
      <c r="H85" s="281" t="s">
        <v>2725</v>
      </c>
      <c r="I85" s="281" t="s">
        <v>2711</v>
      </c>
      <c r="J85" s="281">
        <v>20</v>
      </c>
      <c r="K85" s="269"/>
    </row>
    <row r="86" spans="2:11" s="1" customFormat="1" ht="15" customHeight="1">
      <c r="B86" s="280"/>
      <c r="C86" s="281" t="s">
        <v>2726</v>
      </c>
      <c r="D86" s="281"/>
      <c r="E86" s="281"/>
      <c r="F86" s="282" t="s">
        <v>2715</v>
      </c>
      <c r="G86" s="281"/>
      <c r="H86" s="281" t="s">
        <v>2727</v>
      </c>
      <c r="I86" s="281" t="s">
        <v>2711</v>
      </c>
      <c r="J86" s="281">
        <v>20</v>
      </c>
      <c r="K86" s="269"/>
    </row>
    <row r="87" spans="2:11" s="1" customFormat="1" ht="15" customHeight="1">
      <c r="B87" s="280"/>
      <c r="C87" s="257" t="s">
        <v>2728</v>
      </c>
      <c r="D87" s="257"/>
      <c r="E87" s="257"/>
      <c r="F87" s="278" t="s">
        <v>2715</v>
      </c>
      <c r="G87" s="279"/>
      <c r="H87" s="257" t="s">
        <v>2729</v>
      </c>
      <c r="I87" s="257" t="s">
        <v>2711</v>
      </c>
      <c r="J87" s="257">
        <v>50</v>
      </c>
      <c r="K87" s="269"/>
    </row>
    <row r="88" spans="2:11" s="1" customFormat="1" ht="15" customHeight="1">
      <c r="B88" s="280"/>
      <c r="C88" s="257" t="s">
        <v>2730</v>
      </c>
      <c r="D88" s="257"/>
      <c r="E88" s="257"/>
      <c r="F88" s="278" t="s">
        <v>2715</v>
      </c>
      <c r="G88" s="279"/>
      <c r="H88" s="257" t="s">
        <v>2731</v>
      </c>
      <c r="I88" s="257" t="s">
        <v>2711</v>
      </c>
      <c r="J88" s="257">
        <v>20</v>
      </c>
      <c r="K88" s="269"/>
    </row>
    <row r="89" spans="2:11" s="1" customFormat="1" ht="15" customHeight="1">
      <c r="B89" s="280"/>
      <c r="C89" s="257" t="s">
        <v>2732</v>
      </c>
      <c r="D89" s="257"/>
      <c r="E89" s="257"/>
      <c r="F89" s="278" t="s">
        <v>2715</v>
      </c>
      <c r="G89" s="279"/>
      <c r="H89" s="257" t="s">
        <v>2733</v>
      </c>
      <c r="I89" s="257" t="s">
        <v>2711</v>
      </c>
      <c r="J89" s="257">
        <v>20</v>
      </c>
      <c r="K89" s="269"/>
    </row>
    <row r="90" spans="2:11" s="1" customFormat="1" ht="15" customHeight="1">
      <c r="B90" s="280"/>
      <c r="C90" s="257" t="s">
        <v>2734</v>
      </c>
      <c r="D90" s="257"/>
      <c r="E90" s="257"/>
      <c r="F90" s="278" t="s">
        <v>2715</v>
      </c>
      <c r="G90" s="279"/>
      <c r="H90" s="257" t="s">
        <v>2735</v>
      </c>
      <c r="I90" s="257" t="s">
        <v>2711</v>
      </c>
      <c r="J90" s="257">
        <v>50</v>
      </c>
      <c r="K90" s="269"/>
    </row>
    <row r="91" spans="2:11" s="1" customFormat="1" ht="15" customHeight="1">
      <c r="B91" s="280"/>
      <c r="C91" s="257" t="s">
        <v>2736</v>
      </c>
      <c r="D91" s="257"/>
      <c r="E91" s="257"/>
      <c r="F91" s="278" t="s">
        <v>2715</v>
      </c>
      <c r="G91" s="279"/>
      <c r="H91" s="257" t="s">
        <v>2736</v>
      </c>
      <c r="I91" s="257" t="s">
        <v>2711</v>
      </c>
      <c r="J91" s="257">
        <v>50</v>
      </c>
      <c r="K91" s="269"/>
    </row>
    <row r="92" spans="2:11" s="1" customFormat="1" ht="15" customHeight="1">
      <c r="B92" s="280"/>
      <c r="C92" s="257" t="s">
        <v>2737</v>
      </c>
      <c r="D92" s="257"/>
      <c r="E92" s="257"/>
      <c r="F92" s="278" t="s">
        <v>2715</v>
      </c>
      <c r="G92" s="279"/>
      <c r="H92" s="257" t="s">
        <v>2738</v>
      </c>
      <c r="I92" s="257" t="s">
        <v>2711</v>
      </c>
      <c r="J92" s="257">
        <v>255</v>
      </c>
      <c r="K92" s="269"/>
    </row>
    <row r="93" spans="2:11" s="1" customFormat="1" ht="15" customHeight="1">
      <c r="B93" s="280"/>
      <c r="C93" s="257" t="s">
        <v>2739</v>
      </c>
      <c r="D93" s="257"/>
      <c r="E93" s="257"/>
      <c r="F93" s="278" t="s">
        <v>2709</v>
      </c>
      <c r="G93" s="279"/>
      <c r="H93" s="257" t="s">
        <v>2740</v>
      </c>
      <c r="I93" s="257" t="s">
        <v>2741</v>
      </c>
      <c r="J93" s="257"/>
      <c r="K93" s="269"/>
    </row>
    <row r="94" spans="2:11" s="1" customFormat="1" ht="15" customHeight="1">
      <c r="B94" s="280"/>
      <c r="C94" s="257" t="s">
        <v>2742</v>
      </c>
      <c r="D94" s="257"/>
      <c r="E94" s="257"/>
      <c r="F94" s="278" t="s">
        <v>2709</v>
      </c>
      <c r="G94" s="279"/>
      <c r="H94" s="257" t="s">
        <v>2743</v>
      </c>
      <c r="I94" s="257" t="s">
        <v>2744</v>
      </c>
      <c r="J94" s="257"/>
      <c r="K94" s="269"/>
    </row>
    <row r="95" spans="2:11" s="1" customFormat="1" ht="15" customHeight="1">
      <c r="B95" s="280"/>
      <c r="C95" s="257" t="s">
        <v>2745</v>
      </c>
      <c r="D95" s="257"/>
      <c r="E95" s="257"/>
      <c r="F95" s="278" t="s">
        <v>2709</v>
      </c>
      <c r="G95" s="279"/>
      <c r="H95" s="257" t="s">
        <v>2745</v>
      </c>
      <c r="I95" s="257" t="s">
        <v>2744</v>
      </c>
      <c r="J95" s="257"/>
      <c r="K95" s="269"/>
    </row>
    <row r="96" spans="2:11" s="1" customFormat="1" ht="15" customHeight="1">
      <c r="B96" s="280"/>
      <c r="C96" s="257" t="s">
        <v>38</v>
      </c>
      <c r="D96" s="257"/>
      <c r="E96" s="257"/>
      <c r="F96" s="278" t="s">
        <v>2709</v>
      </c>
      <c r="G96" s="279"/>
      <c r="H96" s="257" t="s">
        <v>2746</v>
      </c>
      <c r="I96" s="257" t="s">
        <v>2744</v>
      </c>
      <c r="J96" s="257"/>
      <c r="K96" s="269"/>
    </row>
    <row r="97" spans="2:11" s="1" customFormat="1" ht="15" customHeight="1">
      <c r="B97" s="280"/>
      <c r="C97" s="257" t="s">
        <v>48</v>
      </c>
      <c r="D97" s="257"/>
      <c r="E97" s="257"/>
      <c r="F97" s="278" t="s">
        <v>2709</v>
      </c>
      <c r="G97" s="279"/>
      <c r="H97" s="257" t="s">
        <v>2747</v>
      </c>
      <c r="I97" s="257" t="s">
        <v>2744</v>
      </c>
      <c r="J97" s="257"/>
      <c r="K97" s="269"/>
    </row>
    <row r="98" spans="2:11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pans="2:11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pans="2:11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pans="2:1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pans="2:11" s="1" customFormat="1" ht="45" customHeight="1">
      <c r="B102" s="268"/>
      <c r="C102" s="376" t="s">
        <v>2748</v>
      </c>
      <c r="D102" s="376"/>
      <c r="E102" s="376"/>
      <c r="F102" s="376"/>
      <c r="G102" s="376"/>
      <c r="H102" s="376"/>
      <c r="I102" s="376"/>
      <c r="J102" s="376"/>
      <c r="K102" s="269"/>
    </row>
    <row r="103" spans="2:11" s="1" customFormat="1" ht="17.25" customHeight="1">
      <c r="B103" s="268"/>
      <c r="C103" s="270" t="s">
        <v>2703</v>
      </c>
      <c r="D103" s="270"/>
      <c r="E103" s="270"/>
      <c r="F103" s="270" t="s">
        <v>2704</v>
      </c>
      <c r="G103" s="271"/>
      <c r="H103" s="270" t="s">
        <v>54</v>
      </c>
      <c r="I103" s="270" t="s">
        <v>57</v>
      </c>
      <c r="J103" s="270" t="s">
        <v>2705</v>
      </c>
      <c r="K103" s="269"/>
    </row>
    <row r="104" spans="2:11" s="1" customFormat="1" ht="17.25" customHeight="1">
      <c r="B104" s="268"/>
      <c r="C104" s="272" t="s">
        <v>2706</v>
      </c>
      <c r="D104" s="272"/>
      <c r="E104" s="272"/>
      <c r="F104" s="273" t="s">
        <v>2707</v>
      </c>
      <c r="G104" s="274"/>
      <c r="H104" s="272"/>
      <c r="I104" s="272"/>
      <c r="J104" s="272" t="s">
        <v>2708</v>
      </c>
      <c r="K104" s="269"/>
    </row>
    <row r="105" spans="2:11" s="1" customFormat="1" ht="5.25" customHeight="1">
      <c r="B105" s="268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pans="2:11" s="1" customFormat="1" ht="15" customHeight="1">
      <c r="B106" s="268"/>
      <c r="C106" s="257" t="s">
        <v>53</v>
      </c>
      <c r="D106" s="277"/>
      <c r="E106" s="277"/>
      <c r="F106" s="278" t="s">
        <v>2709</v>
      </c>
      <c r="G106" s="257"/>
      <c r="H106" s="257" t="s">
        <v>2749</v>
      </c>
      <c r="I106" s="257" t="s">
        <v>2711</v>
      </c>
      <c r="J106" s="257">
        <v>20</v>
      </c>
      <c r="K106" s="269"/>
    </row>
    <row r="107" spans="2:11" s="1" customFormat="1" ht="15" customHeight="1">
      <c r="B107" s="268"/>
      <c r="C107" s="257" t="s">
        <v>2712</v>
      </c>
      <c r="D107" s="257"/>
      <c r="E107" s="257"/>
      <c r="F107" s="278" t="s">
        <v>2709</v>
      </c>
      <c r="G107" s="257"/>
      <c r="H107" s="257" t="s">
        <v>2749</v>
      </c>
      <c r="I107" s="257" t="s">
        <v>2711</v>
      </c>
      <c r="J107" s="257">
        <v>120</v>
      </c>
      <c r="K107" s="269"/>
    </row>
    <row r="108" spans="2:11" s="1" customFormat="1" ht="15" customHeight="1">
      <c r="B108" s="280"/>
      <c r="C108" s="257" t="s">
        <v>2714</v>
      </c>
      <c r="D108" s="257"/>
      <c r="E108" s="257"/>
      <c r="F108" s="278" t="s">
        <v>2715</v>
      </c>
      <c r="G108" s="257"/>
      <c r="H108" s="257" t="s">
        <v>2749</v>
      </c>
      <c r="I108" s="257" t="s">
        <v>2711</v>
      </c>
      <c r="J108" s="257">
        <v>50</v>
      </c>
      <c r="K108" s="269"/>
    </row>
    <row r="109" spans="2:11" s="1" customFormat="1" ht="15" customHeight="1">
      <c r="B109" s="280"/>
      <c r="C109" s="257" t="s">
        <v>2717</v>
      </c>
      <c r="D109" s="257"/>
      <c r="E109" s="257"/>
      <c r="F109" s="278" t="s">
        <v>2709</v>
      </c>
      <c r="G109" s="257"/>
      <c r="H109" s="257" t="s">
        <v>2749</v>
      </c>
      <c r="I109" s="257" t="s">
        <v>2719</v>
      </c>
      <c r="J109" s="257"/>
      <c r="K109" s="269"/>
    </row>
    <row r="110" spans="2:11" s="1" customFormat="1" ht="15" customHeight="1">
      <c r="B110" s="280"/>
      <c r="C110" s="257" t="s">
        <v>2728</v>
      </c>
      <c r="D110" s="257"/>
      <c r="E110" s="257"/>
      <c r="F110" s="278" t="s">
        <v>2715</v>
      </c>
      <c r="G110" s="257"/>
      <c r="H110" s="257" t="s">
        <v>2749</v>
      </c>
      <c r="I110" s="257" t="s">
        <v>2711</v>
      </c>
      <c r="J110" s="257">
        <v>50</v>
      </c>
      <c r="K110" s="269"/>
    </row>
    <row r="111" spans="2:11" s="1" customFormat="1" ht="15" customHeight="1">
      <c r="B111" s="280"/>
      <c r="C111" s="257" t="s">
        <v>2736</v>
      </c>
      <c r="D111" s="257"/>
      <c r="E111" s="257"/>
      <c r="F111" s="278" t="s">
        <v>2715</v>
      </c>
      <c r="G111" s="257"/>
      <c r="H111" s="257" t="s">
        <v>2749</v>
      </c>
      <c r="I111" s="257" t="s">
        <v>2711</v>
      </c>
      <c r="J111" s="257">
        <v>50</v>
      </c>
      <c r="K111" s="269"/>
    </row>
    <row r="112" spans="2:11" s="1" customFormat="1" ht="15" customHeight="1">
      <c r="B112" s="280"/>
      <c r="C112" s="257" t="s">
        <v>2734</v>
      </c>
      <c r="D112" s="257"/>
      <c r="E112" s="257"/>
      <c r="F112" s="278" t="s">
        <v>2715</v>
      </c>
      <c r="G112" s="257"/>
      <c r="H112" s="257" t="s">
        <v>2749</v>
      </c>
      <c r="I112" s="257" t="s">
        <v>2711</v>
      </c>
      <c r="J112" s="257">
        <v>50</v>
      </c>
      <c r="K112" s="269"/>
    </row>
    <row r="113" spans="2:11" s="1" customFormat="1" ht="15" customHeight="1">
      <c r="B113" s="280"/>
      <c r="C113" s="257" t="s">
        <v>53</v>
      </c>
      <c r="D113" s="257"/>
      <c r="E113" s="257"/>
      <c r="F113" s="278" t="s">
        <v>2709</v>
      </c>
      <c r="G113" s="257"/>
      <c r="H113" s="257" t="s">
        <v>2750</v>
      </c>
      <c r="I113" s="257" t="s">
        <v>2711</v>
      </c>
      <c r="J113" s="257">
        <v>20</v>
      </c>
      <c r="K113" s="269"/>
    </row>
    <row r="114" spans="2:11" s="1" customFormat="1" ht="15" customHeight="1">
      <c r="B114" s="280"/>
      <c r="C114" s="257" t="s">
        <v>2751</v>
      </c>
      <c r="D114" s="257"/>
      <c r="E114" s="257"/>
      <c r="F114" s="278" t="s">
        <v>2709</v>
      </c>
      <c r="G114" s="257"/>
      <c r="H114" s="257" t="s">
        <v>2752</v>
      </c>
      <c r="I114" s="257" t="s">
        <v>2711</v>
      </c>
      <c r="J114" s="257">
        <v>120</v>
      </c>
      <c r="K114" s="269"/>
    </row>
    <row r="115" spans="2:11" s="1" customFormat="1" ht="15" customHeight="1">
      <c r="B115" s="280"/>
      <c r="C115" s="257" t="s">
        <v>38</v>
      </c>
      <c r="D115" s="257"/>
      <c r="E115" s="257"/>
      <c r="F115" s="278" t="s">
        <v>2709</v>
      </c>
      <c r="G115" s="257"/>
      <c r="H115" s="257" t="s">
        <v>2753</v>
      </c>
      <c r="I115" s="257" t="s">
        <v>2744</v>
      </c>
      <c r="J115" s="257"/>
      <c r="K115" s="269"/>
    </row>
    <row r="116" spans="2:11" s="1" customFormat="1" ht="15" customHeight="1">
      <c r="B116" s="280"/>
      <c r="C116" s="257" t="s">
        <v>48</v>
      </c>
      <c r="D116" s="257"/>
      <c r="E116" s="257"/>
      <c r="F116" s="278" t="s">
        <v>2709</v>
      </c>
      <c r="G116" s="257"/>
      <c r="H116" s="257" t="s">
        <v>2754</v>
      </c>
      <c r="I116" s="257" t="s">
        <v>2744</v>
      </c>
      <c r="J116" s="257"/>
      <c r="K116" s="269"/>
    </row>
    <row r="117" spans="2:11" s="1" customFormat="1" ht="15" customHeight="1">
      <c r="B117" s="280"/>
      <c r="C117" s="257" t="s">
        <v>57</v>
      </c>
      <c r="D117" s="257"/>
      <c r="E117" s="257"/>
      <c r="F117" s="278" t="s">
        <v>2709</v>
      </c>
      <c r="G117" s="257"/>
      <c r="H117" s="257" t="s">
        <v>2755</v>
      </c>
      <c r="I117" s="257" t="s">
        <v>2756</v>
      </c>
      <c r="J117" s="257"/>
      <c r="K117" s="269"/>
    </row>
    <row r="118" spans="2:11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pans="2:11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pans="2:11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pans="2:1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pans="2:11" s="1" customFormat="1" ht="45" customHeight="1">
      <c r="B122" s="296"/>
      <c r="C122" s="377" t="s">
        <v>2757</v>
      </c>
      <c r="D122" s="377"/>
      <c r="E122" s="377"/>
      <c r="F122" s="377"/>
      <c r="G122" s="377"/>
      <c r="H122" s="377"/>
      <c r="I122" s="377"/>
      <c r="J122" s="377"/>
      <c r="K122" s="297"/>
    </row>
    <row r="123" spans="2:11" s="1" customFormat="1" ht="17.25" customHeight="1">
      <c r="B123" s="298"/>
      <c r="C123" s="270" t="s">
        <v>2703</v>
      </c>
      <c r="D123" s="270"/>
      <c r="E123" s="270"/>
      <c r="F123" s="270" t="s">
        <v>2704</v>
      </c>
      <c r="G123" s="271"/>
      <c r="H123" s="270" t="s">
        <v>54</v>
      </c>
      <c r="I123" s="270" t="s">
        <v>57</v>
      </c>
      <c r="J123" s="270" t="s">
        <v>2705</v>
      </c>
      <c r="K123" s="299"/>
    </row>
    <row r="124" spans="2:11" s="1" customFormat="1" ht="17.25" customHeight="1">
      <c r="B124" s="298"/>
      <c r="C124" s="272" t="s">
        <v>2706</v>
      </c>
      <c r="D124" s="272"/>
      <c r="E124" s="272"/>
      <c r="F124" s="273" t="s">
        <v>2707</v>
      </c>
      <c r="G124" s="274"/>
      <c r="H124" s="272"/>
      <c r="I124" s="272"/>
      <c r="J124" s="272" t="s">
        <v>2708</v>
      </c>
      <c r="K124" s="299"/>
    </row>
    <row r="125" spans="2:11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pans="2:11" s="1" customFormat="1" ht="15" customHeight="1">
      <c r="B126" s="300"/>
      <c r="C126" s="257" t="s">
        <v>2712</v>
      </c>
      <c r="D126" s="277"/>
      <c r="E126" s="277"/>
      <c r="F126" s="278" t="s">
        <v>2709</v>
      </c>
      <c r="G126" s="257"/>
      <c r="H126" s="257" t="s">
        <v>2749</v>
      </c>
      <c r="I126" s="257" t="s">
        <v>2711</v>
      </c>
      <c r="J126" s="257">
        <v>120</v>
      </c>
      <c r="K126" s="303"/>
    </row>
    <row r="127" spans="2:11" s="1" customFormat="1" ht="15" customHeight="1">
      <c r="B127" s="300"/>
      <c r="C127" s="257" t="s">
        <v>2758</v>
      </c>
      <c r="D127" s="257"/>
      <c r="E127" s="257"/>
      <c r="F127" s="278" t="s">
        <v>2709</v>
      </c>
      <c r="G127" s="257"/>
      <c r="H127" s="257" t="s">
        <v>2759</v>
      </c>
      <c r="I127" s="257" t="s">
        <v>2711</v>
      </c>
      <c r="J127" s="257" t="s">
        <v>2760</v>
      </c>
      <c r="K127" s="303"/>
    </row>
    <row r="128" spans="2:11" s="1" customFormat="1" ht="15" customHeight="1">
      <c r="B128" s="300"/>
      <c r="C128" s="257" t="s">
        <v>2657</v>
      </c>
      <c r="D128" s="257"/>
      <c r="E128" s="257"/>
      <c r="F128" s="278" t="s">
        <v>2709</v>
      </c>
      <c r="G128" s="257"/>
      <c r="H128" s="257" t="s">
        <v>2761</v>
      </c>
      <c r="I128" s="257" t="s">
        <v>2711</v>
      </c>
      <c r="J128" s="257" t="s">
        <v>2760</v>
      </c>
      <c r="K128" s="303"/>
    </row>
    <row r="129" spans="2:11" s="1" customFormat="1" ht="15" customHeight="1">
      <c r="B129" s="300"/>
      <c r="C129" s="257" t="s">
        <v>2720</v>
      </c>
      <c r="D129" s="257"/>
      <c r="E129" s="257"/>
      <c r="F129" s="278" t="s">
        <v>2715</v>
      </c>
      <c r="G129" s="257"/>
      <c r="H129" s="257" t="s">
        <v>2721</v>
      </c>
      <c r="I129" s="257" t="s">
        <v>2711</v>
      </c>
      <c r="J129" s="257">
        <v>15</v>
      </c>
      <c r="K129" s="303"/>
    </row>
    <row r="130" spans="2:11" s="1" customFormat="1" ht="15" customHeight="1">
      <c r="B130" s="300"/>
      <c r="C130" s="281" t="s">
        <v>2722</v>
      </c>
      <c r="D130" s="281"/>
      <c r="E130" s="281"/>
      <c r="F130" s="282" t="s">
        <v>2715</v>
      </c>
      <c r="G130" s="281"/>
      <c r="H130" s="281" t="s">
        <v>2723</v>
      </c>
      <c r="I130" s="281" t="s">
        <v>2711</v>
      </c>
      <c r="J130" s="281">
        <v>15</v>
      </c>
      <c r="K130" s="303"/>
    </row>
    <row r="131" spans="2:11" s="1" customFormat="1" ht="15" customHeight="1">
      <c r="B131" s="300"/>
      <c r="C131" s="281" t="s">
        <v>2724</v>
      </c>
      <c r="D131" s="281"/>
      <c r="E131" s="281"/>
      <c r="F131" s="282" t="s">
        <v>2715</v>
      </c>
      <c r="G131" s="281"/>
      <c r="H131" s="281" t="s">
        <v>2725</v>
      </c>
      <c r="I131" s="281" t="s">
        <v>2711</v>
      </c>
      <c r="J131" s="281">
        <v>20</v>
      </c>
      <c r="K131" s="303"/>
    </row>
    <row r="132" spans="2:11" s="1" customFormat="1" ht="15" customHeight="1">
      <c r="B132" s="300"/>
      <c r="C132" s="281" t="s">
        <v>2726</v>
      </c>
      <c r="D132" s="281"/>
      <c r="E132" s="281"/>
      <c r="F132" s="282" t="s">
        <v>2715</v>
      </c>
      <c r="G132" s="281"/>
      <c r="H132" s="281" t="s">
        <v>2727</v>
      </c>
      <c r="I132" s="281" t="s">
        <v>2711</v>
      </c>
      <c r="J132" s="281">
        <v>20</v>
      </c>
      <c r="K132" s="303"/>
    </row>
    <row r="133" spans="2:11" s="1" customFormat="1" ht="15" customHeight="1">
      <c r="B133" s="300"/>
      <c r="C133" s="257" t="s">
        <v>2714</v>
      </c>
      <c r="D133" s="257"/>
      <c r="E133" s="257"/>
      <c r="F133" s="278" t="s">
        <v>2715</v>
      </c>
      <c r="G133" s="257"/>
      <c r="H133" s="257" t="s">
        <v>2749</v>
      </c>
      <c r="I133" s="257" t="s">
        <v>2711</v>
      </c>
      <c r="J133" s="257">
        <v>50</v>
      </c>
      <c r="K133" s="303"/>
    </row>
    <row r="134" spans="2:11" s="1" customFormat="1" ht="15" customHeight="1">
      <c r="B134" s="300"/>
      <c r="C134" s="257" t="s">
        <v>2728</v>
      </c>
      <c r="D134" s="257"/>
      <c r="E134" s="257"/>
      <c r="F134" s="278" t="s">
        <v>2715</v>
      </c>
      <c r="G134" s="257"/>
      <c r="H134" s="257" t="s">
        <v>2749</v>
      </c>
      <c r="I134" s="257" t="s">
        <v>2711</v>
      </c>
      <c r="J134" s="257">
        <v>50</v>
      </c>
      <c r="K134" s="303"/>
    </row>
    <row r="135" spans="2:11" s="1" customFormat="1" ht="15" customHeight="1">
      <c r="B135" s="300"/>
      <c r="C135" s="257" t="s">
        <v>2734</v>
      </c>
      <c r="D135" s="257"/>
      <c r="E135" s="257"/>
      <c r="F135" s="278" t="s">
        <v>2715</v>
      </c>
      <c r="G135" s="257"/>
      <c r="H135" s="257" t="s">
        <v>2749</v>
      </c>
      <c r="I135" s="257" t="s">
        <v>2711</v>
      </c>
      <c r="J135" s="257">
        <v>50</v>
      </c>
      <c r="K135" s="303"/>
    </row>
    <row r="136" spans="2:11" s="1" customFormat="1" ht="15" customHeight="1">
      <c r="B136" s="300"/>
      <c r="C136" s="257" t="s">
        <v>2736</v>
      </c>
      <c r="D136" s="257"/>
      <c r="E136" s="257"/>
      <c r="F136" s="278" t="s">
        <v>2715</v>
      </c>
      <c r="G136" s="257"/>
      <c r="H136" s="257" t="s">
        <v>2749</v>
      </c>
      <c r="I136" s="257" t="s">
        <v>2711</v>
      </c>
      <c r="J136" s="257">
        <v>50</v>
      </c>
      <c r="K136" s="303"/>
    </row>
    <row r="137" spans="2:11" s="1" customFormat="1" ht="15" customHeight="1">
      <c r="B137" s="300"/>
      <c r="C137" s="257" t="s">
        <v>2737</v>
      </c>
      <c r="D137" s="257"/>
      <c r="E137" s="257"/>
      <c r="F137" s="278" t="s">
        <v>2715</v>
      </c>
      <c r="G137" s="257"/>
      <c r="H137" s="257" t="s">
        <v>2762</v>
      </c>
      <c r="I137" s="257" t="s">
        <v>2711</v>
      </c>
      <c r="J137" s="257">
        <v>255</v>
      </c>
      <c r="K137" s="303"/>
    </row>
    <row r="138" spans="2:11" s="1" customFormat="1" ht="15" customHeight="1">
      <c r="B138" s="300"/>
      <c r="C138" s="257" t="s">
        <v>2739</v>
      </c>
      <c r="D138" s="257"/>
      <c r="E138" s="257"/>
      <c r="F138" s="278" t="s">
        <v>2709</v>
      </c>
      <c r="G138" s="257"/>
      <c r="H138" s="257" t="s">
        <v>2763</v>
      </c>
      <c r="I138" s="257" t="s">
        <v>2741</v>
      </c>
      <c r="J138" s="257"/>
      <c r="K138" s="303"/>
    </row>
    <row r="139" spans="2:11" s="1" customFormat="1" ht="15" customHeight="1">
      <c r="B139" s="300"/>
      <c r="C139" s="257" t="s">
        <v>2742</v>
      </c>
      <c r="D139" s="257"/>
      <c r="E139" s="257"/>
      <c r="F139" s="278" t="s">
        <v>2709</v>
      </c>
      <c r="G139" s="257"/>
      <c r="H139" s="257" t="s">
        <v>2764</v>
      </c>
      <c r="I139" s="257" t="s">
        <v>2744</v>
      </c>
      <c r="J139" s="257"/>
      <c r="K139" s="303"/>
    </row>
    <row r="140" spans="2:11" s="1" customFormat="1" ht="15" customHeight="1">
      <c r="B140" s="300"/>
      <c r="C140" s="257" t="s">
        <v>2745</v>
      </c>
      <c r="D140" s="257"/>
      <c r="E140" s="257"/>
      <c r="F140" s="278" t="s">
        <v>2709</v>
      </c>
      <c r="G140" s="257"/>
      <c r="H140" s="257" t="s">
        <v>2745</v>
      </c>
      <c r="I140" s="257" t="s">
        <v>2744</v>
      </c>
      <c r="J140" s="257"/>
      <c r="K140" s="303"/>
    </row>
    <row r="141" spans="2:11" s="1" customFormat="1" ht="15" customHeight="1">
      <c r="B141" s="300"/>
      <c r="C141" s="257" t="s">
        <v>38</v>
      </c>
      <c r="D141" s="257"/>
      <c r="E141" s="257"/>
      <c r="F141" s="278" t="s">
        <v>2709</v>
      </c>
      <c r="G141" s="257"/>
      <c r="H141" s="257" t="s">
        <v>2765</v>
      </c>
      <c r="I141" s="257" t="s">
        <v>2744</v>
      </c>
      <c r="J141" s="257"/>
      <c r="K141" s="303"/>
    </row>
    <row r="142" spans="2:11" s="1" customFormat="1" ht="15" customHeight="1">
      <c r="B142" s="300"/>
      <c r="C142" s="257" t="s">
        <v>2766</v>
      </c>
      <c r="D142" s="257"/>
      <c r="E142" s="257"/>
      <c r="F142" s="278" t="s">
        <v>2709</v>
      </c>
      <c r="G142" s="257"/>
      <c r="H142" s="257" t="s">
        <v>2767</v>
      </c>
      <c r="I142" s="257" t="s">
        <v>2744</v>
      </c>
      <c r="J142" s="257"/>
      <c r="K142" s="303"/>
    </row>
    <row r="143" spans="2:11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pans="2:11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pans="2:11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pans="2:11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pans="2:11" s="1" customFormat="1" ht="45" customHeight="1">
      <c r="B147" s="268"/>
      <c r="C147" s="376" t="s">
        <v>2768</v>
      </c>
      <c r="D147" s="376"/>
      <c r="E147" s="376"/>
      <c r="F147" s="376"/>
      <c r="G147" s="376"/>
      <c r="H147" s="376"/>
      <c r="I147" s="376"/>
      <c r="J147" s="376"/>
      <c r="K147" s="269"/>
    </row>
    <row r="148" spans="2:11" s="1" customFormat="1" ht="17.25" customHeight="1">
      <c r="B148" s="268"/>
      <c r="C148" s="270" t="s">
        <v>2703</v>
      </c>
      <c r="D148" s="270"/>
      <c r="E148" s="270"/>
      <c r="F148" s="270" t="s">
        <v>2704</v>
      </c>
      <c r="G148" s="271"/>
      <c r="H148" s="270" t="s">
        <v>54</v>
      </c>
      <c r="I148" s="270" t="s">
        <v>57</v>
      </c>
      <c r="J148" s="270" t="s">
        <v>2705</v>
      </c>
      <c r="K148" s="269"/>
    </row>
    <row r="149" spans="2:11" s="1" customFormat="1" ht="17.25" customHeight="1">
      <c r="B149" s="268"/>
      <c r="C149" s="272" t="s">
        <v>2706</v>
      </c>
      <c r="D149" s="272"/>
      <c r="E149" s="272"/>
      <c r="F149" s="273" t="s">
        <v>2707</v>
      </c>
      <c r="G149" s="274"/>
      <c r="H149" s="272"/>
      <c r="I149" s="272"/>
      <c r="J149" s="272" t="s">
        <v>2708</v>
      </c>
      <c r="K149" s="269"/>
    </row>
    <row r="150" spans="2:11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pans="2:11" s="1" customFormat="1" ht="15" customHeight="1">
      <c r="B151" s="280"/>
      <c r="C151" s="307" t="s">
        <v>2712</v>
      </c>
      <c r="D151" s="257"/>
      <c r="E151" s="257"/>
      <c r="F151" s="308" t="s">
        <v>2709</v>
      </c>
      <c r="G151" s="257"/>
      <c r="H151" s="307" t="s">
        <v>2749</v>
      </c>
      <c r="I151" s="307" t="s">
        <v>2711</v>
      </c>
      <c r="J151" s="307">
        <v>120</v>
      </c>
      <c r="K151" s="303"/>
    </row>
    <row r="152" spans="2:11" s="1" customFormat="1" ht="15" customHeight="1">
      <c r="B152" s="280"/>
      <c r="C152" s="307" t="s">
        <v>2758</v>
      </c>
      <c r="D152" s="257"/>
      <c r="E152" s="257"/>
      <c r="F152" s="308" t="s">
        <v>2709</v>
      </c>
      <c r="G152" s="257"/>
      <c r="H152" s="307" t="s">
        <v>2769</v>
      </c>
      <c r="I152" s="307" t="s">
        <v>2711</v>
      </c>
      <c r="J152" s="307" t="s">
        <v>2760</v>
      </c>
      <c r="K152" s="303"/>
    </row>
    <row r="153" spans="2:11" s="1" customFormat="1" ht="15" customHeight="1">
      <c r="B153" s="280"/>
      <c r="C153" s="307" t="s">
        <v>2657</v>
      </c>
      <c r="D153" s="257"/>
      <c r="E153" s="257"/>
      <c r="F153" s="308" t="s">
        <v>2709</v>
      </c>
      <c r="G153" s="257"/>
      <c r="H153" s="307" t="s">
        <v>2770</v>
      </c>
      <c r="I153" s="307" t="s">
        <v>2711</v>
      </c>
      <c r="J153" s="307" t="s">
        <v>2760</v>
      </c>
      <c r="K153" s="303"/>
    </row>
    <row r="154" spans="2:11" s="1" customFormat="1" ht="15" customHeight="1">
      <c r="B154" s="280"/>
      <c r="C154" s="307" t="s">
        <v>2714</v>
      </c>
      <c r="D154" s="257"/>
      <c r="E154" s="257"/>
      <c r="F154" s="308" t="s">
        <v>2715</v>
      </c>
      <c r="G154" s="257"/>
      <c r="H154" s="307" t="s">
        <v>2749</v>
      </c>
      <c r="I154" s="307" t="s">
        <v>2711</v>
      </c>
      <c r="J154" s="307">
        <v>50</v>
      </c>
      <c r="K154" s="303"/>
    </row>
    <row r="155" spans="2:11" s="1" customFormat="1" ht="15" customHeight="1">
      <c r="B155" s="280"/>
      <c r="C155" s="307" t="s">
        <v>2717</v>
      </c>
      <c r="D155" s="257"/>
      <c r="E155" s="257"/>
      <c r="F155" s="308" t="s">
        <v>2709</v>
      </c>
      <c r="G155" s="257"/>
      <c r="H155" s="307" t="s">
        <v>2749</v>
      </c>
      <c r="I155" s="307" t="s">
        <v>2719</v>
      </c>
      <c r="J155" s="307"/>
      <c r="K155" s="303"/>
    </row>
    <row r="156" spans="2:11" s="1" customFormat="1" ht="15" customHeight="1">
      <c r="B156" s="280"/>
      <c r="C156" s="307" t="s">
        <v>2728</v>
      </c>
      <c r="D156" s="257"/>
      <c r="E156" s="257"/>
      <c r="F156" s="308" t="s">
        <v>2715</v>
      </c>
      <c r="G156" s="257"/>
      <c r="H156" s="307" t="s">
        <v>2749</v>
      </c>
      <c r="I156" s="307" t="s">
        <v>2711</v>
      </c>
      <c r="J156" s="307">
        <v>50</v>
      </c>
      <c r="K156" s="303"/>
    </row>
    <row r="157" spans="2:11" s="1" customFormat="1" ht="15" customHeight="1">
      <c r="B157" s="280"/>
      <c r="C157" s="307" t="s">
        <v>2736</v>
      </c>
      <c r="D157" s="257"/>
      <c r="E157" s="257"/>
      <c r="F157" s="308" t="s">
        <v>2715</v>
      </c>
      <c r="G157" s="257"/>
      <c r="H157" s="307" t="s">
        <v>2749</v>
      </c>
      <c r="I157" s="307" t="s">
        <v>2711</v>
      </c>
      <c r="J157" s="307">
        <v>50</v>
      </c>
      <c r="K157" s="303"/>
    </row>
    <row r="158" spans="2:11" s="1" customFormat="1" ht="15" customHeight="1">
      <c r="B158" s="280"/>
      <c r="C158" s="307" t="s">
        <v>2734</v>
      </c>
      <c r="D158" s="257"/>
      <c r="E158" s="257"/>
      <c r="F158" s="308" t="s">
        <v>2715</v>
      </c>
      <c r="G158" s="257"/>
      <c r="H158" s="307" t="s">
        <v>2749</v>
      </c>
      <c r="I158" s="307" t="s">
        <v>2711</v>
      </c>
      <c r="J158" s="307">
        <v>50</v>
      </c>
      <c r="K158" s="303"/>
    </row>
    <row r="159" spans="2:11" s="1" customFormat="1" ht="15" customHeight="1">
      <c r="B159" s="280"/>
      <c r="C159" s="307" t="s">
        <v>93</v>
      </c>
      <c r="D159" s="257"/>
      <c r="E159" s="257"/>
      <c r="F159" s="308" t="s">
        <v>2709</v>
      </c>
      <c r="G159" s="257"/>
      <c r="H159" s="307" t="s">
        <v>2771</v>
      </c>
      <c r="I159" s="307" t="s">
        <v>2711</v>
      </c>
      <c r="J159" s="307" t="s">
        <v>2772</v>
      </c>
      <c r="K159" s="303"/>
    </row>
    <row r="160" spans="2:11" s="1" customFormat="1" ht="15" customHeight="1">
      <c r="B160" s="280"/>
      <c r="C160" s="307" t="s">
        <v>2773</v>
      </c>
      <c r="D160" s="257"/>
      <c r="E160" s="257"/>
      <c r="F160" s="308" t="s">
        <v>2709</v>
      </c>
      <c r="G160" s="257"/>
      <c r="H160" s="307" t="s">
        <v>2774</v>
      </c>
      <c r="I160" s="307" t="s">
        <v>2744</v>
      </c>
      <c r="J160" s="307"/>
      <c r="K160" s="303"/>
    </row>
    <row r="161" spans="2:1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pans="2:11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pans="2:11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pans="2:11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pans="2:11" s="1" customFormat="1" ht="45" customHeight="1">
      <c r="B165" s="249"/>
      <c r="C165" s="377" t="s">
        <v>2775</v>
      </c>
      <c r="D165" s="377"/>
      <c r="E165" s="377"/>
      <c r="F165" s="377"/>
      <c r="G165" s="377"/>
      <c r="H165" s="377"/>
      <c r="I165" s="377"/>
      <c r="J165" s="377"/>
      <c r="K165" s="250"/>
    </row>
    <row r="166" spans="2:11" s="1" customFormat="1" ht="17.25" customHeight="1">
      <c r="B166" s="249"/>
      <c r="C166" s="270" t="s">
        <v>2703</v>
      </c>
      <c r="D166" s="270"/>
      <c r="E166" s="270"/>
      <c r="F166" s="270" t="s">
        <v>2704</v>
      </c>
      <c r="G166" s="312"/>
      <c r="H166" s="313" t="s">
        <v>54</v>
      </c>
      <c r="I166" s="313" t="s">
        <v>57</v>
      </c>
      <c r="J166" s="270" t="s">
        <v>2705</v>
      </c>
      <c r="K166" s="250"/>
    </row>
    <row r="167" spans="2:11" s="1" customFormat="1" ht="17.25" customHeight="1">
      <c r="B167" s="251"/>
      <c r="C167" s="272" t="s">
        <v>2706</v>
      </c>
      <c r="D167" s="272"/>
      <c r="E167" s="272"/>
      <c r="F167" s="273" t="s">
        <v>2707</v>
      </c>
      <c r="G167" s="314"/>
      <c r="H167" s="315"/>
      <c r="I167" s="315"/>
      <c r="J167" s="272" t="s">
        <v>2708</v>
      </c>
      <c r="K167" s="252"/>
    </row>
    <row r="168" spans="2:11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pans="2:11" s="1" customFormat="1" ht="15" customHeight="1">
      <c r="B169" s="280"/>
      <c r="C169" s="257" t="s">
        <v>2712</v>
      </c>
      <c r="D169" s="257"/>
      <c r="E169" s="257"/>
      <c r="F169" s="278" t="s">
        <v>2709</v>
      </c>
      <c r="G169" s="257"/>
      <c r="H169" s="257" t="s">
        <v>2749</v>
      </c>
      <c r="I169" s="257" t="s">
        <v>2711</v>
      </c>
      <c r="J169" s="257">
        <v>120</v>
      </c>
      <c r="K169" s="303"/>
    </row>
    <row r="170" spans="2:11" s="1" customFormat="1" ht="15" customHeight="1">
      <c r="B170" s="280"/>
      <c r="C170" s="257" t="s">
        <v>2758</v>
      </c>
      <c r="D170" s="257"/>
      <c r="E170" s="257"/>
      <c r="F170" s="278" t="s">
        <v>2709</v>
      </c>
      <c r="G170" s="257"/>
      <c r="H170" s="257" t="s">
        <v>2759</v>
      </c>
      <c r="I170" s="257" t="s">
        <v>2711</v>
      </c>
      <c r="J170" s="257" t="s">
        <v>2760</v>
      </c>
      <c r="K170" s="303"/>
    </row>
    <row r="171" spans="2:11" s="1" customFormat="1" ht="15" customHeight="1">
      <c r="B171" s="280"/>
      <c r="C171" s="257" t="s">
        <v>2657</v>
      </c>
      <c r="D171" s="257"/>
      <c r="E171" s="257"/>
      <c r="F171" s="278" t="s">
        <v>2709</v>
      </c>
      <c r="G171" s="257"/>
      <c r="H171" s="257" t="s">
        <v>2776</v>
      </c>
      <c r="I171" s="257" t="s">
        <v>2711</v>
      </c>
      <c r="J171" s="257" t="s">
        <v>2760</v>
      </c>
      <c r="K171" s="303"/>
    </row>
    <row r="172" spans="2:11" s="1" customFormat="1" ht="15" customHeight="1">
      <c r="B172" s="280"/>
      <c r="C172" s="257" t="s">
        <v>2714</v>
      </c>
      <c r="D172" s="257"/>
      <c r="E172" s="257"/>
      <c r="F172" s="278" t="s">
        <v>2715</v>
      </c>
      <c r="G172" s="257"/>
      <c r="H172" s="257" t="s">
        <v>2776</v>
      </c>
      <c r="I172" s="257" t="s">
        <v>2711</v>
      </c>
      <c r="J172" s="257">
        <v>50</v>
      </c>
      <c r="K172" s="303"/>
    </row>
    <row r="173" spans="2:11" s="1" customFormat="1" ht="15" customHeight="1">
      <c r="B173" s="280"/>
      <c r="C173" s="257" t="s">
        <v>2717</v>
      </c>
      <c r="D173" s="257"/>
      <c r="E173" s="257"/>
      <c r="F173" s="278" t="s">
        <v>2709</v>
      </c>
      <c r="G173" s="257"/>
      <c r="H173" s="257" t="s">
        <v>2776</v>
      </c>
      <c r="I173" s="257" t="s">
        <v>2719</v>
      </c>
      <c r="J173" s="257"/>
      <c r="K173" s="303"/>
    </row>
    <row r="174" spans="2:11" s="1" customFormat="1" ht="15" customHeight="1">
      <c r="B174" s="280"/>
      <c r="C174" s="257" t="s">
        <v>2728</v>
      </c>
      <c r="D174" s="257"/>
      <c r="E174" s="257"/>
      <c r="F174" s="278" t="s">
        <v>2715</v>
      </c>
      <c r="G174" s="257"/>
      <c r="H174" s="257" t="s">
        <v>2776</v>
      </c>
      <c r="I174" s="257" t="s">
        <v>2711</v>
      </c>
      <c r="J174" s="257">
        <v>50</v>
      </c>
      <c r="K174" s="303"/>
    </row>
    <row r="175" spans="2:11" s="1" customFormat="1" ht="15" customHeight="1">
      <c r="B175" s="280"/>
      <c r="C175" s="257" t="s">
        <v>2736</v>
      </c>
      <c r="D175" s="257"/>
      <c r="E175" s="257"/>
      <c r="F175" s="278" t="s">
        <v>2715</v>
      </c>
      <c r="G175" s="257"/>
      <c r="H175" s="257" t="s">
        <v>2776</v>
      </c>
      <c r="I175" s="257" t="s">
        <v>2711</v>
      </c>
      <c r="J175" s="257">
        <v>50</v>
      </c>
      <c r="K175" s="303"/>
    </row>
    <row r="176" spans="2:11" s="1" customFormat="1" ht="15" customHeight="1">
      <c r="B176" s="280"/>
      <c r="C176" s="257" t="s">
        <v>2734</v>
      </c>
      <c r="D176" s="257"/>
      <c r="E176" s="257"/>
      <c r="F176" s="278" t="s">
        <v>2715</v>
      </c>
      <c r="G176" s="257"/>
      <c r="H176" s="257" t="s">
        <v>2776</v>
      </c>
      <c r="I176" s="257" t="s">
        <v>2711</v>
      </c>
      <c r="J176" s="257">
        <v>50</v>
      </c>
      <c r="K176" s="303"/>
    </row>
    <row r="177" spans="2:11" s="1" customFormat="1" ht="15" customHeight="1">
      <c r="B177" s="280"/>
      <c r="C177" s="257" t="s">
        <v>114</v>
      </c>
      <c r="D177" s="257"/>
      <c r="E177" s="257"/>
      <c r="F177" s="278" t="s">
        <v>2709</v>
      </c>
      <c r="G177" s="257"/>
      <c r="H177" s="257" t="s">
        <v>2777</v>
      </c>
      <c r="I177" s="257" t="s">
        <v>2778</v>
      </c>
      <c r="J177" s="257"/>
      <c r="K177" s="303"/>
    </row>
    <row r="178" spans="2:11" s="1" customFormat="1" ht="15" customHeight="1">
      <c r="B178" s="280"/>
      <c r="C178" s="257" t="s">
        <v>57</v>
      </c>
      <c r="D178" s="257"/>
      <c r="E178" s="257"/>
      <c r="F178" s="278" t="s">
        <v>2709</v>
      </c>
      <c r="G178" s="257"/>
      <c r="H178" s="257" t="s">
        <v>2779</v>
      </c>
      <c r="I178" s="257" t="s">
        <v>2780</v>
      </c>
      <c r="J178" s="257">
        <v>1</v>
      </c>
      <c r="K178" s="303"/>
    </row>
    <row r="179" spans="2:11" s="1" customFormat="1" ht="15" customHeight="1">
      <c r="B179" s="280"/>
      <c r="C179" s="257" t="s">
        <v>53</v>
      </c>
      <c r="D179" s="257"/>
      <c r="E179" s="257"/>
      <c r="F179" s="278" t="s">
        <v>2709</v>
      </c>
      <c r="G179" s="257"/>
      <c r="H179" s="257" t="s">
        <v>2781</v>
      </c>
      <c r="I179" s="257" t="s">
        <v>2711</v>
      </c>
      <c r="J179" s="257">
        <v>20</v>
      </c>
      <c r="K179" s="303"/>
    </row>
    <row r="180" spans="2:11" s="1" customFormat="1" ht="15" customHeight="1">
      <c r="B180" s="280"/>
      <c r="C180" s="257" t="s">
        <v>54</v>
      </c>
      <c r="D180" s="257"/>
      <c r="E180" s="257"/>
      <c r="F180" s="278" t="s">
        <v>2709</v>
      </c>
      <c r="G180" s="257"/>
      <c r="H180" s="257" t="s">
        <v>2782</v>
      </c>
      <c r="I180" s="257" t="s">
        <v>2711</v>
      </c>
      <c r="J180" s="257">
        <v>255</v>
      </c>
      <c r="K180" s="303"/>
    </row>
    <row r="181" spans="2:11" s="1" customFormat="1" ht="15" customHeight="1">
      <c r="B181" s="280"/>
      <c r="C181" s="257" t="s">
        <v>115</v>
      </c>
      <c r="D181" s="257"/>
      <c r="E181" s="257"/>
      <c r="F181" s="278" t="s">
        <v>2709</v>
      </c>
      <c r="G181" s="257"/>
      <c r="H181" s="257" t="s">
        <v>2673</v>
      </c>
      <c r="I181" s="257" t="s">
        <v>2711</v>
      </c>
      <c r="J181" s="257">
        <v>10</v>
      </c>
      <c r="K181" s="303"/>
    </row>
    <row r="182" spans="2:11" s="1" customFormat="1" ht="15" customHeight="1">
      <c r="B182" s="280"/>
      <c r="C182" s="257" t="s">
        <v>116</v>
      </c>
      <c r="D182" s="257"/>
      <c r="E182" s="257"/>
      <c r="F182" s="278" t="s">
        <v>2709</v>
      </c>
      <c r="G182" s="257"/>
      <c r="H182" s="257" t="s">
        <v>2783</v>
      </c>
      <c r="I182" s="257" t="s">
        <v>2744</v>
      </c>
      <c r="J182" s="257"/>
      <c r="K182" s="303"/>
    </row>
    <row r="183" spans="2:11" s="1" customFormat="1" ht="15" customHeight="1">
      <c r="B183" s="280"/>
      <c r="C183" s="257" t="s">
        <v>2784</v>
      </c>
      <c r="D183" s="257"/>
      <c r="E183" s="257"/>
      <c r="F183" s="278" t="s">
        <v>2709</v>
      </c>
      <c r="G183" s="257"/>
      <c r="H183" s="257" t="s">
        <v>2785</v>
      </c>
      <c r="I183" s="257" t="s">
        <v>2744</v>
      </c>
      <c r="J183" s="257"/>
      <c r="K183" s="303"/>
    </row>
    <row r="184" spans="2:11" s="1" customFormat="1" ht="15" customHeight="1">
      <c r="B184" s="280"/>
      <c r="C184" s="257" t="s">
        <v>2773</v>
      </c>
      <c r="D184" s="257"/>
      <c r="E184" s="257"/>
      <c r="F184" s="278" t="s">
        <v>2709</v>
      </c>
      <c r="G184" s="257"/>
      <c r="H184" s="257" t="s">
        <v>2786</v>
      </c>
      <c r="I184" s="257" t="s">
        <v>2744</v>
      </c>
      <c r="J184" s="257"/>
      <c r="K184" s="303"/>
    </row>
    <row r="185" spans="2:11" s="1" customFormat="1" ht="15" customHeight="1">
      <c r="B185" s="280"/>
      <c r="C185" s="257" t="s">
        <v>118</v>
      </c>
      <c r="D185" s="257"/>
      <c r="E185" s="257"/>
      <c r="F185" s="278" t="s">
        <v>2715</v>
      </c>
      <c r="G185" s="257"/>
      <c r="H185" s="257" t="s">
        <v>2787</v>
      </c>
      <c r="I185" s="257" t="s">
        <v>2711</v>
      </c>
      <c r="J185" s="257">
        <v>50</v>
      </c>
      <c r="K185" s="303"/>
    </row>
    <row r="186" spans="2:11" s="1" customFormat="1" ht="15" customHeight="1">
      <c r="B186" s="280"/>
      <c r="C186" s="257" t="s">
        <v>2788</v>
      </c>
      <c r="D186" s="257"/>
      <c r="E186" s="257"/>
      <c r="F186" s="278" t="s">
        <v>2715</v>
      </c>
      <c r="G186" s="257"/>
      <c r="H186" s="257" t="s">
        <v>2789</v>
      </c>
      <c r="I186" s="257" t="s">
        <v>2790</v>
      </c>
      <c r="J186" s="257"/>
      <c r="K186" s="303"/>
    </row>
    <row r="187" spans="2:11" s="1" customFormat="1" ht="15" customHeight="1">
      <c r="B187" s="280"/>
      <c r="C187" s="257" t="s">
        <v>2791</v>
      </c>
      <c r="D187" s="257"/>
      <c r="E187" s="257"/>
      <c r="F187" s="278" t="s">
        <v>2715</v>
      </c>
      <c r="G187" s="257"/>
      <c r="H187" s="257" t="s">
        <v>2792</v>
      </c>
      <c r="I187" s="257" t="s">
        <v>2790</v>
      </c>
      <c r="J187" s="257"/>
      <c r="K187" s="303"/>
    </row>
    <row r="188" spans="2:11" s="1" customFormat="1" ht="15" customHeight="1">
      <c r="B188" s="280"/>
      <c r="C188" s="257" t="s">
        <v>2793</v>
      </c>
      <c r="D188" s="257"/>
      <c r="E188" s="257"/>
      <c r="F188" s="278" t="s">
        <v>2715</v>
      </c>
      <c r="G188" s="257"/>
      <c r="H188" s="257" t="s">
        <v>2794</v>
      </c>
      <c r="I188" s="257" t="s">
        <v>2790</v>
      </c>
      <c r="J188" s="257"/>
      <c r="K188" s="303"/>
    </row>
    <row r="189" spans="2:11" s="1" customFormat="1" ht="15" customHeight="1">
      <c r="B189" s="280"/>
      <c r="C189" s="316" t="s">
        <v>2795</v>
      </c>
      <c r="D189" s="257"/>
      <c r="E189" s="257"/>
      <c r="F189" s="278" t="s">
        <v>2715</v>
      </c>
      <c r="G189" s="257"/>
      <c r="H189" s="257" t="s">
        <v>2796</v>
      </c>
      <c r="I189" s="257" t="s">
        <v>2797</v>
      </c>
      <c r="J189" s="317" t="s">
        <v>2798</v>
      </c>
      <c r="K189" s="303"/>
    </row>
    <row r="190" spans="2:11" s="1" customFormat="1" ht="15" customHeight="1">
      <c r="B190" s="280"/>
      <c r="C190" s="316" t="s">
        <v>42</v>
      </c>
      <c r="D190" s="257"/>
      <c r="E190" s="257"/>
      <c r="F190" s="278" t="s">
        <v>2709</v>
      </c>
      <c r="G190" s="257"/>
      <c r="H190" s="254" t="s">
        <v>2799</v>
      </c>
      <c r="I190" s="257" t="s">
        <v>2800</v>
      </c>
      <c r="J190" s="257"/>
      <c r="K190" s="303"/>
    </row>
    <row r="191" spans="2:11" s="1" customFormat="1" ht="15" customHeight="1">
      <c r="B191" s="280"/>
      <c r="C191" s="316" t="s">
        <v>2801</v>
      </c>
      <c r="D191" s="257"/>
      <c r="E191" s="257"/>
      <c r="F191" s="278" t="s">
        <v>2709</v>
      </c>
      <c r="G191" s="257"/>
      <c r="H191" s="257" t="s">
        <v>2802</v>
      </c>
      <c r="I191" s="257" t="s">
        <v>2744</v>
      </c>
      <c r="J191" s="257"/>
      <c r="K191" s="303"/>
    </row>
    <row r="192" spans="2:11" s="1" customFormat="1" ht="15" customHeight="1">
      <c r="B192" s="280"/>
      <c r="C192" s="316" t="s">
        <v>2803</v>
      </c>
      <c r="D192" s="257"/>
      <c r="E192" s="257"/>
      <c r="F192" s="278" t="s">
        <v>2709</v>
      </c>
      <c r="G192" s="257"/>
      <c r="H192" s="257" t="s">
        <v>2804</v>
      </c>
      <c r="I192" s="257" t="s">
        <v>2744</v>
      </c>
      <c r="J192" s="257"/>
      <c r="K192" s="303"/>
    </row>
    <row r="193" spans="2:11" s="1" customFormat="1" ht="15" customHeight="1">
      <c r="B193" s="280"/>
      <c r="C193" s="316" t="s">
        <v>2805</v>
      </c>
      <c r="D193" s="257"/>
      <c r="E193" s="257"/>
      <c r="F193" s="278" t="s">
        <v>2715</v>
      </c>
      <c r="G193" s="257"/>
      <c r="H193" s="257" t="s">
        <v>2806</v>
      </c>
      <c r="I193" s="257" t="s">
        <v>2744</v>
      </c>
      <c r="J193" s="257"/>
      <c r="K193" s="303"/>
    </row>
    <row r="194" spans="2:11" s="1" customFormat="1" ht="15" customHeight="1">
      <c r="B194" s="309"/>
      <c r="C194" s="318"/>
      <c r="D194" s="289"/>
      <c r="E194" s="289"/>
      <c r="F194" s="289"/>
      <c r="G194" s="289"/>
      <c r="H194" s="289"/>
      <c r="I194" s="289"/>
      <c r="J194" s="289"/>
      <c r="K194" s="310"/>
    </row>
    <row r="195" spans="2:11" s="1" customFormat="1" ht="18.75" customHeight="1">
      <c r="B195" s="291"/>
      <c r="C195" s="301"/>
      <c r="D195" s="301"/>
      <c r="E195" s="301"/>
      <c r="F195" s="311"/>
      <c r="G195" s="301"/>
      <c r="H195" s="301"/>
      <c r="I195" s="301"/>
      <c r="J195" s="301"/>
      <c r="K195" s="291"/>
    </row>
    <row r="196" spans="2:11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pans="2:11" s="1" customFormat="1" ht="18.75" customHeight="1"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</row>
    <row r="198" spans="2:11" s="1" customFormat="1" ht="12">
      <c r="B198" s="246"/>
      <c r="C198" s="247"/>
      <c r="D198" s="247"/>
      <c r="E198" s="247"/>
      <c r="F198" s="247"/>
      <c r="G198" s="247"/>
      <c r="H198" s="247"/>
      <c r="I198" s="247"/>
      <c r="J198" s="247"/>
      <c r="K198" s="248"/>
    </row>
    <row r="199" spans="2:11" s="1" customFormat="1" ht="20.5">
      <c r="B199" s="249"/>
      <c r="C199" s="377" t="s">
        <v>2807</v>
      </c>
      <c r="D199" s="377"/>
      <c r="E199" s="377"/>
      <c r="F199" s="377"/>
      <c r="G199" s="377"/>
      <c r="H199" s="377"/>
      <c r="I199" s="377"/>
      <c r="J199" s="377"/>
      <c r="K199" s="250"/>
    </row>
    <row r="200" spans="2:11" s="1" customFormat="1" ht="25.5" customHeight="1">
      <c r="B200" s="249"/>
      <c r="C200" s="319" t="s">
        <v>2808</v>
      </c>
      <c r="D200" s="319"/>
      <c r="E200" s="319"/>
      <c r="F200" s="319" t="s">
        <v>2809</v>
      </c>
      <c r="G200" s="320"/>
      <c r="H200" s="378" t="s">
        <v>2810</v>
      </c>
      <c r="I200" s="378"/>
      <c r="J200" s="378"/>
      <c r="K200" s="250"/>
    </row>
    <row r="201" spans="2:11" s="1" customFormat="1" ht="5.25" customHeight="1">
      <c r="B201" s="280"/>
      <c r="C201" s="275"/>
      <c r="D201" s="275"/>
      <c r="E201" s="275"/>
      <c r="F201" s="275"/>
      <c r="G201" s="301"/>
      <c r="H201" s="275"/>
      <c r="I201" s="275"/>
      <c r="J201" s="275"/>
      <c r="K201" s="303"/>
    </row>
    <row r="202" spans="2:11" s="1" customFormat="1" ht="15" customHeight="1">
      <c r="B202" s="280"/>
      <c r="C202" s="257" t="s">
        <v>2800</v>
      </c>
      <c r="D202" s="257"/>
      <c r="E202" s="257"/>
      <c r="F202" s="278" t="s">
        <v>43</v>
      </c>
      <c r="G202" s="257"/>
      <c r="H202" s="379" t="s">
        <v>2811</v>
      </c>
      <c r="I202" s="379"/>
      <c r="J202" s="379"/>
      <c r="K202" s="303"/>
    </row>
    <row r="203" spans="2:11" s="1" customFormat="1" ht="15" customHeight="1">
      <c r="B203" s="280"/>
      <c r="C203" s="257"/>
      <c r="D203" s="257"/>
      <c r="E203" s="257"/>
      <c r="F203" s="278" t="s">
        <v>44</v>
      </c>
      <c r="G203" s="257"/>
      <c r="H203" s="379" t="s">
        <v>2812</v>
      </c>
      <c r="I203" s="379"/>
      <c r="J203" s="379"/>
      <c r="K203" s="303"/>
    </row>
    <row r="204" spans="2:11" s="1" customFormat="1" ht="15" customHeight="1">
      <c r="B204" s="280"/>
      <c r="C204" s="257"/>
      <c r="D204" s="257"/>
      <c r="E204" s="257"/>
      <c r="F204" s="278" t="s">
        <v>47</v>
      </c>
      <c r="G204" s="257"/>
      <c r="H204" s="379" t="s">
        <v>2813</v>
      </c>
      <c r="I204" s="379"/>
      <c r="J204" s="379"/>
      <c r="K204" s="303"/>
    </row>
    <row r="205" spans="2:11" s="1" customFormat="1" ht="15" customHeight="1">
      <c r="B205" s="280"/>
      <c r="C205" s="257"/>
      <c r="D205" s="257"/>
      <c r="E205" s="257"/>
      <c r="F205" s="278" t="s">
        <v>45</v>
      </c>
      <c r="G205" s="257"/>
      <c r="H205" s="379" t="s">
        <v>2814</v>
      </c>
      <c r="I205" s="379"/>
      <c r="J205" s="379"/>
      <c r="K205" s="303"/>
    </row>
    <row r="206" spans="2:11" s="1" customFormat="1" ht="15" customHeight="1">
      <c r="B206" s="280"/>
      <c r="C206" s="257"/>
      <c r="D206" s="257"/>
      <c r="E206" s="257"/>
      <c r="F206" s="278" t="s">
        <v>46</v>
      </c>
      <c r="G206" s="257"/>
      <c r="H206" s="379" t="s">
        <v>2815</v>
      </c>
      <c r="I206" s="379"/>
      <c r="J206" s="379"/>
      <c r="K206" s="303"/>
    </row>
    <row r="207" spans="2:11" s="1" customFormat="1" ht="15" customHeight="1">
      <c r="B207" s="280"/>
      <c r="C207" s="257"/>
      <c r="D207" s="257"/>
      <c r="E207" s="257"/>
      <c r="F207" s="278"/>
      <c r="G207" s="257"/>
      <c r="H207" s="257"/>
      <c r="I207" s="257"/>
      <c r="J207" s="257"/>
      <c r="K207" s="303"/>
    </row>
    <row r="208" spans="2:11" s="1" customFormat="1" ht="15" customHeight="1">
      <c r="B208" s="280"/>
      <c r="C208" s="257" t="s">
        <v>2756</v>
      </c>
      <c r="D208" s="257"/>
      <c r="E208" s="257"/>
      <c r="F208" s="278" t="s">
        <v>79</v>
      </c>
      <c r="G208" s="257"/>
      <c r="H208" s="379" t="s">
        <v>2816</v>
      </c>
      <c r="I208" s="379"/>
      <c r="J208" s="379"/>
      <c r="K208" s="303"/>
    </row>
    <row r="209" spans="2:11" s="1" customFormat="1" ht="15" customHeight="1">
      <c r="B209" s="280"/>
      <c r="C209" s="257"/>
      <c r="D209" s="257"/>
      <c r="E209" s="257"/>
      <c r="F209" s="278" t="s">
        <v>2653</v>
      </c>
      <c r="G209" s="257"/>
      <c r="H209" s="379" t="s">
        <v>2654</v>
      </c>
      <c r="I209" s="379"/>
      <c r="J209" s="379"/>
      <c r="K209" s="303"/>
    </row>
    <row r="210" spans="2:11" s="1" customFormat="1" ht="15" customHeight="1">
      <c r="B210" s="280"/>
      <c r="C210" s="257"/>
      <c r="D210" s="257"/>
      <c r="E210" s="257"/>
      <c r="F210" s="278" t="s">
        <v>2651</v>
      </c>
      <c r="G210" s="257"/>
      <c r="H210" s="379" t="s">
        <v>2817</v>
      </c>
      <c r="I210" s="379"/>
      <c r="J210" s="379"/>
      <c r="K210" s="303"/>
    </row>
    <row r="211" spans="2:11" s="1" customFormat="1" ht="15" customHeight="1">
      <c r="B211" s="321"/>
      <c r="C211" s="257"/>
      <c r="D211" s="257"/>
      <c r="E211" s="257"/>
      <c r="F211" s="278" t="s">
        <v>2655</v>
      </c>
      <c r="G211" s="316"/>
      <c r="H211" s="380" t="s">
        <v>2656</v>
      </c>
      <c r="I211" s="380"/>
      <c r="J211" s="380"/>
      <c r="K211" s="322"/>
    </row>
    <row r="212" spans="2:11" s="1" customFormat="1" ht="15" customHeight="1">
      <c r="B212" s="321"/>
      <c r="C212" s="257"/>
      <c r="D212" s="257"/>
      <c r="E212" s="257"/>
      <c r="F212" s="278" t="s">
        <v>2545</v>
      </c>
      <c r="G212" s="316"/>
      <c r="H212" s="380" t="s">
        <v>621</v>
      </c>
      <c r="I212" s="380"/>
      <c r="J212" s="380"/>
      <c r="K212" s="322"/>
    </row>
    <row r="213" spans="2:11" s="1" customFormat="1" ht="15" customHeight="1">
      <c r="B213" s="321"/>
      <c r="C213" s="257"/>
      <c r="D213" s="257"/>
      <c r="E213" s="257"/>
      <c r="F213" s="278"/>
      <c r="G213" s="316"/>
      <c r="H213" s="307"/>
      <c r="I213" s="307"/>
      <c r="J213" s="307"/>
      <c r="K213" s="322"/>
    </row>
    <row r="214" spans="2:11" s="1" customFormat="1" ht="15" customHeight="1">
      <c r="B214" s="321"/>
      <c r="C214" s="257" t="s">
        <v>2780</v>
      </c>
      <c r="D214" s="257"/>
      <c r="E214" s="257"/>
      <c r="F214" s="278">
        <v>1</v>
      </c>
      <c r="G214" s="316"/>
      <c r="H214" s="380" t="s">
        <v>2818</v>
      </c>
      <c r="I214" s="380"/>
      <c r="J214" s="380"/>
      <c r="K214" s="322"/>
    </row>
    <row r="215" spans="2:11" s="1" customFormat="1" ht="15" customHeight="1">
      <c r="B215" s="321"/>
      <c r="C215" s="257"/>
      <c r="D215" s="257"/>
      <c r="E215" s="257"/>
      <c r="F215" s="278">
        <v>2</v>
      </c>
      <c r="G215" s="316"/>
      <c r="H215" s="380" t="s">
        <v>2819</v>
      </c>
      <c r="I215" s="380"/>
      <c r="J215" s="380"/>
      <c r="K215" s="322"/>
    </row>
    <row r="216" spans="2:11" s="1" customFormat="1" ht="15" customHeight="1">
      <c r="B216" s="321"/>
      <c r="C216" s="257"/>
      <c r="D216" s="257"/>
      <c r="E216" s="257"/>
      <c r="F216" s="278">
        <v>3</v>
      </c>
      <c r="G216" s="316"/>
      <c r="H216" s="380" t="s">
        <v>2820</v>
      </c>
      <c r="I216" s="380"/>
      <c r="J216" s="380"/>
      <c r="K216" s="322"/>
    </row>
    <row r="217" spans="2:11" s="1" customFormat="1" ht="15" customHeight="1">
      <c r="B217" s="321"/>
      <c r="C217" s="257"/>
      <c r="D217" s="257"/>
      <c r="E217" s="257"/>
      <c r="F217" s="278">
        <v>4</v>
      </c>
      <c r="G217" s="316"/>
      <c r="H217" s="380" t="s">
        <v>2821</v>
      </c>
      <c r="I217" s="380"/>
      <c r="J217" s="380"/>
      <c r="K217" s="322"/>
    </row>
    <row r="218" spans="2:11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13</vt:i4>
      </vt:variant>
    </vt:vector>
  </HeadingPairs>
  <TitlesOfParts>
    <vt:vector size="25" baseType="lpstr">
      <vt:lpstr>Rekapitulace stavby</vt:lpstr>
      <vt:lpstr>01 - Bourací práce</vt:lpstr>
      <vt:lpstr>02 - Nové konstrukce</vt:lpstr>
      <vt:lpstr>zdravotechnika</vt:lpstr>
      <vt:lpstr>plyn</vt:lpstr>
      <vt:lpstr>vytapeni</vt:lpstr>
      <vt:lpstr>elektroinstalace</vt:lpstr>
      <vt:lpstr>slaboproud</vt:lpstr>
      <vt:lpstr>klimatizace</vt:lpstr>
      <vt:lpstr>vybaveni laboratori</vt:lpstr>
      <vt:lpstr>03 - Vedlejší rozpočtové ...</vt:lpstr>
      <vt:lpstr>Pokyny pro vyplnění</vt:lpstr>
      <vt:lpstr>'01 - Bourací práce'!Názvy_tisku</vt:lpstr>
      <vt:lpstr>'02 - Nové konstrukce'!Názvy_tisku</vt:lpstr>
      <vt:lpstr>'03 - Vedlejší rozpočtové ...'!Názvy_tisku</vt:lpstr>
      <vt:lpstr>'Rekapitulace stavby'!Názvy_tisku</vt:lpstr>
      <vt:lpstr>vytapeni!Názvy_tisku</vt:lpstr>
      <vt:lpstr>'01 - Bourací práce'!Oblast_tisku</vt:lpstr>
      <vt:lpstr>'02 - Nové konstrukce'!Oblast_tisku</vt:lpstr>
      <vt:lpstr>'03 - Vedlejší rozpočtové ...'!Oblast_tisku</vt:lpstr>
      <vt:lpstr>klimatizace!Oblast_tisku</vt:lpstr>
      <vt:lpstr>'Pokyny pro vyplnění'!Oblast_tisku</vt:lpstr>
      <vt:lpstr>'Rekapitulace stavby'!Oblast_tisku</vt:lpstr>
      <vt:lpstr>vytapeni!Oblast_tisku</vt:lpstr>
      <vt:lpstr>zdravotechnika!Oblast_tisku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DESKTOP-OCAMGMR\pe3k182</dc:creator>
  <cp:lastModifiedBy>pe3k182</cp:lastModifiedBy>
  <dcterms:created xsi:type="dcterms:W3CDTF">2023-09-14T13:48:20Z</dcterms:created>
  <dcterms:modified xsi:type="dcterms:W3CDTF">2023-09-23T07:35:35Z</dcterms:modified>
</cp:coreProperties>
</file>