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3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<sst xmlns="http://schemas.openxmlformats.org/spreadsheetml/2006/main" count="700" uniqueCount="281">
  <si>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</si>
  <si>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</si>
  <si>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</si>
  <si>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</si>
  <si>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</si>
  <si>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</si>
  <si>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</si>
  <si>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</si>
  <si>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</si>
  <si>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</si>
  <si>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</si>
  <si>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</si>
  <si>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</si>
  <si>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</si>
  <si>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</si>
  <si>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</si>
  <si>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</si>
  <si>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</si>
  <si>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</si>
  <si>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</si>
  <si>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</si>
  <si>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</si>
  <si>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</si>
  <si>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</si>
  <si>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</si>
  <si>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</si>
  <si>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</si>
  <si>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</si>
  <si>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</si>
  <si>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</si>
  <si>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</si>
  <si>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</si>
  <si>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</si>
  <si>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</si>
  <si>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</si>
  <si>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</si>
  <si>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</si>
  <si>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</si>
  <si>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Poznámka:</t>
  </si>
  <si>
    <t>Objekt</t>
  </si>
  <si>
    <t>Kód</t>
  </si>
  <si>
    <t>122301101R00</t>
  </si>
  <si>
    <t>122301109R00</t>
  </si>
  <si>
    <t>162201203R00</t>
  </si>
  <si>
    <t>162201210R00</t>
  </si>
  <si>
    <t>162501102RT3</t>
  </si>
  <si>
    <t>162702199R00</t>
  </si>
  <si>
    <t>167101101R00</t>
  </si>
  <si>
    <t>174101101R00</t>
  </si>
  <si>
    <t>181201102R00</t>
  </si>
  <si>
    <t>18-VD-01</t>
  </si>
  <si>
    <t>213151121R00</t>
  </si>
  <si>
    <t>69366197</t>
  </si>
  <si>
    <t>273325321R00</t>
  </si>
  <si>
    <t>273361921RT9</t>
  </si>
  <si>
    <t>27-VD-01</t>
  </si>
  <si>
    <t>27-VD-02</t>
  </si>
  <si>
    <t>27-VD-03</t>
  </si>
  <si>
    <t>711</t>
  </si>
  <si>
    <t>711171559RT2</t>
  </si>
  <si>
    <t>998711101R00</t>
  </si>
  <si>
    <t>767</t>
  </si>
  <si>
    <t>767591230R00</t>
  </si>
  <si>
    <t>998767101R00</t>
  </si>
  <si>
    <t>776</t>
  </si>
  <si>
    <t>776511810RT1</t>
  </si>
  <si>
    <t>777</t>
  </si>
  <si>
    <t>777511112R00</t>
  </si>
  <si>
    <t>96</t>
  </si>
  <si>
    <t>965042241RT4</t>
  </si>
  <si>
    <t>H01</t>
  </si>
  <si>
    <t>998011001R00</t>
  </si>
  <si>
    <t>S</t>
  </si>
  <si>
    <t>979081111RT3</t>
  </si>
  <si>
    <t>979081121RT3</t>
  </si>
  <si>
    <t>979082212R00</t>
  </si>
  <si>
    <t>979087212R00</t>
  </si>
  <si>
    <t>979990103R00</t>
  </si>
  <si>
    <t>979990181R00</t>
  </si>
  <si>
    <t>OPRAVA DÍLEN A ODBORNÝCH UČEBEN</t>
  </si>
  <si>
    <t>OPRAVA PODLAH</t>
  </si>
  <si>
    <t>VOŠ, SPŠ a OA Čáslav, Přemysla Otakara II. 938, 286 14 ČÁSLAV</t>
  </si>
  <si>
    <t>Zkrácený popis</t>
  </si>
  <si>
    <t>Rozměry</t>
  </si>
  <si>
    <t>Odkopávky a prokopávky</t>
  </si>
  <si>
    <t>Odkopávky nezapažené v hor. 4 do 100 m3 - odstranění podkladu a násypu pod stávající podlahou na potřebnou úroveň -0,300</t>
  </si>
  <si>
    <t>Příplatek za lepivost - odkopávky v hor. 4</t>
  </si>
  <si>
    <t>Přemístění výkopku</t>
  </si>
  <si>
    <t>Vodorovné přemíst.výkopku, kolečko hor.1-4, do 10m</t>
  </si>
  <si>
    <t>Příplatek za dalš.10 m, kolečko, výkop. z hor.1- 4</t>
  </si>
  <si>
    <t>Vodorovné přemístění výkopku z hor.1-4 do 3000 m - odvoz na skládku</t>
  </si>
  <si>
    <t>Poplatek za skládku zeminy</t>
  </si>
  <si>
    <t>Nakládání výkopku z hor.1-4 v množství do 100 m3</t>
  </si>
  <si>
    <t>Konstrukce ze zemin</t>
  </si>
  <si>
    <t>D+M Zásyp jam, rýh, šachet se zhutněním - zásyp montážní jámy před realizací nové podlahy</t>
  </si>
  <si>
    <t>Povrchové úpravy terénu</t>
  </si>
  <si>
    <t>Úprava pláně v hor. 1-4, se zhutněním deskou - hutnění stávajícího podkladu pod novým násypem</t>
  </si>
  <si>
    <t>D+M provedení hutněné pláně na úrověň - 15 cm, přehutnění náspu 15 cm, vč. kalící vrstvy z kameniva 0-4 mm</t>
  </si>
  <si>
    <t>Úprava podloží a základové spáry</t>
  </si>
  <si>
    <t>Montáž geotextílie pod hydroizolační vrstvu</t>
  </si>
  <si>
    <t>Geotextilie 200 g/m2 š. 200cm 100% PP</t>
  </si>
  <si>
    <t>Základy</t>
  </si>
  <si>
    <t>D+M Plovoucí drátkobetonová deska tl. 150 mm - Beton C 20/25 s rozptýlenou výztuží 50 mm, 20 kg/m3, vč. D+M oddilatování od okolních konstrukcí</t>
  </si>
  <si>
    <t>D+M Kari síť v místnosti s montážní jámou (105) při spodním okraji 150/150/8 vč. plast distančníku</t>
  </si>
  <si>
    <t>D+M Kari síť po obvodě místností š. 1bm při spodním lemu z důvodu základového pasu pod stěnou (103,104) 150/150/8 vč. plast distančníku</t>
  </si>
  <si>
    <t>D+M Dovyztužení polosloupu</t>
  </si>
  <si>
    <t>D+M Dovyztužení rohů</t>
  </si>
  <si>
    <t>D+M Dovyztužení sloupu + výklenku</t>
  </si>
  <si>
    <t>Izolace proti vodě</t>
  </si>
  <si>
    <t>D+M Izolace proti vlhkosti vodorovná, fólií, volně - PVC 0,6 mm</t>
  </si>
  <si>
    <t>Přesun hmot pro izolace proti vodě, výšky do 6 m</t>
  </si>
  <si>
    <t>Konstrukce doplňkové stavební (zámečnické)</t>
  </si>
  <si>
    <t>D+M Okování okraje podlahy - ocelový L profil 50/50/5 s bednícím plechem</t>
  </si>
  <si>
    <t>Přesun hmot pro zámečnické konstr., výšky do 6 m</t>
  </si>
  <si>
    <t>Podlahy povlakové</t>
  </si>
  <si>
    <t>Odstranění PVC a koberců lepených bez podložky</t>
  </si>
  <si>
    <t>Lité podlahy</t>
  </si>
  <si>
    <t>D+M Samonivelační polymercementová podlahová stěrka systémová tl. 6-8 mm, vč.D+M kompletních dilatačních spar a oddělení od kcí - specifikace níže</t>
  </si>
  <si>
    <t>Bourání konstrukcí</t>
  </si>
  <si>
    <t>Bourání stávajících betonových podlah - pneumat. kladivo, tl. mazaniny 10 - 15 cm, vč. odbourání betonových soklů pod stroji</t>
  </si>
  <si>
    <t>Budovy občanské výstavby</t>
  </si>
  <si>
    <t>Přesun hmot pro budovy zděné výšky do 6 m</t>
  </si>
  <si>
    <t>Přesuny sutí</t>
  </si>
  <si>
    <t>Odvoz suti a vybour. hmot na skládku do 1 km</t>
  </si>
  <si>
    <t>Příplatek k odvozu za každý další 1 km</t>
  </si>
  <si>
    <t>Vodorovná doprava suti a vybouraných hmot po suchu do 50 m - vnitrostaveništní doprava</t>
  </si>
  <si>
    <t>Nakládání suti a vybouraných hmot na dopravní prostředky</t>
  </si>
  <si>
    <t>Poplatek za skládku suti - beton</t>
  </si>
  <si>
    <t>Poplatek za skládku suti - PVC podlahová krytina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</si>
  <si>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</si>
  <si>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</si>
  <si>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</si>
  <si>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</si>
  <si>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</si>
  <si>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</si>
  <si>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</si>
  <si>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t</t>
  </si>
  <si>
    <t>ks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</si>
  <si>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</si>
  <si>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</si>
  <si>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</si>
  <si>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</si>
  <si>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</si>
  <si>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</si>
  <si>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</si>
  <si>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</si>
  <si>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</si>
  <si>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</si>
  <si>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</si>
  <si>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</si>
  <si>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VOŠ, SPŠ a OA Čáslav, Přemysla Otakara II. 938, 28</t>
  </si>
  <si>
    <t>Arplan s.r.o., Ječná 505/2, 120 00 Praha 2</t>
  </si>
  <si>
    <t>Celkem</t>
  </si>
  <si>
    <t>Hmotnost (t)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</si>
  <si>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</si>
  <si>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</si>
  <si>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</si>
  <si>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</si>
  <si>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</si>
  <si>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</si>
  <si>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</si>
  <si>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</si>
  <si>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</si>
  <si>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</si>
  <si>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</si>
  <si>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</si>
  <si>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16_</t>
  </si>
  <si>
    <t>17_</t>
  </si>
  <si>
    <t>18_</t>
  </si>
  <si>
    <t>21_</t>
  </si>
  <si>
    <t>27_</t>
  </si>
  <si>
    <t>711_</t>
  </si>
  <si>
    <t>767_</t>
  </si>
  <si>
    <t>776_</t>
  </si>
  <si>
    <t>777_</t>
  </si>
  <si>
    <t>96_</t>
  </si>
  <si>
    <t>H01_</t>
  </si>
  <si>
    <t>S_</t>
  </si>
  <si>
    <t>1_</t>
  </si>
  <si>
    <t>2_</t>
  </si>
  <si>
    <t>71_</t>
  </si>
  <si>
    <t>76_</t>
  </si>
  <si>
    <t>77_</t>
  </si>
  <si>
    <t>9_</t>
  </si>
  <si>
    <t>_</t>
  </si>
  <si>
    <t>Náklady (Kč) - dodávka</t>
  </si>
  <si>
    <t>Náklady (Kč) - Montáž</t>
  </si>
  <si>
    <t>Náklady (Kč) - celkem</t>
  </si>
  <si>
    <t>Celková hmotnost (t)</t>
  </si>
  <si>
    <t>T</t>
  </si>
  <si>
    <t>307,5*0,18</t>
  </si>
  <si>
    <t>55,35</t>
  </si>
  <si>
    <t>55,35-9,36</t>
  </si>
  <si>
    <t>45,99*2</t>
  </si>
  <si>
    <t>45,99</t>
  </si>
  <si>
    <t>1*7,2*1,3</t>
  </si>
  <si>
    <t>307,5</t>
  </si>
  <si>
    <t>307,5*1,05</t>
  </si>
  <si>
    <t>322,875*1,05</t>
  </si>
  <si>
    <t>307,5*0,15*1,1</t>
  </si>
  <si>
    <t>(5,4*307,5*1,2)/1000</t>
  </si>
  <si>
    <t>(5,4*94*1,2)/1000</t>
  </si>
  <si>
    <t>77,5   105</t>
  </si>
  <si>
    <t>113,7*0,125   103</t>
  </si>
  <si>
    <t>111,2*0,125   104</t>
  </si>
  <si>
    <t>77,5*0,125   105</t>
  </si>
  <si>
    <t>5,1*0,125   107</t>
  </si>
  <si>
    <t>290,66354</t>
  </si>
  <si>
    <t>84,5625+0,0775</t>
  </si>
  <si>
    <t>84,64*3</t>
  </si>
  <si>
    <t>(84,5625+0,0775)*2</t>
  </si>
  <si>
    <t>84,5625</t>
  </si>
  <si>
    <t>0,00775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</si>
  <si>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</si>
  <si>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</si>
  <si>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</si>
  <si>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</si>
  <si>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</si>
  <si>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</si>
  <si>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</si>
  <si>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</si>
  <si>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</si>
  <si>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</si>
  <si>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</si>
  <si>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</si>
  <si>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</si>
  <si>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</si>
  <si>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</si>
  <si>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</si>
  <si>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</si>
  <si>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</si>
  <si>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</si>
  <si>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</si>
  <si>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</si>
  <si>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</si>
  <si>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</si>
  <si>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</si>
  <si>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</si>
  <si>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</si>
  <si>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</si>
  <si>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</si>
  <si>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</si>
  <si>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</si>
  <si>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</si>
  <si>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</si>
  <si>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</si>
  <si>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</si>
  <si>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</si>
  <si>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</si>
  <si>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</si>
  <si>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</si>
  <si>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</si>
  <si>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</si>
  <si>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</si>
  <si>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</si>
  <si>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</si>
  <si>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</si>
  <si>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61924008/CZ61924008</t>
  </si>
  <si>
    <t>27570754/CZ27570754</t>
  </si>
  <si>
    <t>v položkách rozpočtu</t>
  </si>
  <si>
    <t>Specifikace podlahové stěrky:</t>
  </si>
  <si>
    <t>Specifikace podkladu:</t>
  </si>
  <si>
    <t xml:space="preserve"> - únosnost pláně Edef = min. 20 Mpa</t>
  </si>
  <si>
    <t xml:space="preserve"> - hutněný podsyp Edef2= 60 MPa ( Edef2/Edef1 = 2,5) - K = 0,043 N/mm3</t>
  </si>
  <si>
    <t>Betonová deska:</t>
  </si>
  <si>
    <t xml:space="preserve"> - drátkobeton C20/25 tl. 150 mm s drátky v množství 20 kg/m3</t>
  </si>
  <si>
    <t xml:space="preserve"> - strojní hlazení povrchu (místní rovinnost řešena dle ČSN 744505 tab. 1 – výrobní a skladovací prostory (5 mm/2 m); celková rovinnost podlahy odpovídající DIN 18 202 tab.3; ř.3,sl. 5 a 6.)</t>
  </si>
  <si>
    <t xml:space="preserve"> - spáry smršťovací – řezané spáry do min. 30% tl. vrstvy s výplní PVC vtláčeným profilem, v modulu max. 6x6 m.</t>
  </si>
  <si>
    <t>Je formulován jako všeobecně použitelný samonivelační systém na bázi vysokopevnostních rychlovazných cementů pro aplikace do provozů s těžkým až velmi těžkým zatížením a obzvláště vysokým nárokům na otěruvzdornost.</t>
  </si>
  <si>
    <t xml:space="preserve"> - tloušťka systému je 6-8 mm</t>
  </si>
  <si>
    <t xml:space="preserve"> - bezprašný povrch</t>
  </si>
  <si>
    <t xml:space="preserve"> - nárazuodolnost při pádu břemen</t>
  </si>
  <si>
    <t xml:space="preserve"> - mechanická odolnost stejná v celé tl. systému</t>
  </si>
  <si>
    <t xml:space="preserve"> - odolnost proti svařování či pálení</t>
  </si>
  <si>
    <t xml:space="preserve"> - přirozená protiskluznost povrchu i za mokra</t>
  </si>
  <si>
    <t xml:space="preserve"> - chemická odolnost</t>
  </si>
  <si>
    <t xml:space="preserve"> - teplotní odolnost od -40°C do + 250°C</t>
  </si>
  <si>
    <t>SOUPIS STAVEBNÍCH PRACÍ, DODÁVEK A SLUŽEB - Krycí list rozpočtu</t>
  </si>
  <si>
    <t>SOUPIS STAVEBNÍCH PRACÍ, DODÁVEK A SLUŽEB - Výkaz výměr</t>
  </si>
  <si>
    <t>SOUPIS STAVEBNÍCH PRACÍ, DODÁVEK A SLUŽEB - Stavební rozpočet - rekapitulace</t>
  </si>
  <si>
    <t>SOUPIS STAVEBNÍCH PRACÍ, DODÁVEK A SLUŽEB - Stavební rozpočet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</si>
</sst>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4" fillId="33" borderId="12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1" fillId="0" borderId="16" xfId="0" applyNumberFormat="1" applyFont="1" applyFill="1" applyBorder="1" applyAlignment="1" applyProtection="1">
      <alignment vertical="center"/>
      <protection/>
    </xf>
    <xf numFmtId="49" fontId="8" fillId="33" borderId="12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10" fillId="34" borderId="27" xfId="0" applyNumberFormat="1" applyFont="1" applyFill="1" applyBorder="1" applyAlignment="1" applyProtection="1">
      <alignment horizontal="center" vertical="center"/>
      <protection/>
    </xf>
    <xf numFmtId="49" fontId="11" fillId="0" borderId="28" xfId="0" applyNumberFormat="1" applyFont="1" applyFill="1" applyBorder="1" applyAlignment="1" applyProtection="1">
      <alignment vertical="center"/>
      <protection/>
    </xf>
    <xf numFmtId="49" fontId="1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49" fontId="12" fillId="0" borderId="27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12" fillId="0" borderId="27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" fontId="14" fillId="0" borderId="27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12" fillId="0" borderId="40" xfId="0" applyNumberFormat="1" applyFont="1" applyFill="1" applyBorder="1" applyAlignment="1" applyProtection="1">
      <alignment vertical="center"/>
      <protection/>
    </xf>
    <xf numFmtId="0" fontId="12" fillId="0" borderId="36" xfId="0" applyNumberFormat="1" applyFont="1" applyFill="1" applyBorder="1" applyAlignment="1" applyProtection="1">
      <alignment vertical="center"/>
      <protection/>
    </xf>
    <xf numFmtId="0" fontId="12" fillId="0" borderId="41" xfId="0" applyNumberFormat="1" applyFont="1" applyFill="1" applyBorder="1" applyAlignment="1" applyProtection="1">
      <alignment vertical="center"/>
      <protection/>
    </xf>
    <xf numFmtId="49" fontId="11" fillId="34" borderId="42" xfId="0" applyNumberFormat="1" applyFont="1" applyFill="1" applyBorder="1" applyAlignment="1" applyProtection="1">
      <alignment vertical="center"/>
      <protection/>
    </xf>
    <xf numFmtId="0" fontId="11" fillId="34" borderId="43" xfId="0" applyNumberFormat="1" applyFont="1" applyFill="1" applyBorder="1" applyAlignment="1" applyProtection="1">
      <alignment vertical="center"/>
      <protection/>
    </xf>
    <xf numFmtId="49" fontId="12" fillId="0" borderId="44" xfId="0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0" fontId="12" fillId="0" borderId="45" xfId="0" applyNumberFormat="1" applyFont="1" applyFill="1" applyBorder="1" applyAlignment="1" applyProtection="1">
      <alignment vertical="center"/>
      <protection/>
    </xf>
    <xf numFmtId="49" fontId="11" fillId="0" borderId="42" xfId="0" applyNumberFormat="1" applyFont="1" applyFill="1" applyBorder="1" applyAlignment="1" applyProtection="1">
      <alignment vertical="center"/>
      <protection/>
    </xf>
    <xf numFmtId="0" fontId="11" fillId="0" borderId="46" xfId="0" applyNumberFormat="1" applyFont="1" applyFill="1" applyBorder="1" applyAlignment="1" applyProtection="1">
      <alignment vertical="center"/>
      <protection/>
    </xf>
    <xf numFmtId="49" fontId="12" fillId="0" borderId="42" xfId="0" applyNumberFormat="1" applyFont="1" applyFill="1" applyBorder="1" applyAlignment="1" applyProtection="1">
      <alignment vertical="center"/>
      <protection/>
    </xf>
    <xf numFmtId="0" fontId="12" fillId="0" borderId="46" xfId="0" applyNumberFormat="1" applyFont="1" applyFill="1" applyBorder="1" applyAlignment="1" applyProtection="1">
      <alignment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49" fontId="13" fillId="0" borderId="42" xfId="0" applyNumberFormat="1" applyFont="1" applyFill="1" applyBorder="1" applyAlignment="1" applyProtection="1">
      <alignment vertical="center"/>
      <protection/>
    </xf>
    <xf numFmtId="0" fontId="13" fillId="0" borderId="46" xfId="0" applyNumberFormat="1" applyFont="1" applyFill="1" applyBorder="1" applyAlignment="1" applyProtection="1">
      <alignment vertical="center"/>
      <protection/>
    </xf>
    <xf numFmtId="0" fontId="1" fillId="0" borderId="47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" fillId="0" borderId="37" xfId="0" applyNumberFormat="1" applyFont="1" applyFill="1" applyBorder="1" applyAlignment="1" applyProtection="1">
      <alignment vertical="center"/>
      <protection/>
    </xf>
    <xf numFmtId="49" fontId="1" fillId="0" borderId="39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34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37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36" xfId="0" applyNumberFormat="1" applyFont="1" applyFill="1" applyBorder="1" applyAlignment="1" applyProtection="1">
      <alignment vertical="center"/>
      <protection locked="0"/>
    </xf>
    <xf numFmtId="0" fontId="1" fillId="0" borderId="48" xfId="0" applyNumberFormat="1" applyFont="1" applyFill="1" applyBorder="1" applyAlignment="1" applyProtection="1">
      <alignment vertical="center"/>
      <protection locked="0"/>
    </xf>
    <xf numFmtId="0" fontId="1" fillId="0" borderId="49" xfId="0" applyNumberFormat="1" applyFont="1" applyFill="1" applyBorder="1" applyAlignment="1" applyProtection="1">
      <alignment vertical="center"/>
      <protection locked="0"/>
    </xf>
    <xf numFmtId="49" fontId="8" fillId="33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12" xfId="0" applyNumberFormat="1" applyFont="1" applyFill="1" applyBorder="1" applyAlignment="1" applyProtection="1">
      <alignment vertical="center"/>
      <protection locked="0"/>
    </xf>
    <xf numFmtId="4" fontId="8" fillId="33" borderId="12" xfId="0" applyNumberFormat="1" applyFont="1" applyFill="1" applyBorder="1" applyAlignment="1" applyProtection="1">
      <alignment horizontal="right" vertical="center"/>
      <protection locked="0"/>
    </xf>
    <xf numFmtId="49" fontId="8" fillId="33" borderId="12" xfId="0" applyNumberFormat="1" applyFont="1" applyFill="1" applyBorder="1" applyAlignment="1" applyProtection="1">
      <alignment horizontal="right" vertical="center"/>
      <protection locked="0"/>
    </xf>
    <xf numFmtId="4" fontId="8" fillId="33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52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9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 locked="0"/>
    </xf>
    <xf numFmtId="4" fontId="1" fillId="0" borderId="12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/>
    </xf>
    <xf numFmtId="49" fontId="1" fillId="0" borderId="37" xfId="0" applyNumberFormat="1" applyFont="1" applyFill="1" applyBorder="1" applyAlignment="1" applyProtection="1">
      <alignment vertical="center"/>
      <protection locked="0"/>
    </xf>
    <xf numFmtId="0" fontId="1" fillId="0" borderId="37" xfId="0" applyNumberFormat="1" applyFont="1" applyFill="1" applyBorder="1" applyAlignment="1" applyProtection="1">
      <alignment vertical="center" wrapText="1"/>
      <protection locked="0"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50" xfId="0" applyNumberFormat="1" applyFont="1" applyFill="1" applyBorder="1" applyAlignment="1" applyProtection="1">
      <alignment vertical="center"/>
      <protection locked="0"/>
    </xf>
    <xf numFmtId="4" fontId="12" fillId="0" borderId="27" xfId="0" applyNumberFormat="1" applyFont="1" applyFill="1" applyBorder="1" applyAlignment="1" applyProtection="1">
      <alignment horizontal="right" vertical="center"/>
      <protection locked="0"/>
    </xf>
    <xf numFmtId="4" fontId="53" fillId="0" borderId="27" xfId="0" applyNumberFormat="1" applyFont="1" applyFill="1" applyBorder="1" applyAlignment="1" applyProtection="1">
      <alignment horizontal="right" vertical="center"/>
      <protection locked="0"/>
    </xf>
    <xf numFmtId="49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39" xfId="0" applyNumberFormat="1" applyFont="1" applyFill="1" applyBorder="1" applyAlignment="1" applyProtection="1">
      <alignment vertical="center"/>
      <protection locked="0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51" xfId="0" applyNumberFormat="1" applyFont="1" applyFill="1" applyBorder="1" applyAlignment="1" applyProtection="1">
      <alignment vertical="center"/>
      <protection locked="0"/>
    </xf>
    <xf numFmtId="0" fontId="1" fillId="0" borderId="37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4" fontId="11" fillId="34" borderId="46" xfId="0" applyNumberFormat="1" applyFont="1" applyFill="1" applyBorder="1" applyAlignment="1" applyProtection="1">
      <alignment horizontal="right" vertical="center"/>
      <protection locked="0"/>
    </xf>
    <xf numFmtId="0" fontId="1" fillId="0" borderId="47" xfId="0" applyNumberFormat="1" applyFont="1" applyFill="1" applyBorder="1" applyAlignment="1" applyProtection="1">
      <alignment vertical="center"/>
      <protection locked="0"/>
    </xf>
    <xf numFmtId="49" fontId="12" fillId="0" borderId="49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52" xfId="0" applyNumberFormat="1" applyFont="1" applyFill="1" applyBorder="1" applyAlignment="1" applyProtection="1">
      <alignment vertical="center"/>
      <protection locked="0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2"/>
  <sheetViews>
    <sheetView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96" customWidth="1"/>
    <col min="2" max="2" width="6.8515625" style="96" customWidth="1"/>
    <col min="3" max="3" width="13.28125" style="96" customWidth="1"/>
    <col min="4" max="4" width="82.7109375" style="96" customWidth="1"/>
    <col min="5" max="5" width="4.28125" style="96" customWidth="1"/>
    <col min="6" max="6" width="12.8515625" style="96" customWidth="1"/>
    <col min="7" max="7" width="12.00390625" style="96" customWidth="1"/>
    <col min="8" max="10" width="14.28125" style="96" customWidth="1"/>
    <col min="11" max="13" width="11.7109375" style="96" customWidth="1"/>
    <col min="14" max="14" width="0" style="96" hidden="1" customWidth="1"/>
    <col min="15" max="48" width="12.140625" style="96" hidden="1" customWidth="1"/>
    <col min="49" max="16384" width="11.57421875" style="96" customWidth="1"/>
  </cols>
  <sheetData>
    <row r="1" spans="1:13" ht="33" customHeight="1">
      <c r="A1" s="95" t="s">
        <v>280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ht="12.75">
      <c r="A2" s="67" t="s">
        <v>0</v>
      </c>
      <c r="B2" s="68"/>
      <c r="C2" s="68"/>
      <c r="D2" s="69" t="s">
        <v>79</v>
      </c>
      <c r="E2" s="71" t="s">
        <v>129</v>
      </c>
      <c r="F2" s="68"/>
      <c r="G2" s="98" t="s">
        <v>5</v>
      </c>
      <c r="H2" s="97"/>
      <c r="I2" s="72" t="s">
        <v>145</v>
      </c>
      <c r="J2" s="72" t="s">
        <v>150</v>
      </c>
      <c r="K2" s="68"/>
      <c r="L2" s="68"/>
      <c r="M2" s="73"/>
      <c r="N2" s="99"/>
    </row>
    <row r="3" spans="1:14" ht="12.75">
      <c r="A3" s="65"/>
      <c r="B3" s="59"/>
      <c r="C3" s="59"/>
      <c r="D3" s="70"/>
      <c r="E3" s="59"/>
      <c r="F3" s="59"/>
      <c r="G3" s="100"/>
      <c r="H3" s="100"/>
      <c r="I3" s="59"/>
      <c r="J3" s="59"/>
      <c r="K3" s="59"/>
      <c r="L3" s="59"/>
      <c r="M3" s="64"/>
      <c r="N3" s="99"/>
    </row>
    <row r="4" spans="1:14" ht="12.75">
      <c r="A4" s="60" t="s">
        <v>1</v>
      </c>
      <c r="B4" s="59"/>
      <c r="C4" s="59"/>
      <c r="D4" s="58" t="s">
        <v>80</v>
      </c>
      <c r="E4" s="63" t="s">
        <v>130</v>
      </c>
      <c r="F4" s="59"/>
      <c r="G4" s="103"/>
      <c r="H4" s="100"/>
      <c r="I4" s="58" t="s">
        <v>146</v>
      </c>
      <c r="J4" s="58" t="s">
        <v>151</v>
      </c>
      <c r="K4" s="59"/>
      <c r="L4" s="59"/>
      <c r="M4" s="64"/>
      <c r="N4" s="99"/>
    </row>
    <row r="5" spans="1:14" ht="12.75">
      <c r="A5" s="65"/>
      <c r="B5" s="59"/>
      <c r="C5" s="59"/>
      <c r="D5" s="59"/>
      <c r="E5" s="59"/>
      <c r="F5" s="59"/>
      <c r="G5" s="100"/>
      <c r="H5" s="100"/>
      <c r="I5" s="59"/>
      <c r="J5" s="59"/>
      <c r="K5" s="59"/>
      <c r="L5" s="59"/>
      <c r="M5" s="64"/>
      <c r="N5" s="99"/>
    </row>
    <row r="6" spans="1:14" ht="12.75">
      <c r="A6" s="60" t="s">
        <v>2</v>
      </c>
      <c r="B6" s="59"/>
      <c r="C6" s="59"/>
      <c r="D6" s="58" t="s">
        <v>81</v>
      </c>
      <c r="E6" s="63" t="s">
        <v>131</v>
      </c>
      <c r="F6" s="59"/>
      <c r="G6" s="103" t="s">
        <v>5</v>
      </c>
      <c r="H6" s="100"/>
      <c r="I6" s="58" t="s">
        <v>147</v>
      </c>
      <c r="J6" s="102" t="s">
        <v>5</v>
      </c>
      <c r="K6" s="100"/>
      <c r="L6" s="100"/>
      <c r="M6" s="101"/>
      <c r="N6" s="99"/>
    </row>
    <row r="7" spans="1:14" ht="12.75">
      <c r="A7" s="65"/>
      <c r="B7" s="59"/>
      <c r="C7" s="59"/>
      <c r="D7" s="59"/>
      <c r="E7" s="59"/>
      <c r="F7" s="59"/>
      <c r="G7" s="100"/>
      <c r="H7" s="100"/>
      <c r="I7" s="59"/>
      <c r="J7" s="100"/>
      <c r="K7" s="100"/>
      <c r="L7" s="100"/>
      <c r="M7" s="101"/>
      <c r="N7" s="99"/>
    </row>
    <row r="8" spans="1:14" ht="12.75">
      <c r="A8" s="60" t="s">
        <v>3</v>
      </c>
      <c r="B8" s="59"/>
      <c r="C8" s="59"/>
      <c r="D8" s="102" t="s">
        <v>5</v>
      </c>
      <c r="E8" s="63" t="s">
        <v>132</v>
      </c>
      <c r="F8" s="59"/>
      <c r="G8" s="103"/>
      <c r="H8" s="100"/>
      <c r="I8" s="58" t="s">
        <v>148</v>
      </c>
      <c r="J8" s="102"/>
      <c r="K8" s="100"/>
      <c r="L8" s="100"/>
      <c r="M8" s="101"/>
      <c r="N8" s="99"/>
    </row>
    <row r="9" spans="1:14" ht="12.75">
      <c r="A9" s="61"/>
      <c r="B9" s="62"/>
      <c r="C9" s="62"/>
      <c r="D9" s="104"/>
      <c r="E9" s="62"/>
      <c r="F9" s="62"/>
      <c r="G9" s="104"/>
      <c r="H9" s="104"/>
      <c r="I9" s="62"/>
      <c r="J9" s="104"/>
      <c r="K9" s="104"/>
      <c r="L9" s="104"/>
      <c r="M9" s="105"/>
      <c r="N9" s="99"/>
    </row>
    <row r="10" spans="1:14" ht="12.75">
      <c r="A10" s="1" t="s">
        <v>4</v>
      </c>
      <c r="B10" s="10" t="s">
        <v>39</v>
      </c>
      <c r="C10" s="10" t="s">
        <v>40</v>
      </c>
      <c r="D10" s="10" t="s">
        <v>82</v>
      </c>
      <c r="E10" s="10" t="s">
        <v>133</v>
      </c>
      <c r="F10" s="17" t="s">
        <v>139</v>
      </c>
      <c r="G10" s="21" t="s">
        <v>140</v>
      </c>
      <c r="H10" s="53" t="s">
        <v>142</v>
      </c>
      <c r="I10" s="54"/>
      <c r="J10" s="55"/>
      <c r="K10" s="53" t="s">
        <v>153</v>
      </c>
      <c r="L10" s="55"/>
      <c r="M10" s="26" t="s">
        <v>154</v>
      </c>
      <c r="N10" s="106"/>
    </row>
    <row r="11" spans="1:24" ht="12.75">
      <c r="A11" s="2" t="s">
        <v>5</v>
      </c>
      <c r="B11" s="11" t="s">
        <v>5</v>
      </c>
      <c r="C11" s="11" t="s">
        <v>5</v>
      </c>
      <c r="D11" s="15" t="s">
        <v>83</v>
      </c>
      <c r="E11" s="11" t="s">
        <v>5</v>
      </c>
      <c r="F11" s="11" t="s">
        <v>5</v>
      </c>
      <c r="G11" s="22" t="s">
        <v>141</v>
      </c>
      <c r="H11" s="23" t="s">
        <v>143</v>
      </c>
      <c r="I11" s="24" t="s">
        <v>149</v>
      </c>
      <c r="J11" s="25" t="s">
        <v>152</v>
      </c>
      <c r="K11" s="23" t="s">
        <v>140</v>
      </c>
      <c r="L11" s="25" t="s">
        <v>152</v>
      </c>
      <c r="M11" s="27" t="s">
        <v>155</v>
      </c>
      <c r="N11" s="106"/>
      <c r="P11" s="107" t="s">
        <v>156</v>
      </c>
      <c r="Q11" s="107" t="s">
        <v>157</v>
      </c>
      <c r="R11" s="107" t="s">
        <v>158</v>
      </c>
      <c r="S11" s="107" t="s">
        <v>159</v>
      </c>
      <c r="T11" s="107" t="s">
        <v>160</v>
      </c>
      <c r="U11" s="107" t="s">
        <v>161</v>
      </c>
      <c r="V11" s="107" t="s">
        <v>162</v>
      </c>
      <c r="W11" s="107" t="s">
        <v>163</v>
      </c>
      <c r="X11" s="107" t="s">
        <v>164</v>
      </c>
    </row>
    <row r="12" spans="1:37" ht="12.75">
      <c r="A12" s="3"/>
      <c r="B12" s="12"/>
      <c r="C12" s="12" t="s">
        <v>17</v>
      </c>
      <c r="D12" s="12" t="s">
        <v>84</v>
      </c>
      <c r="E12" s="3" t="s">
        <v>5</v>
      </c>
      <c r="F12" s="3" t="s">
        <v>5</v>
      </c>
      <c r="G12" s="108" t="s">
        <v>5</v>
      </c>
      <c r="H12" s="109">
        <f>SUM(H13:H14)</f>
        <v>0</v>
      </c>
      <c r="I12" s="109">
        <f>SUM(I13:I14)</f>
        <v>0</v>
      </c>
      <c r="J12" s="109">
        <f>H12+I12</f>
        <v>0</v>
      </c>
      <c r="K12" s="110"/>
      <c r="L12" s="109">
        <f>SUM(L13:L14)</f>
        <v>0</v>
      </c>
      <c r="M12" s="110"/>
      <c r="Y12" s="107"/>
      <c r="AI12" s="111">
        <f>SUM(Z13:Z14)</f>
        <v>0</v>
      </c>
      <c r="AJ12" s="111">
        <f>SUM(AA13:AA14)</f>
        <v>0</v>
      </c>
      <c r="AK12" s="111">
        <f>SUM(AB13:AB14)</f>
        <v>0</v>
      </c>
    </row>
    <row r="13" spans="1:48" ht="26.25">
      <c r="A13" s="4" t="s">
        <v>6</v>
      </c>
      <c r="B13" s="4"/>
      <c r="C13" s="4" t="s">
        <v>41</v>
      </c>
      <c r="D13" s="47" t="s">
        <v>85</v>
      </c>
      <c r="E13" s="4" t="s">
        <v>134</v>
      </c>
      <c r="F13" s="18">
        <v>55.35</v>
      </c>
      <c r="G13" s="113">
        <v>0</v>
      </c>
      <c r="H13" s="112">
        <f>F13*AE13</f>
        <v>0</v>
      </c>
      <c r="I13" s="112">
        <f>J13-H13</f>
        <v>0</v>
      </c>
      <c r="J13" s="112">
        <f>F13*G13</f>
        <v>0</v>
      </c>
      <c r="K13" s="112">
        <v>0</v>
      </c>
      <c r="L13" s="112">
        <f>F13*K13</f>
        <v>0</v>
      </c>
      <c r="M13" s="114"/>
      <c r="P13" s="115">
        <f>IF(AG13="5",J13,0)</f>
        <v>0</v>
      </c>
      <c r="R13" s="115">
        <f>IF(AG13="1",H13,0)</f>
        <v>0</v>
      </c>
      <c r="S13" s="115">
        <f>IF(AG13="1",I13,0)</f>
        <v>0</v>
      </c>
      <c r="T13" s="115">
        <f>IF(AG13="7",H13,0)</f>
        <v>0</v>
      </c>
      <c r="U13" s="115">
        <f>IF(AG13="7",I13,0)</f>
        <v>0</v>
      </c>
      <c r="V13" s="115">
        <f>IF(AG13="2",H13,0)</f>
        <v>0</v>
      </c>
      <c r="W13" s="115">
        <f>IF(AG13="2",I13,0)</f>
        <v>0</v>
      </c>
      <c r="X13" s="115">
        <f>IF(AG13="0",J13,0)</f>
        <v>0</v>
      </c>
      <c r="Y13" s="107"/>
      <c r="Z13" s="112">
        <f>IF(AD13=0,J13,0)</f>
        <v>0</v>
      </c>
      <c r="AA13" s="112">
        <f>IF(AD13=15,J13,0)</f>
        <v>0</v>
      </c>
      <c r="AB13" s="112">
        <f>IF(AD13=21,J13,0)</f>
        <v>0</v>
      </c>
      <c r="AD13" s="115">
        <v>21</v>
      </c>
      <c r="AE13" s="115">
        <f>G13*0</f>
        <v>0</v>
      </c>
      <c r="AF13" s="115">
        <f>G13*(1-0)</f>
        <v>0</v>
      </c>
      <c r="AG13" s="114" t="s">
        <v>6</v>
      </c>
      <c r="AM13" s="115">
        <f>F13*AE13</f>
        <v>0</v>
      </c>
      <c r="AN13" s="115">
        <f>F13*AF13</f>
        <v>0</v>
      </c>
      <c r="AO13" s="116" t="s">
        <v>165</v>
      </c>
      <c r="AP13" s="116" t="s">
        <v>178</v>
      </c>
      <c r="AQ13" s="107" t="s">
        <v>184</v>
      </c>
      <c r="AS13" s="115">
        <f>AM13+AN13</f>
        <v>0</v>
      </c>
      <c r="AT13" s="115">
        <f>G13/(100-AU13)*100</f>
        <v>0</v>
      </c>
      <c r="AU13" s="115">
        <v>0</v>
      </c>
      <c r="AV13" s="115">
        <f>L13</f>
        <v>0</v>
      </c>
    </row>
    <row r="14" spans="1:48" ht="12.75">
      <c r="A14" s="4" t="s">
        <v>7</v>
      </c>
      <c r="B14" s="4"/>
      <c r="C14" s="4" t="s">
        <v>42</v>
      </c>
      <c r="D14" s="47" t="s">
        <v>86</v>
      </c>
      <c r="E14" s="4" t="s">
        <v>134</v>
      </c>
      <c r="F14" s="18">
        <v>55.35</v>
      </c>
      <c r="G14" s="113">
        <v>0</v>
      </c>
      <c r="H14" s="112">
        <f>F14*AE14</f>
        <v>0</v>
      </c>
      <c r="I14" s="112">
        <f>J14-H14</f>
        <v>0</v>
      </c>
      <c r="J14" s="112">
        <f>F14*G14</f>
        <v>0</v>
      </c>
      <c r="K14" s="112">
        <v>0</v>
      </c>
      <c r="L14" s="112">
        <f>F14*K14</f>
        <v>0</v>
      </c>
      <c r="M14" s="114"/>
      <c r="P14" s="115">
        <f>IF(AG14="5",J14,0)</f>
        <v>0</v>
      </c>
      <c r="R14" s="115">
        <f>IF(AG14="1",H14,0)</f>
        <v>0</v>
      </c>
      <c r="S14" s="115">
        <f>IF(AG14="1",I14,0)</f>
        <v>0</v>
      </c>
      <c r="T14" s="115">
        <f>IF(AG14="7",H14,0)</f>
        <v>0</v>
      </c>
      <c r="U14" s="115">
        <f>IF(AG14="7",I14,0)</f>
        <v>0</v>
      </c>
      <c r="V14" s="115">
        <f>IF(AG14="2",H14,0)</f>
        <v>0</v>
      </c>
      <c r="W14" s="115">
        <f>IF(AG14="2",I14,0)</f>
        <v>0</v>
      </c>
      <c r="X14" s="115">
        <f>IF(AG14="0",J14,0)</f>
        <v>0</v>
      </c>
      <c r="Y14" s="107"/>
      <c r="Z14" s="112">
        <f>IF(AD14=0,J14,0)</f>
        <v>0</v>
      </c>
      <c r="AA14" s="112">
        <f>IF(AD14=15,J14,0)</f>
        <v>0</v>
      </c>
      <c r="AB14" s="112">
        <f>IF(AD14=21,J14,0)</f>
        <v>0</v>
      </c>
      <c r="AD14" s="115">
        <v>21</v>
      </c>
      <c r="AE14" s="115">
        <f>G14*0</f>
        <v>0</v>
      </c>
      <c r="AF14" s="115">
        <f>G14*(1-0)</f>
        <v>0</v>
      </c>
      <c r="AG14" s="114" t="s">
        <v>6</v>
      </c>
      <c r="AM14" s="115">
        <f>F14*AE14</f>
        <v>0</v>
      </c>
      <c r="AN14" s="115">
        <f>F14*AF14</f>
        <v>0</v>
      </c>
      <c r="AO14" s="116" t="s">
        <v>165</v>
      </c>
      <c r="AP14" s="116" t="s">
        <v>178</v>
      </c>
      <c r="AQ14" s="107" t="s">
        <v>184</v>
      </c>
      <c r="AS14" s="115">
        <f>AM14+AN14</f>
        <v>0</v>
      </c>
      <c r="AT14" s="115">
        <f>G14/(100-AU14)*100</f>
        <v>0</v>
      </c>
      <c r="AU14" s="115">
        <v>0</v>
      </c>
      <c r="AV14" s="115">
        <f>L14</f>
        <v>0</v>
      </c>
    </row>
    <row r="15" spans="1:37" ht="12.75">
      <c r="A15" s="5"/>
      <c r="B15" s="13"/>
      <c r="C15" s="13" t="s">
        <v>21</v>
      </c>
      <c r="D15" s="13" t="s">
        <v>87</v>
      </c>
      <c r="E15" s="5" t="s">
        <v>5</v>
      </c>
      <c r="F15" s="5" t="s">
        <v>5</v>
      </c>
      <c r="G15" s="117" t="s">
        <v>5</v>
      </c>
      <c r="H15" s="111">
        <f>SUM(H16:H20)</f>
        <v>0</v>
      </c>
      <c r="I15" s="111">
        <f>SUM(I16:I20)</f>
        <v>0</v>
      </c>
      <c r="J15" s="111">
        <f>H15+I15</f>
        <v>0</v>
      </c>
      <c r="K15" s="107"/>
      <c r="L15" s="111">
        <f>SUM(L16:L20)</f>
        <v>0</v>
      </c>
      <c r="M15" s="107"/>
      <c r="Y15" s="107"/>
      <c r="AI15" s="111">
        <f>SUM(Z16:Z20)</f>
        <v>0</v>
      </c>
      <c r="AJ15" s="111">
        <f>SUM(AA16:AA20)</f>
        <v>0</v>
      </c>
      <c r="AK15" s="111">
        <f>SUM(AB16:AB20)</f>
        <v>0</v>
      </c>
    </row>
    <row r="16" spans="1:48" ht="12.75">
      <c r="A16" s="4" t="s">
        <v>8</v>
      </c>
      <c r="B16" s="4"/>
      <c r="C16" s="4" t="s">
        <v>43</v>
      </c>
      <c r="D16" s="47" t="s">
        <v>88</v>
      </c>
      <c r="E16" s="4" t="s">
        <v>134</v>
      </c>
      <c r="F16" s="18">
        <v>45.99</v>
      </c>
      <c r="G16" s="113">
        <v>0</v>
      </c>
      <c r="H16" s="112">
        <f>F16*AE16</f>
        <v>0</v>
      </c>
      <c r="I16" s="112">
        <f>J16-H16</f>
        <v>0</v>
      </c>
      <c r="J16" s="112">
        <f>F16*G16</f>
        <v>0</v>
      </c>
      <c r="K16" s="112">
        <v>0</v>
      </c>
      <c r="L16" s="112">
        <f>F16*K16</f>
        <v>0</v>
      </c>
      <c r="M16" s="114"/>
      <c r="P16" s="115">
        <f>IF(AG16="5",J16,0)</f>
        <v>0</v>
      </c>
      <c r="R16" s="115">
        <f>IF(AG16="1",H16,0)</f>
        <v>0</v>
      </c>
      <c r="S16" s="115">
        <f>IF(AG16="1",I16,0)</f>
        <v>0</v>
      </c>
      <c r="T16" s="115">
        <f>IF(AG16="7",H16,0)</f>
        <v>0</v>
      </c>
      <c r="U16" s="115">
        <f>IF(AG16="7",I16,0)</f>
        <v>0</v>
      </c>
      <c r="V16" s="115">
        <f>IF(AG16="2",H16,0)</f>
        <v>0</v>
      </c>
      <c r="W16" s="115">
        <f>IF(AG16="2",I16,0)</f>
        <v>0</v>
      </c>
      <c r="X16" s="115">
        <f>IF(AG16="0",J16,0)</f>
        <v>0</v>
      </c>
      <c r="Y16" s="107"/>
      <c r="Z16" s="112">
        <f>IF(AD16=0,J16,0)</f>
        <v>0</v>
      </c>
      <c r="AA16" s="112">
        <f>IF(AD16=15,J16,0)</f>
        <v>0</v>
      </c>
      <c r="AB16" s="112">
        <f>IF(AD16=21,J16,0)</f>
        <v>0</v>
      </c>
      <c r="AD16" s="115">
        <v>21</v>
      </c>
      <c r="AE16" s="115">
        <f>G16*0</f>
        <v>0</v>
      </c>
      <c r="AF16" s="115">
        <f>G16*(1-0)</f>
        <v>0</v>
      </c>
      <c r="AG16" s="114" t="s">
        <v>6</v>
      </c>
      <c r="AM16" s="115">
        <f>F16*AE16</f>
        <v>0</v>
      </c>
      <c r="AN16" s="115">
        <f>F16*AF16</f>
        <v>0</v>
      </c>
      <c r="AO16" s="116" t="s">
        <v>166</v>
      </c>
      <c r="AP16" s="116" t="s">
        <v>178</v>
      </c>
      <c r="AQ16" s="107" t="s">
        <v>184</v>
      </c>
      <c r="AS16" s="115">
        <f>AM16+AN16</f>
        <v>0</v>
      </c>
      <c r="AT16" s="115">
        <f>G16/(100-AU16)*100</f>
        <v>0</v>
      </c>
      <c r="AU16" s="115">
        <v>0</v>
      </c>
      <c r="AV16" s="115">
        <f>L16</f>
        <v>0</v>
      </c>
    </row>
    <row r="17" spans="1:48" ht="12.75">
      <c r="A17" s="4" t="s">
        <v>9</v>
      </c>
      <c r="B17" s="4"/>
      <c r="C17" s="4" t="s">
        <v>44</v>
      </c>
      <c r="D17" s="47" t="s">
        <v>89</v>
      </c>
      <c r="E17" s="4" t="s">
        <v>134</v>
      </c>
      <c r="F17" s="18">
        <v>91.98</v>
      </c>
      <c r="G17" s="113">
        <v>0</v>
      </c>
      <c r="H17" s="112">
        <f>F17*AE17</f>
        <v>0</v>
      </c>
      <c r="I17" s="112">
        <f>J17-H17</f>
        <v>0</v>
      </c>
      <c r="J17" s="112">
        <f>F17*G17</f>
        <v>0</v>
      </c>
      <c r="K17" s="112">
        <v>0</v>
      </c>
      <c r="L17" s="112">
        <f>F17*K17</f>
        <v>0</v>
      </c>
      <c r="M17" s="114"/>
      <c r="P17" s="115">
        <f>IF(AG17="5",J17,0)</f>
        <v>0</v>
      </c>
      <c r="R17" s="115">
        <f>IF(AG17="1",H17,0)</f>
        <v>0</v>
      </c>
      <c r="S17" s="115">
        <f>IF(AG17="1",I17,0)</f>
        <v>0</v>
      </c>
      <c r="T17" s="115">
        <f>IF(AG17="7",H17,0)</f>
        <v>0</v>
      </c>
      <c r="U17" s="115">
        <f>IF(AG17="7",I17,0)</f>
        <v>0</v>
      </c>
      <c r="V17" s="115">
        <f>IF(AG17="2",H17,0)</f>
        <v>0</v>
      </c>
      <c r="W17" s="115">
        <f>IF(AG17="2",I17,0)</f>
        <v>0</v>
      </c>
      <c r="X17" s="115">
        <f>IF(AG17="0",J17,0)</f>
        <v>0</v>
      </c>
      <c r="Y17" s="107"/>
      <c r="Z17" s="112">
        <f>IF(AD17=0,J17,0)</f>
        <v>0</v>
      </c>
      <c r="AA17" s="112">
        <f>IF(AD17=15,J17,0)</f>
        <v>0</v>
      </c>
      <c r="AB17" s="112">
        <f>IF(AD17=21,J17,0)</f>
        <v>0</v>
      </c>
      <c r="AD17" s="115">
        <v>21</v>
      </c>
      <c r="AE17" s="115">
        <f>G17*0</f>
        <v>0</v>
      </c>
      <c r="AF17" s="115">
        <f>G17*(1-0)</f>
        <v>0</v>
      </c>
      <c r="AG17" s="114" t="s">
        <v>6</v>
      </c>
      <c r="AM17" s="115">
        <f>F17*AE17</f>
        <v>0</v>
      </c>
      <c r="AN17" s="115">
        <f>F17*AF17</f>
        <v>0</v>
      </c>
      <c r="AO17" s="116" t="s">
        <v>166</v>
      </c>
      <c r="AP17" s="116" t="s">
        <v>178</v>
      </c>
      <c r="AQ17" s="107" t="s">
        <v>184</v>
      </c>
      <c r="AS17" s="115">
        <f>AM17+AN17</f>
        <v>0</v>
      </c>
      <c r="AT17" s="115">
        <f>G17/(100-AU17)*100</f>
        <v>0</v>
      </c>
      <c r="AU17" s="115">
        <v>0</v>
      </c>
      <c r="AV17" s="115">
        <f>L17</f>
        <v>0</v>
      </c>
    </row>
    <row r="18" spans="1:48" ht="12.75">
      <c r="A18" s="4" t="s">
        <v>10</v>
      </c>
      <c r="B18" s="4"/>
      <c r="C18" s="4" t="s">
        <v>45</v>
      </c>
      <c r="D18" s="47" t="s">
        <v>90</v>
      </c>
      <c r="E18" s="4" t="s">
        <v>134</v>
      </c>
      <c r="F18" s="18">
        <v>45.99</v>
      </c>
      <c r="G18" s="113">
        <v>0</v>
      </c>
      <c r="H18" s="112">
        <f>F18*AE18</f>
        <v>0</v>
      </c>
      <c r="I18" s="112">
        <f>J18-H18</f>
        <v>0</v>
      </c>
      <c r="J18" s="112">
        <f>F18*G18</f>
        <v>0</v>
      </c>
      <c r="K18" s="112">
        <v>0</v>
      </c>
      <c r="L18" s="112">
        <f>F18*K18</f>
        <v>0</v>
      </c>
      <c r="M18" s="114"/>
      <c r="P18" s="115">
        <f>IF(AG18="5",J18,0)</f>
        <v>0</v>
      </c>
      <c r="R18" s="115">
        <f>IF(AG18="1",H18,0)</f>
        <v>0</v>
      </c>
      <c r="S18" s="115">
        <f>IF(AG18="1",I18,0)</f>
        <v>0</v>
      </c>
      <c r="T18" s="115">
        <f>IF(AG18="7",H18,0)</f>
        <v>0</v>
      </c>
      <c r="U18" s="115">
        <f>IF(AG18="7",I18,0)</f>
        <v>0</v>
      </c>
      <c r="V18" s="115">
        <f>IF(AG18="2",H18,0)</f>
        <v>0</v>
      </c>
      <c r="W18" s="115">
        <f>IF(AG18="2",I18,0)</f>
        <v>0</v>
      </c>
      <c r="X18" s="115">
        <f>IF(AG18="0",J18,0)</f>
        <v>0</v>
      </c>
      <c r="Y18" s="107"/>
      <c r="Z18" s="112">
        <f>IF(AD18=0,J18,0)</f>
        <v>0</v>
      </c>
      <c r="AA18" s="112">
        <f>IF(AD18=15,J18,0)</f>
        <v>0</v>
      </c>
      <c r="AB18" s="112">
        <f>IF(AD18=21,J18,0)</f>
        <v>0</v>
      </c>
      <c r="AD18" s="115">
        <v>21</v>
      </c>
      <c r="AE18" s="115">
        <f>G18*0</f>
        <v>0</v>
      </c>
      <c r="AF18" s="115">
        <f>G18*(1-0)</f>
        <v>0</v>
      </c>
      <c r="AG18" s="114" t="s">
        <v>6</v>
      </c>
      <c r="AM18" s="115">
        <f>F18*AE18</f>
        <v>0</v>
      </c>
      <c r="AN18" s="115">
        <f>F18*AF18</f>
        <v>0</v>
      </c>
      <c r="AO18" s="116" t="s">
        <v>166</v>
      </c>
      <c r="AP18" s="116" t="s">
        <v>178</v>
      </c>
      <c r="AQ18" s="107" t="s">
        <v>184</v>
      </c>
      <c r="AS18" s="115">
        <f>AM18+AN18</f>
        <v>0</v>
      </c>
      <c r="AT18" s="115">
        <f>G18/(100-AU18)*100</f>
        <v>0</v>
      </c>
      <c r="AU18" s="115">
        <v>0</v>
      </c>
      <c r="AV18" s="115">
        <f>L18</f>
        <v>0</v>
      </c>
    </row>
    <row r="19" spans="1:48" ht="12.75">
      <c r="A19" s="4" t="s">
        <v>11</v>
      </c>
      <c r="B19" s="4"/>
      <c r="C19" s="4" t="s">
        <v>46</v>
      </c>
      <c r="D19" s="47" t="s">
        <v>91</v>
      </c>
      <c r="E19" s="4" t="s">
        <v>134</v>
      </c>
      <c r="F19" s="18">
        <v>45.99</v>
      </c>
      <c r="G19" s="113">
        <v>0</v>
      </c>
      <c r="H19" s="112">
        <f>F19*AE19</f>
        <v>0</v>
      </c>
      <c r="I19" s="112">
        <f>J19-H19</f>
        <v>0</v>
      </c>
      <c r="J19" s="112">
        <f>F19*G19</f>
        <v>0</v>
      </c>
      <c r="K19" s="112">
        <v>0</v>
      </c>
      <c r="L19" s="112">
        <f>F19*K19</f>
        <v>0</v>
      </c>
      <c r="M19" s="114"/>
      <c r="P19" s="115">
        <f>IF(AG19="5",J19,0)</f>
        <v>0</v>
      </c>
      <c r="R19" s="115">
        <f>IF(AG19="1",H19,0)</f>
        <v>0</v>
      </c>
      <c r="S19" s="115">
        <f>IF(AG19="1",I19,0)</f>
        <v>0</v>
      </c>
      <c r="T19" s="115">
        <f>IF(AG19="7",H19,0)</f>
        <v>0</v>
      </c>
      <c r="U19" s="115">
        <f>IF(AG19="7",I19,0)</f>
        <v>0</v>
      </c>
      <c r="V19" s="115">
        <f>IF(AG19="2",H19,0)</f>
        <v>0</v>
      </c>
      <c r="W19" s="115">
        <f>IF(AG19="2",I19,0)</f>
        <v>0</v>
      </c>
      <c r="X19" s="115">
        <f>IF(AG19="0",J19,0)</f>
        <v>0</v>
      </c>
      <c r="Y19" s="107"/>
      <c r="Z19" s="112">
        <f>IF(AD19=0,J19,0)</f>
        <v>0</v>
      </c>
      <c r="AA19" s="112">
        <f>IF(AD19=15,J19,0)</f>
        <v>0</v>
      </c>
      <c r="AB19" s="112">
        <f>IF(AD19=21,J19,0)</f>
        <v>0</v>
      </c>
      <c r="AD19" s="115">
        <v>21</v>
      </c>
      <c r="AE19" s="115">
        <f>G19*0</f>
        <v>0</v>
      </c>
      <c r="AF19" s="115">
        <f>G19*(1-0)</f>
        <v>0</v>
      </c>
      <c r="AG19" s="114" t="s">
        <v>6</v>
      </c>
      <c r="AM19" s="115">
        <f>F19*AE19</f>
        <v>0</v>
      </c>
      <c r="AN19" s="115">
        <f>F19*AF19</f>
        <v>0</v>
      </c>
      <c r="AO19" s="116" t="s">
        <v>166</v>
      </c>
      <c r="AP19" s="116" t="s">
        <v>178</v>
      </c>
      <c r="AQ19" s="107" t="s">
        <v>184</v>
      </c>
      <c r="AS19" s="115">
        <f>AM19+AN19</f>
        <v>0</v>
      </c>
      <c r="AT19" s="115">
        <f>G19/(100-AU19)*100</f>
        <v>0</v>
      </c>
      <c r="AU19" s="115">
        <v>0</v>
      </c>
      <c r="AV19" s="115">
        <f>L19</f>
        <v>0</v>
      </c>
    </row>
    <row r="20" spans="1:48" ht="12.75">
      <c r="A20" s="4" t="s">
        <v>12</v>
      </c>
      <c r="B20" s="4"/>
      <c r="C20" s="4" t="s">
        <v>47</v>
      </c>
      <c r="D20" s="47" t="s">
        <v>92</v>
      </c>
      <c r="E20" s="4" t="s">
        <v>134</v>
      </c>
      <c r="F20" s="18">
        <v>91.98</v>
      </c>
      <c r="G20" s="113">
        <v>0</v>
      </c>
      <c r="H20" s="112">
        <f>F20*AE20</f>
        <v>0</v>
      </c>
      <c r="I20" s="112">
        <f>J20-H20</f>
        <v>0</v>
      </c>
      <c r="J20" s="112">
        <f>F20*G20</f>
        <v>0</v>
      </c>
      <c r="K20" s="112">
        <v>0</v>
      </c>
      <c r="L20" s="112">
        <f>F20*K20</f>
        <v>0</v>
      </c>
      <c r="M20" s="114"/>
      <c r="P20" s="115">
        <f>IF(AG20="5",J20,0)</f>
        <v>0</v>
      </c>
      <c r="R20" s="115">
        <f>IF(AG20="1",H20,0)</f>
        <v>0</v>
      </c>
      <c r="S20" s="115">
        <f>IF(AG20="1",I20,0)</f>
        <v>0</v>
      </c>
      <c r="T20" s="115">
        <f>IF(AG20="7",H20,0)</f>
        <v>0</v>
      </c>
      <c r="U20" s="115">
        <f>IF(AG20="7",I20,0)</f>
        <v>0</v>
      </c>
      <c r="V20" s="115">
        <f>IF(AG20="2",H20,0)</f>
        <v>0</v>
      </c>
      <c r="W20" s="115">
        <f>IF(AG20="2",I20,0)</f>
        <v>0</v>
      </c>
      <c r="X20" s="115">
        <f>IF(AG20="0",J20,0)</f>
        <v>0</v>
      </c>
      <c r="Y20" s="107"/>
      <c r="Z20" s="112">
        <f>IF(AD20=0,J20,0)</f>
        <v>0</v>
      </c>
      <c r="AA20" s="112">
        <f>IF(AD20=15,J20,0)</f>
        <v>0</v>
      </c>
      <c r="AB20" s="112">
        <f>IF(AD20=21,J20,0)</f>
        <v>0</v>
      </c>
      <c r="AD20" s="115">
        <v>21</v>
      </c>
      <c r="AE20" s="115">
        <f>G20*0</f>
        <v>0</v>
      </c>
      <c r="AF20" s="115">
        <f>G20*(1-0)</f>
        <v>0</v>
      </c>
      <c r="AG20" s="114" t="s">
        <v>6</v>
      </c>
      <c r="AM20" s="115">
        <f>F20*AE20</f>
        <v>0</v>
      </c>
      <c r="AN20" s="115">
        <f>F20*AF20</f>
        <v>0</v>
      </c>
      <c r="AO20" s="116" t="s">
        <v>166</v>
      </c>
      <c r="AP20" s="116" t="s">
        <v>178</v>
      </c>
      <c r="AQ20" s="107" t="s">
        <v>184</v>
      </c>
      <c r="AS20" s="115">
        <f>AM20+AN20</f>
        <v>0</v>
      </c>
      <c r="AT20" s="115">
        <f>G20/(100-AU20)*100</f>
        <v>0</v>
      </c>
      <c r="AU20" s="115">
        <v>0</v>
      </c>
      <c r="AV20" s="115">
        <f>L20</f>
        <v>0</v>
      </c>
    </row>
    <row r="21" spans="1:37" ht="12.75">
      <c r="A21" s="5"/>
      <c r="B21" s="13"/>
      <c r="C21" s="13" t="s">
        <v>22</v>
      </c>
      <c r="D21" s="13" t="s">
        <v>93</v>
      </c>
      <c r="E21" s="5" t="s">
        <v>5</v>
      </c>
      <c r="F21" s="5" t="s">
        <v>5</v>
      </c>
      <c r="G21" s="117" t="s">
        <v>5</v>
      </c>
      <c r="H21" s="111">
        <f>SUM(H22:H22)</f>
        <v>0</v>
      </c>
      <c r="I21" s="111">
        <f>SUM(I22:I22)</f>
        <v>0</v>
      </c>
      <c r="J21" s="111">
        <f>H21+I21</f>
        <v>0</v>
      </c>
      <c r="K21" s="107"/>
      <c r="L21" s="111">
        <f>SUM(L22:L22)</f>
        <v>0</v>
      </c>
      <c r="M21" s="107"/>
      <c r="Y21" s="107"/>
      <c r="AI21" s="111">
        <f>SUM(Z22:Z22)</f>
        <v>0</v>
      </c>
      <c r="AJ21" s="111">
        <f>SUM(AA22:AA22)</f>
        <v>0</v>
      </c>
      <c r="AK21" s="111">
        <f>SUM(AB22:AB22)</f>
        <v>0</v>
      </c>
    </row>
    <row r="22" spans="1:48" ht="12.75">
      <c r="A22" s="4" t="s">
        <v>13</v>
      </c>
      <c r="B22" s="4"/>
      <c r="C22" s="4" t="s">
        <v>48</v>
      </c>
      <c r="D22" s="47" t="s">
        <v>94</v>
      </c>
      <c r="E22" s="4" t="s">
        <v>134</v>
      </c>
      <c r="F22" s="18">
        <v>9.36</v>
      </c>
      <c r="G22" s="113">
        <v>0</v>
      </c>
      <c r="H22" s="112">
        <f>F22*AE22</f>
        <v>0</v>
      </c>
      <c r="I22" s="112">
        <f>J22-H22</f>
        <v>0</v>
      </c>
      <c r="J22" s="112">
        <f>F22*G22</f>
        <v>0</v>
      </c>
      <c r="K22" s="112">
        <v>0</v>
      </c>
      <c r="L22" s="112">
        <f>F22*K22</f>
        <v>0</v>
      </c>
      <c r="M22" s="114"/>
      <c r="P22" s="115">
        <f>IF(AG22="5",J22,0)</f>
        <v>0</v>
      </c>
      <c r="R22" s="115">
        <f>IF(AG22="1",H22,0)</f>
        <v>0</v>
      </c>
      <c r="S22" s="115">
        <f>IF(AG22="1",I22,0)</f>
        <v>0</v>
      </c>
      <c r="T22" s="115">
        <f>IF(AG22="7",H22,0)</f>
        <v>0</v>
      </c>
      <c r="U22" s="115">
        <f>IF(AG22="7",I22,0)</f>
        <v>0</v>
      </c>
      <c r="V22" s="115">
        <f>IF(AG22="2",H22,0)</f>
        <v>0</v>
      </c>
      <c r="W22" s="115">
        <f>IF(AG22="2",I22,0)</f>
        <v>0</v>
      </c>
      <c r="X22" s="115">
        <f>IF(AG22="0",J22,0)</f>
        <v>0</v>
      </c>
      <c r="Y22" s="107"/>
      <c r="Z22" s="112">
        <f>IF(AD22=0,J22,0)</f>
        <v>0</v>
      </c>
      <c r="AA22" s="112">
        <f>IF(AD22=15,J22,0)</f>
        <v>0</v>
      </c>
      <c r="AB22" s="112">
        <f>IF(AD22=21,J22,0)</f>
        <v>0</v>
      </c>
      <c r="AD22" s="115">
        <v>21</v>
      </c>
      <c r="AE22" s="115">
        <f>G22*0</f>
        <v>0</v>
      </c>
      <c r="AF22" s="115">
        <f>G22*(1-0)</f>
        <v>0</v>
      </c>
      <c r="AG22" s="114" t="s">
        <v>6</v>
      </c>
      <c r="AM22" s="115">
        <f>F22*AE22</f>
        <v>0</v>
      </c>
      <c r="AN22" s="115">
        <f>F22*AF22</f>
        <v>0</v>
      </c>
      <c r="AO22" s="116" t="s">
        <v>167</v>
      </c>
      <c r="AP22" s="116" t="s">
        <v>178</v>
      </c>
      <c r="AQ22" s="107" t="s">
        <v>184</v>
      </c>
      <c r="AS22" s="115">
        <f>AM22+AN22</f>
        <v>0</v>
      </c>
      <c r="AT22" s="115">
        <f>G22/(100-AU22)*100</f>
        <v>0</v>
      </c>
      <c r="AU22" s="115">
        <v>0</v>
      </c>
      <c r="AV22" s="115">
        <f>L22</f>
        <v>0</v>
      </c>
    </row>
    <row r="23" spans="1:37" ht="12.75">
      <c r="A23" s="5"/>
      <c r="B23" s="13"/>
      <c r="C23" s="13" t="s">
        <v>23</v>
      </c>
      <c r="D23" s="13" t="s">
        <v>95</v>
      </c>
      <c r="E23" s="5" t="s">
        <v>5</v>
      </c>
      <c r="F23" s="5" t="s">
        <v>5</v>
      </c>
      <c r="G23" s="117" t="s">
        <v>5</v>
      </c>
      <c r="H23" s="111">
        <f>SUM(H24:H25)</f>
        <v>0</v>
      </c>
      <c r="I23" s="111">
        <f>SUM(I24:I25)</f>
        <v>0</v>
      </c>
      <c r="J23" s="111">
        <f>H23+I23</f>
        <v>0</v>
      </c>
      <c r="K23" s="107"/>
      <c r="L23" s="111">
        <f>SUM(L24:L25)</f>
        <v>162.729</v>
      </c>
      <c r="M23" s="107"/>
      <c r="Y23" s="107"/>
      <c r="AI23" s="111">
        <f>SUM(Z24:Z25)</f>
        <v>0</v>
      </c>
      <c r="AJ23" s="111">
        <f>SUM(AA24:AA25)</f>
        <v>0</v>
      </c>
      <c r="AK23" s="111">
        <f>SUM(AB24:AB25)</f>
        <v>0</v>
      </c>
    </row>
    <row r="24" spans="1:48" ht="12.75">
      <c r="A24" s="4" t="s">
        <v>14</v>
      </c>
      <c r="B24" s="4"/>
      <c r="C24" s="4" t="s">
        <v>49</v>
      </c>
      <c r="D24" s="47" t="s">
        <v>96</v>
      </c>
      <c r="E24" s="4" t="s">
        <v>135</v>
      </c>
      <c r="F24" s="18">
        <v>307.5</v>
      </c>
      <c r="G24" s="113">
        <v>0</v>
      </c>
      <c r="H24" s="112">
        <f>F24*AE24</f>
        <v>0</v>
      </c>
      <c r="I24" s="112">
        <f>J24-H24</f>
        <v>0</v>
      </c>
      <c r="J24" s="112">
        <f>F24*G24</f>
        <v>0</v>
      </c>
      <c r="K24" s="112">
        <v>0</v>
      </c>
      <c r="L24" s="112">
        <f>F24*K24</f>
        <v>0</v>
      </c>
      <c r="M24" s="114"/>
      <c r="P24" s="115">
        <f>IF(AG24="5",J24,0)</f>
        <v>0</v>
      </c>
      <c r="R24" s="115">
        <f>IF(AG24="1",H24,0)</f>
        <v>0</v>
      </c>
      <c r="S24" s="115">
        <f>IF(AG24="1",I24,0)</f>
        <v>0</v>
      </c>
      <c r="T24" s="115">
        <f>IF(AG24="7",H24,0)</f>
        <v>0</v>
      </c>
      <c r="U24" s="115">
        <f>IF(AG24="7",I24,0)</f>
        <v>0</v>
      </c>
      <c r="V24" s="115">
        <f>IF(AG24="2",H24,0)</f>
        <v>0</v>
      </c>
      <c r="W24" s="115">
        <f>IF(AG24="2",I24,0)</f>
        <v>0</v>
      </c>
      <c r="X24" s="115">
        <f>IF(AG24="0",J24,0)</f>
        <v>0</v>
      </c>
      <c r="Y24" s="107"/>
      <c r="Z24" s="112">
        <f>IF(AD24=0,J24,0)</f>
        <v>0</v>
      </c>
      <c r="AA24" s="112">
        <f>IF(AD24=15,J24,0)</f>
        <v>0</v>
      </c>
      <c r="AB24" s="112">
        <f>IF(AD24=21,J24,0)</f>
        <v>0</v>
      </c>
      <c r="AD24" s="115">
        <v>21</v>
      </c>
      <c r="AE24" s="115">
        <f>G24*0</f>
        <v>0</v>
      </c>
      <c r="AF24" s="115">
        <f>G24*(1-0)</f>
        <v>0</v>
      </c>
      <c r="AG24" s="114" t="s">
        <v>6</v>
      </c>
      <c r="AM24" s="115">
        <f>F24*AE24</f>
        <v>0</v>
      </c>
      <c r="AN24" s="115">
        <f>F24*AF24</f>
        <v>0</v>
      </c>
      <c r="AO24" s="116" t="s">
        <v>168</v>
      </c>
      <c r="AP24" s="116" t="s">
        <v>178</v>
      </c>
      <c r="AQ24" s="107" t="s">
        <v>184</v>
      </c>
      <c r="AS24" s="115">
        <f>AM24+AN24</f>
        <v>0</v>
      </c>
      <c r="AT24" s="115">
        <f>G24/(100-AU24)*100</f>
        <v>0</v>
      </c>
      <c r="AU24" s="115">
        <v>0</v>
      </c>
      <c r="AV24" s="115">
        <f>L24</f>
        <v>0</v>
      </c>
    </row>
    <row r="25" spans="1:48" ht="26.25">
      <c r="A25" s="4" t="s">
        <v>15</v>
      </c>
      <c r="B25" s="4"/>
      <c r="C25" s="4" t="s">
        <v>50</v>
      </c>
      <c r="D25" s="47" t="s">
        <v>97</v>
      </c>
      <c r="E25" s="4" t="s">
        <v>135</v>
      </c>
      <c r="F25" s="18">
        <v>307.5</v>
      </c>
      <c r="G25" s="113">
        <v>0</v>
      </c>
      <c r="H25" s="112">
        <f>F25*AE25</f>
        <v>0</v>
      </c>
      <c r="I25" s="112">
        <f>J25-H25</f>
        <v>0</v>
      </c>
      <c r="J25" s="112">
        <f>F25*G25</f>
        <v>0</v>
      </c>
      <c r="K25" s="112">
        <v>0.5292</v>
      </c>
      <c r="L25" s="112">
        <f>F25*K25</f>
        <v>162.729</v>
      </c>
      <c r="M25" s="114"/>
      <c r="P25" s="115">
        <f>IF(AG25="5",J25,0)</f>
        <v>0</v>
      </c>
      <c r="R25" s="115">
        <f>IF(AG25="1",H25,0)</f>
        <v>0</v>
      </c>
      <c r="S25" s="115">
        <f>IF(AG25="1",I25,0)</f>
        <v>0</v>
      </c>
      <c r="T25" s="115">
        <f>IF(AG25="7",H25,0)</f>
        <v>0</v>
      </c>
      <c r="U25" s="115">
        <f>IF(AG25="7",I25,0)</f>
        <v>0</v>
      </c>
      <c r="V25" s="115">
        <f>IF(AG25="2",H25,0)</f>
        <v>0</v>
      </c>
      <c r="W25" s="115">
        <f>IF(AG25="2",I25,0)</f>
        <v>0</v>
      </c>
      <c r="X25" s="115">
        <f>IF(AG25="0",J25,0)</f>
        <v>0</v>
      </c>
      <c r="Y25" s="107"/>
      <c r="Z25" s="112">
        <f>IF(AD25=0,J25,0)</f>
        <v>0</v>
      </c>
      <c r="AA25" s="112">
        <f>IF(AD25=15,J25,0)</f>
        <v>0</v>
      </c>
      <c r="AB25" s="112">
        <f>IF(AD25=21,J25,0)</f>
        <v>0</v>
      </c>
      <c r="AD25" s="115">
        <v>21</v>
      </c>
      <c r="AE25" s="115">
        <f>G25*0.86707153646346</f>
        <v>0</v>
      </c>
      <c r="AF25" s="115">
        <f>G25*(1-0.86707153646346)</f>
        <v>0</v>
      </c>
      <c r="AG25" s="114" t="s">
        <v>6</v>
      </c>
      <c r="AM25" s="115">
        <f>F25*AE25</f>
        <v>0</v>
      </c>
      <c r="AN25" s="115">
        <f>F25*AF25</f>
        <v>0</v>
      </c>
      <c r="AO25" s="116" t="s">
        <v>168</v>
      </c>
      <c r="AP25" s="116" t="s">
        <v>178</v>
      </c>
      <c r="AQ25" s="107" t="s">
        <v>184</v>
      </c>
      <c r="AS25" s="115">
        <f>AM25+AN25</f>
        <v>0</v>
      </c>
      <c r="AT25" s="115">
        <f>G25/(100-AU25)*100</f>
        <v>0</v>
      </c>
      <c r="AU25" s="115">
        <v>0</v>
      </c>
      <c r="AV25" s="115">
        <f>L25</f>
        <v>162.729</v>
      </c>
    </row>
    <row r="26" spans="1:37" ht="12.75">
      <c r="A26" s="5"/>
      <c r="B26" s="13"/>
      <c r="C26" s="13" t="s">
        <v>26</v>
      </c>
      <c r="D26" s="13" t="s">
        <v>98</v>
      </c>
      <c r="E26" s="5" t="s">
        <v>5</v>
      </c>
      <c r="F26" s="5" t="s">
        <v>5</v>
      </c>
      <c r="G26" s="117" t="s">
        <v>5</v>
      </c>
      <c r="H26" s="111">
        <f>SUM(H27:H28)</f>
        <v>0</v>
      </c>
      <c r="I26" s="111">
        <f>SUM(I27:I28)</f>
        <v>0</v>
      </c>
      <c r="J26" s="111">
        <f>H26+I26</f>
        <v>0</v>
      </c>
      <c r="K26" s="107"/>
      <c r="L26" s="111">
        <f>SUM(L27:L28)</f>
        <v>0.08071875</v>
      </c>
      <c r="M26" s="107"/>
      <c r="Y26" s="107"/>
      <c r="AI26" s="111">
        <f>SUM(Z27:Z28)</f>
        <v>0</v>
      </c>
      <c r="AJ26" s="111">
        <f>SUM(AA27:AA28)</f>
        <v>0</v>
      </c>
      <c r="AK26" s="111">
        <f>SUM(AB27:AB28)</f>
        <v>0</v>
      </c>
    </row>
    <row r="27" spans="1:48" ht="12.75">
      <c r="A27" s="4" t="s">
        <v>16</v>
      </c>
      <c r="B27" s="4"/>
      <c r="C27" s="4" t="s">
        <v>51</v>
      </c>
      <c r="D27" s="47" t="s">
        <v>99</v>
      </c>
      <c r="E27" s="4" t="s">
        <v>135</v>
      </c>
      <c r="F27" s="18">
        <v>322.875</v>
      </c>
      <c r="G27" s="113">
        <v>0</v>
      </c>
      <c r="H27" s="112">
        <f>F27*AE27</f>
        <v>0</v>
      </c>
      <c r="I27" s="112">
        <f>J27-H27</f>
        <v>0</v>
      </c>
      <c r="J27" s="112">
        <f>F27*G27</f>
        <v>0</v>
      </c>
      <c r="K27" s="112">
        <v>4E-05</v>
      </c>
      <c r="L27" s="112">
        <f>F27*K27</f>
        <v>0.012915000000000001</v>
      </c>
      <c r="M27" s="114"/>
      <c r="P27" s="115">
        <f>IF(AG27="5",J27,0)</f>
        <v>0</v>
      </c>
      <c r="R27" s="115">
        <f>IF(AG27="1",H27,0)</f>
        <v>0</v>
      </c>
      <c r="S27" s="115">
        <f>IF(AG27="1",I27,0)</f>
        <v>0</v>
      </c>
      <c r="T27" s="115">
        <f>IF(AG27="7",H27,0)</f>
        <v>0</v>
      </c>
      <c r="U27" s="115">
        <f>IF(AG27="7",I27,0)</f>
        <v>0</v>
      </c>
      <c r="V27" s="115">
        <f>IF(AG27="2",H27,0)</f>
        <v>0</v>
      </c>
      <c r="W27" s="115">
        <f>IF(AG27="2",I27,0)</f>
        <v>0</v>
      </c>
      <c r="X27" s="115">
        <f>IF(AG27="0",J27,0)</f>
        <v>0</v>
      </c>
      <c r="Y27" s="107"/>
      <c r="Z27" s="112">
        <f>IF(AD27=0,J27,0)</f>
        <v>0</v>
      </c>
      <c r="AA27" s="112">
        <f>IF(AD27=15,J27,0)</f>
        <v>0</v>
      </c>
      <c r="AB27" s="112">
        <f>IF(AD27=21,J27,0)</f>
        <v>0</v>
      </c>
      <c r="AD27" s="115">
        <v>21</v>
      </c>
      <c r="AE27" s="115">
        <f>G27*0.0253857591697294</f>
        <v>0</v>
      </c>
      <c r="AF27" s="115">
        <f>G27*(1-0.0253857591697294)</f>
        <v>0</v>
      </c>
      <c r="AG27" s="114" t="s">
        <v>6</v>
      </c>
      <c r="AM27" s="115">
        <f>F27*AE27</f>
        <v>0</v>
      </c>
      <c r="AN27" s="115">
        <f>F27*AF27</f>
        <v>0</v>
      </c>
      <c r="AO27" s="116" t="s">
        <v>169</v>
      </c>
      <c r="AP27" s="116" t="s">
        <v>179</v>
      </c>
      <c r="AQ27" s="107" t="s">
        <v>184</v>
      </c>
      <c r="AS27" s="115">
        <f>AM27+AN27</f>
        <v>0</v>
      </c>
      <c r="AT27" s="115">
        <f>G27/(100-AU27)*100</f>
        <v>0</v>
      </c>
      <c r="AU27" s="115">
        <v>0</v>
      </c>
      <c r="AV27" s="115">
        <f>L27</f>
        <v>0.012915000000000001</v>
      </c>
    </row>
    <row r="28" spans="1:48" ht="12.75">
      <c r="A28" s="6" t="s">
        <v>17</v>
      </c>
      <c r="B28" s="6"/>
      <c r="C28" s="6" t="s">
        <v>52</v>
      </c>
      <c r="D28" s="48" t="s">
        <v>100</v>
      </c>
      <c r="E28" s="6" t="s">
        <v>135</v>
      </c>
      <c r="F28" s="19">
        <v>339.01875</v>
      </c>
      <c r="G28" s="113">
        <v>0</v>
      </c>
      <c r="H28" s="118">
        <f>F28*AE28</f>
        <v>0</v>
      </c>
      <c r="I28" s="118">
        <f>J28-H28</f>
        <v>0</v>
      </c>
      <c r="J28" s="118">
        <f>F28*G28</f>
        <v>0</v>
      </c>
      <c r="K28" s="118">
        <v>0.0002</v>
      </c>
      <c r="L28" s="118">
        <f>F28*K28</f>
        <v>0.06780375000000001</v>
      </c>
      <c r="M28" s="119"/>
      <c r="P28" s="115">
        <f>IF(AG28="5",J28,0)</f>
        <v>0</v>
      </c>
      <c r="R28" s="115">
        <f>IF(AG28="1",H28,0)</f>
        <v>0</v>
      </c>
      <c r="S28" s="115">
        <f>IF(AG28="1",I28,0)</f>
        <v>0</v>
      </c>
      <c r="T28" s="115">
        <f>IF(AG28="7",H28,0)</f>
        <v>0</v>
      </c>
      <c r="U28" s="115">
        <f>IF(AG28="7",I28,0)</f>
        <v>0</v>
      </c>
      <c r="V28" s="115">
        <f>IF(AG28="2",H28,0)</f>
        <v>0</v>
      </c>
      <c r="W28" s="115">
        <f>IF(AG28="2",I28,0)</f>
        <v>0</v>
      </c>
      <c r="X28" s="115">
        <f>IF(AG28="0",J28,0)</f>
        <v>0</v>
      </c>
      <c r="Y28" s="107"/>
      <c r="Z28" s="118">
        <f>IF(AD28=0,J28,0)</f>
        <v>0</v>
      </c>
      <c r="AA28" s="118">
        <f>IF(AD28=15,J28,0)</f>
        <v>0</v>
      </c>
      <c r="AB28" s="118">
        <f>IF(AD28=21,J28,0)</f>
        <v>0</v>
      </c>
      <c r="AD28" s="115">
        <v>21</v>
      </c>
      <c r="AE28" s="115">
        <f>G28*1</f>
        <v>0</v>
      </c>
      <c r="AF28" s="115">
        <f>G28*(1-1)</f>
        <v>0</v>
      </c>
      <c r="AG28" s="119" t="s">
        <v>6</v>
      </c>
      <c r="AM28" s="115">
        <f>F28*AE28</f>
        <v>0</v>
      </c>
      <c r="AN28" s="115">
        <f>F28*AF28</f>
        <v>0</v>
      </c>
      <c r="AO28" s="116" t="s">
        <v>169</v>
      </c>
      <c r="AP28" s="116" t="s">
        <v>179</v>
      </c>
      <c r="AQ28" s="107" t="s">
        <v>184</v>
      </c>
      <c r="AS28" s="115">
        <f>AM28+AN28</f>
        <v>0</v>
      </c>
      <c r="AT28" s="115">
        <f>G28/(100-AU28)*100</f>
        <v>0</v>
      </c>
      <c r="AU28" s="115">
        <v>0</v>
      </c>
      <c r="AV28" s="115">
        <f>L28</f>
        <v>0.06780375000000001</v>
      </c>
    </row>
    <row r="29" spans="1:37" ht="12.75">
      <c r="A29" s="5"/>
      <c r="B29" s="13"/>
      <c r="C29" s="13" t="s">
        <v>32</v>
      </c>
      <c r="D29" s="13" t="s">
        <v>101</v>
      </c>
      <c r="E29" s="5" t="s">
        <v>5</v>
      </c>
      <c r="F29" s="5" t="s">
        <v>5</v>
      </c>
      <c r="G29" s="117" t="s">
        <v>5</v>
      </c>
      <c r="H29" s="111">
        <f>SUM(H30:H35)</f>
        <v>0</v>
      </c>
      <c r="I29" s="111">
        <f>SUM(I30:I35)</f>
        <v>0</v>
      </c>
      <c r="J29" s="111">
        <f>H29+I29</f>
        <v>0</v>
      </c>
      <c r="K29" s="107"/>
      <c r="L29" s="111">
        <f>SUM(L30:L35)</f>
        <v>125.4307162778</v>
      </c>
      <c r="M29" s="107"/>
      <c r="Y29" s="107"/>
      <c r="AI29" s="111">
        <f>SUM(Z30:Z35)</f>
        <v>0</v>
      </c>
      <c r="AJ29" s="111">
        <f>SUM(AA30:AA35)</f>
        <v>0</v>
      </c>
      <c r="AK29" s="111">
        <f>SUM(AB30:AB35)</f>
        <v>0</v>
      </c>
    </row>
    <row r="30" spans="1:48" ht="26.25">
      <c r="A30" s="4" t="s">
        <v>18</v>
      </c>
      <c r="B30" s="4"/>
      <c r="C30" s="4" t="s">
        <v>53</v>
      </c>
      <c r="D30" s="47" t="s">
        <v>102</v>
      </c>
      <c r="E30" s="4" t="s">
        <v>134</v>
      </c>
      <c r="F30" s="18">
        <v>50.7375</v>
      </c>
      <c r="G30" s="113">
        <v>0</v>
      </c>
      <c r="H30" s="112">
        <f aca="true" t="shared" si="0" ref="H30:H35">F30*AE30</f>
        <v>0</v>
      </c>
      <c r="I30" s="112">
        <f aca="true" t="shared" si="1" ref="I30:I35">J30-H30</f>
        <v>0</v>
      </c>
      <c r="J30" s="112">
        <f aca="true" t="shared" si="2" ref="J30:J35">F30*G30</f>
        <v>0</v>
      </c>
      <c r="K30" s="112">
        <v>2.39875</v>
      </c>
      <c r="L30" s="112">
        <f aca="true" t="shared" si="3" ref="L30:L35">F30*K30</f>
        <v>121.70657812500001</v>
      </c>
      <c r="M30" s="114"/>
      <c r="P30" s="115">
        <f aca="true" t="shared" si="4" ref="P30:P35">IF(AG30="5",J30,0)</f>
        <v>0</v>
      </c>
      <c r="R30" s="115">
        <f aca="true" t="shared" si="5" ref="R30:R35">IF(AG30="1",H30,0)</f>
        <v>0</v>
      </c>
      <c r="S30" s="115">
        <f aca="true" t="shared" si="6" ref="S30:S35">IF(AG30="1",I30,0)</f>
        <v>0</v>
      </c>
      <c r="T30" s="115">
        <f aca="true" t="shared" si="7" ref="T30:T35">IF(AG30="7",H30,0)</f>
        <v>0</v>
      </c>
      <c r="U30" s="115">
        <f aca="true" t="shared" si="8" ref="U30:U35">IF(AG30="7",I30,0)</f>
        <v>0</v>
      </c>
      <c r="V30" s="115">
        <f aca="true" t="shared" si="9" ref="V30:V35">IF(AG30="2",H30,0)</f>
        <v>0</v>
      </c>
      <c r="W30" s="115">
        <f aca="true" t="shared" si="10" ref="W30:W35">IF(AG30="2",I30,0)</f>
        <v>0</v>
      </c>
      <c r="X30" s="115">
        <f aca="true" t="shared" si="11" ref="X30:X35">IF(AG30="0",J30,0)</f>
        <v>0</v>
      </c>
      <c r="Y30" s="107"/>
      <c r="Z30" s="112">
        <f aca="true" t="shared" si="12" ref="Z30:Z35">IF(AD30=0,J30,0)</f>
        <v>0</v>
      </c>
      <c r="AA30" s="112">
        <f aca="true" t="shared" si="13" ref="AA30:AA35">IF(AD30=15,J30,0)</f>
        <v>0</v>
      </c>
      <c r="AB30" s="112">
        <f aca="true" t="shared" si="14" ref="AB30:AB35">IF(AD30=21,J30,0)</f>
        <v>0</v>
      </c>
      <c r="AD30" s="115">
        <v>21</v>
      </c>
      <c r="AE30" s="115">
        <f>G30*0.92843063583815</f>
        <v>0</v>
      </c>
      <c r="AF30" s="115">
        <f>G30*(1-0.92843063583815)</f>
        <v>0</v>
      </c>
      <c r="AG30" s="114" t="s">
        <v>6</v>
      </c>
      <c r="AM30" s="115">
        <f aca="true" t="shared" si="15" ref="AM30:AM35">F30*AE30</f>
        <v>0</v>
      </c>
      <c r="AN30" s="115">
        <f aca="true" t="shared" si="16" ref="AN30:AN35">F30*AF30</f>
        <v>0</v>
      </c>
      <c r="AO30" s="116" t="s">
        <v>170</v>
      </c>
      <c r="AP30" s="116" t="s">
        <v>179</v>
      </c>
      <c r="AQ30" s="107" t="s">
        <v>184</v>
      </c>
      <c r="AS30" s="115">
        <f aca="true" t="shared" si="17" ref="AS30:AS35">AM30+AN30</f>
        <v>0</v>
      </c>
      <c r="AT30" s="115">
        <f aca="true" t="shared" si="18" ref="AT30:AT35">G30/(100-AU30)*100</f>
        <v>0</v>
      </c>
      <c r="AU30" s="115">
        <v>0</v>
      </c>
      <c r="AV30" s="115">
        <f aca="true" t="shared" si="19" ref="AV30:AV35">L30</f>
        <v>121.70657812500001</v>
      </c>
    </row>
    <row r="31" spans="1:48" ht="26.25">
      <c r="A31" s="4" t="s">
        <v>19</v>
      </c>
      <c r="B31" s="4"/>
      <c r="C31" s="4" t="s">
        <v>54</v>
      </c>
      <c r="D31" s="47" t="s">
        <v>103</v>
      </c>
      <c r="E31" s="4" t="s">
        <v>136</v>
      </c>
      <c r="F31" s="18">
        <v>1.9926</v>
      </c>
      <c r="G31" s="113">
        <v>0</v>
      </c>
      <c r="H31" s="112">
        <f t="shared" si="0"/>
        <v>0</v>
      </c>
      <c r="I31" s="112">
        <f t="shared" si="1"/>
        <v>0</v>
      </c>
      <c r="J31" s="112">
        <f t="shared" si="2"/>
        <v>0</v>
      </c>
      <c r="K31" s="112">
        <v>1.05474</v>
      </c>
      <c r="L31" s="112">
        <f t="shared" si="3"/>
        <v>2.101674924</v>
      </c>
      <c r="M31" s="114"/>
      <c r="P31" s="115">
        <f t="shared" si="4"/>
        <v>0</v>
      </c>
      <c r="R31" s="115">
        <f t="shared" si="5"/>
        <v>0</v>
      </c>
      <c r="S31" s="115">
        <f t="shared" si="6"/>
        <v>0</v>
      </c>
      <c r="T31" s="115">
        <f t="shared" si="7"/>
        <v>0</v>
      </c>
      <c r="U31" s="115">
        <f t="shared" si="8"/>
        <v>0</v>
      </c>
      <c r="V31" s="115">
        <f t="shared" si="9"/>
        <v>0</v>
      </c>
      <c r="W31" s="115">
        <f t="shared" si="10"/>
        <v>0</v>
      </c>
      <c r="X31" s="115">
        <f t="shared" si="11"/>
        <v>0</v>
      </c>
      <c r="Y31" s="107"/>
      <c r="Z31" s="112">
        <f t="shared" si="12"/>
        <v>0</v>
      </c>
      <c r="AA31" s="112">
        <f t="shared" si="13"/>
        <v>0</v>
      </c>
      <c r="AB31" s="112">
        <f t="shared" si="14"/>
        <v>0</v>
      </c>
      <c r="AD31" s="115">
        <v>21</v>
      </c>
      <c r="AE31" s="115">
        <f>G31*0.800584241854795</f>
        <v>0</v>
      </c>
      <c r="AF31" s="115">
        <f>G31*(1-0.800584241854795)</f>
        <v>0</v>
      </c>
      <c r="AG31" s="114" t="s">
        <v>6</v>
      </c>
      <c r="AM31" s="115">
        <f t="shared" si="15"/>
        <v>0</v>
      </c>
      <c r="AN31" s="115">
        <f t="shared" si="16"/>
        <v>0</v>
      </c>
      <c r="AO31" s="116" t="s">
        <v>170</v>
      </c>
      <c r="AP31" s="116" t="s">
        <v>179</v>
      </c>
      <c r="AQ31" s="107" t="s">
        <v>184</v>
      </c>
      <c r="AS31" s="115">
        <f t="shared" si="17"/>
        <v>0</v>
      </c>
      <c r="AT31" s="115">
        <f t="shared" si="18"/>
        <v>0</v>
      </c>
      <c r="AU31" s="115">
        <v>0</v>
      </c>
      <c r="AV31" s="115">
        <f t="shared" si="19"/>
        <v>2.101674924</v>
      </c>
    </row>
    <row r="32" spans="1:48" ht="26.25">
      <c r="A32" s="4" t="s">
        <v>20</v>
      </c>
      <c r="B32" s="4"/>
      <c r="C32" s="4" t="s">
        <v>54</v>
      </c>
      <c r="D32" s="47" t="s">
        <v>104</v>
      </c>
      <c r="E32" s="4" t="s">
        <v>136</v>
      </c>
      <c r="F32" s="18">
        <v>0.60912</v>
      </c>
      <c r="G32" s="113">
        <v>0</v>
      </c>
      <c r="H32" s="112">
        <f t="shared" si="0"/>
        <v>0</v>
      </c>
      <c r="I32" s="112">
        <f t="shared" si="1"/>
        <v>0</v>
      </c>
      <c r="J32" s="112">
        <f t="shared" si="2"/>
        <v>0</v>
      </c>
      <c r="K32" s="112">
        <v>1.05474</v>
      </c>
      <c r="L32" s="112">
        <f t="shared" si="3"/>
        <v>0.6424632288</v>
      </c>
      <c r="M32" s="114"/>
      <c r="P32" s="115">
        <f t="shared" si="4"/>
        <v>0</v>
      </c>
      <c r="R32" s="115">
        <f t="shared" si="5"/>
        <v>0</v>
      </c>
      <c r="S32" s="115">
        <f t="shared" si="6"/>
        <v>0</v>
      </c>
      <c r="T32" s="115">
        <f t="shared" si="7"/>
        <v>0</v>
      </c>
      <c r="U32" s="115">
        <f t="shared" si="8"/>
        <v>0</v>
      </c>
      <c r="V32" s="115">
        <f t="shared" si="9"/>
        <v>0</v>
      </c>
      <c r="W32" s="115">
        <f t="shared" si="10"/>
        <v>0</v>
      </c>
      <c r="X32" s="115">
        <f t="shared" si="11"/>
        <v>0</v>
      </c>
      <c r="Y32" s="107"/>
      <c r="Z32" s="112">
        <f t="shared" si="12"/>
        <v>0</v>
      </c>
      <c r="AA32" s="112">
        <f t="shared" si="13"/>
        <v>0</v>
      </c>
      <c r="AB32" s="112">
        <f t="shared" si="14"/>
        <v>0</v>
      </c>
      <c r="AD32" s="115">
        <v>21</v>
      </c>
      <c r="AE32" s="115">
        <f>G32*0.800584216299894</f>
        <v>0</v>
      </c>
      <c r="AF32" s="115">
        <f>G32*(1-0.800584216299894)</f>
        <v>0</v>
      </c>
      <c r="AG32" s="114" t="s">
        <v>6</v>
      </c>
      <c r="AM32" s="115">
        <f t="shared" si="15"/>
        <v>0</v>
      </c>
      <c r="AN32" s="115">
        <f t="shared" si="16"/>
        <v>0</v>
      </c>
      <c r="AO32" s="116" t="s">
        <v>170</v>
      </c>
      <c r="AP32" s="116" t="s">
        <v>179</v>
      </c>
      <c r="AQ32" s="107" t="s">
        <v>184</v>
      </c>
      <c r="AS32" s="115">
        <f t="shared" si="17"/>
        <v>0</v>
      </c>
      <c r="AT32" s="115">
        <f t="shared" si="18"/>
        <v>0</v>
      </c>
      <c r="AU32" s="115">
        <v>0</v>
      </c>
      <c r="AV32" s="115">
        <f t="shared" si="19"/>
        <v>0.6424632288</v>
      </c>
    </row>
    <row r="33" spans="1:48" ht="12.75">
      <c r="A33" s="4" t="s">
        <v>21</v>
      </c>
      <c r="B33" s="4"/>
      <c r="C33" s="4" t="s">
        <v>55</v>
      </c>
      <c r="D33" s="47" t="s">
        <v>105</v>
      </c>
      <c r="E33" s="4" t="s">
        <v>137</v>
      </c>
      <c r="F33" s="18">
        <v>9</v>
      </c>
      <c r="G33" s="113">
        <v>0</v>
      </c>
      <c r="H33" s="112">
        <f t="shared" si="0"/>
        <v>0</v>
      </c>
      <c r="I33" s="112">
        <f t="shared" si="1"/>
        <v>0</v>
      </c>
      <c r="J33" s="112">
        <f t="shared" si="2"/>
        <v>0</v>
      </c>
      <c r="K33" s="112">
        <v>0.025</v>
      </c>
      <c r="L33" s="112">
        <f t="shared" si="3"/>
        <v>0.225</v>
      </c>
      <c r="M33" s="114"/>
      <c r="P33" s="115">
        <f t="shared" si="4"/>
        <v>0</v>
      </c>
      <c r="R33" s="115">
        <f t="shared" si="5"/>
        <v>0</v>
      </c>
      <c r="S33" s="115">
        <f t="shared" si="6"/>
        <v>0</v>
      </c>
      <c r="T33" s="115">
        <f t="shared" si="7"/>
        <v>0</v>
      </c>
      <c r="U33" s="115">
        <f t="shared" si="8"/>
        <v>0</v>
      </c>
      <c r="V33" s="115">
        <f t="shared" si="9"/>
        <v>0</v>
      </c>
      <c r="W33" s="115">
        <f t="shared" si="10"/>
        <v>0</v>
      </c>
      <c r="X33" s="115">
        <f t="shared" si="11"/>
        <v>0</v>
      </c>
      <c r="Y33" s="107"/>
      <c r="Z33" s="112">
        <f t="shared" si="12"/>
        <v>0</v>
      </c>
      <c r="AA33" s="112">
        <f t="shared" si="13"/>
        <v>0</v>
      </c>
      <c r="AB33" s="112">
        <f t="shared" si="14"/>
        <v>0</v>
      </c>
      <c r="AD33" s="115">
        <v>21</v>
      </c>
      <c r="AE33" s="115">
        <f>G33*0.756756756756757</f>
        <v>0</v>
      </c>
      <c r="AF33" s="115">
        <f>G33*(1-0.756756756756757)</f>
        <v>0</v>
      </c>
      <c r="AG33" s="114" t="s">
        <v>6</v>
      </c>
      <c r="AM33" s="115">
        <f t="shared" si="15"/>
        <v>0</v>
      </c>
      <c r="AN33" s="115">
        <f t="shared" si="16"/>
        <v>0</v>
      </c>
      <c r="AO33" s="116" t="s">
        <v>170</v>
      </c>
      <c r="AP33" s="116" t="s">
        <v>179</v>
      </c>
      <c r="AQ33" s="107" t="s">
        <v>184</v>
      </c>
      <c r="AS33" s="115">
        <f t="shared" si="17"/>
        <v>0</v>
      </c>
      <c r="AT33" s="115">
        <f t="shared" si="18"/>
        <v>0</v>
      </c>
      <c r="AU33" s="115">
        <v>0</v>
      </c>
      <c r="AV33" s="115">
        <f t="shared" si="19"/>
        <v>0.225</v>
      </c>
    </row>
    <row r="34" spans="1:48" ht="12.75">
      <c r="A34" s="4" t="s">
        <v>22</v>
      </c>
      <c r="B34" s="4"/>
      <c r="C34" s="4" t="s">
        <v>56</v>
      </c>
      <c r="D34" s="47" t="s">
        <v>106</v>
      </c>
      <c r="E34" s="4" t="s">
        <v>137</v>
      </c>
      <c r="F34" s="18">
        <v>11</v>
      </c>
      <c r="G34" s="113">
        <v>0</v>
      </c>
      <c r="H34" s="112">
        <f t="shared" si="0"/>
        <v>0</v>
      </c>
      <c r="I34" s="112">
        <f t="shared" si="1"/>
        <v>0</v>
      </c>
      <c r="J34" s="112">
        <f t="shared" si="2"/>
        <v>0</v>
      </c>
      <c r="K34" s="112">
        <v>0.025</v>
      </c>
      <c r="L34" s="112">
        <f t="shared" si="3"/>
        <v>0.275</v>
      </c>
      <c r="M34" s="114"/>
      <c r="P34" s="115">
        <f t="shared" si="4"/>
        <v>0</v>
      </c>
      <c r="R34" s="115">
        <f t="shared" si="5"/>
        <v>0</v>
      </c>
      <c r="S34" s="115">
        <f t="shared" si="6"/>
        <v>0</v>
      </c>
      <c r="T34" s="115">
        <f t="shared" si="7"/>
        <v>0</v>
      </c>
      <c r="U34" s="115">
        <f t="shared" si="8"/>
        <v>0</v>
      </c>
      <c r="V34" s="115">
        <f t="shared" si="9"/>
        <v>0</v>
      </c>
      <c r="W34" s="115">
        <f t="shared" si="10"/>
        <v>0</v>
      </c>
      <c r="X34" s="115">
        <f t="shared" si="11"/>
        <v>0</v>
      </c>
      <c r="Y34" s="107"/>
      <c r="Z34" s="112">
        <f t="shared" si="12"/>
        <v>0</v>
      </c>
      <c r="AA34" s="112">
        <f t="shared" si="13"/>
        <v>0</v>
      </c>
      <c r="AB34" s="112">
        <f t="shared" si="14"/>
        <v>0</v>
      </c>
      <c r="AD34" s="115">
        <v>21</v>
      </c>
      <c r="AE34" s="115">
        <f>G34*0.734265734265734</f>
        <v>0</v>
      </c>
      <c r="AF34" s="115">
        <f>G34*(1-0.734265734265734)</f>
        <v>0</v>
      </c>
      <c r="AG34" s="114" t="s">
        <v>6</v>
      </c>
      <c r="AM34" s="115">
        <f t="shared" si="15"/>
        <v>0</v>
      </c>
      <c r="AN34" s="115">
        <f t="shared" si="16"/>
        <v>0</v>
      </c>
      <c r="AO34" s="116" t="s">
        <v>170</v>
      </c>
      <c r="AP34" s="116" t="s">
        <v>179</v>
      </c>
      <c r="AQ34" s="107" t="s">
        <v>184</v>
      </c>
      <c r="AS34" s="115">
        <f t="shared" si="17"/>
        <v>0</v>
      </c>
      <c r="AT34" s="115">
        <f t="shared" si="18"/>
        <v>0</v>
      </c>
      <c r="AU34" s="115">
        <v>0</v>
      </c>
      <c r="AV34" s="115">
        <f t="shared" si="19"/>
        <v>0.275</v>
      </c>
    </row>
    <row r="35" spans="1:48" ht="12.75">
      <c r="A35" s="4" t="s">
        <v>23</v>
      </c>
      <c r="B35" s="4"/>
      <c r="C35" s="4" t="s">
        <v>57</v>
      </c>
      <c r="D35" s="47" t="s">
        <v>107</v>
      </c>
      <c r="E35" s="4" t="s">
        <v>138</v>
      </c>
      <c r="F35" s="18">
        <v>16</v>
      </c>
      <c r="G35" s="113">
        <v>0</v>
      </c>
      <c r="H35" s="112">
        <f t="shared" si="0"/>
        <v>0</v>
      </c>
      <c r="I35" s="112">
        <f t="shared" si="1"/>
        <v>0</v>
      </c>
      <c r="J35" s="112">
        <f t="shared" si="2"/>
        <v>0</v>
      </c>
      <c r="K35" s="112">
        <v>0.03</v>
      </c>
      <c r="L35" s="112">
        <f t="shared" si="3"/>
        <v>0.48</v>
      </c>
      <c r="M35" s="114"/>
      <c r="P35" s="115">
        <f t="shared" si="4"/>
        <v>0</v>
      </c>
      <c r="R35" s="115">
        <f t="shared" si="5"/>
        <v>0</v>
      </c>
      <c r="S35" s="115">
        <f t="shared" si="6"/>
        <v>0</v>
      </c>
      <c r="T35" s="115">
        <f t="shared" si="7"/>
        <v>0</v>
      </c>
      <c r="U35" s="115">
        <f t="shared" si="8"/>
        <v>0</v>
      </c>
      <c r="V35" s="115">
        <f t="shared" si="9"/>
        <v>0</v>
      </c>
      <c r="W35" s="115">
        <f t="shared" si="10"/>
        <v>0</v>
      </c>
      <c r="X35" s="115">
        <f t="shared" si="11"/>
        <v>0</v>
      </c>
      <c r="Y35" s="107"/>
      <c r="Z35" s="112">
        <f t="shared" si="12"/>
        <v>0</v>
      </c>
      <c r="AA35" s="112">
        <f t="shared" si="13"/>
        <v>0</v>
      </c>
      <c r="AB35" s="112">
        <f t="shared" si="14"/>
        <v>0</v>
      </c>
      <c r="AD35" s="115">
        <v>21</v>
      </c>
      <c r="AE35" s="115">
        <f>G35*0.771784232365145</f>
        <v>0</v>
      </c>
      <c r="AF35" s="115">
        <f>G35*(1-0.771784232365145)</f>
        <v>0</v>
      </c>
      <c r="AG35" s="114" t="s">
        <v>6</v>
      </c>
      <c r="AM35" s="115">
        <f t="shared" si="15"/>
        <v>0</v>
      </c>
      <c r="AN35" s="115">
        <f t="shared" si="16"/>
        <v>0</v>
      </c>
      <c r="AO35" s="116" t="s">
        <v>170</v>
      </c>
      <c r="AP35" s="116" t="s">
        <v>179</v>
      </c>
      <c r="AQ35" s="107" t="s">
        <v>184</v>
      </c>
      <c r="AS35" s="115">
        <f t="shared" si="17"/>
        <v>0</v>
      </c>
      <c r="AT35" s="115">
        <f t="shared" si="18"/>
        <v>0</v>
      </c>
      <c r="AU35" s="115">
        <v>0</v>
      </c>
      <c r="AV35" s="115">
        <f t="shared" si="19"/>
        <v>0.48</v>
      </c>
    </row>
    <row r="36" spans="1:37" ht="12.75">
      <c r="A36" s="5"/>
      <c r="B36" s="13"/>
      <c r="C36" s="13" t="s">
        <v>58</v>
      </c>
      <c r="D36" s="13" t="s">
        <v>108</v>
      </c>
      <c r="E36" s="5" t="s">
        <v>5</v>
      </c>
      <c r="F36" s="5" t="s">
        <v>5</v>
      </c>
      <c r="G36" s="117" t="s">
        <v>5</v>
      </c>
      <c r="H36" s="111">
        <f>SUM(H37:H38)</f>
        <v>0</v>
      </c>
      <c r="I36" s="111">
        <f>SUM(I37:I38)</f>
        <v>0</v>
      </c>
      <c r="J36" s="111">
        <f>H36+I36</f>
        <v>0</v>
      </c>
      <c r="K36" s="107"/>
      <c r="L36" s="111">
        <f>SUM(L37:L38)</f>
        <v>0.46494</v>
      </c>
      <c r="M36" s="107"/>
      <c r="Y36" s="107"/>
      <c r="AI36" s="111">
        <f>SUM(Z37:Z38)</f>
        <v>0</v>
      </c>
      <c r="AJ36" s="111">
        <f>SUM(AA37:AA38)</f>
        <v>0</v>
      </c>
      <c r="AK36" s="111">
        <f>SUM(AB37:AB38)</f>
        <v>0</v>
      </c>
    </row>
    <row r="37" spans="1:48" ht="12.75">
      <c r="A37" s="4" t="s">
        <v>24</v>
      </c>
      <c r="B37" s="4"/>
      <c r="C37" s="4" t="s">
        <v>59</v>
      </c>
      <c r="D37" s="47" t="s">
        <v>109</v>
      </c>
      <c r="E37" s="4" t="s">
        <v>135</v>
      </c>
      <c r="F37" s="18">
        <v>322.875</v>
      </c>
      <c r="G37" s="113">
        <v>0</v>
      </c>
      <c r="H37" s="112">
        <f>F37*AE37</f>
        <v>0</v>
      </c>
      <c r="I37" s="112">
        <f>J37-H37</f>
        <v>0</v>
      </c>
      <c r="J37" s="112">
        <f>F37*G37</f>
        <v>0</v>
      </c>
      <c r="K37" s="112">
        <v>0.00144</v>
      </c>
      <c r="L37" s="112">
        <f>F37*K37</f>
        <v>0.46494</v>
      </c>
      <c r="M37" s="114"/>
      <c r="P37" s="115">
        <f>IF(AG37="5",J37,0)</f>
        <v>0</v>
      </c>
      <c r="R37" s="115">
        <f>IF(AG37="1",H37,0)</f>
        <v>0</v>
      </c>
      <c r="S37" s="115">
        <f>IF(AG37="1",I37,0)</f>
        <v>0</v>
      </c>
      <c r="T37" s="115">
        <f>IF(AG37="7",H37,0)</f>
        <v>0</v>
      </c>
      <c r="U37" s="115">
        <f>IF(AG37="7",I37,0)</f>
        <v>0</v>
      </c>
      <c r="V37" s="115">
        <f>IF(AG37="2",H37,0)</f>
        <v>0</v>
      </c>
      <c r="W37" s="115">
        <f>IF(AG37="2",I37,0)</f>
        <v>0</v>
      </c>
      <c r="X37" s="115">
        <f>IF(AG37="0",J37,0)</f>
        <v>0</v>
      </c>
      <c r="Y37" s="107"/>
      <c r="Z37" s="112">
        <f>IF(AD37=0,J37,0)</f>
        <v>0</v>
      </c>
      <c r="AA37" s="112">
        <f>IF(AD37=15,J37,0)</f>
        <v>0</v>
      </c>
      <c r="AB37" s="112">
        <f>IF(AD37=21,J37,0)</f>
        <v>0</v>
      </c>
      <c r="AD37" s="115">
        <v>21</v>
      </c>
      <c r="AE37" s="115">
        <f>G37*0.492068653695165</f>
        <v>0</v>
      </c>
      <c r="AF37" s="115">
        <f>G37*(1-0.492068653695165)</f>
        <v>0</v>
      </c>
      <c r="AG37" s="114" t="s">
        <v>12</v>
      </c>
      <c r="AM37" s="115">
        <f>F37*AE37</f>
        <v>0</v>
      </c>
      <c r="AN37" s="115">
        <f>F37*AF37</f>
        <v>0</v>
      </c>
      <c r="AO37" s="116" t="s">
        <v>171</v>
      </c>
      <c r="AP37" s="116" t="s">
        <v>180</v>
      </c>
      <c r="AQ37" s="107" t="s">
        <v>184</v>
      </c>
      <c r="AS37" s="115">
        <f>AM37+AN37</f>
        <v>0</v>
      </c>
      <c r="AT37" s="115">
        <f>G37/(100-AU37)*100</f>
        <v>0</v>
      </c>
      <c r="AU37" s="115">
        <v>0</v>
      </c>
      <c r="AV37" s="115">
        <f>L37</f>
        <v>0.46494</v>
      </c>
    </row>
    <row r="38" spans="1:48" ht="12.75">
      <c r="A38" s="4" t="s">
        <v>25</v>
      </c>
      <c r="B38" s="4"/>
      <c r="C38" s="4" t="s">
        <v>60</v>
      </c>
      <c r="D38" s="47" t="s">
        <v>110</v>
      </c>
      <c r="E38" s="4" t="s">
        <v>136</v>
      </c>
      <c r="F38" s="18">
        <v>0.46494</v>
      </c>
      <c r="G38" s="113">
        <v>0</v>
      </c>
      <c r="H38" s="112">
        <f>F38*AE38</f>
        <v>0</v>
      </c>
      <c r="I38" s="112">
        <f>J38-H38</f>
        <v>0</v>
      </c>
      <c r="J38" s="112">
        <f>F38*G38</f>
        <v>0</v>
      </c>
      <c r="K38" s="112">
        <v>0</v>
      </c>
      <c r="L38" s="112">
        <f>F38*K38</f>
        <v>0</v>
      </c>
      <c r="M38" s="114"/>
      <c r="P38" s="115">
        <f>IF(AG38="5",J38,0)</f>
        <v>0</v>
      </c>
      <c r="R38" s="115">
        <f>IF(AG38="1",H38,0)</f>
        <v>0</v>
      </c>
      <c r="S38" s="115">
        <f>IF(AG38="1",I38,0)</f>
        <v>0</v>
      </c>
      <c r="T38" s="115">
        <f>IF(AG38="7",H38,0)</f>
        <v>0</v>
      </c>
      <c r="U38" s="115">
        <f>IF(AG38="7",I38,0)</f>
        <v>0</v>
      </c>
      <c r="V38" s="115">
        <f>IF(AG38="2",H38,0)</f>
        <v>0</v>
      </c>
      <c r="W38" s="115">
        <f>IF(AG38="2",I38,0)</f>
        <v>0</v>
      </c>
      <c r="X38" s="115">
        <f>IF(AG38="0",J38,0)</f>
        <v>0</v>
      </c>
      <c r="Y38" s="107"/>
      <c r="Z38" s="112">
        <f>IF(AD38=0,J38,0)</f>
        <v>0</v>
      </c>
      <c r="AA38" s="112">
        <f>IF(AD38=15,J38,0)</f>
        <v>0</v>
      </c>
      <c r="AB38" s="112">
        <f>IF(AD38=21,J38,0)</f>
        <v>0</v>
      </c>
      <c r="AD38" s="115">
        <v>21</v>
      </c>
      <c r="AE38" s="115">
        <f>G38*0</f>
        <v>0</v>
      </c>
      <c r="AF38" s="115">
        <f>G38*(1-0)</f>
        <v>0</v>
      </c>
      <c r="AG38" s="114" t="s">
        <v>10</v>
      </c>
      <c r="AM38" s="115">
        <f>F38*AE38</f>
        <v>0</v>
      </c>
      <c r="AN38" s="115">
        <f>F38*AF38</f>
        <v>0</v>
      </c>
      <c r="AO38" s="116" t="s">
        <v>171</v>
      </c>
      <c r="AP38" s="116" t="s">
        <v>180</v>
      </c>
      <c r="AQ38" s="107" t="s">
        <v>184</v>
      </c>
      <c r="AS38" s="115">
        <f>AM38+AN38</f>
        <v>0</v>
      </c>
      <c r="AT38" s="115">
        <f>G38/(100-AU38)*100</f>
        <v>0</v>
      </c>
      <c r="AU38" s="115">
        <v>0</v>
      </c>
      <c r="AV38" s="115">
        <f>L38</f>
        <v>0</v>
      </c>
    </row>
    <row r="39" spans="1:37" ht="12.75">
      <c r="A39" s="5"/>
      <c r="B39" s="13"/>
      <c r="C39" s="13" t="s">
        <v>61</v>
      </c>
      <c r="D39" s="13" t="s">
        <v>111</v>
      </c>
      <c r="E39" s="5" t="s">
        <v>5</v>
      </c>
      <c r="F39" s="5" t="s">
        <v>5</v>
      </c>
      <c r="G39" s="117" t="s">
        <v>5</v>
      </c>
      <c r="H39" s="111">
        <f>SUM(H40:H41)</f>
        <v>0</v>
      </c>
      <c r="I39" s="111">
        <f>SUM(I40:I41)</f>
        <v>0</v>
      </c>
      <c r="J39" s="111">
        <f>H39+I39</f>
        <v>0</v>
      </c>
      <c r="K39" s="107"/>
      <c r="L39" s="111">
        <f>SUM(L40:L41)</f>
        <v>0.078</v>
      </c>
      <c r="M39" s="107"/>
      <c r="Y39" s="107"/>
      <c r="AI39" s="111">
        <f>SUM(Z40:Z41)</f>
        <v>0</v>
      </c>
      <c r="AJ39" s="111">
        <f>SUM(AA40:AA41)</f>
        <v>0</v>
      </c>
      <c r="AK39" s="111">
        <f>SUM(AB40:AB41)</f>
        <v>0</v>
      </c>
    </row>
    <row r="40" spans="1:48" ht="12.75">
      <c r="A40" s="4" t="s">
        <v>26</v>
      </c>
      <c r="B40" s="4"/>
      <c r="C40" s="4" t="s">
        <v>62</v>
      </c>
      <c r="D40" s="47" t="s">
        <v>112</v>
      </c>
      <c r="E40" s="4" t="s">
        <v>138</v>
      </c>
      <c r="F40" s="18">
        <v>13</v>
      </c>
      <c r="G40" s="113">
        <v>0</v>
      </c>
      <c r="H40" s="112">
        <f>F40*AE40</f>
        <v>0</v>
      </c>
      <c r="I40" s="112">
        <f>J40-H40</f>
        <v>0</v>
      </c>
      <c r="J40" s="112">
        <f>F40*G40</f>
        <v>0</v>
      </c>
      <c r="K40" s="112">
        <v>0.006</v>
      </c>
      <c r="L40" s="112">
        <f>F40*K40</f>
        <v>0.078</v>
      </c>
      <c r="M40" s="114"/>
      <c r="P40" s="115">
        <f>IF(AG40="5",J40,0)</f>
        <v>0</v>
      </c>
      <c r="R40" s="115">
        <f>IF(AG40="1",H40,0)</f>
        <v>0</v>
      </c>
      <c r="S40" s="115">
        <f>IF(AG40="1",I40,0)</f>
        <v>0</v>
      </c>
      <c r="T40" s="115">
        <f>IF(AG40="7",H40,0)</f>
        <v>0</v>
      </c>
      <c r="U40" s="115">
        <f>IF(AG40="7",I40,0)</f>
        <v>0</v>
      </c>
      <c r="V40" s="115">
        <f>IF(AG40="2",H40,0)</f>
        <v>0</v>
      </c>
      <c r="W40" s="115">
        <f>IF(AG40="2",I40,0)</f>
        <v>0</v>
      </c>
      <c r="X40" s="115">
        <f>IF(AG40="0",J40,0)</f>
        <v>0</v>
      </c>
      <c r="Y40" s="107"/>
      <c r="Z40" s="112">
        <f>IF(AD40=0,J40,0)</f>
        <v>0</v>
      </c>
      <c r="AA40" s="112">
        <f>IF(AD40=15,J40,0)</f>
        <v>0</v>
      </c>
      <c r="AB40" s="112">
        <f>IF(AD40=21,J40,0)</f>
        <v>0</v>
      </c>
      <c r="AD40" s="115">
        <v>21</v>
      </c>
      <c r="AE40" s="115">
        <f>G40*0.783855428555141</f>
        <v>0</v>
      </c>
      <c r="AF40" s="115">
        <f>G40*(1-0.783855428555141)</f>
        <v>0</v>
      </c>
      <c r="AG40" s="114" t="s">
        <v>12</v>
      </c>
      <c r="AM40" s="115">
        <f>F40*AE40</f>
        <v>0</v>
      </c>
      <c r="AN40" s="115">
        <f>F40*AF40</f>
        <v>0</v>
      </c>
      <c r="AO40" s="116" t="s">
        <v>172</v>
      </c>
      <c r="AP40" s="116" t="s">
        <v>181</v>
      </c>
      <c r="AQ40" s="107" t="s">
        <v>184</v>
      </c>
      <c r="AS40" s="115">
        <f>AM40+AN40</f>
        <v>0</v>
      </c>
      <c r="AT40" s="115">
        <f>G40/(100-AU40)*100</f>
        <v>0</v>
      </c>
      <c r="AU40" s="115">
        <v>0</v>
      </c>
      <c r="AV40" s="115">
        <f>L40</f>
        <v>0.078</v>
      </c>
    </row>
    <row r="41" spans="1:48" ht="12.75">
      <c r="A41" s="4" t="s">
        <v>27</v>
      </c>
      <c r="B41" s="4"/>
      <c r="C41" s="4" t="s">
        <v>63</v>
      </c>
      <c r="D41" s="47" t="s">
        <v>113</v>
      </c>
      <c r="E41" s="4" t="s">
        <v>136</v>
      </c>
      <c r="F41" s="18">
        <v>0.078</v>
      </c>
      <c r="G41" s="113">
        <v>0</v>
      </c>
      <c r="H41" s="112">
        <f>F41*AE41</f>
        <v>0</v>
      </c>
      <c r="I41" s="112">
        <f>J41-H41</f>
        <v>0</v>
      </c>
      <c r="J41" s="112">
        <f>F41*G41</f>
        <v>0</v>
      </c>
      <c r="K41" s="112">
        <v>0</v>
      </c>
      <c r="L41" s="112">
        <f>F41*K41</f>
        <v>0</v>
      </c>
      <c r="M41" s="114"/>
      <c r="P41" s="115">
        <f>IF(AG41="5",J41,0)</f>
        <v>0</v>
      </c>
      <c r="R41" s="115">
        <f>IF(AG41="1",H41,0)</f>
        <v>0</v>
      </c>
      <c r="S41" s="115">
        <f>IF(AG41="1",I41,0)</f>
        <v>0</v>
      </c>
      <c r="T41" s="115">
        <f>IF(AG41="7",H41,0)</f>
        <v>0</v>
      </c>
      <c r="U41" s="115">
        <f>IF(AG41="7",I41,0)</f>
        <v>0</v>
      </c>
      <c r="V41" s="115">
        <f>IF(AG41="2",H41,0)</f>
        <v>0</v>
      </c>
      <c r="W41" s="115">
        <f>IF(AG41="2",I41,0)</f>
        <v>0</v>
      </c>
      <c r="X41" s="115">
        <f>IF(AG41="0",J41,0)</f>
        <v>0</v>
      </c>
      <c r="Y41" s="107"/>
      <c r="Z41" s="112">
        <f>IF(AD41=0,J41,0)</f>
        <v>0</v>
      </c>
      <c r="AA41" s="112">
        <f>IF(AD41=15,J41,0)</f>
        <v>0</v>
      </c>
      <c r="AB41" s="112">
        <f>IF(AD41=21,J41,0)</f>
        <v>0</v>
      </c>
      <c r="AD41" s="115">
        <v>21</v>
      </c>
      <c r="AE41" s="115">
        <f>G41*0</f>
        <v>0</v>
      </c>
      <c r="AF41" s="115">
        <f>G41*(1-0)</f>
        <v>0</v>
      </c>
      <c r="AG41" s="114" t="s">
        <v>10</v>
      </c>
      <c r="AM41" s="115">
        <f>F41*AE41</f>
        <v>0</v>
      </c>
      <c r="AN41" s="115">
        <f>F41*AF41</f>
        <v>0</v>
      </c>
      <c r="AO41" s="116" t="s">
        <v>172</v>
      </c>
      <c r="AP41" s="116" t="s">
        <v>181</v>
      </c>
      <c r="AQ41" s="107" t="s">
        <v>184</v>
      </c>
      <c r="AS41" s="115">
        <f>AM41+AN41</f>
        <v>0</v>
      </c>
      <c r="AT41" s="115">
        <f>G41/(100-AU41)*100</f>
        <v>0</v>
      </c>
      <c r="AU41" s="115">
        <v>0</v>
      </c>
      <c r="AV41" s="115">
        <f>L41</f>
        <v>0</v>
      </c>
    </row>
    <row r="42" spans="1:37" ht="12.75">
      <c r="A42" s="5"/>
      <c r="B42" s="13"/>
      <c r="C42" s="13" t="s">
        <v>64</v>
      </c>
      <c r="D42" s="13" t="s">
        <v>114</v>
      </c>
      <c r="E42" s="5" t="s">
        <v>5</v>
      </c>
      <c r="F42" s="5" t="s">
        <v>5</v>
      </c>
      <c r="G42" s="117" t="s">
        <v>5</v>
      </c>
      <c r="H42" s="111">
        <f>SUM(H43:H43)</f>
        <v>0</v>
      </c>
      <c r="I42" s="111">
        <f>SUM(I43:I43)</f>
        <v>0</v>
      </c>
      <c r="J42" s="111">
        <f>H42+I42</f>
        <v>0</v>
      </c>
      <c r="K42" s="107"/>
      <c r="L42" s="111">
        <f>SUM(L43:L43)</f>
        <v>0.0775</v>
      </c>
      <c r="M42" s="107"/>
      <c r="Y42" s="107"/>
      <c r="AI42" s="111">
        <f>SUM(Z43:Z43)</f>
        <v>0</v>
      </c>
      <c r="AJ42" s="111">
        <f>SUM(AA43:AA43)</f>
        <v>0</v>
      </c>
      <c r="AK42" s="111">
        <f>SUM(AB43:AB43)</f>
        <v>0</v>
      </c>
    </row>
    <row r="43" spans="1:48" ht="12.75">
      <c r="A43" s="4" t="s">
        <v>28</v>
      </c>
      <c r="B43" s="4"/>
      <c r="C43" s="4" t="s">
        <v>65</v>
      </c>
      <c r="D43" s="47" t="s">
        <v>115</v>
      </c>
      <c r="E43" s="4" t="s">
        <v>135</v>
      </c>
      <c r="F43" s="18">
        <v>77.5</v>
      </c>
      <c r="G43" s="113">
        <v>0</v>
      </c>
      <c r="H43" s="112">
        <f>F43*AE43</f>
        <v>0</v>
      </c>
      <c r="I43" s="112">
        <f>J43-H43</f>
        <v>0</v>
      </c>
      <c r="J43" s="112">
        <f>F43*G43</f>
        <v>0</v>
      </c>
      <c r="K43" s="112">
        <v>0.001</v>
      </c>
      <c r="L43" s="112">
        <f>F43*K43</f>
        <v>0.0775</v>
      </c>
      <c r="M43" s="114"/>
      <c r="P43" s="115">
        <f>IF(AG43="5",J43,0)</f>
        <v>0</v>
      </c>
      <c r="R43" s="115">
        <f>IF(AG43="1",H43,0)</f>
        <v>0</v>
      </c>
      <c r="S43" s="115">
        <f>IF(AG43="1",I43,0)</f>
        <v>0</v>
      </c>
      <c r="T43" s="115">
        <f>IF(AG43="7",H43,0)</f>
        <v>0</v>
      </c>
      <c r="U43" s="115">
        <f>IF(AG43="7",I43,0)</f>
        <v>0</v>
      </c>
      <c r="V43" s="115">
        <f>IF(AG43="2",H43,0)</f>
        <v>0</v>
      </c>
      <c r="W43" s="115">
        <f>IF(AG43="2",I43,0)</f>
        <v>0</v>
      </c>
      <c r="X43" s="115">
        <f>IF(AG43="0",J43,0)</f>
        <v>0</v>
      </c>
      <c r="Y43" s="107"/>
      <c r="Z43" s="112">
        <f>IF(AD43=0,J43,0)</f>
        <v>0</v>
      </c>
      <c r="AA43" s="112">
        <f>IF(AD43=15,J43,0)</f>
        <v>0</v>
      </c>
      <c r="AB43" s="112">
        <f>IF(AD43=21,J43,0)</f>
        <v>0</v>
      </c>
      <c r="AD43" s="115">
        <v>21</v>
      </c>
      <c r="AE43" s="115">
        <f>G43*0</f>
        <v>0</v>
      </c>
      <c r="AF43" s="115">
        <f>G43*(1-0)</f>
        <v>0</v>
      </c>
      <c r="AG43" s="114" t="s">
        <v>12</v>
      </c>
      <c r="AM43" s="115">
        <f>F43*AE43</f>
        <v>0</v>
      </c>
      <c r="AN43" s="115">
        <f>F43*AF43</f>
        <v>0</v>
      </c>
      <c r="AO43" s="116" t="s">
        <v>173</v>
      </c>
      <c r="AP43" s="116" t="s">
        <v>182</v>
      </c>
      <c r="AQ43" s="107" t="s">
        <v>184</v>
      </c>
      <c r="AS43" s="115">
        <f>AM43+AN43</f>
        <v>0</v>
      </c>
      <c r="AT43" s="115">
        <f>G43/(100-AU43)*100</f>
        <v>0</v>
      </c>
      <c r="AU43" s="115">
        <v>0</v>
      </c>
      <c r="AV43" s="115">
        <f>L43</f>
        <v>0.0775</v>
      </c>
    </row>
    <row r="44" spans="1:37" ht="12.75">
      <c r="A44" s="5"/>
      <c r="B44" s="13"/>
      <c r="C44" s="13" t="s">
        <v>66</v>
      </c>
      <c r="D44" s="13" t="s">
        <v>116</v>
      </c>
      <c r="E44" s="5" t="s">
        <v>5</v>
      </c>
      <c r="F44" s="5" t="s">
        <v>5</v>
      </c>
      <c r="G44" s="117" t="s">
        <v>5</v>
      </c>
      <c r="H44" s="111">
        <f>SUM(H45:H45)</f>
        <v>0</v>
      </c>
      <c r="I44" s="111">
        <f>SUM(I45:I45)</f>
        <v>0</v>
      </c>
      <c r="J44" s="111">
        <f>H44+I44</f>
        <v>0</v>
      </c>
      <c r="K44" s="107"/>
      <c r="L44" s="111">
        <f>SUM(L45:L45)</f>
        <v>2.4231</v>
      </c>
      <c r="M44" s="107"/>
      <c r="Y44" s="107"/>
      <c r="AI44" s="111">
        <f>SUM(Z45:Z45)</f>
        <v>0</v>
      </c>
      <c r="AJ44" s="111">
        <f>SUM(AA45:AA45)</f>
        <v>0</v>
      </c>
      <c r="AK44" s="111">
        <f>SUM(AB45:AB45)</f>
        <v>0</v>
      </c>
    </row>
    <row r="45" spans="1:48" ht="26.25">
      <c r="A45" s="4" t="s">
        <v>29</v>
      </c>
      <c r="B45" s="4"/>
      <c r="C45" s="4" t="s">
        <v>67</v>
      </c>
      <c r="D45" s="47" t="s">
        <v>117</v>
      </c>
      <c r="E45" s="4" t="s">
        <v>135</v>
      </c>
      <c r="F45" s="18">
        <v>307.5</v>
      </c>
      <c r="G45" s="113">
        <v>0</v>
      </c>
      <c r="H45" s="112">
        <f>F45*AE45</f>
        <v>0</v>
      </c>
      <c r="I45" s="112">
        <f>J45-H45</f>
        <v>0</v>
      </c>
      <c r="J45" s="112">
        <f>F45*G45</f>
        <v>0</v>
      </c>
      <c r="K45" s="112">
        <v>0.00788</v>
      </c>
      <c r="L45" s="112">
        <f>F45*K45</f>
        <v>2.4231</v>
      </c>
      <c r="M45" s="114"/>
      <c r="P45" s="115">
        <f>IF(AG45="5",J45,0)</f>
        <v>0</v>
      </c>
      <c r="R45" s="115">
        <f>IF(AG45="1",H45,0)</f>
        <v>0</v>
      </c>
      <c r="S45" s="115">
        <f>IF(AG45="1",I45,0)</f>
        <v>0</v>
      </c>
      <c r="T45" s="115">
        <f>IF(AG45="7",H45,0)</f>
        <v>0</v>
      </c>
      <c r="U45" s="115">
        <f>IF(AG45="7",I45,0)</f>
        <v>0</v>
      </c>
      <c r="V45" s="115">
        <f>IF(AG45="2",H45,0)</f>
        <v>0</v>
      </c>
      <c r="W45" s="115">
        <f>IF(AG45="2",I45,0)</f>
        <v>0</v>
      </c>
      <c r="X45" s="115">
        <f>IF(AG45="0",J45,0)</f>
        <v>0</v>
      </c>
      <c r="Y45" s="107"/>
      <c r="Z45" s="112">
        <f>IF(AD45=0,J45,0)</f>
        <v>0</v>
      </c>
      <c r="AA45" s="112">
        <f>IF(AD45=15,J45,0)</f>
        <v>0</v>
      </c>
      <c r="AB45" s="112">
        <f>IF(AD45=21,J45,0)</f>
        <v>0</v>
      </c>
      <c r="AD45" s="115">
        <v>21</v>
      </c>
      <c r="AE45" s="115">
        <f>G45*0.795474391267842</f>
        <v>0</v>
      </c>
      <c r="AF45" s="115">
        <f>G45*(1-0.795474391267842)</f>
        <v>0</v>
      </c>
      <c r="AG45" s="114" t="s">
        <v>12</v>
      </c>
      <c r="AM45" s="115">
        <f>F45*AE45</f>
        <v>0</v>
      </c>
      <c r="AN45" s="115">
        <f>F45*AF45</f>
        <v>0</v>
      </c>
      <c r="AO45" s="116" t="s">
        <v>174</v>
      </c>
      <c r="AP45" s="116" t="s">
        <v>182</v>
      </c>
      <c r="AQ45" s="107" t="s">
        <v>184</v>
      </c>
      <c r="AS45" s="115">
        <f>AM45+AN45</f>
        <v>0</v>
      </c>
      <c r="AT45" s="115">
        <f>G45/(100-AU45)*100</f>
        <v>0</v>
      </c>
      <c r="AU45" s="115">
        <v>0</v>
      </c>
      <c r="AV45" s="115">
        <f>L45</f>
        <v>2.4231</v>
      </c>
    </row>
    <row r="46" spans="1:37" ht="12.75">
      <c r="A46" s="5"/>
      <c r="B46" s="13"/>
      <c r="C46" s="13" t="s">
        <v>68</v>
      </c>
      <c r="D46" s="13" t="s">
        <v>118</v>
      </c>
      <c r="E46" s="5" t="s">
        <v>5</v>
      </c>
      <c r="F46" s="5" t="s">
        <v>5</v>
      </c>
      <c r="G46" s="117" t="s">
        <v>5</v>
      </c>
      <c r="H46" s="111">
        <f>SUM(H47:H47)</f>
        <v>0</v>
      </c>
      <c r="I46" s="111">
        <f>SUM(I47:I47)</f>
        <v>0</v>
      </c>
      <c r="J46" s="111">
        <f>H46+I46</f>
        <v>0</v>
      </c>
      <c r="K46" s="107"/>
      <c r="L46" s="111">
        <f>SUM(L47:L47)</f>
        <v>84.5625</v>
      </c>
      <c r="M46" s="107"/>
      <c r="Y46" s="107"/>
      <c r="AI46" s="111">
        <f>SUM(Z47:Z47)</f>
        <v>0</v>
      </c>
      <c r="AJ46" s="111">
        <f>SUM(AA47:AA47)</f>
        <v>0</v>
      </c>
      <c r="AK46" s="111">
        <f>SUM(AB47:AB47)</f>
        <v>0</v>
      </c>
    </row>
    <row r="47" spans="1:48" ht="26.25">
      <c r="A47" s="4" t="s">
        <v>30</v>
      </c>
      <c r="B47" s="4"/>
      <c r="C47" s="4" t="s">
        <v>69</v>
      </c>
      <c r="D47" s="47" t="s">
        <v>119</v>
      </c>
      <c r="E47" s="4" t="s">
        <v>134</v>
      </c>
      <c r="F47" s="18">
        <v>38.4375</v>
      </c>
      <c r="G47" s="113">
        <v>0</v>
      </c>
      <c r="H47" s="112">
        <f>F47*AE47</f>
        <v>0</v>
      </c>
      <c r="I47" s="112">
        <f>J47-H47</f>
        <v>0</v>
      </c>
      <c r="J47" s="112">
        <f>F47*G47</f>
        <v>0</v>
      </c>
      <c r="K47" s="112">
        <v>2.2</v>
      </c>
      <c r="L47" s="112">
        <f>F47*K47</f>
        <v>84.5625</v>
      </c>
      <c r="M47" s="114"/>
      <c r="P47" s="115">
        <f>IF(AG47="5",J47,0)</f>
        <v>0</v>
      </c>
      <c r="R47" s="115">
        <f>IF(AG47="1",H47,0)</f>
        <v>0</v>
      </c>
      <c r="S47" s="115">
        <f>IF(AG47="1",I47,0)</f>
        <v>0</v>
      </c>
      <c r="T47" s="115">
        <f>IF(AG47="7",H47,0)</f>
        <v>0</v>
      </c>
      <c r="U47" s="115">
        <f>IF(AG47="7",I47,0)</f>
        <v>0</v>
      </c>
      <c r="V47" s="115">
        <f>IF(AG47="2",H47,0)</f>
        <v>0</v>
      </c>
      <c r="W47" s="115">
        <f>IF(AG47="2",I47,0)</f>
        <v>0</v>
      </c>
      <c r="X47" s="115">
        <f>IF(AG47="0",J47,0)</f>
        <v>0</v>
      </c>
      <c r="Y47" s="107"/>
      <c r="Z47" s="112">
        <f>IF(AD47=0,J47,0)</f>
        <v>0</v>
      </c>
      <c r="AA47" s="112">
        <f>IF(AD47=15,J47,0)</f>
        <v>0</v>
      </c>
      <c r="AB47" s="112">
        <f>IF(AD47=21,J47,0)</f>
        <v>0</v>
      </c>
      <c r="AD47" s="115">
        <v>21</v>
      </c>
      <c r="AE47" s="115">
        <f>G47*0</f>
        <v>0</v>
      </c>
      <c r="AF47" s="115">
        <f>G47*(1-0)</f>
        <v>0</v>
      </c>
      <c r="AG47" s="114" t="s">
        <v>6</v>
      </c>
      <c r="AM47" s="115">
        <f>F47*AE47</f>
        <v>0</v>
      </c>
      <c r="AN47" s="115">
        <f>F47*AF47</f>
        <v>0</v>
      </c>
      <c r="AO47" s="116" t="s">
        <v>175</v>
      </c>
      <c r="AP47" s="116" t="s">
        <v>183</v>
      </c>
      <c r="AQ47" s="107" t="s">
        <v>184</v>
      </c>
      <c r="AS47" s="115">
        <f>AM47+AN47</f>
        <v>0</v>
      </c>
      <c r="AT47" s="115">
        <f>G47/(100-AU47)*100</f>
        <v>0</v>
      </c>
      <c r="AU47" s="115">
        <v>0</v>
      </c>
      <c r="AV47" s="115">
        <f>L47</f>
        <v>84.5625</v>
      </c>
    </row>
    <row r="48" spans="1:37" ht="12.75">
      <c r="A48" s="5"/>
      <c r="B48" s="13"/>
      <c r="C48" s="13" t="s">
        <v>70</v>
      </c>
      <c r="D48" s="13" t="s">
        <v>120</v>
      </c>
      <c r="E48" s="5" t="s">
        <v>5</v>
      </c>
      <c r="F48" s="5" t="s">
        <v>5</v>
      </c>
      <c r="G48" s="117" t="s">
        <v>5</v>
      </c>
      <c r="H48" s="111">
        <f>SUM(H49:H49)</f>
        <v>0</v>
      </c>
      <c r="I48" s="111">
        <f>SUM(I49:I49)</f>
        <v>0</v>
      </c>
      <c r="J48" s="111">
        <f>H48+I48</f>
        <v>0</v>
      </c>
      <c r="K48" s="107"/>
      <c r="L48" s="111">
        <f>SUM(L49:L49)</f>
        <v>0</v>
      </c>
      <c r="M48" s="107"/>
      <c r="Y48" s="107"/>
      <c r="AI48" s="111">
        <f>SUM(Z49:Z49)</f>
        <v>0</v>
      </c>
      <c r="AJ48" s="111">
        <f>SUM(AA49:AA49)</f>
        <v>0</v>
      </c>
      <c r="AK48" s="111">
        <f>SUM(AB49:AB49)</f>
        <v>0</v>
      </c>
    </row>
    <row r="49" spans="1:48" ht="12.75">
      <c r="A49" s="4" t="s">
        <v>31</v>
      </c>
      <c r="B49" s="4"/>
      <c r="C49" s="4" t="s">
        <v>71</v>
      </c>
      <c r="D49" s="47" t="s">
        <v>121</v>
      </c>
      <c r="E49" s="4" t="s">
        <v>136</v>
      </c>
      <c r="F49" s="18">
        <v>290.66354</v>
      </c>
      <c r="G49" s="113">
        <v>0</v>
      </c>
      <c r="H49" s="112">
        <f>F49*AE49</f>
        <v>0</v>
      </c>
      <c r="I49" s="112">
        <f>J49-H49</f>
        <v>0</v>
      </c>
      <c r="J49" s="112">
        <f>F49*G49</f>
        <v>0</v>
      </c>
      <c r="K49" s="112">
        <v>0</v>
      </c>
      <c r="L49" s="112">
        <f>F49*K49</f>
        <v>0</v>
      </c>
      <c r="M49" s="114"/>
      <c r="P49" s="115">
        <f>IF(AG49="5",J49,0)</f>
        <v>0</v>
      </c>
      <c r="R49" s="115">
        <f>IF(AG49="1",H49,0)</f>
        <v>0</v>
      </c>
      <c r="S49" s="115">
        <f>IF(AG49="1",I49,0)</f>
        <v>0</v>
      </c>
      <c r="T49" s="115">
        <f>IF(AG49="7",H49,0)</f>
        <v>0</v>
      </c>
      <c r="U49" s="115">
        <f>IF(AG49="7",I49,0)</f>
        <v>0</v>
      </c>
      <c r="V49" s="115">
        <f>IF(AG49="2",H49,0)</f>
        <v>0</v>
      </c>
      <c r="W49" s="115">
        <f>IF(AG49="2",I49,0)</f>
        <v>0</v>
      </c>
      <c r="X49" s="115">
        <f>IF(AG49="0",J49,0)</f>
        <v>0</v>
      </c>
      <c r="Y49" s="107"/>
      <c r="Z49" s="112">
        <f>IF(AD49=0,J49,0)</f>
        <v>0</v>
      </c>
      <c r="AA49" s="112">
        <f>IF(AD49=15,J49,0)</f>
        <v>0</v>
      </c>
      <c r="AB49" s="112">
        <f>IF(AD49=21,J49,0)</f>
        <v>0</v>
      </c>
      <c r="AD49" s="115">
        <v>21</v>
      </c>
      <c r="AE49" s="115">
        <f>G49*0</f>
        <v>0</v>
      </c>
      <c r="AF49" s="115">
        <f>G49*(1-0)</f>
        <v>0</v>
      </c>
      <c r="AG49" s="114" t="s">
        <v>10</v>
      </c>
      <c r="AM49" s="115">
        <f>F49*AE49</f>
        <v>0</v>
      </c>
      <c r="AN49" s="115">
        <f>F49*AF49</f>
        <v>0</v>
      </c>
      <c r="AO49" s="116" t="s">
        <v>176</v>
      </c>
      <c r="AP49" s="116" t="s">
        <v>183</v>
      </c>
      <c r="AQ49" s="107" t="s">
        <v>184</v>
      </c>
      <c r="AS49" s="115">
        <f>AM49+AN49</f>
        <v>0</v>
      </c>
      <c r="AT49" s="115">
        <f>G49/(100-AU49)*100</f>
        <v>0</v>
      </c>
      <c r="AU49" s="115">
        <v>0</v>
      </c>
      <c r="AV49" s="115">
        <f>L49</f>
        <v>0</v>
      </c>
    </row>
    <row r="50" spans="1:37" ht="12.75">
      <c r="A50" s="5"/>
      <c r="B50" s="13"/>
      <c r="C50" s="13" t="s">
        <v>72</v>
      </c>
      <c r="D50" s="13" t="s">
        <v>122</v>
      </c>
      <c r="E50" s="5" t="s">
        <v>5</v>
      </c>
      <c r="F50" s="5" t="s">
        <v>5</v>
      </c>
      <c r="G50" s="117" t="s">
        <v>5</v>
      </c>
      <c r="H50" s="111">
        <f>SUM(H51:H56)</f>
        <v>0</v>
      </c>
      <c r="I50" s="111">
        <f>SUM(I51:I56)</f>
        <v>0</v>
      </c>
      <c r="J50" s="111">
        <f>H50+I50</f>
        <v>0</v>
      </c>
      <c r="K50" s="107"/>
      <c r="L50" s="111">
        <f>SUM(L51:L56)</f>
        <v>0</v>
      </c>
      <c r="M50" s="107"/>
      <c r="Y50" s="107"/>
      <c r="AI50" s="111">
        <f>SUM(Z51:Z56)</f>
        <v>0</v>
      </c>
      <c r="AJ50" s="111">
        <f>SUM(AA51:AA56)</f>
        <v>0</v>
      </c>
      <c r="AK50" s="111">
        <f>SUM(AB51:AB56)</f>
        <v>0</v>
      </c>
    </row>
    <row r="51" spans="1:48" ht="12.75">
      <c r="A51" s="4" t="s">
        <v>32</v>
      </c>
      <c r="B51" s="4"/>
      <c r="C51" s="4" t="s">
        <v>73</v>
      </c>
      <c r="D51" s="47" t="s">
        <v>123</v>
      </c>
      <c r="E51" s="4" t="s">
        <v>136</v>
      </c>
      <c r="F51" s="18">
        <v>84.64</v>
      </c>
      <c r="G51" s="113">
        <v>0</v>
      </c>
      <c r="H51" s="112">
        <f aca="true" t="shared" si="20" ref="H51:H56">F51*AE51</f>
        <v>0</v>
      </c>
      <c r="I51" s="112">
        <f aca="true" t="shared" si="21" ref="I51:I56">J51-H51</f>
        <v>0</v>
      </c>
      <c r="J51" s="112">
        <f aca="true" t="shared" si="22" ref="J51:J56">F51*G51</f>
        <v>0</v>
      </c>
      <c r="K51" s="112">
        <v>0</v>
      </c>
      <c r="L51" s="112">
        <f aca="true" t="shared" si="23" ref="L51:L56">F51*K51</f>
        <v>0</v>
      </c>
      <c r="M51" s="114"/>
      <c r="P51" s="115">
        <f aca="true" t="shared" si="24" ref="P51:P56">IF(AG51="5",J51,0)</f>
        <v>0</v>
      </c>
      <c r="R51" s="115">
        <f aca="true" t="shared" si="25" ref="R51:R56">IF(AG51="1",H51,0)</f>
        <v>0</v>
      </c>
      <c r="S51" s="115">
        <f aca="true" t="shared" si="26" ref="S51:S56">IF(AG51="1",I51,0)</f>
        <v>0</v>
      </c>
      <c r="T51" s="115">
        <f aca="true" t="shared" si="27" ref="T51:T56">IF(AG51="7",H51,0)</f>
        <v>0</v>
      </c>
      <c r="U51" s="115">
        <f aca="true" t="shared" si="28" ref="U51:U56">IF(AG51="7",I51,0)</f>
        <v>0</v>
      </c>
      <c r="V51" s="115">
        <f aca="true" t="shared" si="29" ref="V51:V56">IF(AG51="2",H51,0)</f>
        <v>0</v>
      </c>
      <c r="W51" s="115">
        <f aca="true" t="shared" si="30" ref="W51:W56">IF(AG51="2",I51,0)</f>
        <v>0</v>
      </c>
      <c r="X51" s="115">
        <f aca="true" t="shared" si="31" ref="X51:X56">IF(AG51="0",J51,0)</f>
        <v>0</v>
      </c>
      <c r="Y51" s="107"/>
      <c r="Z51" s="112">
        <f aca="true" t="shared" si="32" ref="Z51:Z56">IF(AD51=0,J51,0)</f>
        <v>0</v>
      </c>
      <c r="AA51" s="112">
        <f aca="true" t="shared" si="33" ref="AA51:AA56">IF(AD51=15,J51,0)</f>
        <v>0</v>
      </c>
      <c r="AB51" s="112">
        <f aca="true" t="shared" si="34" ref="AB51:AB56">IF(AD51=21,J51,0)</f>
        <v>0</v>
      </c>
      <c r="AD51" s="115">
        <v>21</v>
      </c>
      <c r="AE51" s="115">
        <f aca="true" t="shared" si="35" ref="AE51:AE56">G51*0</f>
        <v>0</v>
      </c>
      <c r="AF51" s="115">
        <f aca="true" t="shared" si="36" ref="AF51:AF56">G51*(1-0)</f>
        <v>0</v>
      </c>
      <c r="AG51" s="114" t="s">
        <v>10</v>
      </c>
      <c r="AM51" s="115">
        <f aca="true" t="shared" si="37" ref="AM51:AM56">F51*AE51</f>
        <v>0</v>
      </c>
      <c r="AN51" s="115">
        <f aca="true" t="shared" si="38" ref="AN51:AN56">F51*AF51</f>
        <v>0</v>
      </c>
      <c r="AO51" s="116" t="s">
        <v>177</v>
      </c>
      <c r="AP51" s="116" t="s">
        <v>183</v>
      </c>
      <c r="AQ51" s="107" t="s">
        <v>184</v>
      </c>
      <c r="AS51" s="115">
        <f aca="true" t="shared" si="39" ref="AS51:AS56">AM51+AN51</f>
        <v>0</v>
      </c>
      <c r="AT51" s="115">
        <f aca="true" t="shared" si="40" ref="AT51:AT56">G51/(100-AU51)*100</f>
        <v>0</v>
      </c>
      <c r="AU51" s="115">
        <v>0</v>
      </c>
      <c r="AV51" s="115">
        <f aca="true" t="shared" si="41" ref="AV51:AV56">L51</f>
        <v>0</v>
      </c>
    </row>
    <row r="52" spans="1:48" ht="12.75">
      <c r="A52" s="4" t="s">
        <v>33</v>
      </c>
      <c r="B52" s="4"/>
      <c r="C52" s="4" t="s">
        <v>74</v>
      </c>
      <c r="D52" s="47" t="s">
        <v>124</v>
      </c>
      <c r="E52" s="4" t="s">
        <v>136</v>
      </c>
      <c r="F52" s="18">
        <v>253.92</v>
      </c>
      <c r="G52" s="113">
        <v>0</v>
      </c>
      <c r="H52" s="112">
        <f t="shared" si="20"/>
        <v>0</v>
      </c>
      <c r="I52" s="112">
        <f t="shared" si="21"/>
        <v>0</v>
      </c>
      <c r="J52" s="112">
        <f t="shared" si="22"/>
        <v>0</v>
      </c>
      <c r="K52" s="112">
        <v>0</v>
      </c>
      <c r="L52" s="112">
        <f t="shared" si="23"/>
        <v>0</v>
      </c>
      <c r="M52" s="114"/>
      <c r="P52" s="115">
        <f t="shared" si="24"/>
        <v>0</v>
      </c>
      <c r="R52" s="115">
        <f t="shared" si="25"/>
        <v>0</v>
      </c>
      <c r="S52" s="115">
        <f t="shared" si="26"/>
        <v>0</v>
      </c>
      <c r="T52" s="115">
        <f t="shared" si="27"/>
        <v>0</v>
      </c>
      <c r="U52" s="115">
        <f t="shared" si="28"/>
        <v>0</v>
      </c>
      <c r="V52" s="115">
        <f t="shared" si="29"/>
        <v>0</v>
      </c>
      <c r="W52" s="115">
        <f t="shared" si="30"/>
        <v>0</v>
      </c>
      <c r="X52" s="115">
        <f t="shared" si="31"/>
        <v>0</v>
      </c>
      <c r="Y52" s="107"/>
      <c r="Z52" s="112">
        <f t="shared" si="32"/>
        <v>0</v>
      </c>
      <c r="AA52" s="112">
        <f t="shared" si="33"/>
        <v>0</v>
      </c>
      <c r="AB52" s="112">
        <f t="shared" si="34"/>
        <v>0</v>
      </c>
      <c r="AD52" s="115">
        <v>21</v>
      </c>
      <c r="AE52" s="115">
        <f t="shared" si="35"/>
        <v>0</v>
      </c>
      <c r="AF52" s="115">
        <f t="shared" si="36"/>
        <v>0</v>
      </c>
      <c r="AG52" s="114" t="s">
        <v>10</v>
      </c>
      <c r="AM52" s="115">
        <f t="shared" si="37"/>
        <v>0</v>
      </c>
      <c r="AN52" s="115">
        <f t="shared" si="38"/>
        <v>0</v>
      </c>
      <c r="AO52" s="116" t="s">
        <v>177</v>
      </c>
      <c r="AP52" s="116" t="s">
        <v>183</v>
      </c>
      <c r="AQ52" s="107" t="s">
        <v>184</v>
      </c>
      <c r="AS52" s="115">
        <f t="shared" si="39"/>
        <v>0</v>
      </c>
      <c r="AT52" s="115">
        <f t="shared" si="40"/>
        <v>0</v>
      </c>
      <c r="AU52" s="115">
        <v>0</v>
      </c>
      <c r="AV52" s="115">
        <f t="shared" si="41"/>
        <v>0</v>
      </c>
    </row>
    <row r="53" spans="1:48" ht="12.75">
      <c r="A53" s="4" t="s">
        <v>34</v>
      </c>
      <c r="B53" s="4"/>
      <c r="C53" s="4" t="s">
        <v>75</v>
      </c>
      <c r="D53" s="47" t="s">
        <v>125</v>
      </c>
      <c r="E53" s="4" t="s">
        <v>136</v>
      </c>
      <c r="F53" s="18">
        <v>84.64</v>
      </c>
      <c r="G53" s="113">
        <v>0</v>
      </c>
      <c r="H53" s="112">
        <f t="shared" si="20"/>
        <v>0</v>
      </c>
      <c r="I53" s="112">
        <f t="shared" si="21"/>
        <v>0</v>
      </c>
      <c r="J53" s="112">
        <f t="shared" si="22"/>
        <v>0</v>
      </c>
      <c r="K53" s="112">
        <v>0</v>
      </c>
      <c r="L53" s="112">
        <f t="shared" si="23"/>
        <v>0</v>
      </c>
      <c r="M53" s="114"/>
      <c r="P53" s="115">
        <f t="shared" si="24"/>
        <v>0</v>
      </c>
      <c r="R53" s="115">
        <f t="shared" si="25"/>
        <v>0</v>
      </c>
      <c r="S53" s="115">
        <f t="shared" si="26"/>
        <v>0</v>
      </c>
      <c r="T53" s="115">
        <f t="shared" si="27"/>
        <v>0</v>
      </c>
      <c r="U53" s="115">
        <f t="shared" si="28"/>
        <v>0</v>
      </c>
      <c r="V53" s="115">
        <f t="shared" si="29"/>
        <v>0</v>
      </c>
      <c r="W53" s="115">
        <f t="shared" si="30"/>
        <v>0</v>
      </c>
      <c r="X53" s="115">
        <f t="shared" si="31"/>
        <v>0</v>
      </c>
      <c r="Y53" s="107"/>
      <c r="Z53" s="112">
        <f t="shared" si="32"/>
        <v>0</v>
      </c>
      <c r="AA53" s="112">
        <f t="shared" si="33"/>
        <v>0</v>
      </c>
      <c r="AB53" s="112">
        <f t="shared" si="34"/>
        <v>0</v>
      </c>
      <c r="AD53" s="115">
        <v>21</v>
      </c>
      <c r="AE53" s="115">
        <f t="shared" si="35"/>
        <v>0</v>
      </c>
      <c r="AF53" s="115">
        <f t="shared" si="36"/>
        <v>0</v>
      </c>
      <c r="AG53" s="114" t="s">
        <v>10</v>
      </c>
      <c r="AM53" s="115">
        <f t="shared" si="37"/>
        <v>0</v>
      </c>
      <c r="AN53" s="115">
        <f t="shared" si="38"/>
        <v>0</v>
      </c>
      <c r="AO53" s="116" t="s">
        <v>177</v>
      </c>
      <c r="AP53" s="116" t="s">
        <v>183</v>
      </c>
      <c r="AQ53" s="107" t="s">
        <v>184</v>
      </c>
      <c r="AS53" s="115">
        <f t="shared" si="39"/>
        <v>0</v>
      </c>
      <c r="AT53" s="115">
        <f t="shared" si="40"/>
        <v>0</v>
      </c>
      <c r="AU53" s="115">
        <v>0</v>
      </c>
      <c r="AV53" s="115">
        <f t="shared" si="41"/>
        <v>0</v>
      </c>
    </row>
    <row r="54" spans="1:48" ht="12.75">
      <c r="A54" s="4" t="s">
        <v>35</v>
      </c>
      <c r="B54" s="4"/>
      <c r="C54" s="4" t="s">
        <v>76</v>
      </c>
      <c r="D54" s="47" t="s">
        <v>126</v>
      </c>
      <c r="E54" s="4" t="s">
        <v>136</v>
      </c>
      <c r="F54" s="18">
        <v>169.28</v>
      </c>
      <c r="G54" s="113">
        <v>0</v>
      </c>
      <c r="H54" s="112">
        <f t="shared" si="20"/>
        <v>0</v>
      </c>
      <c r="I54" s="112">
        <f t="shared" si="21"/>
        <v>0</v>
      </c>
      <c r="J54" s="112">
        <f t="shared" si="22"/>
        <v>0</v>
      </c>
      <c r="K54" s="112">
        <v>0</v>
      </c>
      <c r="L54" s="112">
        <f t="shared" si="23"/>
        <v>0</v>
      </c>
      <c r="M54" s="114"/>
      <c r="P54" s="115">
        <f t="shared" si="24"/>
        <v>0</v>
      </c>
      <c r="R54" s="115">
        <f t="shared" si="25"/>
        <v>0</v>
      </c>
      <c r="S54" s="115">
        <f t="shared" si="26"/>
        <v>0</v>
      </c>
      <c r="T54" s="115">
        <f t="shared" si="27"/>
        <v>0</v>
      </c>
      <c r="U54" s="115">
        <f t="shared" si="28"/>
        <v>0</v>
      </c>
      <c r="V54" s="115">
        <f t="shared" si="29"/>
        <v>0</v>
      </c>
      <c r="W54" s="115">
        <f t="shared" si="30"/>
        <v>0</v>
      </c>
      <c r="X54" s="115">
        <f t="shared" si="31"/>
        <v>0</v>
      </c>
      <c r="Y54" s="107"/>
      <c r="Z54" s="112">
        <f t="shared" si="32"/>
        <v>0</v>
      </c>
      <c r="AA54" s="112">
        <f t="shared" si="33"/>
        <v>0</v>
      </c>
      <c r="AB54" s="112">
        <f t="shared" si="34"/>
        <v>0</v>
      </c>
      <c r="AD54" s="115">
        <v>21</v>
      </c>
      <c r="AE54" s="115">
        <f t="shared" si="35"/>
        <v>0</v>
      </c>
      <c r="AF54" s="115">
        <f t="shared" si="36"/>
        <v>0</v>
      </c>
      <c r="AG54" s="114" t="s">
        <v>10</v>
      </c>
      <c r="AM54" s="115">
        <f t="shared" si="37"/>
        <v>0</v>
      </c>
      <c r="AN54" s="115">
        <f t="shared" si="38"/>
        <v>0</v>
      </c>
      <c r="AO54" s="116" t="s">
        <v>177</v>
      </c>
      <c r="AP54" s="116" t="s">
        <v>183</v>
      </c>
      <c r="AQ54" s="107" t="s">
        <v>184</v>
      </c>
      <c r="AS54" s="115">
        <f t="shared" si="39"/>
        <v>0</v>
      </c>
      <c r="AT54" s="115">
        <f t="shared" si="40"/>
        <v>0</v>
      </c>
      <c r="AU54" s="115">
        <v>0</v>
      </c>
      <c r="AV54" s="115">
        <f t="shared" si="41"/>
        <v>0</v>
      </c>
    </row>
    <row r="55" spans="1:48" ht="12.75">
      <c r="A55" s="4" t="s">
        <v>36</v>
      </c>
      <c r="B55" s="4"/>
      <c r="C55" s="4" t="s">
        <v>77</v>
      </c>
      <c r="D55" s="47" t="s">
        <v>127</v>
      </c>
      <c r="E55" s="4" t="s">
        <v>136</v>
      </c>
      <c r="F55" s="18">
        <v>84.5625</v>
      </c>
      <c r="G55" s="113">
        <v>0</v>
      </c>
      <c r="H55" s="112">
        <f t="shared" si="20"/>
        <v>0</v>
      </c>
      <c r="I55" s="112">
        <f t="shared" si="21"/>
        <v>0</v>
      </c>
      <c r="J55" s="112">
        <f t="shared" si="22"/>
        <v>0</v>
      </c>
      <c r="K55" s="112">
        <v>0</v>
      </c>
      <c r="L55" s="112">
        <f t="shared" si="23"/>
        <v>0</v>
      </c>
      <c r="M55" s="114"/>
      <c r="P55" s="115">
        <f t="shared" si="24"/>
        <v>0</v>
      </c>
      <c r="R55" s="115">
        <f t="shared" si="25"/>
        <v>0</v>
      </c>
      <c r="S55" s="115">
        <f t="shared" si="26"/>
        <v>0</v>
      </c>
      <c r="T55" s="115">
        <f t="shared" si="27"/>
        <v>0</v>
      </c>
      <c r="U55" s="115">
        <f t="shared" si="28"/>
        <v>0</v>
      </c>
      <c r="V55" s="115">
        <f t="shared" si="29"/>
        <v>0</v>
      </c>
      <c r="W55" s="115">
        <f t="shared" si="30"/>
        <v>0</v>
      </c>
      <c r="X55" s="115">
        <f t="shared" si="31"/>
        <v>0</v>
      </c>
      <c r="Y55" s="107"/>
      <c r="Z55" s="112">
        <f t="shared" si="32"/>
        <v>0</v>
      </c>
      <c r="AA55" s="112">
        <f t="shared" si="33"/>
        <v>0</v>
      </c>
      <c r="AB55" s="112">
        <f t="shared" si="34"/>
        <v>0</v>
      </c>
      <c r="AD55" s="115">
        <v>21</v>
      </c>
      <c r="AE55" s="115">
        <f t="shared" si="35"/>
        <v>0</v>
      </c>
      <c r="AF55" s="115">
        <f t="shared" si="36"/>
        <v>0</v>
      </c>
      <c r="AG55" s="114" t="s">
        <v>10</v>
      </c>
      <c r="AM55" s="115">
        <f t="shared" si="37"/>
        <v>0</v>
      </c>
      <c r="AN55" s="115">
        <f t="shared" si="38"/>
        <v>0</v>
      </c>
      <c r="AO55" s="116" t="s">
        <v>177</v>
      </c>
      <c r="AP55" s="116" t="s">
        <v>183</v>
      </c>
      <c r="AQ55" s="107" t="s">
        <v>184</v>
      </c>
      <c r="AS55" s="115">
        <f t="shared" si="39"/>
        <v>0</v>
      </c>
      <c r="AT55" s="115">
        <f t="shared" si="40"/>
        <v>0</v>
      </c>
      <c r="AU55" s="115">
        <v>0</v>
      </c>
      <c r="AV55" s="115">
        <f t="shared" si="41"/>
        <v>0</v>
      </c>
    </row>
    <row r="56" spans="1:48" ht="12.75">
      <c r="A56" s="7" t="s">
        <v>37</v>
      </c>
      <c r="B56" s="7"/>
      <c r="C56" s="7" t="s">
        <v>78</v>
      </c>
      <c r="D56" s="49" t="s">
        <v>128</v>
      </c>
      <c r="E56" s="7" t="s">
        <v>136</v>
      </c>
      <c r="F56" s="20">
        <v>0.00775</v>
      </c>
      <c r="G56" s="113">
        <v>0</v>
      </c>
      <c r="H56" s="120">
        <f t="shared" si="20"/>
        <v>0</v>
      </c>
      <c r="I56" s="120">
        <f t="shared" si="21"/>
        <v>0</v>
      </c>
      <c r="J56" s="120">
        <f t="shared" si="22"/>
        <v>0</v>
      </c>
      <c r="K56" s="120">
        <v>0</v>
      </c>
      <c r="L56" s="120">
        <f t="shared" si="23"/>
        <v>0</v>
      </c>
      <c r="M56" s="121"/>
      <c r="P56" s="115">
        <f t="shared" si="24"/>
        <v>0</v>
      </c>
      <c r="R56" s="115">
        <f t="shared" si="25"/>
        <v>0</v>
      </c>
      <c r="S56" s="115">
        <f t="shared" si="26"/>
        <v>0</v>
      </c>
      <c r="T56" s="115">
        <f t="shared" si="27"/>
        <v>0</v>
      </c>
      <c r="U56" s="115">
        <f t="shared" si="28"/>
        <v>0</v>
      </c>
      <c r="V56" s="115">
        <f t="shared" si="29"/>
        <v>0</v>
      </c>
      <c r="W56" s="115">
        <f t="shared" si="30"/>
        <v>0</v>
      </c>
      <c r="X56" s="115">
        <f t="shared" si="31"/>
        <v>0</v>
      </c>
      <c r="Y56" s="107"/>
      <c r="Z56" s="112">
        <f t="shared" si="32"/>
        <v>0</v>
      </c>
      <c r="AA56" s="112">
        <f t="shared" si="33"/>
        <v>0</v>
      </c>
      <c r="AB56" s="112">
        <f t="shared" si="34"/>
        <v>0</v>
      </c>
      <c r="AD56" s="115">
        <v>21</v>
      </c>
      <c r="AE56" s="115">
        <f t="shared" si="35"/>
        <v>0</v>
      </c>
      <c r="AF56" s="115">
        <f t="shared" si="36"/>
        <v>0</v>
      </c>
      <c r="AG56" s="114" t="s">
        <v>10</v>
      </c>
      <c r="AM56" s="115">
        <f t="shared" si="37"/>
        <v>0</v>
      </c>
      <c r="AN56" s="115">
        <f t="shared" si="38"/>
        <v>0</v>
      </c>
      <c r="AO56" s="116" t="s">
        <v>177</v>
      </c>
      <c r="AP56" s="116" t="s">
        <v>183</v>
      </c>
      <c r="AQ56" s="107" t="s">
        <v>184</v>
      </c>
      <c r="AS56" s="115">
        <f t="shared" si="39"/>
        <v>0</v>
      </c>
      <c r="AT56" s="115">
        <f t="shared" si="40"/>
        <v>0</v>
      </c>
      <c r="AU56" s="115">
        <v>0</v>
      </c>
      <c r="AV56" s="115">
        <f t="shared" si="41"/>
        <v>0</v>
      </c>
    </row>
    <row r="57" spans="1:13" ht="12.75">
      <c r="A57" s="122"/>
      <c r="B57" s="122"/>
      <c r="C57" s="122"/>
      <c r="D57" s="122"/>
      <c r="E57" s="122"/>
      <c r="F57" s="122"/>
      <c r="G57" s="8"/>
      <c r="H57" s="56" t="s">
        <v>144</v>
      </c>
      <c r="I57" s="57"/>
      <c r="J57" s="123">
        <f>J12+J15+J21+J23+J26+J29+J36+J39+J42+J44+J46+J48+J50</f>
        <v>0</v>
      </c>
      <c r="K57" s="122"/>
      <c r="L57" s="122"/>
      <c r="M57" s="122"/>
    </row>
    <row r="58" spans="1:13" ht="12.75">
      <c r="A58" s="9"/>
      <c r="B58" s="9"/>
      <c r="C58" s="9"/>
      <c r="D58" s="9"/>
      <c r="E58" s="9"/>
      <c r="F58" s="9"/>
      <c r="G58" s="9"/>
      <c r="H58" s="33"/>
      <c r="I58" s="14"/>
      <c r="J58" s="35"/>
      <c r="K58" s="9"/>
      <c r="L58" s="9"/>
      <c r="M58" s="9"/>
    </row>
    <row r="59" spans="1:13" ht="12.75">
      <c r="A59" s="9"/>
      <c r="B59" s="9"/>
      <c r="C59" s="9"/>
      <c r="D59" s="9"/>
      <c r="E59" s="9"/>
      <c r="F59" s="9"/>
      <c r="G59" s="9"/>
      <c r="H59" s="33"/>
      <c r="I59" s="14"/>
      <c r="J59" s="35"/>
      <c r="K59" s="9"/>
      <c r="L59" s="9"/>
      <c r="M59" s="9"/>
    </row>
    <row r="60" spans="1:13" ht="15" customHeight="1">
      <c r="A60" s="52" t="s">
        <v>261</v>
      </c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127" t="s">
        <v>262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</row>
    <row r="63" spans="1:13" ht="12.75">
      <c r="A63" s="127" t="s">
        <v>263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</row>
    <row r="64" spans="1:13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13" ht="12.75">
      <c r="A65" s="52" t="s">
        <v>264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</row>
    <row r="66" spans="1:13" ht="12.7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</row>
    <row r="67" spans="1:13" ht="12.75">
      <c r="A67" s="127" t="s">
        <v>265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</row>
    <row r="68" spans="1:13" ht="12.75">
      <c r="A68" s="127" t="s">
        <v>266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</row>
    <row r="69" spans="1:13" ht="12.75">
      <c r="A69" s="127" t="s">
        <v>267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</row>
    <row r="70" spans="1:13" ht="12.7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</row>
    <row r="71" spans="1:13" ht="12.75">
      <c r="A71" s="52" t="s">
        <v>260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</row>
    <row r="72" spans="1:13" ht="12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</row>
    <row r="73" spans="1:13" ht="12.75">
      <c r="A73" s="126" t="s">
        <v>268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</row>
    <row r="74" spans="1:13" ht="12.75">
      <c r="A74" s="127" t="s">
        <v>269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</row>
    <row r="75" spans="1:13" ht="12.75">
      <c r="A75" s="127" t="s">
        <v>270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</row>
    <row r="76" spans="1:13" ht="12.75">
      <c r="A76" s="127" t="s">
        <v>271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</row>
    <row r="77" spans="1:13" ht="12.75">
      <c r="A77" s="127" t="s">
        <v>272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</row>
    <row r="78" spans="1:13" ht="12.75">
      <c r="A78" s="127" t="s">
        <v>273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</row>
    <row r="79" spans="1:13" ht="12.75">
      <c r="A79" s="127" t="s">
        <v>274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</row>
    <row r="80" spans="1:13" ht="12.75">
      <c r="A80" s="127" t="s">
        <v>275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</row>
    <row r="81" spans="1:13" ht="12.75">
      <c r="A81" s="127" t="s">
        <v>276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</row>
    <row r="82" spans="1:13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</row>
  </sheetData>
  <sheetProtection password="CC2B" sheet="1"/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H10:J10"/>
    <mergeCell ref="K10:L10"/>
    <mergeCell ref="H57:I57"/>
    <mergeCell ref="A61:M61"/>
    <mergeCell ref="A8:C9"/>
    <mergeCell ref="D8:D9"/>
    <mergeCell ref="E8:F9"/>
    <mergeCell ref="G8:H9"/>
    <mergeCell ref="I8:I9"/>
    <mergeCell ref="J8:M9"/>
  </mergeCells>
  <printOptions/>
  <pageMargins left="0.394" right="0.394" top="0.591" bottom="0.591" header="0.5" footer="0.5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96" customWidth="1"/>
    <col min="3" max="3" width="41.7109375" style="96" customWidth="1"/>
    <col min="4" max="4" width="22.140625" style="96" customWidth="1"/>
    <col min="5" max="5" width="21.00390625" style="96" customWidth="1"/>
    <col min="6" max="6" width="20.8515625" style="96" customWidth="1"/>
    <col min="7" max="7" width="19.7109375" style="96" customWidth="1"/>
    <col min="8" max="9" width="0" style="96" hidden="1" customWidth="1"/>
    <col min="10" max="16384" width="11.57421875" style="96" customWidth="1"/>
  </cols>
  <sheetData>
    <row r="1" spans="1:7" ht="32.25" customHeight="1">
      <c r="A1" s="95" t="s">
        <v>279</v>
      </c>
      <c r="B1" s="66"/>
      <c r="C1" s="66"/>
      <c r="D1" s="66"/>
      <c r="E1" s="66"/>
      <c r="F1" s="66"/>
      <c r="G1" s="66"/>
    </row>
    <row r="2" spans="1:8" ht="12.75">
      <c r="A2" s="67" t="s">
        <v>0</v>
      </c>
      <c r="B2" s="69" t="str">
        <f>'Stavební rozpočet'!D2</f>
        <v>OPRAVA DÍLEN A ODBORNÝCH UČEBEN</v>
      </c>
      <c r="C2" s="57"/>
      <c r="D2" s="72" t="s">
        <v>145</v>
      </c>
      <c r="E2" s="72" t="str">
        <f>'Stavební rozpočet'!J2</f>
        <v>VOŠ, SPŠ a OA Čáslav, Přemysla Otakara II. 938, 28</v>
      </c>
      <c r="F2" s="68"/>
      <c r="G2" s="73"/>
      <c r="H2" s="99"/>
    </row>
    <row r="3" spans="1:8" ht="12.75">
      <c r="A3" s="65"/>
      <c r="B3" s="70"/>
      <c r="C3" s="70"/>
      <c r="D3" s="59"/>
      <c r="E3" s="59"/>
      <c r="F3" s="59"/>
      <c r="G3" s="64"/>
      <c r="H3" s="99"/>
    </row>
    <row r="4" spans="1:8" ht="12.75">
      <c r="A4" s="60" t="s">
        <v>1</v>
      </c>
      <c r="B4" s="58" t="str">
        <f>'Stavební rozpočet'!D4</f>
        <v>OPRAVA PODLAH</v>
      </c>
      <c r="C4" s="59"/>
      <c r="D4" s="58" t="s">
        <v>146</v>
      </c>
      <c r="E4" s="58" t="str">
        <f>'Stavební rozpočet'!J4</f>
        <v>Arplan s.r.o., Ječná 505/2, 120 00 Praha 2</v>
      </c>
      <c r="F4" s="59"/>
      <c r="G4" s="64"/>
      <c r="H4" s="99"/>
    </row>
    <row r="5" spans="1:8" ht="12.75">
      <c r="A5" s="65"/>
      <c r="B5" s="59"/>
      <c r="C5" s="59"/>
      <c r="D5" s="59"/>
      <c r="E5" s="59"/>
      <c r="F5" s="59"/>
      <c r="G5" s="64"/>
      <c r="H5" s="99"/>
    </row>
    <row r="6" spans="1:8" ht="12.75">
      <c r="A6" s="60" t="s">
        <v>2</v>
      </c>
      <c r="B6" s="58" t="str">
        <f>'Stavební rozpočet'!D6</f>
        <v>VOŠ, SPŠ a OA Čáslav, Přemysla Otakara II. 938, 286 14 ČÁSLAV</v>
      </c>
      <c r="C6" s="59"/>
      <c r="D6" s="58" t="s">
        <v>147</v>
      </c>
      <c r="E6" s="102" t="str">
        <f>'Stavební rozpočet'!J6</f>
        <v> </v>
      </c>
      <c r="F6" s="100"/>
      <c r="G6" s="101"/>
      <c r="H6" s="99"/>
    </row>
    <row r="7" spans="1:8" ht="12.75">
      <c r="A7" s="65"/>
      <c r="B7" s="59"/>
      <c r="C7" s="59"/>
      <c r="D7" s="59"/>
      <c r="E7" s="100"/>
      <c r="F7" s="100"/>
      <c r="G7" s="101"/>
      <c r="H7" s="99"/>
    </row>
    <row r="8" spans="1:8" ht="12.75">
      <c r="A8" s="60" t="s">
        <v>148</v>
      </c>
      <c r="B8" s="102"/>
      <c r="C8" s="100"/>
      <c r="D8" s="63" t="s">
        <v>132</v>
      </c>
      <c r="E8" s="102"/>
      <c r="F8" s="100"/>
      <c r="G8" s="101"/>
      <c r="H8" s="99"/>
    </row>
    <row r="9" spans="1:8" ht="12.75">
      <c r="A9" s="61"/>
      <c r="B9" s="104"/>
      <c r="C9" s="104"/>
      <c r="D9" s="62"/>
      <c r="E9" s="104"/>
      <c r="F9" s="104"/>
      <c r="G9" s="105"/>
      <c r="H9" s="99"/>
    </row>
    <row r="10" spans="1:8" ht="12.75">
      <c r="A10" s="28" t="s">
        <v>39</v>
      </c>
      <c r="B10" s="30" t="s">
        <v>40</v>
      </c>
      <c r="C10" s="31" t="s">
        <v>82</v>
      </c>
      <c r="D10" s="32" t="s">
        <v>185</v>
      </c>
      <c r="E10" s="32" t="s">
        <v>186</v>
      </c>
      <c r="F10" s="32" t="s">
        <v>187</v>
      </c>
      <c r="G10" s="34" t="s">
        <v>188</v>
      </c>
      <c r="H10" s="106"/>
    </row>
    <row r="11" spans="1:9" ht="12.75">
      <c r="A11" s="128"/>
      <c r="B11" s="29" t="s">
        <v>17</v>
      </c>
      <c r="C11" s="29" t="s">
        <v>84</v>
      </c>
      <c r="D11" s="129">
        <f>'Stavební rozpočet'!H12</f>
        <v>0</v>
      </c>
      <c r="E11" s="129">
        <f>'Stavební rozpočet'!I12</f>
        <v>0</v>
      </c>
      <c r="F11" s="129">
        <f aca="true" t="shared" si="0" ref="F11:F23">D11+E11</f>
        <v>0</v>
      </c>
      <c r="G11" s="129">
        <f>'Stavební rozpočet'!L12</f>
        <v>0</v>
      </c>
      <c r="H11" s="115" t="s">
        <v>189</v>
      </c>
      <c r="I11" s="115">
        <f aca="true" t="shared" si="1" ref="I11:I23">IF(H11="F",0,F11)</f>
        <v>0</v>
      </c>
    </row>
    <row r="12" spans="1:9" ht="12.75">
      <c r="A12" s="130"/>
      <c r="B12" s="16" t="s">
        <v>21</v>
      </c>
      <c r="C12" s="16" t="s">
        <v>87</v>
      </c>
      <c r="D12" s="115">
        <f>'Stavební rozpočet'!H15</f>
        <v>0</v>
      </c>
      <c r="E12" s="115">
        <f>'Stavební rozpočet'!I15</f>
        <v>0</v>
      </c>
      <c r="F12" s="115">
        <f t="shared" si="0"/>
        <v>0</v>
      </c>
      <c r="G12" s="115">
        <f>'Stavební rozpočet'!L15</f>
        <v>0</v>
      </c>
      <c r="H12" s="115" t="s">
        <v>189</v>
      </c>
      <c r="I12" s="115">
        <f t="shared" si="1"/>
        <v>0</v>
      </c>
    </row>
    <row r="13" spans="1:9" ht="12.75">
      <c r="A13" s="130"/>
      <c r="B13" s="16" t="s">
        <v>22</v>
      </c>
      <c r="C13" s="16" t="s">
        <v>93</v>
      </c>
      <c r="D13" s="115">
        <f>'Stavební rozpočet'!H21</f>
        <v>0</v>
      </c>
      <c r="E13" s="115">
        <f>'Stavební rozpočet'!I21</f>
        <v>0</v>
      </c>
      <c r="F13" s="115">
        <f t="shared" si="0"/>
        <v>0</v>
      </c>
      <c r="G13" s="115">
        <f>'Stavební rozpočet'!L21</f>
        <v>0</v>
      </c>
      <c r="H13" s="115" t="s">
        <v>189</v>
      </c>
      <c r="I13" s="115">
        <f t="shared" si="1"/>
        <v>0</v>
      </c>
    </row>
    <row r="14" spans="1:9" ht="12.75">
      <c r="A14" s="130"/>
      <c r="B14" s="16" t="s">
        <v>23</v>
      </c>
      <c r="C14" s="16" t="s">
        <v>95</v>
      </c>
      <c r="D14" s="115">
        <f>'Stavební rozpočet'!H23</f>
        <v>0</v>
      </c>
      <c r="E14" s="115">
        <f>'Stavební rozpočet'!I23</f>
        <v>0</v>
      </c>
      <c r="F14" s="115">
        <f t="shared" si="0"/>
        <v>0</v>
      </c>
      <c r="G14" s="115">
        <f>'Stavební rozpočet'!L23</f>
        <v>162.729</v>
      </c>
      <c r="H14" s="115" t="s">
        <v>189</v>
      </c>
      <c r="I14" s="115">
        <f t="shared" si="1"/>
        <v>0</v>
      </c>
    </row>
    <row r="15" spans="1:9" ht="12.75">
      <c r="A15" s="130"/>
      <c r="B15" s="16" t="s">
        <v>26</v>
      </c>
      <c r="C15" s="16" t="s">
        <v>98</v>
      </c>
      <c r="D15" s="115">
        <f>'Stavební rozpočet'!H26</f>
        <v>0</v>
      </c>
      <c r="E15" s="115">
        <f>'Stavební rozpočet'!I26</f>
        <v>0</v>
      </c>
      <c r="F15" s="115">
        <f t="shared" si="0"/>
        <v>0</v>
      </c>
      <c r="G15" s="115">
        <f>'Stavební rozpočet'!L26</f>
        <v>0.08071875</v>
      </c>
      <c r="H15" s="115" t="s">
        <v>189</v>
      </c>
      <c r="I15" s="115">
        <f t="shared" si="1"/>
        <v>0</v>
      </c>
    </row>
    <row r="16" spans="1:9" ht="12.75">
      <c r="A16" s="130"/>
      <c r="B16" s="16" t="s">
        <v>32</v>
      </c>
      <c r="C16" s="16" t="s">
        <v>101</v>
      </c>
      <c r="D16" s="115">
        <f>'Stavební rozpočet'!H29</f>
        <v>0</v>
      </c>
      <c r="E16" s="115">
        <f>'Stavební rozpočet'!I29</f>
        <v>0</v>
      </c>
      <c r="F16" s="115">
        <f t="shared" si="0"/>
        <v>0</v>
      </c>
      <c r="G16" s="115">
        <f>'Stavební rozpočet'!L29</f>
        <v>125.4307162778</v>
      </c>
      <c r="H16" s="115" t="s">
        <v>189</v>
      </c>
      <c r="I16" s="115">
        <f t="shared" si="1"/>
        <v>0</v>
      </c>
    </row>
    <row r="17" spans="1:9" ht="12.75">
      <c r="A17" s="130"/>
      <c r="B17" s="16" t="s">
        <v>58</v>
      </c>
      <c r="C17" s="16" t="s">
        <v>108</v>
      </c>
      <c r="D17" s="115">
        <f>'Stavební rozpočet'!H36</f>
        <v>0</v>
      </c>
      <c r="E17" s="115">
        <f>'Stavební rozpočet'!I36</f>
        <v>0</v>
      </c>
      <c r="F17" s="115">
        <f t="shared" si="0"/>
        <v>0</v>
      </c>
      <c r="G17" s="115">
        <f>'Stavební rozpočet'!L36</f>
        <v>0.46494</v>
      </c>
      <c r="H17" s="115" t="s">
        <v>189</v>
      </c>
      <c r="I17" s="115">
        <f t="shared" si="1"/>
        <v>0</v>
      </c>
    </row>
    <row r="18" spans="1:9" ht="12.75">
      <c r="A18" s="130"/>
      <c r="B18" s="16" t="s">
        <v>61</v>
      </c>
      <c r="C18" s="16" t="s">
        <v>111</v>
      </c>
      <c r="D18" s="115">
        <f>'Stavební rozpočet'!H39</f>
        <v>0</v>
      </c>
      <c r="E18" s="115">
        <f>'Stavební rozpočet'!I39</f>
        <v>0</v>
      </c>
      <c r="F18" s="115">
        <f t="shared" si="0"/>
        <v>0</v>
      </c>
      <c r="G18" s="115">
        <f>'Stavební rozpočet'!L39</f>
        <v>0.078</v>
      </c>
      <c r="H18" s="115" t="s">
        <v>189</v>
      </c>
      <c r="I18" s="115">
        <f t="shared" si="1"/>
        <v>0</v>
      </c>
    </row>
    <row r="19" spans="1:9" ht="12.75">
      <c r="A19" s="130"/>
      <c r="B19" s="16" t="s">
        <v>64</v>
      </c>
      <c r="C19" s="16" t="s">
        <v>114</v>
      </c>
      <c r="D19" s="115">
        <f>'Stavební rozpočet'!H42</f>
        <v>0</v>
      </c>
      <c r="E19" s="115">
        <f>'Stavební rozpočet'!I42</f>
        <v>0</v>
      </c>
      <c r="F19" s="115">
        <f t="shared" si="0"/>
        <v>0</v>
      </c>
      <c r="G19" s="115">
        <f>'Stavební rozpočet'!L42</f>
        <v>0.0775</v>
      </c>
      <c r="H19" s="115" t="s">
        <v>189</v>
      </c>
      <c r="I19" s="115">
        <f t="shared" si="1"/>
        <v>0</v>
      </c>
    </row>
    <row r="20" spans="1:9" ht="12.75">
      <c r="A20" s="130"/>
      <c r="B20" s="16" t="s">
        <v>66</v>
      </c>
      <c r="C20" s="16" t="s">
        <v>116</v>
      </c>
      <c r="D20" s="115">
        <f>'Stavební rozpočet'!H44</f>
        <v>0</v>
      </c>
      <c r="E20" s="115">
        <f>'Stavební rozpočet'!I44</f>
        <v>0</v>
      </c>
      <c r="F20" s="115">
        <f t="shared" si="0"/>
        <v>0</v>
      </c>
      <c r="G20" s="115">
        <f>'Stavební rozpočet'!L44</f>
        <v>2.4231</v>
      </c>
      <c r="H20" s="115" t="s">
        <v>189</v>
      </c>
      <c r="I20" s="115">
        <f t="shared" si="1"/>
        <v>0</v>
      </c>
    </row>
    <row r="21" spans="1:9" ht="12.75">
      <c r="A21" s="130"/>
      <c r="B21" s="16" t="s">
        <v>68</v>
      </c>
      <c r="C21" s="16" t="s">
        <v>118</v>
      </c>
      <c r="D21" s="115">
        <f>'Stavební rozpočet'!H46</f>
        <v>0</v>
      </c>
      <c r="E21" s="115">
        <f>'Stavební rozpočet'!I46</f>
        <v>0</v>
      </c>
      <c r="F21" s="115">
        <f t="shared" si="0"/>
        <v>0</v>
      </c>
      <c r="G21" s="115">
        <f>'Stavební rozpočet'!L46</f>
        <v>84.5625</v>
      </c>
      <c r="H21" s="115" t="s">
        <v>189</v>
      </c>
      <c r="I21" s="115">
        <f t="shared" si="1"/>
        <v>0</v>
      </c>
    </row>
    <row r="22" spans="1:9" ht="12.75">
      <c r="A22" s="130"/>
      <c r="B22" s="16" t="s">
        <v>70</v>
      </c>
      <c r="C22" s="16" t="s">
        <v>120</v>
      </c>
      <c r="D22" s="115">
        <f>'Stavební rozpočet'!H48</f>
        <v>0</v>
      </c>
      <c r="E22" s="115">
        <f>'Stavební rozpočet'!I48</f>
        <v>0</v>
      </c>
      <c r="F22" s="115">
        <f t="shared" si="0"/>
        <v>0</v>
      </c>
      <c r="G22" s="115">
        <f>'Stavební rozpočet'!L48</f>
        <v>0</v>
      </c>
      <c r="H22" s="115" t="s">
        <v>189</v>
      </c>
      <c r="I22" s="115">
        <f t="shared" si="1"/>
        <v>0</v>
      </c>
    </row>
    <row r="23" spans="1:9" ht="12.75">
      <c r="A23" s="130"/>
      <c r="B23" s="16" t="s">
        <v>72</v>
      </c>
      <c r="C23" s="16" t="s">
        <v>122</v>
      </c>
      <c r="D23" s="115">
        <f>'Stavební rozpočet'!H50</f>
        <v>0</v>
      </c>
      <c r="E23" s="115">
        <f>'Stavební rozpočet'!I50</f>
        <v>0</v>
      </c>
      <c r="F23" s="115">
        <f t="shared" si="0"/>
        <v>0</v>
      </c>
      <c r="G23" s="115">
        <f>'Stavební rozpočet'!L50</f>
        <v>0</v>
      </c>
      <c r="H23" s="115" t="s">
        <v>189</v>
      </c>
      <c r="I23" s="115">
        <f t="shared" si="1"/>
        <v>0</v>
      </c>
    </row>
    <row r="25" spans="5:6" ht="12.75">
      <c r="E25" s="33" t="s">
        <v>144</v>
      </c>
      <c r="F25" s="124">
        <f>SUM(I11:I23)</f>
        <v>0</v>
      </c>
    </row>
  </sheetData>
  <sheetProtection password="CC2B" sheet="1"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10" topLeftCell="A29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96" customWidth="1"/>
    <col min="3" max="3" width="13.28125" style="96" customWidth="1"/>
    <col min="4" max="4" width="84.140625" style="96" customWidth="1"/>
    <col min="5" max="5" width="14.57421875" style="96" customWidth="1"/>
    <col min="6" max="6" width="24.140625" style="96" customWidth="1"/>
    <col min="7" max="7" width="20.421875" style="96" customWidth="1"/>
    <col min="8" max="8" width="16.421875" style="96" customWidth="1"/>
    <col min="9" max="16384" width="11.57421875" style="96" customWidth="1"/>
  </cols>
  <sheetData>
    <row r="1" spans="1:8" ht="30.75" customHeight="1">
      <c r="A1" s="95" t="s">
        <v>278</v>
      </c>
      <c r="B1" s="66"/>
      <c r="C1" s="66"/>
      <c r="D1" s="66"/>
      <c r="E1" s="66"/>
      <c r="F1" s="66"/>
      <c r="G1" s="66"/>
      <c r="H1" s="66"/>
    </row>
    <row r="2" spans="1:9" ht="12.75">
      <c r="A2" s="67" t="s">
        <v>0</v>
      </c>
      <c r="B2" s="68"/>
      <c r="C2" s="69" t="str">
        <f>'Stavební rozpočet'!D2</f>
        <v>OPRAVA DÍLEN A ODBORNÝCH UČEBEN</v>
      </c>
      <c r="D2" s="57"/>
      <c r="E2" s="72" t="s">
        <v>145</v>
      </c>
      <c r="F2" s="72" t="str">
        <f>'Stavební rozpočet'!J2</f>
        <v>VOŠ, SPŠ a OA Čáslav, Přemysla Otakara II. 938, 28</v>
      </c>
      <c r="G2" s="68"/>
      <c r="H2" s="73"/>
      <c r="I2" s="99"/>
    </row>
    <row r="3" spans="1:9" ht="12.75">
      <c r="A3" s="65"/>
      <c r="B3" s="59"/>
      <c r="C3" s="70"/>
      <c r="D3" s="70"/>
      <c r="E3" s="59"/>
      <c r="F3" s="59"/>
      <c r="G3" s="59"/>
      <c r="H3" s="64"/>
      <c r="I3" s="99"/>
    </row>
    <row r="4" spans="1:9" ht="12.75">
      <c r="A4" s="60" t="s">
        <v>1</v>
      </c>
      <c r="B4" s="59"/>
      <c r="C4" s="58" t="str">
        <f>'Stavební rozpočet'!D4</f>
        <v>OPRAVA PODLAH</v>
      </c>
      <c r="D4" s="59"/>
      <c r="E4" s="58" t="s">
        <v>146</v>
      </c>
      <c r="F4" s="58" t="str">
        <f>'Stavební rozpočet'!J4</f>
        <v>Arplan s.r.o., Ječná 505/2, 120 00 Praha 2</v>
      </c>
      <c r="G4" s="59"/>
      <c r="H4" s="64"/>
      <c r="I4" s="99"/>
    </row>
    <row r="5" spans="1:9" ht="12.75">
      <c r="A5" s="65"/>
      <c r="B5" s="59"/>
      <c r="C5" s="59"/>
      <c r="D5" s="59"/>
      <c r="E5" s="59"/>
      <c r="F5" s="59"/>
      <c r="G5" s="59"/>
      <c r="H5" s="64"/>
      <c r="I5" s="99"/>
    </row>
    <row r="6" spans="1:9" ht="12.75">
      <c r="A6" s="60" t="s">
        <v>2</v>
      </c>
      <c r="B6" s="59"/>
      <c r="C6" s="58" t="str">
        <f>'Stavební rozpočet'!D6</f>
        <v>VOŠ, SPŠ a OA Čáslav, Přemysla Otakara II. 938, 286 14 ČÁSLAV</v>
      </c>
      <c r="D6" s="59"/>
      <c r="E6" s="58" t="s">
        <v>147</v>
      </c>
      <c r="F6" s="102" t="str">
        <f>'Stavební rozpočet'!J6</f>
        <v> </v>
      </c>
      <c r="G6" s="100"/>
      <c r="H6" s="101"/>
      <c r="I6" s="99"/>
    </row>
    <row r="7" spans="1:9" ht="12.75">
      <c r="A7" s="65"/>
      <c r="B7" s="59"/>
      <c r="C7" s="59"/>
      <c r="D7" s="59"/>
      <c r="E7" s="59"/>
      <c r="F7" s="100"/>
      <c r="G7" s="100"/>
      <c r="H7" s="101"/>
      <c r="I7" s="99"/>
    </row>
    <row r="8" spans="1:9" ht="12.75">
      <c r="A8" s="60" t="s">
        <v>148</v>
      </c>
      <c r="B8" s="59"/>
      <c r="C8" s="102"/>
      <c r="D8" s="100"/>
      <c r="E8" s="58" t="s">
        <v>132</v>
      </c>
      <c r="F8" s="102"/>
      <c r="G8" s="100"/>
      <c r="H8" s="101"/>
      <c r="I8" s="99"/>
    </row>
    <row r="9" spans="1:9" ht="12.75">
      <c r="A9" s="61"/>
      <c r="B9" s="62"/>
      <c r="C9" s="104"/>
      <c r="D9" s="104"/>
      <c r="E9" s="62"/>
      <c r="F9" s="104"/>
      <c r="G9" s="104"/>
      <c r="H9" s="105"/>
      <c r="I9" s="99"/>
    </row>
    <row r="10" spans="1:9" ht="12.75">
      <c r="A10" s="30" t="s">
        <v>4</v>
      </c>
      <c r="B10" s="31" t="s">
        <v>39</v>
      </c>
      <c r="C10" s="31" t="s">
        <v>40</v>
      </c>
      <c r="D10" s="31" t="s">
        <v>82</v>
      </c>
      <c r="E10" s="31" t="s">
        <v>133</v>
      </c>
      <c r="F10" s="31" t="s">
        <v>83</v>
      </c>
      <c r="G10" s="37" t="s">
        <v>139</v>
      </c>
      <c r="H10" s="28" t="s">
        <v>213</v>
      </c>
      <c r="I10" s="106"/>
    </row>
    <row r="11" spans="1:8" ht="26.25">
      <c r="A11" s="36" t="s">
        <v>6</v>
      </c>
      <c r="B11" s="36"/>
      <c r="C11" s="36" t="s">
        <v>41</v>
      </c>
      <c r="D11" s="50" t="s">
        <v>85</v>
      </c>
      <c r="E11" s="36" t="s">
        <v>134</v>
      </c>
      <c r="F11" s="36" t="s">
        <v>190</v>
      </c>
      <c r="G11" s="38">
        <v>55.35</v>
      </c>
      <c r="H11" s="131"/>
    </row>
    <row r="12" spans="1:8" ht="12.75">
      <c r="A12" s="4" t="s">
        <v>7</v>
      </c>
      <c r="B12" s="4"/>
      <c r="C12" s="4" t="s">
        <v>42</v>
      </c>
      <c r="D12" s="47" t="s">
        <v>86</v>
      </c>
      <c r="E12" s="4" t="s">
        <v>134</v>
      </c>
      <c r="F12" s="4" t="s">
        <v>191</v>
      </c>
      <c r="G12" s="18">
        <v>55.35</v>
      </c>
      <c r="H12" s="114"/>
    </row>
    <row r="13" spans="1:8" ht="12.75">
      <c r="A13" s="4" t="s">
        <v>8</v>
      </c>
      <c r="B13" s="4"/>
      <c r="C13" s="4" t="s">
        <v>43</v>
      </c>
      <c r="D13" s="47" t="s">
        <v>88</v>
      </c>
      <c r="E13" s="4" t="s">
        <v>134</v>
      </c>
      <c r="F13" s="4" t="s">
        <v>192</v>
      </c>
      <c r="G13" s="18">
        <v>45.99</v>
      </c>
      <c r="H13" s="114"/>
    </row>
    <row r="14" spans="1:8" ht="12.75">
      <c r="A14" s="4" t="s">
        <v>9</v>
      </c>
      <c r="B14" s="4"/>
      <c r="C14" s="4" t="s">
        <v>44</v>
      </c>
      <c r="D14" s="47" t="s">
        <v>89</v>
      </c>
      <c r="E14" s="4" t="s">
        <v>134</v>
      </c>
      <c r="F14" s="4" t="s">
        <v>193</v>
      </c>
      <c r="G14" s="18">
        <v>91.98</v>
      </c>
      <c r="H14" s="114"/>
    </row>
    <row r="15" spans="1:8" ht="12.75">
      <c r="A15" s="4" t="s">
        <v>10</v>
      </c>
      <c r="B15" s="4"/>
      <c r="C15" s="4" t="s">
        <v>45</v>
      </c>
      <c r="D15" s="47" t="s">
        <v>90</v>
      </c>
      <c r="E15" s="4" t="s">
        <v>134</v>
      </c>
      <c r="F15" s="4" t="s">
        <v>194</v>
      </c>
      <c r="G15" s="18">
        <v>45.99</v>
      </c>
      <c r="H15" s="114"/>
    </row>
    <row r="16" spans="1:8" ht="12.75">
      <c r="A16" s="4" t="s">
        <v>11</v>
      </c>
      <c r="B16" s="4"/>
      <c r="C16" s="4" t="s">
        <v>46</v>
      </c>
      <c r="D16" s="47" t="s">
        <v>91</v>
      </c>
      <c r="E16" s="4" t="s">
        <v>134</v>
      </c>
      <c r="F16" s="4" t="s">
        <v>194</v>
      </c>
      <c r="G16" s="18">
        <v>45.99</v>
      </c>
      <c r="H16" s="114"/>
    </row>
    <row r="17" spans="1:8" ht="12.75">
      <c r="A17" s="4" t="s">
        <v>12</v>
      </c>
      <c r="B17" s="4"/>
      <c r="C17" s="4" t="s">
        <v>47</v>
      </c>
      <c r="D17" s="47" t="s">
        <v>92</v>
      </c>
      <c r="E17" s="4" t="s">
        <v>134</v>
      </c>
      <c r="F17" s="4" t="s">
        <v>193</v>
      </c>
      <c r="G17" s="18">
        <v>91.98</v>
      </c>
      <c r="H17" s="114"/>
    </row>
    <row r="18" spans="1:8" ht="12.75">
      <c r="A18" s="4" t="s">
        <v>13</v>
      </c>
      <c r="B18" s="4"/>
      <c r="C18" s="4" t="s">
        <v>48</v>
      </c>
      <c r="D18" s="47" t="s">
        <v>94</v>
      </c>
      <c r="E18" s="4" t="s">
        <v>134</v>
      </c>
      <c r="F18" s="4" t="s">
        <v>195</v>
      </c>
      <c r="G18" s="18">
        <v>9.36</v>
      </c>
      <c r="H18" s="114"/>
    </row>
    <row r="19" spans="1:8" ht="12.75">
      <c r="A19" s="4" t="s">
        <v>14</v>
      </c>
      <c r="B19" s="4"/>
      <c r="C19" s="4" t="s">
        <v>49</v>
      </c>
      <c r="D19" s="47" t="s">
        <v>96</v>
      </c>
      <c r="E19" s="4" t="s">
        <v>135</v>
      </c>
      <c r="F19" s="4" t="s">
        <v>196</v>
      </c>
      <c r="G19" s="18">
        <v>307.5</v>
      </c>
      <c r="H19" s="114"/>
    </row>
    <row r="20" spans="1:8" ht="26.25">
      <c r="A20" s="4" t="s">
        <v>15</v>
      </c>
      <c r="B20" s="4"/>
      <c r="C20" s="4" t="s">
        <v>50</v>
      </c>
      <c r="D20" s="47" t="s">
        <v>97</v>
      </c>
      <c r="E20" s="4" t="s">
        <v>135</v>
      </c>
      <c r="F20" s="4" t="s">
        <v>196</v>
      </c>
      <c r="G20" s="18">
        <v>307.5</v>
      </c>
      <c r="H20" s="114"/>
    </row>
    <row r="21" spans="1:8" ht="12.75">
      <c r="A21" s="4" t="s">
        <v>16</v>
      </c>
      <c r="B21" s="4"/>
      <c r="C21" s="4" t="s">
        <v>51</v>
      </c>
      <c r="D21" s="47" t="s">
        <v>99</v>
      </c>
      <c r="E21" s="4" t="s">
        <v>135</v>
      </c>
      <c r="F21" s="4" t="s">
        <v>197</v>
      </c>
      <c r="G21" s="18">
        <v>322.875</v>
      </c>
      <c r="H21" s="114"/>
    </row>
    <row r="22" spans="1:8" ht="12.75">
      <c r="A22" s="6" t="s">
        <v>17</v>
      </c>
      <c r="B22" s="6"/>
      <c r="C22" s="6" t="s">
        <v>52</v>
      </c>
      <c r="D22" s="48" t="s">
        <v>100</v>
      </c>
      <c r="E22" s="6" t="s">
        <v>135</v>
      </c>
      <c r="F22" s="6" t="s">
        <v>198</v>
      </c>
      <c r="G22" s="19">
        <v>339.01875</v>
      </c>
      <c r="H22" s="119"/>
    </row>
    <row r="23" spans="1:8" ht="26.25">
      <c r="A23" s="4" t="s">
        <v>18</v>
      </c>
      <c r="B23" s="4"/>
      <c r="C23" s="4" t="s">
        <v>53</v>
      </c>
      <c r="D23" s="47" t="s">
        <v>102</v>
      </c>
      <c r="E23" s="4" t="s">
        <v>134</v>
      </c>
      <c r="F23" s="4" t="s">
        <v>199</v>
      </c>
      <c r="G23" s="18">
        <v>50.7375</v>
      </c>
      <c r="H23" s="114"/>
    </row>
    <row r="24" spans="1:8" ht="12.75">
      <c r="A24" s="4" t="s">
        <v>19</v>
      </c>
      <c r="B24" s="4"/>
      <c r="C24" s="4" t="s">
        <v>54</v>
      </c>
      <c r="D24" s="47" t="s">
        <v>103</v>
      </c>
      <c r="E24" s="4" t="s">
        <v>136</v>
      </c>
      <c r="F24" s="4" t="s">
        <v>200</v>
      </c>
      <c r="G24" s="18">
        <v>1.9926</v>
      </c>
      <c r="H24" s="114"/>
    </row>
    <row r="25" spans="1:8" ht="26.25">
      <c r="A25" s="4" t="s">
        <v>20</v>
      </c>
      <c r="B25" s="4"/>
      <c r="C25" s="4" t="s">
        <v>54</v>
      </c>
      <c r="D25" s="47" t="s">
        <v>104</v>
      </c>
      <c r="E25" s="4" t="s">
        <v>136</v>
      </c>
      <c r="F25" s="4" t="s">
        <v>201</v>
      </c>
      <c r="G25" s="18">
        <v>0.60912</v>
      </c>
      <c r="H25" s="114"/>
    </row>
    <row r="26" spans="1:8" ht="12.75">
      <c r="A26" s="4" t="s">
        <v>21</v>
      </c>
      <c r="B26" s="4"/>
      <c r="C26" s="4" t="s">
        <v>55</v>
      </c>
      <c r="D26" s="47" t="s">
        <v>105</v>
      </c>
      <c r="E26" s="4" t="s">
        <v>137</v>
      </c>
      <c r="F26" s="4" t="s">
        <v>14</v>
      </c>
      <c r="G26" s="18">
        <v>9</v>
      </c>
      <c r="H26" s="114"/>
    </row>
    <row r="27" spans="1:8" ht="12.75">
      <c r="A27" s="4" t="s">
        <v>22</v>
      </c>
      <c r="B27" s="4"/>
      <c r="C27" s="4" t="s">
        <v>56</v>
      </c>
      <c r="D27" s="47" t="s">
        <v>106</v>
      </c>
      <c r="E27" s="4" t="s">
        <v>137</v>
      </c>
      <c r="F27" s="4" t="s">
        <v>16</v>
      </c>
      <c r="G27" s="18">
        <v>11</v>
      </c>
      <c r="H27" s="114"/>
    </row>
    <row r="28" spans="1:8" ht="12.75">
      <c r="A28" s="4" t="s">
        <v>23</v>
      </c>
      <c r="B28" s="4"/>
      <c r="C28" s="4" t="s">
        <v>57</v>
      </c>
      <c r="D28" s="47" t="s">
        <v>107</v>
      </c>
      <c r="E28" s="4" t="s">
        <v>138</v>
      </c>
      <c r="F28" s="4" t="s">
        <v>21</v>
      </c>
      <c r="G28" s="18">
        <v>16</v>
      </c>
      <c r="H28" s="114"/>
    </row>
    <row r="29" spans="1:8" ht="12.75">
      <c r="A29" s="4" t="s">
        <v>24</v>
      </c>
      <c r="B29" s="4"/>
      <c r="C29" s="4" t="s">
        <v>59</v>
      </c>
      <c r="D29" s="47" t="s">
        <v>109</v>
      </c>
      <c r="E29" s="4" t="s">
        <v>135</v>
      </c>
      <c r="F29" s="4" t="s">
        <v>197</v>
      </c>
      <c r="G29" s="18">
        <v>322.875</v>
      </c>
      <c r="H29" s="114"/>
    </row>
    <row r="30" spans="1:8" ht="12.75">
      <c r="A30" s="4" t="s">
        <v>25</v>
      </c>
      <c r="B30" s="4"/>
      <c r="C30" s="4" t="s">
        <v>60</v>
      </c>
      <c r="D30" s="47" t="s">
        <v>110</v>
      </c>
      <c r="E30" s="4" t="s">
        <v>136</v>
      </c>
      <c r="F30" s="126"/>
      <c r="G30" s="18">
        <v>0.46494</v>
      </c>
      <c r="H30" s="114"/>
    </row>
    <row r="31" spans="1:8" ht="12.75">
      <c r="A31" s="4" t="s">
        <v>26</v>
      </c>
      <c r="B31" s="4"/>
      <c r="C31" s="4" t="s">
        <v>62</v>
      </c>
      <c r="D31" s="47" t="s">
        <v>112</v>
      </c>
      <c r="E31" s="4" t="s">
        <v>138</v>
      </c>
      <c r="F31" s="4" t="s">
        <v>18</v>
      </c>
      <c r="G31" s="18">
        <v>13</v>
      </c>
      <c r="H31" s="114"/>
    </row>
    <row r="32" spans="1:8" ht="12.75">
      <c r="A32" s="4" t="s">
        <v>27</v>
      </c>
      <c r="B32" s="4"/>
      <c r="C32" s="4" t="s">
        <v>63</v>
      </c>
      <c r="D32" s="47" t="s">
        <v>113</v>
      </c>
      <c r="E32" s="4" t="s">
        <v>136</v>
      </c>
      <c r="F32" s="126"/>
      <c r="G32" s="18">
        <v>0.078</v>
      </c>
      <c r="H32" s="114"/>
    </row>
    <row r="33" spans="1:8" ht="12.75">
      <c r="A33" s="4" t="s">
        <v>28</v>
      </c>
      <c r="B33" s="4"/>
      <c r="C33" s="4" t="s">
        <v>65</v>
      </c>
      <c r="D33" s="47" t="s">
        <v>115</v>
      </c>
      <c r="E33" s="4" t="s">
        <v>135</v>
      </c>
      <c r="F33" s="4" t="s">
        <v>202</v>
      </c>
      <c r="G33" s="18">
        <v>77.5</v>
      </c>
      <c r="H33" s="114"/>
    </row>
    <row r="34" spans="1:8" ht="26.25">
      <c r="A34" s="4" t="s">
        <v>29</v>
      </c>
      <c r="B34" s="4"/>
      <c r="C34" s="4" t="s">
        <v>67</v>
      </c>
      <c r="D34" s="47" t="s">
        <v>117</v>
      </c>
      <c r="E34" s="4" t="s">
        <v>135</v>
      </c>
      <c r="F34" s="4" t="s">
        <v>196</v>
      </c>
      <c r="G34" s="18">
        <v>307.5</v>
      </c>
      <c r="H34" s="114"/>
    </row>
    <row r="35" spans="1:8" ht="26.25">
      <c r="A35" s="4" t="s">
        <v>30</v>
      </c>
      <c r="B35" s="4"/>
      <c r="C35" s="4" t="s">
        <v>69</v>
      </c>
      <c r="D35" s="47" t="s">
        <v>119</v>
      </c>
      <c r="E35" s="4" t="s">
        <v>134</v>
      </c>
      <c r="F35" s="126"/>
      <c r="G35" s="18">
        <v>38.4375</v>
      </c>
      <c r="H35" s="114"/>
    </row>
    <row r="36" spans="1:7" ht="12.75">
      <c r="A36" s="126"/>
      <c r="B36" s="126"/>
      <c r="C36" s="126"/>
      <c r="D36" s="133"/>
      <c r="E36" s="126"/>
      <c r="F36" s="4" t="s">
        <v>203</v>
      </c>
      <c r="G36" s="18">
        <v>14.2125</v>
      </c>
    </row>
    <row r="37" spans="1:7" ht="12.75">
      <c r="A37" s="4"/>
      <c r="B37" s="4"/>
      <c r="C37" s="4"/>
      <c r="D37" s="47"/>
      <c r="E37" s="4"/>
      <c r="F37" s="4" t="s">
        <v>204</v>
      </c>
      <c r="G37" s="18">
        <v>13.9</v>
      </c>
    </row>
    <row r="38" spans="1:7" ht="12.75">
      <c r="A38" s="4"/>
      <c r="B38" s="4"/>
      <c r="C38" s="4"/>
      <c r="D38" s="47"/>
      <c r="E38" s="4"/>
      <c r="F38" s="4" t="s">
        <v>205</v>
      </c>
      <c r="G38" s="18">
        <v>9.6875</v>
      </c>
    </row>
    <row r="39" spans="1:7" ht="12.75">
      <c r="A39" s="4"/>
      <c r="B39" s="4"/>
      <c r="C39" s="4"/>
      <c r="D39" s="47"/>
      <c r="E39" s="4"/>
      <c r="F39" s="4" t="s">
        <v>206</v>
      </c>
      <c r="G39" s="18">
        <v>0.6375</v>
      </c>
    </row>
    <row r="40" spans="1:8" ht="12.75">
      <c r="A40" s="4" t="s">
        <v>31</v>
      </c>
      <c r="B40" s="4"/>
      <c r="C40" s="4" t="s">
        <v>71</v>
      </c>
      <c r="D40" s="47" t="s">
        <v>121</v>
      </c>
      <c r="E40" s="4" t="s">
        <v>136</v>
      </c>
      <c r="F40" s="4" t="s">
        <v>207</v>
      </c>
      <c r="G40" s="18">
        <v>290.66354</v>
      </c>
      <c r="H40" s="114"/>
    </row>
    <row r="41" spans="1:8" ht="12.75">
      <c r="A41" s="4" t="s">
        <v>32</v>
      </c>
      <c r="B41" s="4"/>
      <c r="C41" s="4" t="s">
        <v>73</v>
      </c>
      <c r="D41" s="47" t="s">
        <v>123</v>
      </c>
      <c r="E41" s="4" t="s">
        <v>136</v>
      </c>
      <c r="F41" s="4" t="s">
        <v>208</v>
      </c>
      <c r="G41" s="18">
        <v>84.64</v>
      </c>
      <c r="H41" s="114"/>
    </row>
    <row r="42" spans="1:8" ht="12.75">
      <c r="A42" s="4" t="s">
        <v>33</v>
      </c>
      <c r="B42" s="4"/>
      <c r="C42" s="4" t="s">
        <v>74</v>
      </c>
      <c r="D42" s="47" t="s">
        <v>124</v>
      </c>
      <c r="E42" s="4" t="s">
        <v>136</v>
      </c>
      <c r="F42" s="4" t="s">
        <v>209</v>
      </c>
      <c r="G42" s="18">
        <v>253.92</v>
      </c>
      <c r="H42" s="114"/>
    </row>
    <row r="43" spans="1:8" ht="12.75">
      <c r="A43" s="4" t="s">
        <v>34</v>
      </c>
      <c r="B43" s="4"/>
      <c r="C43" s="4" t="s">
        <v>75</v>
      </c>
      <c r="D43" s="47" t="s">
        <v>125</v>
      </c>
      <c r="E43" s="4" t="s">
        <v>136</v>
      </c>
      <c r="F43" s="4" t="s">
        <v>208</v>
      </c>
      <c r="G43" s="18">
        <v>84.64</v>
      </c>
      <c r="H43" s="114"/>
    </row>
    <row r="44" spans="1:8" ht="12.75">
      <c r="A44" s="4" t="s">
        <v>35</v>
      </c>
      <c r="B44" s="4"/>
      <c r="C44" s="4" t="s">
        <v>76</v>
      </c>
      <c r="D44" s="47" t="s">
        <v>126</v>
      </c>
      <c r="E44" s="4" t="s">
        <v>136</v>
      </c>
      <c r="F44" s="4" t="s">
        <v>210</v>
      </c>
      <c r="G44" s="18">
        <v>169.28</v>
      </c>
      <c r="H44" s="114"/>
    </row>
    <row r="45" spans="1:8" ht="12.75">
      <c r="A45" s="4" t="s">
        <v>36</v>
      </c>
      <c r="B45" s="4"/>
      <c r="C45" s="4" t="s">
        <v>77</v>
      </c>
      <c r="D45" s="47" t="s">
        <v>127</v>
      </c>
      <c r="E45" s="4" t="s">
        <v>136</v>
      </c>
      <c r="F45" s="4" t="s">
        <v>211</v>
      </c>
      <c r="G45" s="18">
        <v>84.5625</v>
      </c>
      <c r="H45" s="114"/>
    </row>
    <row r="46" spans="1:8" ht="12.75">
      <c r="A46" s="4" t="s">
        <v>37</v>
      </c>
      <c r="B46" s="4"/>
      <c r="C46" s="4" t="s">
        <v>78</v>
      </c>
      <c r="D46" s="47" t="s">
        <v>128</v>
      </c>
      <c r="E46" s="4" t="s">
        <v>136</v>
      </c>
      <c r="F46" s="4" t="s">
        <v>212</v>
      </c>
      <c r="G46" s="18">
        <v>0.00775</v>
      </c>
      <c r="H46" s="114"/>
    </row>
    <row r="48" ht="11.25" customHeight="1">
      <c r="A48" s="132" t="s">
        <v>38</v>
      </c>
    </row>
    <row r="49" spans="1:7" ht="12.75">
      <c r="A49" s="102"/>
      <c r="B49" s="100"/>
      <c r="C49" s="100"/>
      <c r="D49" s="100"/>
      <c r="E49" s="100"/>
      <c r="F49" s="100"/>
      <c r="G49" s="100"/>
    </row>
  </sheetData>
  <sheetProtection password="CC2B" sheet="1"/>
  <mergeCells count="18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49:G49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4" right="0.394" top="0.591" bottom="0.591" header="0.5" footer="0.5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:I1"/>
    </sheetView>
  </sheetViews>
  <sheetFormatPr defaultColWidth="11.57421875" defaultRowHeight="12.75"/>
  <cols>
    <col min="1" max="1" width="9.140625" style="96" customWidth="1"/>
    <col min="2" max="2" width="12.8515625" style="96" customWidth="1"/>
    <col min="3" max="3" width="22.8515625" style="96" customWidth="1"/>
    <col min="4" max="4" width="10.00390625" style="96" customWidth="1"/>
    <col min="5" max="5" width="14.00390625" style="96" customWidth="1"/>
    <col min="6" max="6" width="22.8515625" style="96" customWidth="1"/>
    <col min="7" max="7" width="9.140625" style="96" customWidth="1"/>
    <col min="8" max="8" width="12.8515625" style="96" customWidth="1"/>
    <col min="9" max="9" width="22.8515625" style="96" customWidth="1"/>
    <col min="10" max="16384" width="11.57421875" style="96" customWidth="1"/>
  </cols>
  <sheetData>
    <row r="1" spans="1:9" ht="36" customHeight="1">
      <c r="A1" s="94" t="s">
        <v>277</v>
      </c>
      <c r="B1" s="94"/>
      <c r="C1" s="94"/>
      <c r="D1" s="94"/>
      <c r="E1" s="94"/>
      <c r="F1" s="94"/>
      <c r="G1" s="94"/>
      <c r="H1" s="94"/>
      <c r="I1" s="94"/>
    </row>
    <row r="2" spans="1:10" ht="12.75">
      <c r="A2" s="67" t="s">
        <v>0</v>
      </c>
      <c r="B2" s="68"/>
      <c r="C2" s="69" t="str">
        <f>'Stavební rozpočet'!D2</f>
        <v>OPRAVA DÍLEN A ODBORNÝCH UČEBEN</v>
      </c>
      <c r="D2" s="57"/>
      <c r="E2" s="72" t="s">
        <v>145</v>
      </c>
      <c r="F2" s="72" t="str">
        <f>'Stavební rozpočet'!J2</f>
        <v>VOŠ, SPŠ a OA Čáslav, Přemysla Otakara II. 938, 28</v>
      </c>
      <c r="G2" s="68"/>
      <c r="H2" s="72" t="s">
        <v>253</v>
      </c>
      <c r="I2" s="93" t="s">
        <v>257</v>
      </c>
      <c r="J2" s="99"/>
    </row>
    <row r="3" spans="1:10" ht="12.75">
      <c r="A3" s="65"/>
      <c r="B3" s="59"/>
      <c r="C3" s="70"/>
      <c r="D3" s="70"/>
      <c r="E3" s="59"/>
      <c r="F3" s="59"/>
      <c r="G3" s="59"/>
      <c r="H3" s="59"/>
      <c r="I3" s="64"/>
      <c r="J3" s="99"/>
    </row>
    <row r="4" spans="1:10" ht="12.75">
      <c r="A4" s="60" t="s">
        <v>1</v>
      </c>
      <c r="B4" s="59"/>
      <c r="C4" s="58" t="str">
        <f>'Stavební rozpočet'!D4</f>
        <v>OPRAVA PODLAH</v>
      </c>
      <c r="D4" s="59"/>
      <c r="E4" s="58" t="s">
        <v>146</v>
      </c>
      <c r="F4" s="58" t="str">
        <f>'Stavební rozpočet'!J4</f>
        <v>Arplan s.r.o., Ječná 505/2, 120 00 Praha 2</v>
      </c>
      <c r="G4" s="59"/>
      <c r="H4" s="58" t="s">
        <v>253</v>
      </c>
      <c r="I4" s="92" t="s">
        <v>258</v>
      </c>
      <c r="J4" s="99"/>
    </row>
    <row r="5" spans="1:10" ht="12.75">
      <c r="A5" s="65"/>
      <c r="B5" s="59"/>
      <c r="C5" s="59"/>
      <c r="D5" s="59"/>
      <c r="E5" s="59"/>
      <c r="F5" s="59"/>
      <c r="G5" s="59"/>
      <c r="H5" s="59"/>
      <c r="I5" s="64"/>
      <c r="J5" s="99"/>
    </row>
    <row r="6" spans="1:10" ht="12.75">
      <c r="A6" s="60" t="s">
        <v>2</v>
      </c>
      <c r="B6" s="59"/>
      <c r="C6" s="58" t="str">
        <f>'Stavební rozpočet'!D6</f>
        <v>VOŠ, SPŠ a OA Čáslav, Přemysla Otakara II. 938, 286 14 ČÁSLAV</v>
      </c>
      <c r="D6" s="59"/>
      <c r="E6" s="58" t="s">
        <v>147</v>
      </c>
      <c r="F6" s="102" t="str">
        <f>'Stavební rozpočet'!J6</f>
        <v> </v>
      </c>
      <c r="G6" s="100"/>
      <c r="H6" s="58" t="s">
        <v>253</v>
      </c>
      <c r="I6" s="134"/>
      <c r="J6" s="99"/>
    </row>
    <row r="7" spans="1:10" ht="12.75">
      <c r="A7" s="65"/>
      <c r="B7" s="59"/>
      <c r="C7" s="59"/>
      <c r="D7" s="59"/>
      <c r="E7" s="59"/>
      <c r="F7" s="100"/>
      <c r="G7" s="100"/>
      <c r="H7" s="59"/>
      <c r="I7" s="101"/>
      <c r="J7" s="99"/>
    </row>
    <row r="8" spans="1:10" ht="12.75">
      <c r="A8" s="60" t="s">
        <v>130</v>
      </c>
      <c r="B8" s="59"/>
      <c r="C8" s="102"/>
      <c r="D8" s="100"/>
      <c r="E8" s="58" t="s">
        <v>131</v>
      </c>
      <c r="F8" s="102" t="str">
        <f>'Stavební rozpočet'!G6</f>
        <v> </v>
      </c>
      <c r="G8" s="100"/>
      <c r="H8" s="63" t="s">
        <v>254</v>
      </c>
      <c r="I8" s="92" t="s">
        <v>37</v>
      </c>
      <c r="J8" s="99"/>
    </row>
    <row r="9" spans="1:10" ht="12.75">
      <c r="A9" s="65"/>
      <c r="B9" s="59"/>
      <c r="C9" s="100"/>
      <c r="D9" s="100"/>
      <c r="E9" s="59"/>
      <c r="F9" s="100"/>
      <c r="G9" s="100"/>
      <c r="H9" s="59"/>
      <c r="I9" s="64"/>
      <c r="J9" s="99"/>
    </row>
    <row r="10" spans="1:10" ht="12.75">
      <c r="A10" s="60" t="s">
        <v>3</v>
      </c>
      <c r="B10" s="59"/>
      <c r="C10" s="102" t="str">
        <f>'Stavební rozpočet'!D8</f>
        <v> </v>
      </c>
      <c r="D10" s="100"/>
      <c r="E10" s="58" t="s">
        <v>148</v>
      </c>
      <c r="F10" s="102">
        <f>'Stavební rozpočet'!J8</f>
        <v>0</v>
      </c>
      <c r="G10" s="100"/>
      <c r="H10" s="63" t="s">
        <v>255</v>
      </c>
      <c r="I10" s="135"/>
      <c r="J10" s="99"/>
    </row>
    <row r="11" spans="1:10" ht="12.75">
      <c r="A11" s="90"/>
      <c r="B11" s="91"/>
      <c r="C11" s="136"/>
      <c r="D11" s="136"/>
      <c r="E11" s="91"/>
      <c r="F11" s="136"/>
      <c r="G11" s="136"/>
      <c r="H11" s="91"/>
      <c r="I11" s="137"/>
      <c r="J11" s="99"/>
    </row>
    <row r="12" spans="1:9" ht="23.25" customHeight="1">
      <c r="A12" s="86" t="s">
        <v>214</v>
      </c>
      <c r="B12" s="87"/>
      <c r="C12" s="87"/>
      <c r="D12" s="87"/>
      <c r="E12" s="87"/>
      <c r="F12" s="87"/>
      <c r="G12" s="87"/>
      <c r="H12" s="87"/>
      <c r="I12" s="87"/>
    </row>
    <row r="13" spans="1:10" ht="26.25" customHeight="1">
      <c r="A13" s="39" t="s">
        <v>215</v>
      </c>
      <c r="B13" s="88" t="s">
        <v>227</v>
      </c>
      <c r="C13" s="89"/>
      <c r="D13" s="39" t="s">
        <v>229</v>
      </c>
      <c r="E13" s="88" t="s">
        <v>238</v>
      </c>
      <c r="F13" s="89"/>
      <c r="G13" s="39" t="s">
        <v>239</v>
      </c>
      <c r="H13" s="88" t="s">
        <v>256</v>
      </c>
      <c r="I13" s="89"/>
      <c r="J13" s="99"/>
    </row>
    <row r="14" spans="1:10" ht="15" customHeight="1">
      <c r="A14" s="40" t="s">
        <v>216</v>
      </c>
      <c r="B14" s="44" t="s">
        <v>228</v>
      </c>
      <c r="C14" s="138">
        <f>SUM('Stavební rozpočet'!R12:R56)</f>
        <v>0</v>
      </c>
      <c r="D14" s="84" t="s">
        <v>230</v>
      </c>
      <c r="E14" s="85"/>
      <c r="F14" s="51" t="s">
        <v>259</v>
      </c>
      <c r="G14" s="84" t="s">
        <v>240</v>
      </c>
      <c r="H14" s="85"/>
      <c r="I14" s="139">
        <v>0</v>
      </c>
      <c r="J14" s="99"/>
    </row>
    <row r="15" spans="1:10" ht="15" customHeight="1">
      <c r="A15" s="41"/>
      <c r="B15" s="44" t="s">
        <v>149</v>
      </c>
      <c r="C15" s="138">
        <f>SUM('Stavební rozpočet'!S12:S56)</f>
        <v>0</v>
      </c>
      <c r="D15" s="84" t="s">
        <v>231</v>
      </c>
      <c r="E15" s="85"/>
      <c r="F15" s="51" t="s">
        <v>259</v>
      </c>
      <c r="G15" s="84" t="s">
        <v>241</v>
      </c>
      <c r="H15" s="85"/>
      <c r="I15" s="139">
        <v>0</v>
      </c>
      <c r="J15" s="99"/>
    </row>
    <row r="16" spans="1:10" ht="15" customHeight="1">
      <c r="A16" s="40" t="s">
        <v>217</v>
      </c>
      <c r="B16" s="44" t="s">
        <v>228</v>
      </c>
      <c r="C16" s="138">
        <f>SUM('Stavební rozpočet'!T12:T56)</f>
        <v>0</v>
      </c>
      <c r="D16" s="84" t="s">
        <v>232</v>
      </c>
      <c r="E16" s="85"/>
      <c r="F16" s="51" t="s">
        <v>259</v>
      </c>
      <c r="G16" s="84" t="s">
        <v>242</v>
      </c>
      <c r="H16" s="85"/>
      <c r="I16" s="139">
        <v>0</v>
      </c>
      <c r="J16" s="99"/>
    </row>
    <row r="17" spans="1:10" ht="15" customHeight="1">
      <c r="A17" s="41"/>
      <c r="B17" s="44" t="s">
        <v>149</v>
      </c>
      <c r="C17" s="138">
        <f>SUM('Stavební rozpočet'!U12:U56)</f>
        <v>0</v>
      </c>
      <c r="D17" s="84"/>
      <c r="E17" s="85"/>
      <c r="F17" s="46"/>
      <c r="G17" s="84" t="s">
        <v>243</v>
      </c>
      <c r="H17" s="85"/>
      <c r="I17" s="139">
        <v>0</v>
      </c>
      <c r="J17" s="99"/>
    </row>
    <row r="18" spans="1:10" ht="15" customHeight="1">
      <c r="A18" s="40" t="s">
        <v>218</v>
      </c>
      <c r="B18" s="44" t="s">
        <v>228</v>
      </c>
      <c r="C18" s="138">
        <f>SUM('Stavební rozpočet'!V12:V56)</f>
        <v>0</v>
      </c>
      <c r="D18" s="84"/>
      <c r="E18" s="85"/>
      <c r="F18" s="46"/>
      <c r="G18" s="84" t="s">
        <v>244</v>
      </c>
      <c r="H18" s="85"/>
      <c r="I18" s="51" t="s">
        <v>259</v>
      </c>
      <c r="J18" s="99"/>
    </row>
    <row r="19" spans="1:10" ht="15" customHeight="1">
      <c r="A19" s="41"/>
      <c r="B19" s="44" t="s">
        <v>149</v>
      </c>
      <c r="C19" s="138">
        <f>SUM('Stavební rozpočet'!W12:W56)</f>
        <v>0</v>
      </c>
      <c r="D19" s="84"/>
      <c r="E19" s="85"/>
      <c r="F19" s="46"/>
      <c r="G19" s="84" t="s">
        <v>245</v>
      </c>
      <c r="H19" s="85"/>
      <c r="I19" s="51" t="s">
        <v>259</v>
      </c>
      <c r="J19" s="99"/>
    </row>
    <row r="20" spans="1:10" ht="15" customHeight="1">
      <c r="A20" s="82" t="s">
        <v>219</v>
      </c>
      <c r="B20" s="83"/>
      <c r="C20" s="138">
        <f>SUM('Stavební rozpočet'!X12:X56)</f>
        <v>0</v>
      </c>
      <c r="D20" s="84"/>
      <c r="E20" s="85"/>
      <c r="F20" s="46"/>
      <c r="G20" s="84"/>
      <c r="H20" s="85"/>
      <c r="I20" s="140"/>
      <c r="J20" s="99"/>
    </row>
    <row r="21" spans="1:10" ht="15" customHeight="1">
      <c r="A21" s="82" t="s">
        <v>220</v>
      </c>
      <c r="B21" s="83"/>
      <c r="C21" s="138">
        <f>SUM('Stavební rozpočet'!P12:P56)</f>
        <v>0</v>
      </c>
      <c r="D21" s="84"/>
      <c r="E21" s="85"/>
      <c r="F21" s="46"/>
      <c r="G21" s="84"/>
      <c r="H21" s="85"/>
      <c r="I21" s="140"/>
      <c r="J21" s="99"/>
    </row>
    <row r="22" spans="1:10" ht="16.5" customHeight="1">
      <c r="A22" s="82" t="s">
        <v>221</v>
      </c>
      <c r="B22" s="83"/>
      <c r="C22" s="138">
        <f>SUM(C14:C21)</f>
        <v>0</v>
      </c>
      <c r="D22" s="82" t="s">
        <v>233</v>
      </c>
      <c r="E22" s="83"/>
      <c r="F22" s="138">
        <f>SUM(F14:F21)</f>
        <v>0</v>
      </c>
      <c r="G22" s="82" t="s">
        <v>246</v>
      </c>
      <c r="H22" s="83"/>
      <c r="I22" s="138">
        <f>SUM(I14:I21)</f>
        <v>0</v>
      </c>
      <c r="J22" s="99"/>
    </row>
    <row r="23" spans="1:10" ht="15" customHeight="1">
      <c r="A23" s="122"/>
      <c r="B23" s="122"/>
      <c r="C23" s="141"/>
      <c r="D23" s="82" t="s">
        <v>234</v>
      </c>
      <c r="E23" s="83"/>
      <c r="F23" s="142">
        <v>0</v>
      </c>
      <c r="G23" s="82" t="s">
        <v>247</v>
      </c>
      <c r="H23" s="83"/>
      <c r="I23" s="138">
        <v>0</v>
      </c>
      <c r="J23" s="99"/>
    </row>
    <row r="24" spans="4:10" ht="15" customHeight="1">
      <c r="D24" s="122"/>
      <c r="E24" s="122"/>
      <c r="F24" s="143"/>
      <c r="G24" s="82" t="s">
        <v>248</v>
      </c>
      <c r="H24" s="83"/>
      <c r="I24" s="138">
        <v>0</v>
      </c>
      <c r="J24" s="99"/>
    </row>
    <row r="25" spans="6:10" ht="15" customHeight="1">
      <c r="F25" s="144"/>
      <c r="G25" s="82" t="s">
        <v>249</v>
      </c>
      <c r="H25" s="83"/>
      <c r="I25" s="138">
        <v>0</v>
      </c>
      <c r="J25" s="99"/>
    </row>
    <row r="26" spans="1:9" ht="12.75">
      <c r="A26" s="145"/>
      <c r="B26" s="145"/>
      <c r="C26" s="145"/>
      <c r="G26" s="122"/>
      <c r="H26" s="122"/>
      <c r="I26" s="122"/>
    </row>
    <row r="27" spans="1:9" ht="15" customHeight="1">
      <c r="A27" s="77" t="s">
        <v>222</v>
      </c>
      <c r="B27" s="78"/>
      <c r="C27" s="146">
        <f>SUM('Stavební rozpočet'!Z12:Z56)</f>
        <v>0</v>
      </c>
      <c r="D27" s="147"/>
      <c r="E27" s="145"/>
      <c r="F27" s="145"/>
      <c r="G27" s="145"/>
      <c r="H27" s="145"/>
      <c r="I27" s="145"/>
    </row>
    <row r="28" spans="1:10" ht="15" customHeight="1">
      <c r="A28" s="77" t="s">
        <v>223</v>
      </c>
      <c r="B28" s="78"/>
      <c r="C28" s="146">
        <f>SUM('Stavební rozpočet'!AA12:AA56)</f>
        <v>0</v>
      </c>
      <c r="D28" s="77" t="s">
        <v>235</v>
      </c>
      <c r="E28" s="78"/>
      <c r="F28" s="146">
        <f>ROUND(C28*(15/100),2)</f>
        <v>0</v>
      </c>
      <c r="G28" s="77" t="s">
        <v>250</v>
      </c>
      <c r="H28" s="78"/>
      <c r="I28" s="146">
        <f>SUM(C27:C29)</f>
        <v>0</v>
      </c>
      <c r="J28" s="99"/>
    </row>
    <row r="29" spans="1:10" ht="15" customHeight="1">
      <c r="A29" s="77" t="s">
        <v>224</v>
      </c>
      <c r="B29" s="78"/>
      <c r="C29" s="146">
        <f>SUM('Stavební rozpočet'!AB12:AB56)+(F22+I22+F23+I23+I24+I25)</f>
        <v>0</v>
      </c>
      <c r="D29" s="77" t="s">
        <v>236</v>
      </c>
      <c r="E29" s="78"/>
      <c r="F29" s="146">
        <f>ROUND(C29*(21/100),2)</f>
        <v>0</v>
      </c>
      <c r="G29" s="77" t="s">
        <v>251</v>
      </c>
      <c r="H29" s="78"/>
      <c r="I29" s="146">
        <f>SUM(F28:F29)+I28</f>
        <v>0</v>
      </c>
      <c r="J29" s="99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25" customHeight="1">
      <c r="A31" s="79" t="s">
        <v>225</v>
      </c>
      <c r="B31" s="80"/>
      <c r="C31" s="81"/>
      <c r="D31" s="79" t="s">
        <v>237</v>
      </c>
      <c r="E31" s="80"/>
      <c r="F31" s="81"/>
      <c r="G31" s="79" t="s">
        <v>252</v>
      </c>
      <c r="H31" s="80"/>
      <c r="I31" s="81"/>
      <c r="J31" s="106"/>
    </row>
    <row r="32" spans="1:10" ht="14.25" customHeight="1">
      <c r="A32" s="148"/>
      <c r="B32" s="149"/>
      <c r="C32" s="150"/>
      <c r="D32" s="148"/>
      <c r="E32" s="149"/>
      <c r="F32" s="150"/>
      <c r="G32" s="148"/>
      <c r="H32" s="149"/>
      <c r="I32" s="150"/>
      <c r="J32" s="106"/>
    </row>
    <row r="33" spans="1:10" ht="14.25" customHeight="1">
      <c r="A33" s="148"/>
      <c r="B33" s="149"/>
      <c r="C33" s="150"/>
      <c r="D33" s="148"/>
      <c r="E33" s="149"/>
      <c r="F33" s="150"/>
      <c r="G33" s="148"/>
      <c r="H33" s="149"/>
      <c r="I33" s="150"/>
      <c r="J33" s="106"/>
    </row>
    <row r="34" spans="1:10" ht="14.25" customHeight="1">
      <c r="A34" s="148"/>
      <c r="B34" s="149"/>
      <c r="C34" s="150"/>
      <c r="D34" s="148"/>
      <c r="E34" s="149"/>
      <c r="F34" s="150"/>
      <c r="G34" s="148"/>
      <c r="H34" s="149"/>
      <c r="I34" s="150"/>
      <c r="J34" s="106"/>
    </row>
    <row r="35" spans="1:10" ht="14.25" customHeight="1">
      <c r="A35" s="74" t="s">
        <v>226</v>
      </c>
      <c r="B35" s="75"/>
      <c r="C35" s="76"/>
      <c r="D35" s="74" t="s">
        <v>226</v>
      </c>
      <c r="E35" s="75"/>
      <c r="F35" s="76"/>
      <c r="G35" s="74" t="s">
        <v>226</v>
      </c>
      <c r="H35" s="75"/>
      <c r="I35" s="76"/>
      <c r="J35" s="106"/>
    </row>
    <row r="36" spans="1:9" ht="11.25" customHeight="1">
      <c r="A36" s="43" t="s">
        <v>38</v>
      </c>
      <c r="B36" s="45"/>
      <c r="C36" s="45"/>
      <c r="D36" s="45"/>
      <c r="E36" s="45"/>
      <c r="F36" s="45"/>
      <c r="G36" s="45"/>
      <c r="H36" s="45"/>
      <c r="I36" s="45"/>
    </row>
    <row r="37" spans="1:9" ht="12.75">
      <c r="A37" s="102"/>
      <c r="B37" s="100"/>
      <c r="C37" s="100"/>
      <c r="D37" s="100"/>
      <c r="E37" s="100"/>
      <c r="F37" s="100"/>
      <c r="G37" s="100"/>
      <c r="H37" s="100"/>
      <c r="I37" s="100"/>
    </row>
  </sheetData>
  <sheetProtection password="CC2B" sheet="1"/>
  <mergeCells count="83"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37:I37"/>
    <mergeCell ref="A1:I1"/>
    <mergeCell ref="A34:C34"/>
    <mergeCell ref="D34:F34"/>
    <mergeCell ref="G34:I34"/>
    <mergeCell ref="A35:C35"/>
    <mergeCell ref="D35:F35"/>
    <mergeCell ref="G35:I35"/>
    <mergeCell ref="A32:C32"/>
    <mergeCell ref="D32:F32"/>
  </mergeCells>
  <printOptions/>
  <pageMargins left="0.394" right="0.394" top="0.591" bottom="0.59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Semerád</cp:lastModifiedBy>
  <cp:lastPrinted>2018-02-08T19:42:38Z</cp:lastPrinted>
  <dcterms:modified xsi:type="dcterms:W3CDTF">2018-02-08T19:50:25Z</dcterms:modified>
  <cp:category/>
  <cp:version/>
  <cp:contentType/>
  <cp:contentStatus/>
</cp:coreProperties>
</file>