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PETR\Documents\A_WORK\AIRES\PROJEKTY\2023\11_HOSTIVICE\ROZPOCET\"/>
    </mc:Choice>
  </mc:AlternateContent>
  <xr:revisionPtr revIDLastSave="0" documentId="13_ncr:1_{5F6627A1-143C-43F1-9A58-B64320D88BEF}" xr6:coauthVersionLast="47" xr6:coauthVersionMax="47" xr10:uidLastSave="{00000000-0000-0000-0000-000000000000}"/>
  <bookViews>
    <workbookView xWindow="-120" yWindow="-120" windowWidth="29040" windowHeight="15840" tabRatio="890" activeTab="9" xr2:uid="{00000000-000D-0000-FFFF-FFFF00000000}"/>
  </bookViews>
  <sheets>
    <sheet name="Rekapitulace stavby" sheetId="1" r:id="rId1"/>
    <sheet name="01 - Bourací práce" sheetId="2" r:id="rId2"/>
    <sheet name="02 - Nové konstrukce" sheetId="3" r:id="rId3"/>
    <sheet name="zdravotechnika" sheetId="6" r:id="rId4"/>
    <sheet name="plyn" sheetId="7" r:id="rId5"/>
    <sheet name="vytapeni" sheetId="8" r:id="rId6"/>
    <sheet name="elektroinstalace" sheetId="9" r:id="rId7"/>
    <sheet name="slaboproud" sheetId="10" r:id="rId8"/>
    <sheet name="klimatizace" sheetId="11" r:id="rId9"/>
    <sheet name="vybaveni laboratori" sheetId="12" r:id="rId10"/>
    <sheet name="03 - Vedlejší rozpočtové ..." sheetId="4" r:id="rId11"/>
    <sheet name="Pokyny pro vyplnění" sheetId="5" r:id="rId12"/>
  </sheets>
  <definedNames>
    <definedName name="_xlnm._FilterDatabase" localSheetId="1" hidden="1">'01 - Bourací práce'!$C$95:$K$362</definedName>
    <definedName name="_xlnm._FilterDatabase" localSheetId="2" hidden="1">'02 - Nové konstrukce'!$C$110:$K$1304</definedName>
    <definedName name="_xlnm._FilterDatabase" localSheetId="10" hidden="1">'03 - Vedlejší rozpočtové ...'!$C$84:$K$124</definedName>
    <definedName name="Excel_BuiltIn_Print_Area">#REF!</definedName>
    <definedName name="_xlnm.Print_Titles" localSheetId="1">'01 - Bourací práce'!$95:$95</definedName>
    <definedName name="_xlnm.Print_Titles" localSheetId="2">'02 - Nové konstrukce'!$110:$110</definedName>
    <definedName name="_xlnm.Print_Titles" localSheetId="10">'03 - Vedlejší rozpočtové ...'!$84:$84</definedName>
    <definedName name="_xlnm.Print_Titles" localSheetId="0">'Rekapitulace stavby'!$52:$52</definedName>
    <definedName name="_xlnm.Print_Titles" localSheetId="5">vytapeni!$1:$3</definedName>
    <definedName name="_xlnm.Print_Area" localSheetId="1">'01 - Bourací práce'!$C$4:$J$39,'01 - Bourací práce'!$C$45:$J$77,'01 - Bourací práce'!$C$83:$K$362</definedName>
    <definedName name="_xlnm.Print_Area" localSheetId="2">'02 - Nové konstrukce'!$C$4:$J$39,'02 - Nové konstrukce'!$C$45:$J$92,'02 - Nové konstrukce'!$C$98:$K$1304</definedName>
    <definedName name="_xlnm.Print_Area" localSheetId="10">'03 - Vedlejší rozpočtové ...'!$C$4:$J$39,'03 - Vedlejší rozpočtové ...'!$C$45:$J$66,'03 - Vedlejší rozpočtové ...'!$C$72:$K$124</definedName>
    <definedName name="_xlnm.Print_Area" localSheetId="8">klimatizace!$A$1:$L$47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5">vytapeni!$A$1:$I$111</definedName>
    <definedName name="_xlnm.Print_Area" localSheetId="3">zdravotechnika!$D$120:$J$150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6" i="3" l="1"/>
  <c r="I500" i="3"/>
  <c r="I496" i="3"/>
  <c r="I495" i="3"/>
  <c r="I492" i="3"/>
  <c r="I489" i="3"/>
  <c r="I488" i="3"/>
  <c r="I15" i="12"/>
  <c r="H15" i="12"/>
  <c r="G15" i="12"/>
  <c r="I14" i="12"/>
  <c r="H14" i="12"/>
  <c r="G14" i="12"/>
  <c r="I13" i="12"/>
  <c r="H13" i="12"/>
  <c r="G13" i="12"/>
  <c r="I12" i="12"/>
  <c r="I16" i="12" s="1"/>
  <c r="H12" i="12"/>
  <c r="H16" i="12" s="1"/>
  <c r="G12" i="12"/>
  <c r="G16" i="12" s="1"/>
  <c r="I9" i="12"/>
  <c r="H9" i="12"/>
  <c r="I8" i="12"/>
  <c r="H8" i="12"/>
  <c r="G8" i="12"/>
  <c r="I7" i="12"/>
  <c r="H7" i="12"/>
  <c r="G7" i="12"/>
  <c r="G9" i="12" s="1"/>
  <c r="G17" i="12" s="1"/>
  <c r="K44" i="11"/>
  <c r="J44" i="11"/>
  <c r="J43" i="11"/>
  <c r="J42" i="11"/>
  <c r="J41" i="11"/>
  <c r="J40" i="11"/>
  <c r="J39" i="11"/>
  <c r="J38" i="11"/>
  <c r="A38" i="11"/>
  <c r="A39" i="11" s="1"/>
  <c r="A40" i="11" s="1"/>
  <c r="A41" i="11" s="1"/>
  <c r="A42" i="11" s="1"/>
  <c r="A43" i="11" s="1"/>
  <c r="J37" i="11"/>
  <c r="A37" i="11"/>
  <c r="J36" i="11"/>
  <c r="K31" i="11"/>
  <c r="J29" i="11"/>
  <c r="J28" i="11"/>
  <c r="J31" i="11" s="1"/>
  <c r="K22" i="11"/>
  <c r="J50" i="11" s="1"/>
  <c r="J21" i="11"/>
  <c r="J20" i="11"/>
  <c r="J19" i="11"/>
  <c r="J18" i="11"/>
  <c r="J17" i="11"/>
  <c r="J16" i="11"/>
  <c r="J15" i="11"/>
  <c r="J14" i="11"/>
  <c r="J13" i="11"/>
  <c r="A13" i="11"/>
  <c r="A14" i="11" s="1"/>
  <c r="A15" i="11" s="1"/>
  <c r="A16" i="11" s="1"/>
  <c r="A17" i="11" s="1"/>
  <c r="A18" i="11" s="1"/>
  <c r="A19" i="11" s="1"/>
  <c r="A20" i="11" s="1"/>
  <c r="A21" i="11" s="1"/>
  <c r="J12" i="11"/>
  <c r="J22" i="11" s="1"/>
  <c r="J49" i="11" s="1"/>
  <c r="E125" i="10"/>
  <c r="E124" i="10"/>
  <c r="E123" i="10"/>
  <c r="E122" i="10"/>
  <c r="E121" i="10"/>
  <c r="E120" i="10"/>
  <c r="E117" i="10"/>
  <c r="E116" i="10"/>
  <c r="E115" i="10"/>
  <c r="E114" i="10"/>
  <c r="E113" i="10"/>
  <c r="E112" i="10"/>
  <c r="E109" i="10"/>
  <c r="E108" i="10"/>
  <c r="E107" i="10"/>
  <c r="E106" i="10"/>
  <c r="E103" i="10"/>
  <c r="E102" i="10"/>
  <c r="E101" i="10"/>
  <c r="E100" i="10"/>
  <c r="E99" i="10"/>
  <c r="E98" i="10"/>
  <c r="E97" i="10"/>
  <c r="E96" i="10"/>
  <c r="E95" i="10"/>
  <c r="E94" i="10"/>
  <c r="E93" i="10"/>
  <c r="E90" i="10"/>
  <c r="E89" i="10"/>
  <c r="E88" i="10"/>
  <c r="E87" i="10"/>
  <c r="E86" i="10"/>
  <c r="E83" i="10"/>
  <c r="E82" i="10"/>
  <c r="E81" i="10"/>
  <c r="E80" i="10"/>
  <c r="E79" i="10"/>
  <c r="E78" i="10"/>
  <c r="E75" i="10"/>
  <c r="E74" i="10"/>
  <c r="E73" i="10"/>
  <c r="E72" i="10"/>
  <c r="E71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127" i="10" s="1"/>
  <c r="E128" i="10" s="1"/>
  <c r="F111" i="9"/>
  <c r="F110" i="9"/>
  <c r="F108" i="9"/>
  <c r="F106" i="9"/>
  <c r="F102" i="9"/>
  <c r="F101" i="9"/>
  <c r="F100" i="9"/>
  <c r="F97" i="9"/>
  <c r="F96" i="9" s="1"/>
  <c r="F94" i="9"/>
  <c r="F92" i="9"/>
  <c r="F91" i="9"/>
  <c r="F89" i="9"/>
  <c r="F87" i="9"/>
  <c r="F86" i="9"/>
  <c r="F85" i="9"/>
  <c r="F84" i="9"/>
  <c r="F83" i="9"/>
  <c r="F81" i="9"/>
  <c r="F79" i="9"/>
  <c r="F77" i="9"/>
  <c r="F75" i="9"/>
  <c r="F73" i="9"/>
  <c r="F67" i="9" s="1"/>
  <c r="F71" i="9"/>
  <c r="F69" i="9"/>
  <c r="F64" i="9"/>
  <c r="F63" i="9"/>
  <c r="F62" i="9"/>
  <c r="F61" i="9"/>
  <c r="F60" i="9"/>
  <c r="F59" i="9" s="1"/>
  <c r="F56" i="9"/>
  <c r="F55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28" i="9" s="1"/>
  <c r="F31" i="9"/>
  <c r="F30" i="9"/>
  <c r="F29" i="9"/>
  <c r="F25" i="9"/>
  <c r="F24" i="9"/>
  <c r="F23" i="9"/>
  <c r="F22" i="9"/>
  <c r="F21" i="9"/>
  <c r="F20" i="9" s="1"/>
  <c r="F17" i="9"/>
  <c r="F16" i="9"/>
  <c r="F15" i="9"/>
  <c r="F14" i="9"/>
  <c r="F13" i="9"/>
  <c r="F12" i="9"/>
  <c r="F11" i="9" s="1"/>
  <c r="I110" i="8"/>
  <c r="I109" i="8"/>
  <c r="I108" i="8"/>
  <c r="I107" i="8"/>
  <c r="I106" i="8"/>
  <c r="I111" i="8" s="1"/>
  <c r="I105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4" i="8"/>
  <c r="I43" i="8"/>
  <c r="I42" i="8"/>
  <c r="I41" i="8"/>
  <c r="I40" i="8"/>
  <c r="I39" i="8"/>
  <c r="I38" i="8"/>
  <c r="I37" i="8"/>
  <c r="I36" i="8"/>
  <c r="I35" i="8"/>
  <c r="I32" i="8"/>
  <c r="I31" i="8"/>
  <c r="I30" i="8"/>
  <c r="I29" i="8"/>
  <c r="I28" i="8"/>
  <c r="I27" i="8"/>
  <c r="I26" i="8"/>
  <c r="I25" i="8"/>
  <c r="I24" i="8"/>
  <c r="I21" i="8"/>
  <c r="I20" i="8"/>
  <c r="I19" i="8"/>
  <c r="I18" i="8"/>
  <c r="I17" i="8"/>
  <c r="I16" i="8"/>
  <c r="I15" i="8"/>
  <c r="I14" i="8"/>
  <c r="I13" i="8"/>
  <c r="I12" i="8"/>
  <c r="I11" i="8"/>
  <c r="I8" i="8"/>
  <c r="I7" i="8"/>
  <c r="I6" i="8"/>
  <c r="I102" i="8" s="1"/>
  <c r="H32" i="7"/>
  <c r="H31" i="7"/>
  <c r="H30" i="7"/>
  <c r="H29" i="7"/>
  <c r="H27" i="7"/>
  <c r="H26" i="7"/>
  <c r="H24" i="7"/>
  <c r="H23" i="7"/>
  <c r="H22" i="7"/>
  <c r="H21" i="7"/>
  <c r="H20" i="7"/>
  <c r="H15" i="7" s="1"/>
  <c r="H19" i="7"/>
  <c r="H18" i="7"/>
  <c r="AF149" i="6"/>
  <c r="AA149" i="6"/>
  <c r="Z149" i="6"/>
  <c r="AI122" i="6" s="1"/>
  <c r="O149" i="6"/>
  <c r="G149" i="6"/>
  <c r="AE149" i="6" s="1"/>
  <c r="J147" i="6"/>
  <c r="G147" i="6"/>
  <c r="G145" i="6"/>
  <c r="J145" i="6" s="1"/>
  <c r="J142" i="6"/>
  <c r="G142" i="6"/>
  <c r="G140" i="6"/>
  <c r="J140" i="6" s="1"/>
  <c r="J139" i="6"/>
  <c r="G139" i="6"/>
  <c r="G138" i="6"/>
  <c r="J138" i="6" s="1"/>
  <c r="J137" i="6"/>
  <c r="G137" i="6"/>
  <c r="AE136" i="6"/>
  <c r="AA136" i="6"/>
  <c r="Z136" i="6"/>
  <c r="O136" i="6"/>
  <c r="J136" i="6"/>
  <c r="AB136" i="6" s="1"/>
  <c r="G136" i="6"/>
  <c r="AF136" i="6" s="1"/>
  <c r="AE135" i="6"/>
  <c r="AA135" i="6"/>
  <c r="Z135" i="6"/>
  <c r="O135" i="6"/>
  <c r="J135" i="6"/>
  <c r="AB135" i="6" s="1"/>
  <c r="G135" i="6"/>
  <c r="AF135" i="6" s="1"/>
  <c r="AE134" i="6"/>
  <c r="AA134" i="6"/>
  <c r="Z134" i="6"/>
  <c r="O134" i="6"/>
  <c r="J134" i="6"/>
  <c r="AB134" i="6" s="1"/>
  <c r="G134" i="6"/>
  <c r="AF134" i="6" s="1"/>
  <c r="AE133" i="6"/>
  <c r="AA133" i="6"/>
  <c r="Z133" i="6"/>
  <c r="O133" i="6"/>
  <c r="J133" i="6"/>
  <c r="AB133" i="6" s="1"/>
  <c r="G133" i="6"/>
  <c r="AF133" i="6" s="1"/>
  <c r="AE132" i="6"/>
  <c r="AA132" i="6"/>
  <c r="Z132" i="6"/>
  <c r="O132" i="6"/>
  <c r="J132" i="6"/>
  <c r="AB132" i="6" s="1"/>
  <c r="G132" i="6"/>
  <c r="AF132" i="6" s="1"/>
  <c r="AE131" i="6"/>
  <c r="AA131" i="6"/>
  <c r="Z131" i="6"/>
  <c r="O131" i="6"/>
  <c r="J131" i="6"/>
  <c r="AB131" i="6" s="1"/>
  <c r="G131" i="6"/>
  <c r="AF131" i="6" s="1"/>
  <c r="AE130" i="6"/>
  <c r="AA130" i="6"/>
  <c r="Z130" i="6"/>
  <c r="O130" i="6"/>
  <c r="J130" i="6"/>
  <c r="AB130" i="6" s="1"/>
  <c r="G130" i="6"/>
  <c r="AF130" i="6" s="1"/>
  <c r="F130" i="6"/>
  <c r="AF129" i="6"/>
  <c r="AE129" i="6"/>
  <c r="AA129" i="6"/>
  <c r="Z129" i="6"/>
  <c r="O129" i="6"/>
  <c r="J129" i="6"/>
  <c r="AB129" i="6" s="1"/>
  <c r="G129" i="6"/>
  <c r="G128" i="6"/>
  <c r="J128" i="6" s="1"/>
  <c r="AA127" i="6"/>
  <c r="Z127" i="6"/>
  <c r="O127" i="6"/>
  <c r="G127" i="6"/>
  <c r="AF127" i="6" s="1"/>
  <c r="J126" i="6"/>
  <c r="G126" i="6"/>
  <c r="AF125" i="6"/>
  <c r="AE125" i="6"/>
  <c r="AA125" i="6"/>
  <c r="Z125" i="6"/>
  <c r="O125" i="6"/>
  <c r="P122" i="6" s="1"/>
  <c r="U122" i="6" s="1"/>
  <c r="J125" i="6"/>
  <c r="AB125" i="6" s="1"/>
  <c r="G125" i="6"/>
  <c r="G124" i="6"/>
  <c r="J124" i="6" s="1"/>
  <c r="AA123" i="6"/>
  <c r="AJ122" i="6" s="1"/>
  <c r="Z123" i="6"/>
  <c r="O123" i="6"/>
  <c r="G123" i="6"/>
  <c r="AF123" i="6" s="1"/>
  <c r="X122" i="6"/>
  <c r="W122" i="6"/>
  <c r="V122" i="6"/>
  <c r="T122" i="6"/>
  <c r="S122" i="6"/>
  <c r="R122" i="6"/>
  <c r="AA121" i="6"/>
  <c r="Z121" i="6"/>
  <c r="O121" i="6"/>
  <c r="G121" i="6"/>
  <c r="AF121" i="6" s="1"/>
  <c r="AA120" i="6"/>
  <c r="AJ80" i="6" s="1"/>
  <c r="Z120" i="6"/>
  <c r="O120" i="6"/>
  <c r="G120" i="6"/>
  <c r="AF120" i="6" s="1"/>
  <c r="J119" i="6"/>
  <c r="G119" i="6"/>
  <c r="G118" i="6"/>
  <c r="J118" i="6" s="1"/>
  <c r="J117" i="6"/>
  <c r="G117" i="6"/>
  <c r="G116" i="6"/>
  <c r="J116" i="6" s="1"/>
  <c r="J114" i="6"/>
  <c r="G114" i="6"/>
  <c r="G113" i="6"/>
  <c r="J113" i="6" s="1"/>
  <c r="J112" i="6"/>
  <c r="G112" i="6"/>
  <c r="G109" i="6"/>
  <c r="J109" i="6" s="1"/>
  <c r="J108" i="6"/>
  <c r="G108" i="6"/>
  <c r="G105" i="6"/>
  <c r="J105" i="6" s="1"/>
  <c r="J104" i="6"/>
  <c r="G104" i="6"/>
  <c r="G103" i="6"/>
  <c r="J103" i="6" s="1"/>
  <c r="J102" i="6"/>
  <c r="G102" i="6"/>
  <c r="G101" i="6"/>
  <c r="J101" i="6" s="1"/>
  <c r="J100" i="6"/>
  <c r="G100" i="6"/>
  <c r="G99" i="6"/>
  <c r="J99" i="6" s="1"/>
  <c r="J98" i="6"/>
  <c r="G98" i="6"/>
  <c r="G96" i="6"/>
  <c r="J96" i="6" s="1"/>
  <c r="J95" i="6"/>
  <c r="G95" i="6"/>
  <c r="G94" i="6"/>
  <c r="J94" i="6" s="1"/>
  <c r="J93" i="6"/>
  <c r="G93" i="6"/>
  <c r="AF92" i="6"/>
  <c r="AE92" i="6"/>
  <c r="AA92" i="6"/>
  <c r="Z92" i="6"/>
  <c r="O92" i="6"/>
  <c r="J92" i="6"/>
  <c r="AB92" i="6" s="1"/>
  <c r="G92" i="6"/>
  <c r="AF91" i="6"/>
  <c r="AE91" i="6"/>
  <c r="AA91" i="6"/>
  <c r="Z91" i="6"/>
  <c r="O91" i="6"/>
  <c r="J91" i="6"/>
  <c r="AB91" i="6" s="1"/>
  <c r="G91" i="6"/>
  <c r="AF90" i="6"/>
  <c r="AE90" i="6"/>
  <c r="AA90" i="6"/>
  <c r="Z90" i="6"/>
  <c r="O90" i="6"/>
  <c r="J90" i="6"/>
  <c r="AB90" i="6" s="1"/>
  <c r="G90" i="6"/>
  <c r="AF89" i="6"/>
  <c r="AE89" i="6"/>
  <c r="AA89" i="6"/>
  <c r="Z89" i="6"/>
  <c r="O89" i="6"/>
  <c r="J89" i="6"/>
  <c r="AB89" i="6" s="1"/>
  <c r="G89" i="6"/>
  <c r="G87" i="6"/>
  <c r="J87" i="6" s="1"/>
  <c r="J86" i="6"/>
  <c r="G86" i="6"/>
  <c r="AF85" i="6"/>
  <c r="AE85" i="6"/>
  <c r="AA85" i="6"/>
  <c r="Z85" i="6"/>
  <c r="O85" i="6"/>
  <c r="J85" i="6"/>
  <c r="AB85" i="6" s="1"/>
  <c r="G85" i="6"/>
  <c r="AF84" i="6"/>
  <c r="AE84" i="6"/>
  <c r="AA84" i="6"/>
  <c r="Z84" i="6"/>
  <c r="O84" i="6"/>
  <c r="J84" i="6"/>
  <c r="AB84" i="6" s="1"/>
  <c r="G84" i="6"/>
  <c r="AF83" i="6"/>
  <c r="AE83" i="6"/>
  <c r="AA83" i="6"/>
  <c r="Z83" i="6"/>
  <c r="O83" i="6"/>
  <c r="J83" i="6"/>
  <c r="AB83" i="6" s="1"/>
  <c r="G83" i="6"/>
  <c r="AF82" i="6"/>
  <c r="AE82" i="6"/>
  <c r="AA82" i="6"/>
  <c r="Z82" i="6"/>
  <c r="O82" i="6"/>
  <c r="J82" i="6"/>
  <c r="AB82" i="6" s="1"/>
  <c r="G82" i="6"/>
  <c r="AF81" i="6"/>
  <c r="AE81" i="6"/>
  <c r="AB81" i="6"/>
  <c r="AA81" i="6"/>
  <c r="Z81" i="6"/>
  <c r="O81" i="6"/>
  <c r="P80" i="6" s="1"/>
  <c r="U80" i="6" s="1"/>
  <c r="AI80" i="6"/>
  <c r="X80" i="6"/>
  <c r="W80" i="6"/>
  <c r="V80" i="6"/>
  <c r="T80" i="6"/>
  <c r="S80" i="6"/>
  <c r="R80" i="6"/>
  <c r="AA79" i="6"/>
  <c r="Z79" i="6"/>
  <c r="O79" i="6"/>
  <c r="G79" i="6"/>
  <c r="AF79" i="6" s="1"/>
  <c r="J76" i="6"/>
  <c r="G76" i="6"/>
  <c r="AF75" i="6"/>
  <c r="AE75" i="6"/>
  <c r="AA75" i="6"/>
  <c r="Z75" i="6"/>
  <c r="O75" i="6"/>
  <c r="J75" i="6"/>
  <c r="AB75" i="6" s="1"/>
  <c r="G75" i="6"/>
  <c r="AF74" i="6"/>
  <c r="AE74" i="6"/>
  <c r="AA74" i="6"/>
  <c r="Z74" i="6"/>
  <c r="O74" i="6"/>
  <c r="G74" i="6"/>
  <c r="J72" i="6"/>
  <c r="G72" i="6"/>
  <c r="G69" i="6"/>
  <c r="J69" i="6" s="1"/>
  <c r="J66" i="6"/>
  <c r="G66" i="6"/>
  <c r="G64" i="6"/>
  <c r="J64" i="6" s="1"/>
  <c r="J60" i="6"/>
  <c r="G60" i="6"/>
  <c r="G58" i="6"/>
  <c r="J58" i="6" s="1"/>
  <c r="J56" i="6"/>
  <c r="G56" i="6"/>
  <c r="G55" i="6"/>
  <c r="J55" i="6" s="1"/>
  <c r="J54" i="6"/>
  <c r="G54" i="6"/>
  <c r="G53" i="6"/>
  <c r="J53" i="6" s="1"/>
  <c r="J51" i="6"/>
  <c r="G51" i="6"/>
  <c r="G49" i="6"/>
  <c r="J49" i="6" s="1"/>
  <c r="J47" i="6"/>
  <c r="G47" i="6"/>
  <c r="G46" i="6"/>
  <c r="J46" i="6" s="1"/>
  <c r="J45" i="6"/>
  <c r="G45" i="6"/>
  <c r="G44" i="6"/>
  <c r="J44" i="6" s="1"/>
  <c r="J42" i="6"/>
  <c r="G42" i="6"/>
  <c r="G41" i="6"/>
  <c r="J41" i="6" s="1"/>
  <c r="J36" i="6"/>
  <c r="G36" i="6"/>
  <c r="G32" i="6"/>
  <c r="J32" i="6" s="1"/>
  <c r="J31" i="6"/>
  <c r="G31" i="6"/>
  <c r="G30" i="6"/>
  <c r="J30" i="6" s="1"/>
  <c r="J29" i="6"/>
  <c r="G29" i="6"/>
  <c r="G28" i="6"/>
  <c r="J28" i="6" s="1"/>
  <c r="J27" i="6"/>
  <c r="G27" i="6"/>
  <c r="G25" i="6"/>
  <c r="J25" i="6" s="1"/>
  <c r="J21" i="6"/>
  <c r="G21" i="6"/>
  <c r="G20" i="6"/>
  <c r="J20" i="6" s="1"/>
  <c r="J19" i="6"/>
  <c r="G19" i="6"/>
  <c r="AE18" i="6"/>
  <c r="AA18" i="6"/>
  <c r="Z18" i="6"/>
  <c r="O18" i="6"/>
  <c r="J18" i="6"/>
  <c r="AB18" i="6" s="1"/>
  <c r="G18" i="6"/>
  <c r="AF18" i="6" s="1"/>
  <c r="F18" i="6"/>
  <c r="AF17" i="6"/>
  <c r="AE17" i="6"/>
  <c r="AA17" i="6"/>
  <c r="Z17" i="6"/>
  <c r="O17" i="6"/>
  <c r="P12" i="6" s="1"/>
  <c r="U12" i="6" s="1"/>
  <c r="G17" i="6"/>
  <c r="F17" i="6"/>
  <c r="J17" i="6" s="1"/>
  <c r="AB17" i="6" s="1"/>
  <c r="AF16" i="6"/>
  <c r="AA16" i="6"/>
  <c r="Z16" i="6"/>
  <c r="O16" i="6"/>
  <c r="G16" i="6"/>
  <c r="AE16" i="6" s="1"/>
  <c r="F16" i="6"/>
  <c r="J16" i="6" s="1"/>
  <c r="AB16" i="6" s="1"/>
  <c r="AA15" i="6"/>
  <c r="Z15" i="6"/>
  <c r="O15" i="6"/>
  <c r="G15" i="6"/>
  <c r="AF15" i="6" s="1"/>
  <c r="F15" i="6"/>
  <c r="G14" i="6"/>
  <c r="J14" i="6" s="1"/>
  <c r="AF13" i="6"/>
  <c r="AA13" i="6"/>
  <c r="AA150" i="6" s="1"/>
  <c r="Z13" i="6"/>
  <c r="Z150" i="6" s="1"/>
  <c r="O13" i="6"/>
  <c r="G13" i="6"/>
  <c r="AE13" i="6" s="1"/>
  <c r="F13" i="6"/>
  <c r="F74" i="6" s="1"/>
  <c r="J74" i="6" s="1"/>
  <c r="AB74" i="6" s="1"/>
  <c r="X12" i="6"/>
  <c r="W12" i="6"/>
  <c r="V12" i="6"/>
  <c r="T12" i="6"/>
  <c r="S12" i="6"/>
  <c r="R12" i="6"/>
  <c r="L12" i="6"/>
  <c r="J37" i="4"/>
  <c r="J36" i="4"/>
  <c r="AY57" i="1"/>
  <c r="J35" i="4"/>
  <c r="AX57" i="1"/>
  <c r="BI123" i="4"/>
  <c r="BH123" i="4"/>
  <c r="BG123" i="4"/>
  <c r="BF123" i="4"/>
  <c r="T123" i="4"/>
  <c r="T122" i="4"/>
  <c r="R123" i="4"/>
  <c r="R122" i="4"/>
  <c r="P123" i="4"/>
  <c r="P122" i="4"/>
  <c r="BI120" i="4"/>
  <c r="BH120" i="4"/>
  <c r="BG120" i="4"/>
  <c r="BF120" i="4"/>
  <c r="T120" i="4"/>
  <c r="T119" i="4"/>
  <c r="R120" i="4"/>
  <c r="R119" i="4"/>
  <c r="P120" i="4"/>
  <c r="P119" i="4"/>
  <c r="BI117" i="4"/>
  <c r="BH117" i="4"/>
  <c r="BG117" i="4"/>
  <c r="BF117" i="4"/>
  <c r="T117" i="4"/>
  <c r="T116" i="4"/>
  <c r="R117" i="4"/>
  <c r="R116" i="4"/>
  <c r="P117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 s="1"/>
  <c r="J17" i="4"/>
  <c r="J12" i="4"/>
  <c r="J79" i="4" s="1"/>
  <c r="E7" i="4"/>
  <c r="E75" i="4"/>
  <c r="J37" i="3"/>
  <c r="J36" i="3"/>
  <c r="AY56" i="1" s="1"/>
  <c r="J35" i="3"/>
  <c r="AX56" i="1" s="1"/>
  <c r="BI1304" i="3"/>
  <c r="BH1304" i="3"/>
  <c r="BG1304" i="3"/>
  <c r="BF1304" i="3"/>
  <c r="T1304" i="3"/>
  <c r="R1304" i="3"/>
  <c r="P1304" i="3"/>
  <c r="BI1303" i="3"/>
  <c r="BH1303" i="3"/>
  <c r="BG1303" i="3"/>
  <c r="BF1303" i="3"/>
  <c r="T1303" i="3"/>
  <c r="R1303" i="3"/>
  <c r="P1303" i="3"/>
  <c r="BI1302" i="3"/>
  <c r="BH1302" i="3"/>
  <c r="BG1302" i="3"/>
  <c r="BF1302" i="3"/>
  <c r="T1302" i="3"/>
  <c r="R1302" i="3"/>
  <c r="P1302" i="3"/>
  <c r="BI1301" i="3"/>
  <c r="BH1301" i="3"/>
  <c r="BG1301" i="3"/>
  <c r="BF1301" i="3"/>
  <c r="T1301" i="3"/>
  <c r="R1301" i="3"/>
  <c r="P1301" i="3"/>
  <c r="BI1297" i="3"/>
  <c r="BH1297" i="3"/>
  <c r="BG1297" i="3"/>
  <c r="BF1297" i="3"/>
  <c r="T1297" i="3"/>
  <c r="T1296" i="3" s="1"/>
  <c r="R1297" i="3"/>
  <c r="R1296" i="3" s="1"/>
  <c r="P1297" i="3"/>
  <c r="P1296" i="3" s="1"/>
  <c r="BI1294" i="3"/>
  <c r="BH1294" i="3"/>
  <c r="BG1294" i="3"/>
  <c r="BF1294" i="3"/>
  <c r="T1294" i="3"/>
  <c r="R1294" i="3"/>
  <c r="P1294" i="3"/>
  <c r="BI1293" i="3"/>
  <c r="BH1293" i="3"/>
  <c r="BG1293" i="3"/>
  <c r="BF1293" i="3"/>
  <c r="T1293" i="3"/>
  <c r="R1293" i="3"/>
  <c r="P1293" i="3"/>
  <c r="BI1290" i="3"/>
  <c r="BH1290" i="3"/>
  <c r="BG1290" i="3"/>
  <c r="BF1290" i="3"/>
  <c r="T1290" i="3"/>
  <c r="R1290" i="3"/>
  <c r="P1290" i="3"/>
  <c r="BI1289" i="3"/>
  <c r="BH1289" i="3"/>
  <c r="BG1289" i="3"/>
  <c r="BF1289" i="3"/>
  <c r="T1289" i="3"/>
  <c r="R1289" i="3"/>
  <c r="P1289" i="3"/>
  <c r="BI1288" i="3"/>
  <c r="BH1288" i="3"/>
  <c r="BG1288" i="3"/>
  <c r="BF1288" i="3"/>
  <c r="T1288" i="3"/>
  <c r="R1288" i="3"/>
  <c r="P1288" i="3"/>
  <c r="BI1286" i="3"/>
  <c r="BH1286" i="3"/>
  <c r="BG1286" i="3"/>
  <c r="BF1286" i="3"/>
  <c r="T1286" i="3"/>
  <c r="R1286" i="3"/>
  <c r="P1286" i="3"/>
  <c r="BI1268" i="3"/>
  <c r="BH1268" i="3"/>
  <c r="BG1268" i="3"/>
  <c r="BF1268" i="3"/>
  <c r="T1268" i="3"/>
  <c r="R1268" i="3"/>
  <c r="P1268" i="3"/>
  <c r="BI1251" i="3"/>
  <c r="BH1251" i="3"/>
  <c r="BG1251" i="3"/>
  <c r="BF1251" i="3"/>
  <c r="T1251" i="3"/>
  <c r="R1251" i="3"/>
  <c r="P1251" i="3"/>
  <c r="BI1234" i="3"/>
  <c r="BH1234" i="3"/>
  <c r="BG1234" i="3"/>
  <c r="BF1234" i="3"/>
  <c r="T1234" i="3"/>
  <c r="R1234" i="3"/>
  <c r="P1234" i="3"/>
  <c r="BI1220" i="3"/>
  <c r="BH1220" i="3"/>
  <c r="BG1220" i="3"/>
  <c r="BF1220" i="3"/>
  <c r="T1220" i="3"/>
  <c r="R1220" i="3"/>
  <c r="P1220" i="3"/>
  <c r="BI1207" i="3"/>
  <c r="BH1207" i="3"/>
  <c r="BG1207" i="3"/>
  <c r="BF1207" i="3"/>
  <c r="T1207" i="3"/>
  <c r="R1207" i="3"/>
  <c r="P1207" i="3"/>
  <c r="BI1194" i="3"/>
  <c r="BH1194" i="3"/>
  <c r="BG1194" i="3"/>
  <c r="BF1194" i="3"/>
  <c r="T1194" i="3"/>
  <c r="R1194" i="3"/>
  <c r="P1194" i="3"/>
  <c r="BI1191" i="3"/>
  <c r="BH1191" i="3"/>
  <c r="BG1191" i="3"/>
  <c r="BF1191" i="3"/>
  <c r="T1191" i="3"/>
  <c r="R1191" i="3"/>
  <c r="P1191" i="3"/>
  <c r="BI1189" i="3"/>
  <c r="BH1189" i="3"/>
  <c r="BG1189" i="3"/>
  <c r="BF1189" i="3"/>
  <c r="T1189" i="3"/>
  <c r="R1189" i="3"/>
  <c r="P1189" i="3"/>
  <c r="BI1186" i="3"/>
  <c r="BH1186" i="3"/>
  <c r="BG1186" i="3"/>
  <c r="BF1186" i="3"/>
  <c r="T1186" i="3"/>
  <c r="R1186" i="3"/>
  <c r="P1186" i="3"/>
  <c r="BI1183" i="3"/>
  <c r="BH1183" i="3"/>
  <c r="BG1183" i="3"/>
  <c r="BF1183" i="3"/>
  <c r="T1183" i="3"/>
  <c r="R1183" i="3"/>
  <c r="P1183" i="3"/>
  <c r="BI1178" i="3"/>
  <c r="BH1178" i="3"/>
  <c r="BG1178" i="3"/>
  <c r="BF1178" i="3"/>
  <c r="T1178" i="3"/>
  <c r="R1178" i="3"/>
  <c r="P1178" i="3"/>
  <c r="BI1175" i="3"/>
  <c r="BH1175" i="3"/>
  <c r="BG1175" i="3"/>
  <c r="BF1175" i="3"/>
  <c r="T1175" i="3"/>
  <c r="R1175" i="3"/>
  <c r="P1175" i="3"/>
  <c r="BI1170" i="3"/>
  <c r="BH1170" i="3"/>
  <c r="BG1170" i="3"/>
  <c r="BF1170" i="3"/>
  <c r="T1170" i="3"/>
  <c r="R1170" i="3"/>
  <c r="P1170" i="3"/>
  <c r="BI1165" i="3"/>
  <c r="BH1165" i="3"/>
  <c r="BG1165" i="3"/>
  <c r="BF1165" i="3"/>
  <c r="T1165" i="3"/>
  <c r="R1165" i="3"/>
  <c r="P1165" i="3"/>
  <c r="BI1163" i="3"/>
  <c r="BH1163" i="3"/>
  <c r="BG1163" i="3"/>
  <c r="BF1163" i="3"/>
  <c r="T1163" i="3"/>
  <c r="R1163" i="3"/>
  <c r="P1163" i="3"/>
  <c r="BI1158" i="3"/>
  <c r="BH1158" i="3"/>
  <c r="BG1158" i="3"/>
  <c r="BF1158" i="3"/>
  <c r="T1158" i="3"/>
  <c r="R1158" i="3"/>
  <c r="P1158" i="3"/>
  <c r="BI1153" i="3"/>
  <c r="BH1153" i="3"/>
  <c r="BG1153" i="3"/>
  <c r="BF1153" i="3"/>
  <c r="T1153" i="3"/>
  <c r="R1153" i="3"/>
  <c r="P1153" i="3"/>
  <c r="BI1148" i="3"/>
  <c r="BH1148" i="3"/>
  <c r="BG1148" i="3"/>
  <c r="BF1148" i="3"/>
  <c r="T1148" i="3"/>
  <c r="R1148" i="3"/>
  <c r="P1148" i="3"/>
  <c r="BI1145" i="3"/>
  <c r="BH1145" i="3"/>
  <c r="BG1145" i="3"/>
  <c r="BF1145" i="3"/>
  <c r="T1145" i="3"/>
  <c r="R1145" i="3"/>
  <c r="P1145" i="3"/>
  <c r="BI1142" i="3"/>
  <c r="BH1142" i="3"/>
  <c r="BG1142" i="3"/>
  <c r="BF1142" i="3"/>
  <c r="T1142" i="3"/>
  <c r="R1142" i="3"/>
  <c r="P1142" i="3"/>
  <c r="BI1139" i="3"/>
  <c r="BH1139" i="3"/>
  <c r="BG1139" i="3"/>
  <c r="BF1139" i="3"/>
  <c r="T1139" i="3"/>
  <c r="R1139" i="3"/>
  <c r="P1139" i="3"/>
  <c r="BI1136" i="3"/>
  <c r="BH1136" i="3"/>
  <c r="BG1136" i="3"/>
  <c r="BF1136" i="3"/>
  <c r="T1136" i="3"/>
  <c r="R1136" i="3"/>
  <c r="P1136" i="3"/>
  <c r="BI1133" i="3"/>
  <c r="BH1133" i="3"/>
  <c r="BG1133" i="3"/>
  <c r="BF1133" i="3"/>
  <c r="T1133" i="3"/>
  <c r="R1133" i="3"/>
  <c r="P1133" i="3"/>
  <c r="BI1130" i="3"/>
  <c r="BH1130" i="3"/>
  <c r="BG1130" i="3"/>
  <c r="BF1130" i="3"/>
  <c r="T1130" i="3"/>
  <c r="R1130" i="3"/>
  <c r="P1130" i="3"/>
  <c r="BI1127" i="3"/>
  <c r="BH1127" i="3"/>
  <c r="BG1127" i="3"/>
  <c r="BF1127" i="3"/>
  <c r="T1127" i="3"/>
  <c r="R1127" i="3"/>
  <c r="P1127" i="3"/>
  <c r="BI1124" i="3"/>
  <c r="BH1124" i="3"/>
  <c r="BG1124" i="3"/>
  <c r="BF1124" i="3"/>
  <c r="T1124" i="3"/>
  <c r="R1124" i="3"/>
  <c r="P1124" i="3"/>
  <c r="BI1122" i="3"/>
  <c r="BH1122" i="3"/>
  <c r="BG1122" i="3"/>
  <c r="BF1122" i="3"/>
  <c r="T1122" i="3"/>
  <c r="R1122" i="3"/>
  <c r="P1122" i="3"/>
  <c r="BI1119" i="3"/>
  <c r="BH1119" i="3"/>
  <c r="BG1119" i="3"/>
  <c r="BF1119" i="3"/>
  <c r="T1119" i="3"/>
  <c r="R1119" i="3"/>
  <c r="P1119" i="3"/>
  <c r="BI1117" i="3"/>
  <c r="BH1117" i="3"/>
  <c r="BG1117" i="3"/>
  <c r="BF1117" i="3"/>
  <c r="T1117" i="3"/>
  <c r="R1117" i="3"/>
  <c r="P1117" i="3"/>
  <c r="BI1114" i="3"/>
  <c r="BH1114" i="3"/>
  <c r="BG1114" i="3"/>
  <c r="BF1114" i="3"/>
  <c r="T1114" i="3"/>
  <c r="R1114" i="3"/>
  <c r="P1114" i="3"/>
  <c r="BI1111" i="3"/>
  <c r="BH1111" i="3"/>
  <c r="BG1111" i="3"/>
  <c r="BF1111" i="3"/>
  <c r="T1111" i="3"/>
  <c r="R1111" i="3"/>
  <c r="P1111" i="3"/>
  <c r="BI1108" i="3"/>
  <c r="BH1108" i="3"/>
  <c r="BG1108" i="3"/>
  <c r="BF1108" i="3"/>
  <c r="T1108" i="3"/>
  <c r="R1108" i="3"/>
  <c r="P1108" i="3"/>
  <c r="BI1105" i="3"/>
  <c r="BH1105" i="3"/>
  <c r="BG1105" i="3"/>
  <c r="BF1105" i="3"/>
  <c r="T1105" i="3"/>
  <c r="R1105" i="3"/>
  <c r="P1105" i="3"/>
  <c r="BI1102" i="3"/>
  <c r="BH1102" i="3"/>
  <c r="BG1102" i="3"/>
  <c r="BF1102" i="3"/>
  <c r="T1102" i="3"/>
  <c r="R1102" i="3"/>
  <c r="P1102" i="3"/>
  <c r="BI1095" i="3"/>
  <c r="BH1095" i="3"/>
  <c r="BG1095" i="3"/>
  <c r="BF1095" i="3"/>
  <c r="T1095" i="3"/>
  <c r="R1095" i="3"/>
  <c r="P1095" i="3"/>
  <c r="BI1092" i="3"/>
  <c r="BH1092" i="3"/>
  <c r="BG1092" i="3"/>
  <c r="BF1092" i="3"/>
  <c r="T1092" i="3"/>
  <c r="R1092" i="3"/>
  <c r="P1092" i="3"/>
  <c r="BI1089" i="3"/>
  <c r="BH1089" i="3"/>
  <c r="BG1089" i="3"/>
  <c r="BF1089" i="3"/>
  <c r="T1089" i="3"/>
  <c r="R1089" i="3"/>
  <c r="P1089" i="3"/>
  <c r="BI1086" i="3"/>
  <c r="BH1086" i="3"/>
  <c r="BG1086" i="3"/>
  <c r="BF1086" i="3"/>
  <c r="T1086" i="3"/>
  <c r="R1086" i="3"/>
  <c r="P1086" i="3"/>
  <c r="BI1080" i="3"/>
  <c r="BH1080" i="3"/>
  <c r="BG1080" i="3"/>
  <c r="BF1080" i="3"/>
  <c r="T1080" i="3"/>
  <c r="R1080" i="3"/>
  <c r="P1080" i="3"/>
  <c r="BI1072" i="3"/>
  <c r="BH1072" i="3"/>
  <c r="BG1072" i="3"/>
  <c r="BF1072" i="3"/>
  <c r="T1072" i="3"/>
  <c r="R1072" i="3"/>
  <c r="P1072" i="3"/>
  <c r="BI1067" i="3"/>
  <c r="BH1067" i="3"/>
  <c r="BG1067" i="3"/>
  <c r="BF1067" i="3"/>
  <c r="T1067" i="3"/>
  <c r="R1067" i="3"/>
  <c r="P1067" i="3"/>
  <c r="BI1065" i="3"/>
  <c r="BH1065" i="3"/>
  <c r="BG1065" i="3"/>
  <c r="BF1065" i="3"/>
  <c r="T1065" i="3"/>
  <c r="R1065" i="3"/>
  <c r="P1065" i="3"/>
  <c r="BI1059" i="3"/>
  <c r="BH1059" i="3"/>
  <c r="BG1059" i="3"/>
  <c r="BF1059" i="3"/>
  <c r="T1059" i="3"/>
  <c r="R1059" i="3"/>
  <c r="P1059" i="3"/>
  <c r="BI1057" i="3"/>
  <c r="BH1057" i="3"/>
  <c r="BG1057" i="3"/>
  <c r="BF1057" i="3"/>
  <c r="T1057" i="3"/>
  <c r="R1057" i="3"/>
  <c r="P1057" i="3"/>
  <c r="BI1054" i="3"/>
  <c r="BH1054" i="3"/>
  <c r="BG1054" i="3"/>
  <c r="BF1054" i="3"/>
  <c r="T1054" i="3"/>
  <c r="R1054" i="3"/>
  <c r="P1054" i="3"/>
  <c r="BI1052" i="3"/>
  <c r="BH1052" i="3"/>
  <c r="BG1052" i="3"/>
  <c r="BF1052" i="3"/>
  <c r="T1052" i="3"/>
  <c r="R1052" i="3"/>
  <c r="P1052" i="3"/>
  <c r="BI1047" i="3"/>
  <c r="BH1047" i="3"/>
  <c r="BG1047" i="3"/>
  <c r="BF1047" i="3"/>
  <c r="T1047" i="3"/>
  <c r="R1047" i="3"/>
  <c r="P1047" i="3"/>
  <c r="BI1044" i="3"/>
  <c r="BH1044" i="3"/>
  <c r="BG1044" i="3"/>
  <c r="BF1044" i="3"/>
  <c r="T1044" i="3"/>
  <c r="R1044" i="3"/>
  <c r="P1044" i="3"/>
  <c r="BI1041" i="3"/>
  <c r="BH1041" i="3"/>
  <c r="BG1041" i="3"/>
  <c r="BF1041" i="3"/>
  <c r="T1041" i="3"/>
  <c r="R1041" i="3"/>
  <c r="P1041" i="3"/>
  <c r="BI1038" i="3"/>
  <c r="BH1038" i="3"/>
  <c r="BG1038" i="3"/>
  <c r="BF1038" i="3"/>
  <c r="T1038" i="3"/>
  <c r="R1038" i="3"/>
  <c r="P1038" i="3"/>
  <c r="BI1035" i="3"/>
  <c r="BH1035" i="3"/>
  <c r="BG1035" i="3"/>
  <c r="BF1035" i="3"/>
  <c r="T1035" i="3"/>
  <c r="R1035" i="3"/>
  <c r="P1035" i="3"/>
  <c r="BI1033" i="3"/>
  <c r="BH1033" i="3"/>
  <c r="BG1033" i="3"/>
  <c r="BF1033" i="3"/>
  <c r="T1033" i="3"/>
  <c r="R1033" i="3"/>
  <c r="P1033" i="3"/>
  <c r="BI1030" i="3"/>
  <c r="BH1030" i="3"/>
  <c r="BG1030" i="3"/>
  <c r="BF1030" i="3"/>
  <c r="T1030" i="3"/>
  <c r="R1030" i="3"/>
  <c r="P1030" i="3"/>
  <c r="BI1024" i="3"/>
  <c r="BH1024" i="3"/>
  <c r="BG1024" i="3"/>
  <c r="BF1024" i="3"/>
  <c r="T1024" i="3"/>
  <c r="R1024" i="3"/>
  <c r="P1024" i="3"/>
  <c r="BI1017" i="3"/>
  <c r="BH1017" i="3"/>
  <c r="BG1017" i="3"/>
  <c r="BF1017" i="3"/>
  <c r="T1017" i="3"/>
  <c r="R1017" i="3"/>
  <c r="P1017" i="3"/>
  <c r="BI1014" i="3"/>
  <c r="BH1014" i="3"/>
  <c r="BG1014" i="3"/>
  <c r="BF1014" i="3"/>
  <c r="T1014" i="3"/>
  <c r="R1014" i="3"/>
  <c r="P1014" i="3"/>
  <c r="BI1008" i="3"/>
  <c r="BH1008" i="3"/>
  <c r="BG1008" i="3"/>
  <c r="BF1008" i="3"/>
  <c r="T1008" i="3"/>
  <c r="R1008" i="3"/>
  <c r="P1008" i="3"/>
  <c r="BI1005" i="3"/>
  <c r="BH1005" i="3"/>
  <c r="BG1005" i="3"/>
  <c r="BF1005" i="3"/>
  <c r="T1005" i="3"/>
  <c r="R1005" i="3"/>
  <c r="P1005" i="3"/>
  <c r="BI1003" i="3"/>
  <c r="BH1003" i="3"/>
  <c r="BG1003" i="3"/>
  <c r="BF1003" i="3"/>
  <c r="T1003" i="3"/>
  <c r="R1003" i="3"/>
  <c r="P1003" i="3"/>
  <c r="BI1001" i="3"/>
  <c r="BH1001" i="3"/>
  <c r="BG1001" i="3"/>
  <c r="BF1001" i="3"/>
  <c r="T1001" i="3"/>
  <c r="R1001" i="3"/>
  <c r="P1001" i="3"/>
  <c r="BI999" i="3"/>
  <c r="BH999" i="3"/>
  <c r="BG999" i="3"/>
  <c r="BF999" i="3"/>
  <c r="T999" i="3"/>
  <c r="R999" i="3"/>
  <c r="P999" i="3"/>
  <c r="BI997" i="3"/>
  <c r="BH997" i="3"/>
  <c r="BG997" i="3"/>
  <c r="BF997" i="3"/>
  <c r="T997" i="3"/>
  <c r="R997" i="3"/>
  <c r="P997" i="3"/>
  <c r="BI995" i="3"/>
  <c r="BH995" i="3"/>
  <c r="BG995" i="3"/>
  <c r="BF995" i="3"/>
  <c r="T995" i="3"/>
  <c r="R995" i="3"/>
  <c r="P995" i="3"/>
  <c r="BI993" i="3"/>
  <c r="BH993" i="3"/>
  <c r="BG993" i="3"/>
  <c r="BF993" i="3"/>
  <c r="T993" i="3"/>
  <c r="R993" i="3"/>
  <c r="P993" i="3"/>
  <c r="BI990" i="3"/>
  <c r="BH990" i="3"/>
  <c r="BG990" i="3"/>
  <c r="BF990" i="3"/>
  <c r="T990" i="3"/>
  <c r="R990" i="3"/>
  <c r="P990" i="3"/>
  <c r="BI985" i="3"/>
  <c r="BH985" i="3"/>
  <c r="BG985" i="3"/>
  <c r="BF985" i="3"/>
  <c r="T985" i="3"/>
  <c r="R985" i="3"/>
  <c r="P985" i="3"/>
  <c r="BI982" i="3"/>
  <c r="BH982" i="3"/>
  <c r="BG982" i="3"/>
  <c r="BF982" i="3"/>
  <c r="T982" i="3"/>
  <c r="R982" i="3"/>
  <c r="P982" i="3"/>
  <c r="BI977" i="3"/>
  <c r="BH977" i="3"/>
  <c r="BG977" i="3"/>
  <c r="BF977" i="3"/>
  <c r="T977" i="3"/>
  <c r="R977" i="3"/>
  <c r="P977" i="3"/>
  <c r="BI974" i="3"/>
  <c r="BH974" i="3"/>
  <c r="BG974" i="3"/>
  <c r="BF974" i="3"/>
  <c r="T974" i="3"/>
  <c r="R974" i="3"/>
  <c r="P974" i="3"/>
  <c r="BI954" i="3"/>
  <c r="BH954" i="3"/>
  <c r="BG954" i="3"/>
  <c r="BF954" i="3"/>
  <c r="T954" i="3"/>
  <c r="R954" i="3"/>
  <c r="P954" i="3"/>
  <c r="BI951" i="3"/>
  <c r="BH951" i="3"/>
  <c r="BG951" i="3"/>
  <c r="BF951" i="3"/>
  <c r="T951" i="3"/>
  <c r="R951" i="3"/>
  <c r="P951" i="3"/>
  <c r="BI942" i="3"/>
  <c r="BH942" i="3"/>
  <c r="BG942" i="3"/>
  <c r="BF942" i="3"/>
  <c r="T942" i="3"/>
  <c r="R942" i="3"/>
  <c r="P942" i="3"/>
  <c r="BI939" i="3"/>
  <c r="BH939" i="3"/>
  <c r="BG939" i="3"/>
  <c r="BF939" i="3"/>
  <c r="T939" i="3"/>
  <c r="R939" i="3"/>
  <c r="P939" i="3"/>
  <c r="BI936" i="3"/>
  <c r="BH936" i="3"/>
  <c r="BG936" i="3"/>
  <c r="BF936" i="3"/>
  <c r="T936" i="3"/>
  <c r="R936" i="3"/>
  <c r="P936" i="3"/>
  <c r="BI933" i="3"/>
  <c r="BH933" i="3"/>
  <c r="BG933" i="3"/>
  <c r="BF933" i="3"/>
  <c r="T933" i="3"/>
  <c r="R933" i="3"/>
  <c r="P933" i="3"/>
  <c r="BI928" i="3"/>
  <c r="BH928" i="3"/>
  <c r="BG928" i="3"/>
  <c r="BF928" i="3"/>
  <c r="T928" i="3"/>
  <c r="R928" i="3"/>
  <c r="P928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8" i="3"/>
  <c r="BH918" i="3"/>
  <c r="BG918" i="3"/>
  <c r="BF918" i="3"/>
  <c r="T918" i="3"/>
  <c r="R918" i="3"/>
  <c r="P918" i="3"/>
  <c r="BI912" i="3"/>
  <c r="BH912" i="3"/>
  <c r="BG912" i="3"/>
  <c r="BF912" i="3"/>
  <c r="T912" i="3"/>
  <c r="R912" i="3"/>
  <c r="P912" i="3"/>
  <c r="BI906" i="3"/>
  <c r="BH906" i="3"/>
  <c r="BG906" i="3"/>
  <c r="BF906" i="3"/>
  <c r="T906" i="3"/>
  <c r="R906" i="3"/>
  <c r="P906" i="3"/>
  <c r="BI905" i="3"/>
  <c r="BH905" i="3"/>
  <c r="BG905" i="3"/>
  <c r="BF905" i="3"/>
  <c r="T905" i="3"/>
  <c r="R905" i="3"/>
  <c r="P905" i="3"/>
  <c r="BI902" i="3"/>
  <c r="BH902" i="3"/>
  <c r="BG902" i="3"/>
  <c r="BF902" i="3"/>
  <c r="T902" i="3"/>
  <c r="R902" i="3"/>
  <c r="P902" i="3"/>
  <c r="BI901" i="3"/>
  <c r="BH901" i="3"/>
  <c r="BG901" i="3"/>
  <c r="BF901" i="3"/>
  <c r="T901" i="3"/>
  <c r="R901" i="3"/>
  <c r="P901" i="3"/>
  <c r="BI898" i="3"/>
  <c r="BH898" i="3"/>
  <c r="BG898" i="3"/>
  <c r="BF898" i="3"/>
  <c r="T898" i="3"/>
  <c r="R898" i="3"/>
  <c r="P898" i="3"/>
  <c r="BI895" i="3"/>
  <c r="BH895" i="3"/>
  <c r="BG895" i="3"/>
  <c r="BF895" i="3"/>
  <c r="T895" i="3"/>
  <c r="R895" i="3"/>
  <c r="P895" i="3"/>
  <c r="BI893" i="3"/>
  <c r="BH893" i="3"/>
  <c r="BG893" i="3"/>
  <c r="BF893" i="3"/>
  <c r="T893" i="3"/>
  <c r="R893" i="3"/>
  <c r="P893" i="3"/>
  <c r="BI892" i="3"/>
  <c r="BH892" i="3"/>
  <c r="BG892" i="3"/>
  <c r="BF892" i="3"/>
  <c r="T892" i="3"/>
  <c r="R892" i="3"/>
  <c r="P892" i="3"/>
  <c r="BI891" i="3"/>
  <c r="BH891" i="3"/>
  <c r="BG891" i="3"/>
  <c r="BF891" i="3"/>
  <c r="T891" i="3"/>
  <c r="R891" i="3"/>
  <c r="P891" i="3"/>
  <c r="BI890" i="3"/>
  <c r="BH890" i="3"/>
  <c r="BG890" i="3"/>
  <c r="BF890" i="3"/>
  <c r="T890" i="3"/>
  <c r="R890" i="3"/>
  <c r="P890" i="3"/>
  <c r="BI889" i="3"/>
  <c r="BH889" i="3"/>
  <c r="BG889" i="3"/>
  <c r="BF889" i="3"/>
  <c r="T889" i="3"/>
  <c r="R889" i="3"/>
  <c r="P889" i="3"/>
  <c r="BI888" i="3"/>
  <c r="BH888" i="3"/>
  <c r="BG888" i="3"/>
  <c r="BF888" i="3"/>
  <c r="T888" i="3"/>
  <c r="R888" i="3"/>
  <c r="P888" i="3"/>
  <c r="BI887" i="3"/>
  <c r="BH887" i="3"/>
  <c r="BG887" i="3"/>
  <c r="BF887" i="3"/>
  <c r="T887" i="3"/>
  <c r="R887" i="3"/>
  <c r="P887" i="3"/>
  <c r="BI886" i="3"/>
  <c r="BH886" i="3"/>
  <c r="BG886" i="3"/>
  <c r="BF886" i="3"/>
  <c r="T886" i="3"/>
  <c r="R886" i="3"/>
  <c r="P886" i="3"/>
  <c r="BI882" i="3"/>
  <c r="BH882" i="3"/>
  <c r="BG882" i="3"/>
  <c r="BF882" i="3"/>
  <c r="T882" i="3"/>
  <c r="R882" i="3"/>
  <c r="P882" i="3"/>
  <c r="BI878" i="3"/>
  <c r="BH878" i="3"/>
  <c r="BG878" i="3"/>
  <c r="BF878" i="3"/>
  <c r="T878" i="3"/>
  <c r="R878" i="3"/>
  <c r="P878" i="3"/>
  <c r="BI877" i="3"/>
  <c r="BH877" i="3"/>
  <c r="BG877" i="3"/>
  <c r="BF877" i="3"/>
  <c r="T877" i="3"/>
  <c r="R877" i="3"/>
  <c r="P877" i="3"/>
  <c r="BI876" i="3"/>
  <c r="BH876" i="3"/>
  <c r="BG876" i="3"/>
  <c r="BF876" i="3"/>
  <c r="T876" i="3"/>
  <c r="R876" i="3"/>
  <c r="P876" i="3"/>
  <c r="BI875" i="3"/>
  <c r="BH875" i="3"/>
  <c r="BG875" i="3"/>
  <c r="BF875" i="3"/>
  <c r="T875" i="3"/>
  <c r="R875" i="3"/>
  <c r="P875" i="3"/>
  <c r="BI873" i="3"/>
  <c r="BH873" i="3"/>
  <c r="BG873" i="3"/>
  <c r="BF873" i="3"/>
  <c r="T873" i="3"/>
  <c r="R873" i="3"/>
  <c r="P873" i="3"/>
  <c r="BI871" i="3"/>
  <c r="BH871" i="3"/>
  <c r="BG871" i="3"/>
  <c r="BF871" i="3"/>
  <c r="T871" i="3"/>
  <c r="R871" i="3"/>
  <c r="P871" i="3"/>
  <c r="BI869" i="3"/>
  <c r="BH869" i="3"/>
  <c r="BG869" i="3"/>
  <c r="BF869" i="3"/>
  <c r="T869" i="3"/>
  <c r="R869" i="3"/>
  <c r="P869" i="3"/>
  <c r="BI868" i="3"/>
  <c r="BH868" i="3"/>
  <c r="BG868" i="3"/>
  <c r="BF868" i="3"/>
  <c r="T868" i="3"/>
  <c r="R868" i="3"/>
  <c r="P868" i="3"/>
  <c r="BI867" i="3"/>
  <c r="BH867" i="3"/>
  <c r="BG867" i="3"/>
  <c r="BF867" i="3"/>
  <c r="T867" i="3"/>
  <c r="R867" i="3"/>
  <c r="P867" i="3"/>
  <c r="BI864" i="3"/>
  <c r="BH864" i="3"/>
  <c r="BG864" i="3"/>
  <c r="BF864" i="3"/>
  <c r="T864" i="3"/>
  <c r="R864" i="3"/>
  <c r="P864" i="3"/>
  <c r="BI863" i="3"/>
  <c r="BH863" i="3"/>
  <c r="BG863" i="3"/>
  <c r="BF863" i="3"/>
  <c r="T863" i="3"/>
  <c r="R863" i="3"/>
  <c r="P863" i="3"/>
  <c r="BI861" i="3"/>
  <c r="BH861" i="3"/>
  <c r="BG861" i="3"/>
  <c r="BF861" i="3"/>
  <c r="T861" i="3"/>
  <c r="R861" i="3"/>
  <c r="P861" i="3"/>
  <c r="BI858" i="3"/>
  <c r="BH858" i="3"/>
  <c r="BG858" i="3"/>
  <c r="BF858" i="3"/>
  <c r="T858" i="3"/>
  <c r="R858" i="3"/>
  <c r="P858" i="3"/>
  <c r="BI857" i="3"/>
  <c r="BH857" i="3"/>
  <c r="BG857" i="3"/>
  <c r="BF857" i="3"/>
  <c r="T857" i="3"/>
  <c r="R857" i="3"/>
  <c r="P857" i="3"/>
  <c r="BI856" i="3"/>
  <c r="BH856" i="3"/>
  <c r="BG856" i="3"/>
  <c r="BF856" i="3"/>
  <c r="T856" i="3"/>
  <c r="R856" i="3"/>
  <c r="P856" i="3"/>
  <c r="BI855" i="3"/>
  <c r="BH855" i="3"/>
  <c r="BG855" i="3"/>
  <c r="BF855" i="3"/>
  <c r="T855" i="3"/>
  <c r="R855" i="3"/>
  <c r="P855" i="3"/>
  <c r="BI854" i="3"/>
  <c r="BH854" i="3"/>
  <c r="BG854" i="3"/>
  <c r="BF854" i="3"/>
  <c r="T854" i="3"/>
  <c r="R854" i="3"/>
  <c r="P854" i="3"/>
  <c r="BI852" i="3"/>
  <c r="BH852" i="3"/>
  <c r="BG852" i="3"/>
  <c r="BF852" i="3"/>
  <c r="T852" i="3"/>
  <c r="R852" i="3"/>
  <c r="P852" i="3"/>
  <c r="BI851" i="3"/>
  <c r="BH851" i="3"/>
  <c r="BG851" i="3"/>
  <c r="BF851" i="3"/>
  <c r="T851" i="3"/>
  <c r="R851" i="3"/>
  <c r="P851" i="3"/>
  <c r="BI850" i="3"/>
  <c r="BH850" i="3"/>
  <c r="BG850" i="3"/>
  <c r="BF850" i="3"/>
  <c r="T850" i="3"/>
  <c r="R850" i="3"/>
  <c r="P850" i="3"/>
  <c r="BI849" i="3"/>
  <c r="BH849" i="3"/>
  <c r="BG849" i="3"/>
  <c r="BF849" i="3"/>
  <c r="T849" i="3"/>
  <c r="R849" i="3"/>
  <c r="P849" i="3"/>
  <c r="BI848" i="3"/>
  <c r="BH848" i="3"/>
  <c r="BG848" i="3"/>
  <c r="BF848" i="3"/>
  <c r="T848" i="3"/>
  <c r="R848" i="3"/>
  <c r="P848" i="3"/>
  <c r="BI845" i="3"/>
  <c r="BH845" i="3"/>
  <c r="BG845" i="3"/>
  <c r="BF845" i="3"/>
  <c r="T845" i="3"/>
  <c r="R845" i="3"/>
  <c r="P845" i="3"/>
  <c r="BI844" i="3"/>
  <c r="BH844" i="3"/>
  <c r="BG844" i="3"/>
  <c r="BF844" i="3"/>
  <c r="T844" i="3"/>
  <c r="R844" i="3"/>
  <c r="P844" i="3"/>
  <c r="BI843" i="3"/>
  <c r="BH843" i="3"/>
  <c r="BG843" i="3"/>
  <c r="BF843" i="3"/>
  <c r="T843" i="3"/>
  <c r="R843" i="3"/>
  <c r="P843" i="3"/>
  <c r="BI842" i="3"/>
  <c r="BH842" i="3"/>
  <c r="BG842" i="3"/>
  <c r="BF842" i="3"/>
  <c r="T842" i="3"/>
  <c r="R842" i="3"/>
  <c r="P842" i="3"/>
  <c r="BI841" i="3"/>
  <c r="BH841" i="3"/>
  <c r="BG841" i="3"/>
  <c r="BF841" i="3"/>
  <c r="T841" i="3"/>
  <c r="R841" i="3"/>
  <c r="P841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31" i="3"/>
  <c r="BH831" i="3"/>
  <c r="BG831" i="3"/>
  <c r="BF831" i="3"/>
  <c r="T831" i="3"/>
  <c r="R831" i="3"/>
  <c r="P831" i="3"/>
  <c r="BI828" i="3"/>
  <c r="BH828" i="3"/>
  <c r="BG828" i="3"/>
  <c r="BF828" i="3"/>
  <c r="T828" i="3"/>
  <c r="R828" i="3"/>
  <c r="P828" i="3"/>
  <c r="BI825" i="3"/>
  <c r="BH825" i="3"/>
  <c r="BG825" i="3"/>
  <c r="BF825" i="3"/>
  <c r="T825" i="3"/>
  <c r="R825" i="3"/>
  <c r="P825" i="3"/>
  <c r="BI822" i="3"/>
  <c r="BH822" i="3"/>
  <c r="BG822" i="3"/>
  <c r="BF822" i="3"/>
  <c r="T822" i="3"/>
  <c r="R822" i="3"/>
  <c r="P822" i="3"/>
  <c r="BI817" i="3"/>
  <c r="BH817" i="3"/>
  <c r="BG817" i="3"/>
  <c r="BF817" i="3"/>
  <c r="T817" i="3"/>
  <c r="R817" i="3"/>
  <c r="P817" i="3"/>
  <c r="BI815" i="3"/>
  <c r="BH815" i="3"/>
  <c r="BG815" i="3"/>
  <c r="BF815" i="3"/>
  <c r="T815" i="3"/>
  <c r="R815" i="3"/>
  <c r="P815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4" i="3"/>
  <c r="BH804" i="3"/>
  <c r="BG804" i="3"/>
  <c r="BF804" i="3"/>
  <c r="T804" i="3"/>
  <c r="R804" i="3"/>
  <c r="P804" i="3"/>
  <c r="BI803" i="3"/>
  <c r="BH803" i="3"/>
  <c r="BG803" i="3"/>
  <c r="BF803" i="3"/>
  <c r="T803" i="3"/>
  <c r="R803" i="3"/>
  <c r="P803" i="3"/>
  <c r="BI801" i="3"/>
  <c r="BH801" i="3"/>
  <c r="BG801" i="3"/>
  <c r="BF801" i="3"/>
  <c r="T801" i="3"/>
  <c r="R801" i="3"/>
  <c r="P801" i="3"/>
  <c r="BI799" i="3"/>
  <c r="BH799" i="3"/>
  <c r="BG799" i="3"/>
  <c r="BF799" i="3"/>
  <c r="T799" i="3"/>
  <c r="R799" i="3"/>
  <c r="P799" i="3"/>
  <c r="BI796" i="3"/>
  <c r="BH796" i="3"/>
  <c r="BG796" i="3"/>
  <c r="BF796" i="3"/>
  <c r="T796" i="3"/>
  <c r="R796" i="3"/>
  <c r="P796" i="3"/>
  <c r="BI795" i="3"/>
  <c r="BH795" i="3"/>
  <c r="BG795" i="3"/>
  <c r="BF795" i="3"/>
  <c r="T795" i="3"/>
  <c r="R795" i="3"/>
  <c r="P795" i="3"/>
  <c r="BI792" i="3"/>
  <c r="BH792" i="3"/>
  <c r="BG792" i="3"/>
  <c r="BF792" i="3"/>
  <c r="T792" i="3"/>
  <c r="R792" i="3"/>
  <c r="P792" i="3"/>
  <c r="BI791" i="3"/>
  <c r="BH791" i="3"/>
  <c r="BG791" i="3"/>
  <c r="BF791" i="3"/>
  <c r="T791" i="3"/>
  <c r="R791" i="3"/>
  <c r="P791" i="3"/>
  <c r="BI788" i="3"/>
  <c r="BH788" i="3"/>
  <c r="BG788" i="3"/>
  <c r="BF788" i="3"/>
  <c r="T788" i="3"/>
  <c r="R788" i="3"/>
  <c r="P788" i="3"/>
  <c r="BI787" i="3"/>
  <c r="BH787" i="3"/>
  <c r="BG787" i="3"/>
  <c r="BF787" i="3"/>
  <c r="T787" i="3"/>
  <c r="R787" i="3"/>
  <c r="P787" i="3"/>
  <c r="BI784" i="3"/>
  <c r="BH784" i="3"/>
  <c r="BG784" i="3"/>
  <c r="BF784" i="3"/>
  <c r="T784" i="3"/>
  <c r="R784" i="3"/>
  <c r="P784" i="3"/>
  <c r="BI781" i="3"/>
  <c r="BH781" i="3"/>
  <c r="BG781" i="3"/>
  <c r="BF781" i="3"/>
  <c r="T781" i="3"/>
  <c r="R781" i="3"/>
  <c r="P781" i="3"/>
  <c r="BI778" i="3"/>
  <c r="BH778" i="3"/>
  <c r="BG778" i="3"/>
  <c r="BF778" i="3"/>
  <c r="T778" i="3"/>
  <c r="R778" i="3"/>
  <c r="P778" i="3"/>
  <c r="BI775" i="3"/>
  <c r="BH775" i="3"/>
  <c r="BG775" i="3"/>
  <c r="BF775" i="3"/>
  <c r="T775" i="3"/>
  <c r="R775" i="3"/>
  <c r="P775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65" i="3"/>
  <c r="BH765" i="3"/>
  <c r="BG765" i="3"/>
  <c r="BF765" i="3"/>
  <c r="T765" i="3"/>
  <c r="R765" i="3"/>
  <c r="P765" i="3"/>
  <c r="BI764" i="3"/>
  <c r="BH764" i="3"/>
  <c r="BG764" i="3"/>
  <c r="BF764" i="3"/>
  <c r="T764" i="3"/>
  <c r="R764" i="3"/>
  <c r="P764" i="3"/>
  <c r="BI763" i="3"/>
  <c r="BH763" i="3"/>
  <c r="BG763" i="3"/>
  <c r="BF763" i="3"/>
  <c r="T763" i="3"/>
  <c r="R763" i="3"/>
  <c r="P763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6" i="3"/>
  <c r="BH756" i="3"/>
  <c r="BG756" i="3"/>
  <c r="BF756" i="3"/>
  <c r="T756" i="3"/>
  <c r="R756" i="3"/>
  <c r="P756" i="3"/>
  <c r="BI754" i="3"/>
  <c r="BH754" i="3"/>
  <c r="BG754" i="3"/>
  <c r="BF754" i="3"/>
  <c r="T754" i="3"/>
  <c r="R754" i="3"/>
  <c r="P754" i="3"/>
  <c r="BI751" i="3"/>
  <c r="BH751" i="3"/>
  <c r="BG751" i="3"/>
  <c r="BF751" i="3"/>
  <c r="T751" i="3"/>
  <c r="R751" i="3"/>
  <c r="P751" i="3"/>
  <c r="BI748" i="3"/>
  <c r="BH748" i="3"/>
  <c r="BG748" i="3"/>
  <c r="BF748" i="3"/>
  <c r="T748" i="3"/>
  <c r="R748" i="3"/>
  <c r="P748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2" i="3"/>
  <c r="BH732" i="3"/>
  <c r="BG732" i="3"/>
  <c r="BF732" i="3"/>
  <c r="T732" i="3"/>
  <c r="R732" i="3"/>
  <c r="P732" i="3"/>
  <c r="BI729" i="3"/>
  <c r="BH729" i="3"/>
  <c r="BG729" i="3"/>
  <c r="BF729" i="3"/>
  <c r="T729" i="3"/>
  <c r="R729" i="3"/>
  <c r="P729" i="3"/>
  <c r="BI724" i="3"/>
  <c r="BH724" i="3"/>
  <c r="BG724" i="3"/>
  <c r="BF724" i="3"/>
  <c r="T724" i="3"/>
  <c r="R724" i="3"/>
  <c r="P724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716" i="3"/>
  <c r="BH716" i="3"/>
  <c r="BG716" i="3"/>
  <c r="BF716" i="3"/>
  <c r="T716" i="3"/>
  <c r="R716" i="3"/>
  <c r="P716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8" i="3"/>
  <c r="BH708" i="3"/>
  <c r="BG708" i="3"/>
  <c r="BF708" i="3"/>
  <c r="T708" i="3"/>
  <c r="R708" i="3"/>
  <c r="P708" i="3"/>
  <c r="BI705" i="3"/>
  <c r="BH705" i="3"/>
  <c r="BG705" i="3"/>
  <c r="BF705" i="3"/>
  <c r="T705" i="3"/>
  <c r="R705" i="3"/>
  <c r="P705" i="3"/>
  <c r="BI700" i="3"/>
  <c r="BH700" i="3"/>
  <c r="BG700" i="3"/>
  <c r="BF700" i="3"/>
  <c r="T700" i="3"/>
  <c r="R700" i="3"/>
  <c r="P700" i="3"/>
  <c r="BI695" i="3"/>
  <c r="BH695" i="3"/>
  <c r="BG695" i="3"/>
  <c r="BF695" i="3"/>
  <c r="T695" i="3"/>
  <c r="R695" i="3"/>
  <c r="P695" i="3"/>
  <c r="BI693" i="3"/>
  <c r="BH693" i="3"/>
  <c r="BG693" i="3"/>
  <c r="BF693" i="3"/>
  <c r="T693" i="3"/>
  <c r="R693" i="3"/>
  <c r="P693" i="3"/>
  <c r="BI688" i="3"/>
  <c r="BH688" i="3"/>
  <c r="BG688" i="3"/>
  <c r="BF688" i="3"/>
  <c r="T688" i="3"/>
  <c r="R688" i="3"/>
  <c r="P688" i="3"/>
  <c r="BI685" i="3"/>
  <c r="BH685" i="3"/>
  <c r="BG685" i="3"/>
  <c r="BF685" i="3"/>
  <c r="T685" i="3"/>
  <c r="R685" i="3"/>
  <c r="P685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78" i="3"/>
  <c r="BH678" i="3"/>
  <c r="BG678" i="3"/>
  <c r="BF678" i="3"/>
  <c r="T678" i="3"/>
  <c r="R678" i="3"/>
  <c r="P678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5" i="3"/>
  <c r="BH665" i="3"/>
  <c r="BG665" i="3"/>
  <c r="BF665" i="3"/>
  <c r="T665" i="3"/>
  <c r="R665" i="3"/>
  <c r="P665" i="3"/>
  <c r="BI664" i="3"/>
  <c r="BH664" i="3"/>
  <c r="BG664" i="3"/>
  <c r="BF664" i="3"/>
  <c r="T664" i="3"/>
  <c r="R664" i="3"/>
  <c r="P664" i="3"/>
  <c r="BI663" i="3"/>
  <c r="BH663" i="3"/>
  <c r="BG663" i="3"/>
  <c r="BF663" i="3"/>
  <c r="T663" i="3"/>
  <c r="R663" i="3"/>
  <c r="P663" i="3"/>
  <c r="BI658" i="3"/>
  <c r="BH658" i="3"/>
  <c r="BG658" i="3"/>
  <c r="BF658" i="3"/>
  <c r="T658" i="3"/>
  <c r="R658" i="3"/>
  <c r="P658" i="3"/>
  <c r="BI655" i="3"/>
  <c r="BH655" i="3"/>
  <c r="BG655" i="3"/>
  <c r="BF655" i="3"/>
  <c r="T655" i="3"/>
  <c r="R655" i="3"/>
  <c r="P655" i="3"/>
  <c r="BI653" i="3"/>
  <c r="BH653" i="3"/>
  <c r="BG653" i="3"/>
  <c r="BF653" i="3"/>
  <c r="T653" i="3"/>
  <c r="R653" i="3"/>
  <c r="P653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3" i="3"/>
  <c r="BH633" i="3"/>
  <c r="BG633" i="3"/>
  <c r="BF633" i="3"/>
  <c r="T633" i="3"/>
  <c r="R633" i="3"/>
  <c r="P633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6" i="3"/>
  <c r="BH556" i="3"/>
  <c r="BG556" i="3"/>
  <c r="BF556" i="3"/>
  <c r="T556" i="3"/>
  <c r="R556" i="3"/>
  <c r="P556" i="3"/>
  <c r="BI553" i="3"/>
  <c r="BH553" i="3"/>
  <c r="BG553" i="3"/>
  <c r="BF553" i="3"/>
  <c r="T553" i="3"/>
  <c r="R553" i="3"/>
  <c r="P553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4" i="3"/>
  <c r="BH524" i="3"/>
  <c r="BG524" i="3"/>
  <c r="BF524" i="3"/>
  <c r="T524" i="3"/>
  <c r="R524" i="3"/>
  <c r="P524" i="3"/>
  <c r="BI519" i="3"/>
  <c r="BH519" i="3"/>
  <c r="BG519" i="3"/>
  <c r="BF519" i="3"/>
  <c r="T519" i="3"/>
  <c r="R519" i="3"/>
  <c r="P519" i="3"/>
  <c r="BI511" i="3"/>
  <c r="BH511" i="3"/>
  <c r="BG511" i="3"/>
  <c r="BF511" i="3"/>
  <c r="T511" i="3"/>
  <c r="R511" i="3"/>
  <c r="P511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2" i="3"/>
  <c r="BH492" i="3"/>
  <c r="BG492" i="3"/>
  <c r="BF492" i="3"/>
  <c r="T492" i="3"/>
  <c r="R492" i="3"/>
  <c r="P492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78" i="3"/>
  <c r="BH478" i="3"/>
  <c r="BG478" i="3"/>
  <c r="BF478" i="3"/>
  <c r="T478" i="3"/>
  <c r="R478" i="3"/>
  <c r="P478" i="3"/>
  <c r="BI472" i="3"/>
  <c r="BH472" i="3"/>
  <c r="BG472" i="3"/>
  <c r="BF472" i="3"/>
  <c r="T472" i="3"/>
  <c r="R472" i="3"/>
  <c r="P472" i="3"/>
  <c r="BI465" i="3"/>
  <c r="BH465" i="3"/>
  <c r="BG465" i="3"/>
  <c r="BF465" i="3"/>
  <c r="T465" i="3"/>
  <c r="R465" i="3"/>
  <c r="P465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6" i="3"/>
  <c r="BH416" i="3"/>
  <c r="BG416" i="3"/>
  <c r="BF416" i="3"/>
  <c r="T416" i="3"/>
  <c r="T415" i="3" s="1"/>
  <c r="R416" i="3"/>
  <c r="R415" i="3" s="1"/>
  <c r="P416" i="3"/>
  <c r="P415" i="3" s="1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4" i="3"/>
  <c r="BH354" i="3"/>
  <c r="BG354" i="3"/>
  <c r="BF354" i="3"/>
  <c r="T354" i="3"/>
  <c r="R354" i="3"/>
  <c r="P354" i="3"/>
  <c r="BI348" i="3"/>
  <c r="BH348" i="3"/>
  <c r="BG348" i="3"/>
  <c r="BF348" i="3"/>
  <c r="T348" i="3"/>
  <c r="R348" i="3"/>
  <c r="P348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0" i="3"/>
  <c r="BH250" i="3"/>
  <c r="BG250" i="3"/>
  <c r="BF250" i="3"/>
  <c r="T250" i="3"/>
  <c r="R250" i="3"/>
  <c r="P250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J108" i="3"/>
  <c r="J107" i="3"/>
  <c r="F107" i="3"/>
  <c r="F105" i="3"/>
  <c r="E103" i="3"/>
  <c r="J55" i="3"/>
  <c r="J54" i="3"/>
  <c r="F54" i="3"/>
  <c r="F52" i="3"/>
  <c r="E50" i="3"/>
  <c r="J18" i="3"/>
  <c r="E18" i="3"/>
  <c r="F55" i="3" s="1"/>
  <c r="J17" i="3"/>
  <c r="J12" i="3"/>
  <c r="J52" i="3"/>
  <c r="E7" i="3"/>
  <c r="E48" i="3"/>
  <c r="J37" i="2"/>
  <c r="J36" i="2"/>
  <c r="AY55" i="1" s="1"/>
  <c r="J35" i="2"/>
  <c r="AX55" i="1" s="1"/>
  <c r="BI361" i="2"/>
  <c r="BH361" i="2"/>
  <c r="BG361" i="2"/>
  <c r="BF361" i="2"/>
  <c r="T361" i="2"/>
  <c r="T360" i="2" s="1"/>
  <c r="T359" i="2" s="1"/>
  <c r="R361" i="2"/>
  <c r="R360" i="2"/>
  <c r="R359" i="2" s="1"/>
  <c r="P361" i="2"/>
  <c r="P360" i="2" s="1"/>
  <c r="P359" i="2" s="1"/>
  <c r="BI356" i="2"/>
  <c r="BH356" i="2"/>
  <c r="BG356" i="2"/>
  <c r="BF356" i="2"/>
  <c r="T356" i="2"/>
  <c r="T355" i="2"/>
  <c r="R356" i="2"/>
  <c r="R355" i="2"/>
  <c r="P356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T263" i="2" s="1"/>
  <c r="R264" i="2"/>
  <c r="R263" i="2" s="1"/>
  <c r="P264" i="2"/>
  <c r="P263" i="2" s="1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T258" i="2" s="1"/>
  <c r="R259" i="2"/>
  <c r="R258" i="2" s="1"/>
  <c r="P259" i="2"/>
  <c r="P258" i="2" s="1"/>
  <c r="BI257" i="2"/>
  <c r="BH257" i="2"/>
  <c r="BG257" i="2"/>
  <c r="BF257" i="2"/>
  <c r="T257" i="2"/>
  <c r="T256" i="2" s="1"/>
  <c r="R257" i="2"/>
  <c r="R256" i="2" s="1"/>
  <c r="P257" i="2"/>
  <c r="P256" i="2" s="1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93" i="2"/>
  <c r="J17" i="2"/>
  <c r="J12" i="2"/>
  <c r="J90" i="2" s="1"/>
  <c r="E7" i="2"/>
  <c r="E86" i="2" s="1"/>
  <c r="L50" i="1"/>
  <c r="AM50" i="1"/>
  <c r="AM49" i="1"/>
  <c r="L49" i="1"/>
  <c r="AM47" i="1"/>
  <c r="L47" i="1"/>
  <c r="L45" i="1"/>
  <c r="L44" i="1"/>
  <c r="J349" i="2"/>
  <c r="J203" i="2"/>
  <c r="BK171" i="2"/>
  <c r="J151" i="2"/>
  <c r="BK130" i="2"/>
  <c r="J361" i="2"/>
  <c r="J322" i="2"/>
  <c r="BK313" i="2"/>
  <c r="J295" i="2"/>
  <c r="BK282" i="2"/>
  <c r="J266" i="2"/>
  <c r="BK253" i="2"/>
  <c r="BK211" i="2"/>
  <c r="J157" i="2"/>
  <c r="J105" i="2"/>
  <c r="J257" i="2"/>
  <c r="J233" i="2"/>
  <c r="BK206" i="2"/>
  <c r="BK151" i="2"/>
  <c r="J110" i="2"/>
  <c r="J331" i="2"/>
  <c r="J1293" i="3"/>
  <c r="BK1207" i="3"/>
  <c r="J1145" i="3"/>
  <c r="J1119" i="3"/>
  <c r="J1080" i="3"/>
  <c r="J1008" i="3"/>
  <c r="BK954" i="3"/>
  <c r="J902" i="3"/>
  <c r="BK887" i="3"/>
  <c r="J855" i="3"/>
  <c r="BK831" i="3"/>
  <c r="J795" i="3"/>
  <c r="J737" i="3"/>
  <c r="BK361" i="2"/>
  <c r="J214" i="2"/>
  <c r="J188" i="2"/>
  <c r="BK168" i="2"/>
  <c r="J146" i="2"/>
  <c r="BK119" i="2"/>
  <c r="J356" i="2"/>
  <c r="BK319" i="2"/>
  <c r="J310" i="2"/>
  <c r="BK292" i="2"/>
  <c r="BK277" i="2"/>
  <c r="BK266" i="2"/>
  <c r="J254" i="2"/>
  <c r="BK233" i="2"/>
  <c r="J191" i="2"/>
  <c r="J154" i="2"/>
  <c r="BK102" i="2"/>
  <c r="BK254" i="2"/>
  <c r="BK231" i="2"/>
  <c r="BK203" i="2"/>
  <c r="BK133" i="2"/>
  <c r="AS54" i="1"/>
  <c r="J1286" i="3"/>
  <c r="J1186" i="3"/>
  <c r="J1114" i="3"/>
  <c r="BK1059" i="3"/>
  <c r="J1024" i="3"/>
  <c r="BK1001" i="3"/>
  <c r="BK942" i="3"/>
  <c r="J924" i="3"/>
  <c r="BK891" i="3"/>
  <c r="J869" i="3"/>
  <c r="BK838" i="3"/>
  <c r="J809" i="3"/>
  <c r="BK768" i="3"/>
  <c r="J713" i="3"/>
  <c r="BK655" i="3"/>
  <c r="BK633" i="3"/>
  <c r="J596" i="3"/>
  <c r="BK566" i="3"/>
  <c r="BK544" i="3"/>
  <c r="J500" i="3"/>
  <c r="BK465" i="3"/>
  <c r="BK430" i="3"/>
  <c r="J401" i="3"/>
  <c r="BK354" i="3"/>
  <c r="BK284" i="3"/>
  <c r="J236" i="3"/>
  <c r="BK193" i="3"/>
  <c r="BK123" i="3"/>
  <c r="BK1297" i="3"/>
  <c r="BK1286" i="3"/>
  <c r="BK1194" i="3"/>
  <c r="BK1158" i="3"/>
  <c r="J1136" i="3"/>
  <c r="J1122" i="3"/>
  <c r="J1072" i="3"/>
  <c r="J1047" i="3"/>
  <c r="J1030" i="3"/>
  <c r="J1003" i="3"/>
  <c r="BK977" i="3"/>
  <c r="BK933" i="3"/>
  <c r="BK902" i="3"/>
  <c r="J889" i="3"/>
  <c r="BK882" i="3"/>
  <c r="BK858" i="3"/>
  <c r="J844" i="3"/>
  <c r="BK791" i="3"/>
  <c r="J768" i="3"/>
  <c r="BK754" i="3"/>
  <c r="J719" i="3"/>
  <c r="BK683" i="3"/>
  <c r="J663" i="3"/>
  <c r="BK616" i="3"/>
  <c r="BK574" i="3"/>
  <c r="J538" i="3"/>
  <c r="BK493" i="3"/>
  <c r="BK472" i="3"/>
  <c r="BK445" i="3"/>
  <c r="J428" i="3"/>
  <c r="BK392" i="3"/>
  <c r="BK343" i="3"/>
  <c r="J267" i="3"/>
  <c r="BK233" i="3"/>
  <c r="J184" i="3"/>
  <c r="BK125" i="3"/>
  <c r="BK1178" i="3"/>
  <c r="J1139" i="3"/>
  <c r="BK1117" i="3"/>
  <c r="BK1080" i="3"/>
  <c r="BK1047" i="3"/>
  <c r="BK999" i="3"/>
  <c r="J933" i="3"/>
  <c r="J923" i="3"/>
  <c r="BK890" i="3"/>
  <c r="J845" i="3"/>
  <c r="J791" i="3"/>
  <c r="J754" i="3"/>
  <c r="BK737" i="3"/>
  <c r="BK710" i="3"/>
  <c r="BK638" i="3"/>
  <c r="J619" i="3"/>
  <c r="BK571" i="3"/>
  <c r="BK535" i="3"/>
  <c r="J498" i="3"/>
  <c r="BK420" i="3"/>
  <c r="BK383" i="3"/>
  <c r="J363" i="3"/>
  <c r="BK315" i="3"/>
  <c r="BK289" i="3"/>
  <c r="BK270" i="3"/>
  <c r="BK191" i="3"/>
  <c r="BK134" i="3"/>
  <c r="J851" i="3"/>
  <c r="J828" i="3"/>
  <c r="BK788" i="3"/>
  <c r="BK760" i="3"/>
  <c r="J724" i="3"/>
  <c r="BK700" i="3"/>
  <c r="J670" i="3"/>
  <c r="J593" i="3"/>
  <c r="J535" i="3"/>
  <c r="J495" i="3"/>
  <c r="J489" i="3"/>
  <c r="J453" i="3"/>
  <c r="J425" i="3"/>
  <c r="J398" i="3"/>
  <c r="J375" i="3"/>
  <c r="J332" i="3"/>
  <c r="J310" i="3"/>
  <c r="J284" i="3"/>
  <c r="J258" i="3"/>
  <c r="BK223" i="3"/>
  <c r="BK178" i="3"/>
  <c r="BK137" i="3"/>
  <c r="BK107" i="4"/>
  <c r="BK112" i="4"/>
  <c r="J120" i="4"/>
  <c r="J107" i="4"/>
  <c r="BK99" i="4"/>
  <c r="BK94" i="4"/>
  <c r="J112" i="4"/>
  <c r="J88" i="4"/>
  <c r="BK285" i="2"/>
  <c r="BK271" i="2"/>
  <c r="BK251" i="2"/>
  <c r="BK225" i="2"/>
  <c r="BK179" i="2"/>
  <c r="BK146" i="2"/>
  <c r="BK99" i="2"/>
  <c r="J253" i="2"/>
  <c r="J231" i="2"/>
  <c r="BK197" i="2"/>
  <c r="J128" i="2"/>
  <c r="BK344" i="2"/>
  <c r="BK1304" i="3"/>
  <c r="J1268" i="3"/>
  <c r="J1178" i="3"/>
  <c r="J1130" i="3"/>
  <c r="BK1105" i="3"/>
  <c r="BK1038" i="3"/>
  <c r="J1017" i="3"/>
  <c r="J974" i="3"/>
  <c r="BK912" i="3"/>
  <c r="J873" i="3"/>
  <c r="BK857" i="3"/>
  <c r="BK837" i="3"/>
  <c r="J803" i="3"/>
  <c r="J792" i="3"/>
  <c r="BK762" i="3"/>
  <c r="BK685" i="3"/>
  <c r="BK653" i="3"/>
  <c r="BK631" i="3"/>
  <c r="BK601" i="3"/>
  <c r="BK563" i="3"/>
  <c r="BK553" i="3"/>
  <c r="J511" i="3"/>
  <c r="BK485" i="3"/>
  <c r="J436" i="3"/>
  <c r="BK398" i="3"/>
  <c r="BK360" i="3"/>
  <c r="BK294" i="3"/>
  <c r="BK258" i="3"/>
  <c r="BK205" i="3"/>
  <c r="J137" i="3"/>
  <c r="J1301" i="3"/>
  <c r="BK1288" i="3"/>
  <c r="J1234" i="3"/>
  <c r="BK1175" i="3"/>
  <c r="J1142" i="3"/>
  <c r="BK1124" i="3"/>
  <c r="J1067" i="3"/>
  <c r="BK1052" i="3"/>
  <c r="BK1041" i="3"/>
  <c r="BK1024" i="3"/>
  <c r="J1005" i="3"/>
  <c r="J993" i="3"/>
  <c r="BK974" i="3"/>
  <c r="BK936" i="3"/>
  <c r="BK921" i="3"/>
  <c r="BK901" i="3"/>
  <c r="J890" i="3"/>
  <c r="BK886" i="3"/>
  <c r="BK867" i="3"/>
  <c r="J857" i="3"/>
  <c r="J850" i="3"/>
  <c r="BK845" i="3"/>
  <c r="J838" i="3"/>
  <c r="J807" i="3"/>
  <c r="J788" i="3"/>
  <c r="BK773" i="3"/>
  <c r="J756" i="3"/>
  <c r="J734" i="3"/>
  <c r="BK721" i="3"/>
  <c r="J700" i="3"/>
  <c r="BK665" i="3"/>
  <c r="J653" i="3"/>
  <c r="BK613" i="3"/>
  <c r="J601" i="3"/>
  <c r="J569" i="3"/>
  <c r="J532" i="3"/>
  <c r="J492" i="3"/>
  <c r="BK483" i="3"/>
  <c r="BK453" i="3"/>
  <c r="BK443" i="3"/>
  <c r="J430" i="3"/>
  <c r="J420" i="3"/>
  <c r="BK389" i="3"/>
  <c r="BK371" i="3"/>
  <c r="BK299" i="3"/>
  <c r="J264" i="3"/>
  <c r="BK239" i="3"/>
  <c r="BK211" i="3"/>
  <c r="J169" i="3"/>
  <c r="BK146" i="3"/>
  <c r="J1207" i="3"/>
  <c r="J1170" i="3"/>
  <c r="BK1148" i="3"/>
  <c r="J1124" i="3"/>
  <c r="J1105" i="3"/>
  <c r="BK1072" i="3"/>
  <c r="J1052" i="3"/>
  <c r="BK1033" i="3"/>
  <c r="BK993" i="3"/>
  <c r="BK939" i="3"/>
  <c r="BK924" i="3"/>
  <c r="BK895" i="3"/>
  <c r="BK889" i="3"/>
  <c r="BK876" i="3"/>
  <c r="BK868" i="3"/>
  <c r="J861" i="3"/>
  <c r="BK851" i="3"/>
  <c r="J837" i="3"/>
  <c r="J799" i="3"/>
  <c r="J784" i="3"/>
  <c r="BK764" i="3"/>
  <c r="BK751" i="3"/>
  <c r="J740" i="3"/>
  <c r="BK729" i="3"/>
  <c r="J684" i="3"/>
  <c r="BK651" i="3"/>
  <c r="J640" i="3"/>
  <c r="BK622" i="3"/>
  <c r="BK569" i="3"/>
  <c r="BK538" i="3"/>
  <c r="BK519" i="3"/>
  <c r="J497" i="3"/>
  <c r="J443" i="3"/>
  <c r="BK416" i="3"/>
  <c r="J395" i="3"/>
  <c r="BK373" i="3"/>
  <c r="J360" i="3"/>
  <c r="J318" i="3"/>
  <c r="BK305" i="3"/>
  <c r="J278" i="3"/>
  <c r="J227" i="3"/>
  <c r="J195" i="3"/>
  <c r="J155" i="3"/>
  <c r="BK129" i="3"/>
  <c r="J852" i="3"/>
  <c r="BK848" i="3"/>
  <c r="J831" i="3"/>
  <c r="BK807" i="3"/>
  <c r="J778" i="3"/>
  <c r="J770" i="3"/>
  <c r="J758" i="3"/>
  <c r="BK746" i="3"/>
  <c r="BK716" i="3"/>
  <c r="J705" i="3"/>
  <c r="J685" i="3"/>
  <c r="J645" i="3"/>
  <c r="J613" i="3"/>
  <c r="J556" i="3"/>
  <c r="J519" i="3"/>
  <c r="BK501" i="3"/>
  <c r="J493" i="3"/>
  <c r="J485" i="3"/>
  <c r="BK450" i="3"/>
  <c r="J433" i="3"/>
  <c r="J406" i="3"/>
  <c r="BK395" i="3"/>
  <c r="J378" i="3"/>
  <c r="J354" i="3"/>
  <c r="J335" i="3"/>
  <c r="J315" i="3"/>
  <c r="BK302" i="3"/>
  <c r="J270" i="3"/>
  <c r="BK261" i="3"/>
  <c r="J233" i="3"/>
  <c r="J205" i="3"/>
  <c r="BK172" i="3"/>
  <c r="BK139" i="3"/>
  <c r="J134" i="3"/>
  <c r="J123" i="3"/>
  <c r="J114" i="3"/>
  <c r="BK110" i="4"/>
  <c r="J105" i="4"/>
  <c r="BK117" i="4"/>
  <c r="J96" i="4"/>
  <c r="BK88" i="4"/>
  <c r="J110" i="4"/>
  <c r="J1059" i="3"/>
  <c r="BK1035" i="3"/>
  <c r="J1014" i="3"/>
  <c r="BK997" i="3"/>
  <c r="J982" i="3"/>
  <c r="BK951" i="3"/>
  <c r="BK928" i="3"/>
  <c r="J905" i="3"/>
  <c r="BK893" i="3"/>
  <c r="BK888" i="3"/>
  <c r="J876" i="3"/>
  <c r="BK861" i="3"/>
  <c r="BK856" i="3"/>
  <c r="J842" i="3"/>
  <c r="BK809" i="3"/>
  <c r="BK795" i="3"/>
  <c r="BK784" i="3"/>
  <c r="J765" i="3"/>
  <c r="J751" i="3"/>
  <c r="J716" i="3"/>
  <c r="BK684" i="3"/>
  <c r="J678" i="3"/>
  <c r="BK658" i="3"/>
  <c r="BK628" i="3"/>
  <c r="BK619" i="3"/>
  <c r="J587" i="3"/>
  <c r="J553" i="3"/>
  <c r="BK541" i="3"/>
  <c r="J504" i="3"/>
  <c r="BK489" i="3"/>
  <c r="J465" i="3"/>
  <c r="BK448" i="3"/>
  <c r="BK436" i="3"/>
  <c r="BK425" i="3"/>
  <c r="J394" i="3"/>
  <c r="BK386" i="3"/>
  <c r="J338" i="3"/>
  <c r="J275" i="3"/>
  <c r="J250" i="3"/>
  <c r="BK220" i="3"/>
  <c r="J193" i="3"/>
  <c r="BK158" i="3"/>
  <c r="J120" i="3"/>
  <c r="BK1186" i="3"/>
  <c r="J1163" i="3"/>
  <c r="BK1136" i="3"/>
  <c r="BK1114" i="3"/>
  <c r="J1092" i="3"/>
  <c r="BK1057" i="3"/>
  <c r="BK1044" i="3"/>
  <c r="J1001" i="3"/>
  <c r="BK982" i="3"/>
  <c r="J928" i="3"/>
  <c r="J918" i="3"/>
  <c r="J891" i="3"/>
  <c r="BK878" i="3"/>
  <c r="BK871" i="3"/>
  <c r="BK864" i="3"/>
  <c r="BK854" i="3"/>
  <c r="J849" i="3"/>
  <c r="BK817" i="3"/>
  <c r="BK792" i="3"/>
  <c r="BK775" i="3"/>
  <c r="BK758" i="3"/>
  <c r="J746" i="3"/>
  <c r="BK734" i="3"/>
  <c r="BK719" i="3"/>
  <c r="J673" i="3"/>
  <c r="J633" i="3"/>
  <c r="BK604" i="3"/>
  <c r="J561" i="3"/>
  <c r="BK532" i="3"/>
  <c r="BK502" i="3"/>
  <c r="J488" i="3"/>
  <c r="BK428" i="3"/>
  <c r="BK406" i="3"/>
  <c r="BK381" i="3"/>
  <c r="J366" i="3"/>
  <c r="J324" i="3"/>
  <c r="BK310" i="3"/>
  <c r="J299" i="3"/>
  <c r="J273" i="3"/>
  <c r="J199" i="3"/>
  <c r="J178" i="3"/>
  <c r="J139" i="3"/>
  <c r="BK117" i="3"/>
  <c r="BK849" i="3"/>
  <c r="J843" i="3"/>
  <c r="J822" i="3"/>
  <c r="BK799" i="3"/>
  <c r="BK765" i="3"/>
  <c r="BK756" i="3"/>
  <c r="J729" i="3"/>
  <c r="J710" i="3"/>
  <c r="J693" i="3"/>
  <c r="BK673" i="3"/>
  <c r="J638" i="3"/>
  <c r="J571" i="3"/>
  <c r="J547" i="3"/>
  <c r="BK496" i="3"/>
  <c r="BK490" i="3"/>
  <c r="J478" i="3"/>
  <c r="J445" i="3"/>
  <c r="J416" i="3"/>
  <c r="BK401" i="3"/>
  <c r="J389" i="3"/>
  <c r="J373" i="3"/>
  <c r="J343" i="3"/>
  <c r="BK329" i="3"/>
  <c r="BK308" i="3"/>
  <c r="J289" i="3"/>
  <c r="BK264" i="3"/>
  <c r="J239" i="3"/>
  <c r="BK227" i="3"/>
  <c r="J220" i="3"/>
  <c r="BK184" i="3"/>
  <c r="J158" i="3"/>
  <c r="J102" i="4"/>
  <c r="J94" i="4"/>
  <c r="J114" i="4"/>
  <c r="BK91" i="4"/>
  <c r="BK336" i="2"/>
  <c r="BK191" i="2"/>
  <c r="J165" i="2"/>
  <c r="J143" i="2"/>
  <c r="BK116" i="2"/>
  <c r="BK352" i="2"/>
  <c r="BK316" i="2"/>
  <c r="BK304" i="2"/>
  <c r="J292" i="2"/>
  <c r="J271" i="2"/>
  <c r="BK257" i="2"/>
  <c r="J229" i="2"/>
  <c r="J171" i="2"/>
  <c r="BK128" i="2"/>
  <c r="J262" i="2"/>
  <c r="BK241" i="2"/>
  <c r="BK219" i="2"/>
  <c r="J130" i="2"/>
  <c r="J352" i="2"/>
  <c r="BK322" i="2"/>
  <c r="J1297" i="3"/>
  <c r="J1251" i="3"/>
  <c r="J1158" i="3"/>
  <c r="BK1111" i="3"/>
  <c r="J1054" i="3"/>
  <c r="BK1003" i="3"/>
  <c r="BK985" i="3"/>
  <c r="BK906" i="3"/>
  <c r="J877" i="3"/>
  <c r="J864" i="3"/>
  <c r="J817" i="3"/>
  <c r="BK781" i="3"/>
  <c r="BK708" i="3"/>
  <c r="J665" i="3"/>
  <c r="J336" i="2"/>
  <c r="J197" i="2"/>
  <c r="BK160" i="2"/>
  <c r="BK141" i="2"/>
  <c r="BK105" i="2"/>
  <c r="BK349" i="2"/>
  <c r="J316" i="2"/>
  <c r="J304" i="2"/>
  <c r="J288" i="2"/>
  <c r="J274" i="2"/>
  <c r="J261" i="2"/>
  <c r="J241" i="2"/>
  <c r="J209" i="2"/>
  <c r="J168" i="2"/>
  <c r="BK125" i="2"/>
  <c r="BK261" i="2"/>
  <c r="BK238" i="2"/>
  <c r="BK217" i="2"/>
  <c r="J185" i="2"/>
  <c r="J125" i="2"/>
  <c r="J319" i="2"/>
  <c r="BK1294" i="3"/>
  <c r="BK1234" i="3"/>
  <c r="J1175" i="3"/>
  <c r="BK1139" i="3"/>
  <c r="J1086" i="3"/>
  <c r="J1044" i="3"/>
  <c r="J995" i="3"/>
  <c r="J936" i="3"/>
  <c r="J912" i="3"/>
  <c r="J886" i="3"/>
  <c r="J858" i="3"/>
  <c r="BK828" i="3"/>
  <c r="J801" i="3"/>
  <c r="BK693" i="3"/>
  <c r="J651" i="3"/>
  <c r="BK643" i="3"/>
  <c r="J604" i="3"/>
  <c r="J574" i="3"/>
  <c r="BK550" i="3"/>
  <c r="J502" i="3"/>
  <c r="BK478" i="3"/>
  <c r="BK438" i="3"/>
  <c r="BK408" i="3"/>
  <c r="BK363" i="3"/>
  <c r="BK318" i="3"/>
  <c r="BK250" i="3"/>
  <c r="BK199" i="3"/>
  <c r="J146" i="3"/>
  <c r="J1302" i="3"/>
  <c r="BK1289" i="3"/>
  <c r="J1220" i="3"/>
  <c r="BK1170" i="3"/>
  <c r="J1111" i="3"/>
  <c r="BK1089" i="3"/>
  <c r="J1057" i="3"/>
  <c r="BK1017" i="3"/>
  <c r="BK995" i="3"/>
  <c r="J954" i="3"/>
  <c r="BK923" i="3"/>
  <c r="J895" i="3"/>
  <c r="BK873" i="3"/>
  <c r="BK855" i="3"/>
  <c r="J841" i="3"/>
  <c r="BK804" i="3"/>
  <c r="J781" i="3"/>
  <c r="BK740" i="3"/>
  <c r="BK705" i="3"/>
  <c r="J655" i="3"/>
  <c r="J625" i="3"/>
  <c r="BK596" i="3"/>
  <c r="J544" i="3"/>
  <c r="BK500" i="3"/>
  <c r="BK488" i="3"/>
  <c r="J450" i="3"/>
  <c r="BK433" i="3"/>
  <c r="BK423" i="3"/>
  <c r="BK366" i="3"/>
  <c r="J292" i="3"/>
  <c r="J242" i="3"/>
  <c r="BK195" i="3"/>
  <c r="BK155" i="3"/>
  <c r="J1191" i="3"/>
  <c r="J1153" i="3"/>
  <c r="BK1127" i="3"/>
  <c r="J1102" i="3"/>
  <c r="BK1054" i="3"/>
  <c r="BK1014" i="3"/>
  <c r="J985" i="3"/>
  <c r="BK927" i="3"/>
  <c r="J893" i="3"/>
  <c r="J882" i="3"/>
  <c r="BK875" i="3"/>
  <c r="J867" i="3"/>
  <c r="J856" i="3"/>
  <c r="BK850" i="3"/>
  <c r="BK801" i="3"/>
  <c r="BK778" i="3"/>
  <c r="BK763" i="3"/>
  <c r="BK743" i="3"/>
  <c r="J732" i="3"/>
  <c r="J683" i="3"/>
  <c r="J648" i="3"/>
  <c r="J590" i="3"/>
  <c r="J541" i="3"/>
  <c r="BK511" i="3"/>
  <c r="J455" i="3"/>
  <c r="J404" i="3"/>
  <c r="J371" i="3"/>
  <c r="J321" i="3"/>
  <c r="J302" i="3"/>
  <c r="J211" i="3"/>
  <c r="J172" i="3"/>
  <c r="J125" i="3"/>
  <c r="BK844" i="3"/>
  <c r="J815" i="3"/>
  <c r="J762" i="3"/>
  <c r="J743" i="3"/>
  <c r="J708" i="3"/>
  <c r="BK678" i="3"/>
  <c r="J622" i="3"/>
  <c r="J550" i="3"/>
  <c r="BK497" i="3"/>
  <c r="J483" i="3"/>
  <c r="J438" i="3"/>
  <c r="BK404" i="3"/>
  <c r="J386" i="3"/>
  <c r="BK338" i="3"/>
  <c r="J305" i="3"/>
  <c r="BK292" i="3"/>
  <c r="BK267" i="3"/>
  <c r="J230" i="3"/>
  <c r="J191" i="3"/>
  <c r="J149" i="3"/>
  <c r="J117" i="3"/>
  <c r="BK102" i="4"/>
  <c r="J101" i="4"/>
  <c r="BK114" i="4"/>
  <c r="BK96" i="4"/>
  <c r="J91" i="4"/>
  <c r="J298" i="2"/>
  <c r="J282" i="2"/>
  <c r="BK264" i="2"/>
  <c r="J245" i="2"/>
  <c r="J219" i="2"/>
  <c r="J133" i="2"/>
  <c r="J325" i="2"/>
  <c r="BK245" i="2"/>
  <c r="J222" i="2"/>
  <c r="BK165" i="2"/>
  <c r="J116" i="2"/>
  <c r="J333" i="2"/>
  <c r="BK1301" i="3"/>
  <c r="BK1220" i="3"/>
  <c r="BK1163" i="3"/>
  <c r="J1117" i="3"/>
  <c r="BK1067" i="3"/>
  <c r="J999" i="3"/>
  <c r="J927" i="3"/>
  <c r="BK905" i="3"/>
  <c r="J888" i="3"/>
  <c r="J868" i="3"/>
  <c r="BK825" i="3"/>
  <c r="BK796" i="3"/>
  <c r="BK695" i="3"/>
  <c r="J658" i="3"/>
  <c r="BK640" i="3"/>
  <c r="J628" i="3"/>
  <c r="BK593" i="3"/>
  <c r="BK529" i="3"/>
  <c r="BK498" i="3"/>
  <c r="J441" i="3"/>
  <c r="J410" i="3"/>
  <c r="J381" i="3"/>
  <c r="J329" i="3"/>
  <c r="BK242" i="3"/>
  <c r="BK197" i="3"/>
  <c r="BK149" i="3"/>
  <c r="J1303" i="3"/>
  <c r="BK1290" i="3"/>
  <c r="BK1191" i="3"/>
  <c r="J1165" i="3"/>
  <c r="BK1133" i="3"/>
  <c r="BK1108" i="3"/>
  <c r="BK1086" i="3"/>
  <c r="J217" i="2"/>
  <c r="J211" i="2"/>
  <c r="BK185" i="2"/>
  <c r="BK157" i="2"/>
  <c r="BK138" i="2"/>
  <c r="J102" i="2"/>
  <c r="J344" i="2"/>
  <c r="BK310" i="2"/>
  <c r="BK298" i="2"/>
  <c r="J277" i="2"/>
  <c r="BK262" i="2"/>
  <c r="J238" i="2"/>
  <c r="BK188" i="2"/>
  <c r="J141" i="2"/>
  <c r="BK331" i="2"/>
  <c r="J251" i="2"/>
  <c r="BK229" i="2"/>
  <c r="J179" i="2"/>
  <c r="J119" i="2"/>
  <c r="BK333" i="2"/>
  <c r="BK1303" i="3"/>
  <c r="J1288" i="3"/>
  <c r="J1183" i="3"/>
  <c r="J1133" i="3"/>
  <c r="BK1092" i="3"/>
  <c r="J1033" i="3"/>
  <c r="J997" i="3"/>
  <c r="J939" i="3"/>
  <c r="BK892" i="3"/>
  <c r="J871" i="3"/>
  <c r="BK841" i="3"/>
  <c r="J804" i="3"/>
  <c r="J763" i="3"/>
  <c r="J688" i="3"/>
  <c r="J338" i="2"/>
  <c r="BK209" i="2"/>
  <c r="J176" i="2"/>
  <c r="BK154" i="2"/>
  <c r="J135" i="2"/>
  <c r="J99" i="2"/>
  <c r="BK338" i="2"/>
  <c r="J313" i="2"/>
  <c r="BK295" i="2"/>
  <c r="J285" i="2"/>
  <c r="J264" i="2"/>
  <c r="J248" i="2"/>
  <c r="BK222" i="2"/>
  <c r="BK176" i="2"/>
  <c r="BK135" i="2"/>
  <c r="J328" i="2"/>
  <c r="BK248" i="2"/>
  <c r="J225" i="2"/>
  <c r="BK143" i="2"/>
  <c r="BK328" i="2"/>
  <c r="BK1302" i="3"/>
  <c r="J1289" i="3"/>
  <c r="J1194" i="3"/>
  <c r="BK1153" i="3"/>
  <c r="BK1122" i="3"/>
  <c r="J1095" i="3"/>
  <c r="J1035" i="3"/>
  <c r="BK1005" i="3"/>
  <c r="J977" i="3"/>
  <c r="BK918" i="3"/>
  <c r="J901" i="3"/>
  <c r="J875" i="3"/>
  <c r="BK843" i="3"/>
  <c r="BK822" i="3"/>
  <c r="BK787" i="3"/>
  <c r="J760" i="3"/>
  <c r="BK664" i="3"/>
  <c r="BK645" i="3"/>
  <c r="J616" i="3"/>
  <c r="BK590" i="3"/>
  <c r="BK556" i="3"/>
  <c r="BK524" i="3"/>
  <c r="BK495" i="3"/>
  <c r="J413" i="3"/>
  <c r="J392" i="3"/>
  <c r="BK332" i="3"/>
  <c r="BK273" i="3"/>
  <c r="J223" i="3"/>
  <c r="J152" i="3"/>
  <c r="J1304" i="3"/>
  <c r="BK1293" i="3"/>
  <c r="BK1251" i="3"/>
  <c r="BK1183" i="3"/>
  <c r="BK1145" i="3"/>
  <c r="J1127" i="3"/>
  <c r="BK1102" i="3"/>
  <c r="BK1065" i="3"/>
  <c r="J1038" i="3"/>
  <c r="BK1008" i="3"/>
  <c r="BK990" i="3"/>
  <c r="J942" i="3"/>
  <c r="J906" i="3"/>
  <c r="J892" i="3"/>
  <c r="J887" i="3"/>
  <c r="BK863" i="3"/>
  <c r="J848" i="3"/>
  <c r="J825" i="3"/>
  <c r="J787" i="3"/>
  <c r="J764" i="3"/>
  <c r="BK732" i="3"/>
  <c r="J695" i="3"/>
  <c r="BK670" i="3"/>
  <c r="J631" i="3"/>
  <c r="BK607" i="3"/>
  <c r="J563" i="3"/>
  <c r="J529" i="3"/>
  <c r="J490" i="3"/>
  <c r="BK455" i="3"/>
  <c r="BK441" i="3"/>
  <c r="J408" i="3"/>
  <c r="BK375" i="3"/>
  <c r="BK321" i="3"/>
  <c r="J261" i="3"/>
  <c r="J213" i="3"/>
  <c r="J164" i="3"/>
  <c r="BK114" i="3"/>
  <c r="BK1165" i="3"/>
  <c r="BK1130" i="3"/>
  <c r="J1108" i="3"/>
  <c r="J1065" i="3"/>
  <c r="J1041" i="3"/>
  <c r="J951" i="3"/>
  <c r="BK898" i="3"/>
  <c r="BK877" i="3"/>
  <c r="BK869" i="3"/>
  <c r="J863" i="3"/>
  <c r="BK852" i="3"/>
  <c r="BK834" i="3"/>
  <c r="J796" i="3"/>
  <c r="J773" i="3"/>
  <c r="J748" i="3"/>
  <c r="J721" i="3"/>
  <c r="J664" i="3"/>
  <c r="BK625" i="3"/>
  <c r="J566" i="3"/>
  <c r="J524" i="3"/>
  <c r="J496" i="3"/>
  <c r="BK413" i="3"/>
  <c r="BK378" i="3"/>
  <c r="BK335" i="3"/>
  <c r="J308" i="3"/>
  <c r="BK275" i="3"/>
  <c r="J197" i="3"/>
  <c r="BK152" i="3"/>
  <c r="J854" i="3"/>
  <c r="J834" i="3"/>
  <c r="BK803" i="3"/>
  <c r="J775" i="3"/>
  <c r="BK748" i="3"/>
  <c r="BK713" i="3"/>
  <c r="BK688" i="3"/>
  <c r="J643" i="3"/>
  <c r="BK561" i="3"/>
  <c r="BK504" i="3"/>
  <c r="BK492" i="3"/>
  <c r="J448" i="3"/>
  <c r="BK410" i="3"/>
  <c r="BK394" i="3"/>
  <c r="BK348" i="3"/>
  <c r="BK324" i="3"/>
  <c r="J294" i="3"/>
  <c r="BK236" i="3"/>
  <c r="BK213" i="3"/>
  <c r="BK169" i="3"/>
  <c r="J129" i="3"/>
  <c r="BK120" i="4"/>
  <c r="BK123" i="4"/>
  <c r="J117" i="4"/>
  <c r="BK101" i="4"/>
  <c r="J99" i="4"/>
  <c r="J123" i="4"/>
  <c r="BK105" i="4"/>
  <c r="BK288" i="2"/>
  <c r="BK274" i="2"/>
  <c r="J259" i="2"/>
  <c r="BK236" i="2"/>
  <c r="J206" i="2"/>
  <c r="J160" i="2"/>
  <c r="BK110" i="2"/>
  <c r="BK259" i="2"/>
  <c r="J236" i="2"/>
  <c r="BK214" i="2"/>
  <c r="J138" i="2"/>
  <c r="BK356" i="2"/>
  <c r="BK325" i="2"/>
  <c r="J1290" i="3"/>
  <c r="BK1189" i="3"/>
  <c r="BK1142" i="3"/>
  <c r="J1089" i="3"/>
  <c r="BK1030" i="3"/>
  <c r="J990" i="3"/>
  <c r="J921" i="3"/>
  <c r="J898" i="3"/>
  <c r="J878" i="3"/>
  <c r="BK842" i="3"/>
  <c r="BK815" i="3"/>
  <c r="BK770" i="3"/>
  <c r="BK724" i="3"/>
  <c r="BK663" i="3"/>
  <c r="BK648" i="3"/>
  <c r="J607" i="3"/>
  <c r="BK587" i="3"/>
  <c r="BK547" i="3"/>
  <c r="J501" i="3"/>
  <c r="J472" i="3"/>
  <c r="J423" i="3"/>
  <c r="J383" i="3"/>
  <c r="J348" i="3"/>
  <c r="BK278" i="3"/>
  <c r="BK230" i="3"/>
  <c r="BK164" i="3"/>
  <c r="BK120" i="3"/>
  <c r="J1294" i="3"/>
  <c r="BK1268" i="3"/>
  <c r="J1189" i="3"/>
  <c r="J1148" i="3"/>
  <c r="BK1119" i="3"/>
  <c r="BK1095" i="3"/>
  <c r="I113" i="8" l="1"/>
  <c r="J53" i="11"/>
  <c r="J80" i="6"/>
  <c r="F104" i="9"/>
  <c r="F113" i="9" s="1"/>
  <c r="H17" i="12"/>
  <c r="I17" i="12"/>
  <c r="AI12" i="6"/>
  <c r="J120" i="6"/>
  <c r="AB120" i="6" s="1"/>
  <c r="J121" i="6"/>
  <c r="AB121" i="6" s="1"/>
  <c r="AK80" i="6" s="1"/>
  <c r="J123" i="6"/>
  <c r="AJ12" i="6"/>
  <c r="J13" i="6"/>
  <c r="AE15" i="6"/>
  <c r="AE79" i="6"/>
  <c r="AE120" i="6"/>
  <c r="AE121" i="6"/>
  <c r="AE123" i="6"/>
  <c r="AE127" i="6"/>
  <c r="J149" i="6"/>
  <c r="AB149" i="6" s="1"/>
  <c r="J15" i="6"/>
  <c r="AB15" i="6" s="1"/>
  <c r="J79" i="6"/>
  <c r="AB79" i="6" s="1"/>
  <c r="J127" i="6"/>
  <c r="AB127" i="6" s="1"/>
  <c r="BK134" i="2"/>
  <c r="J134" i="2"/>
  <c r="J62" i="2"/>
  <c r="P134" i="2"/>
  <c r="BK228" i="2"/>
  <c r="J228" i="2"/>
  <c r="J63" i="2"/>
  <c r="R228" i="2"/>
  <c r="P244" i="2"/>
  <c r="R260" i="2"/>
  <c r="BK291" i="2"/>
  <c r="J291" i="2"/>
  <c r="J71" i="2" s="1"/>
  <c r="T291" i="2"/>
  <c r="R327" i="2"/>
  <c r="BK343" i="2"/>
  <c r="J343" i="2" s="1"/>
  <c r="J73" i="2" s="1"/>
  <c r="T343" i="2"/>
  <c r="R113" i="3"/>
  <c r="BK183" i="3"/>
  <c r="J183" i="3"/>
  <c r="J63" i="3"/>
  <c r="T183" i="3"/>
  <c r="P232" i="3"/>
  <c r="T232" i="3"/>
  <c r="T241" i="3"/>
  <c r="R359" i="3"/>
  <c r="P405" i="3"/>
  <c r="P419" i="3"/>
  <c r="T419" i="3"/>
  <c r="T432" i="3"/>
  <c r="R487" i="3"/>
  <c r="P491" i="3"/>
  <c r="T491" i="3"/>
  <c r="P494" i="3"/>
  <c r="T494" i="3"/>
  <c r="P499" i="3"/>
  <c r="T499" i="3"/>
  <c r="R503" i="3"/>
  <c r="P615" i="3"/>
  <c r="BK687" i="3"/>
  <c r="J687" i="3"/>
  <c r="J78" i="3"/>
  <c r="R687" i="3"/>
  <c r="P750" i="3"/>
  <c r="T833" i="3"/>
  <c r="BK897" i="3"/>
  <c r="J897" i="3" s="1"/>
  <c r="J81" i="3" s="1"/>
  <c r="BK1007" i="3"/>
  <c r="J1007" i="3"/>
  <c r="J82" i="3" s="1"/>
  <c r="BK1104" i="3"/>
  <c r="J1104" i="3"/>
  <c r="J83" i="3"/>
  <c r="R1129" i="3"/>
  <c r="R1147" i="3"/>
  <c r="R1185" i="3"/>
  <c r="R1193" i="3"/>
  <c r="BK1233" i="3"/>
  <c r="J1233" i="3"/>
  <c r="J88" i="3"/>
  <c r="BK1285" i="3"/>
  <c r="J1285" i="3" s="1"/>
  <c r="J89" i="3" s="1"/>
  <c r="BK1300" i="3"/>
  <c r="J1300" i="3"/>
  <c r="J91" i="3" s="1"/>
  <c r="R87" i="4"/>
  <c r="P109" i="4"/>
  <c r="P98" i="2"/>
  <c r="T98" i="2"/>
  <c r="T134" i="2"/>
  <c r="P228" i="2"/>
  <c r="BK244" i="2"/>
  <c r="J244" i="2" s="1"/>
  <c r="J65" i="2" s="1"/>
  <c r="T244" i="2"/>
  <c r="P260" i="2"/>
  <c r="BK265" i="2"/>
  <c r="J265" i="2"/>
  <c r="J70" i="2"/>
  <c r="R265" i="2"/>
  <c r="P291" i="2"/>
  <c r="P327" i="2"/>
  <c r="P343" i="2"/>
  <c r="BK113" i="3"/>
  <c r="BK145" i="3"/>
  <c r="J145" i="3"/>
  <c r="J62" i="3" s="1"/>
  <c r="P145" i="3"/>
  <c r="P183" i="3"/>
  <c r="BK241" i="3"/>
  <c r="J241" i="3" s="1"/>
  <c r="J65" i="3" s="1"/>
  <c r="R241" i="3"/>
  <c r="P359" i="3"/>
  <c r="BK405" i="3"/>
  <c r="J405" i="3"/>
  <c r="J67" i="3" s="1"/>
  <c r="T405" i="3"/>
  <c r="BK432" i="3"/>
  <c r="J432" i="3"/>
  <c r="J71" i="3" s="1"/>
  <c r="R432" i="3"/>
  <c r="BK487" i="3"/>
  <c r="J487" i="3" s="1"/>
  <c r="J72" i="3" s="1"/>
  <c r="T487" i="3"/>
  <c r="BK503" i="3"/>
  <c r="J503" i="3"/>
  <c r="J76" i="3" s="1"/>
  <c r="T503" i="3"/>
  <c r="R615" i="3"/>
  <c r="P687" i="3"/>
  <c r="T687" i="3"/>
  <c r="T750" i="3"/>
  <c r="P833" i="3"/>
  <c r="P897" i="3"/>
  <c r="R1007" i="3"/>
  <c r="P1104" i="3"/>
  <c r="BK1129" i="3"/>
  <c r="J1129" i="3"/>
  <c r="J84" i="3" s="1"/>
  <c r="T1147" i="3"/>
  <c r="T1185" i="3"/>
  <c r="P1193" i="3"/>
  <c r="R1233" i="3"/>
  <c r="R1285" i="3"/>
  <c r="P1300" i="3"/>
  <c r="P87" i="4"/>
  <c r="P86" i="4" s="1"/>
  <c r="P85" i="4" s="1"/>
  <c r="AU57" i="1" s="1"/>
  <c r="R109" i="4"/>
  <c r="BK98" i="2"/>
  <c r="J98" i="2"/>
  <c r="J61" i="2"/>
  <c r="R98" i="2"/>
  <c r="R134" i="2"/>
  <c r="T228" i="2"/>
  <c r="R244" i="2"/>
  <c r="BK260" i="2"/>
  <c r="J260" i="2" s="1"/>
  <c r="J68" i="2" s="1"/>
  <c r="T260" i="2"/>
  <c r="P265" i="2"/>
  <c r="T265" i="2"/>
  <c r="R291" i="2"/>
  <c r="BK327" i="2"/>
  <c r="J327" i="2"/>
  <c r="J72" i="2" s="1"/>
  <c r="T327" i="2"/>
  <c r="R343" i="2"/>
  <c r="P113" i="3"/>
  <c r="T113" i="3"/>
  <c r="R145" i="3"/>
  <c r="T145" i="3"/>
  <c r="R183" i="3"/>
  <c r="BK232" i="3"/>
  <c r="J232" i="3"/>
  <c r="J64" i="3" s="1"/>
  <c r="R232" i="3"/>
  <c r="P241" i="3"/>
  <c r="BK359" i="3"/>
  <c r="J359" i="3" s="1"/>
  <c r="J66" i="3" s="1"/>
  <c r="T359" i="3"/>
  <c r="R405" i="3"/>
  <c r="BK419" i="3"/>
  <c r="J419" i="3"/>
  <c r="J70" i="3" s="1"/>
  <c r="R419" i="3"/>
  <c r="P432" i="3"/>
  <c r="P487" i="3"/>
  <c r="BK491" i="3"/>
  <c r="J491" i="3" s="1"/>
  <c r="J73" i="3" s="1"/>
  <c r="R491" i="3"/>
  <c r="BK494" i="3"/>
  <c r="J494" i="3"/>
  <c r="J74" i="3" s="1"/>
  <c r="R494" i="3"/>
  <c r="BK499" i="3"/>
  <c r="J499" i="3" s="1"/>
  <c r="J75" i="3" s="1"/>
  <c r="R499" i="3"/>
  <c r="P503" i="3"/>
  <c r="BK615" i="3"/>
  <c r="J615" i="3" s="1"/>
  <c r="J77" i="3" s="1"/>
  <c r="T615" i="3"/>
  <c r="BK750" i="3"/>
  <c r="J750" i="3" s="1"/>
  <c r="J79" i="3" s="1"/>
  <c r="R750" i="3"/>
  <c r="BK833" i="3"/>
  <c r="J833" i="3" s="1"/>
  <c r="J80" i="3" s="1"/>
  <c r="T897" i="3"/>
  <c r="P1007" i="3"/>
  <c r="T1104" i="3"/>
  <c r="T1129" i="3"/>
  <c r="P1147" i="3"/>
  <c r="P1185" i="3"/>
  <c r="T1193" i="3"/>
  <c r="T1233" i="3"/>
  <c r="T1285" i="3"/>
  <c r="T1300" i="3"/>
  <c r="BK87" i="4"/>
  <c r="J87" i="4"/>
  <c r="J61" i="4" s="1"/>
  <c r="BK109" i="4"/>
  <c r="J109" i="4" s="1"/>
  <c r="J62" i="4" s="1"/>
  <c r="T109" i="4"/>
  <c r="R833" i="3"/>
  <c r="R897" i="3"/>
  <c r="T1007" i="3"/>
  <c r="R1104" i="3"/>
  <c r="P1129" i="3"/>
  <c r="BK1147" i="3"/>
  <c r="J1147" i="3"/>
  <c r="J85" i="3" s="1"/>
  <c r="BK1185" i="3"/>
  <c r="J1185" i="3" s="1"/>
  <c r="J86" i="3" s="1"/>
  <c r="BK1193" i="3"/>
  <c r="J1193" i="3"/>
  <c r="J87" i="3" s="1"/>
  <c r="P1233" i="3"/>
  <c r="P1285" i="3"/>
  <c r="R1300" i="3"/>
  <c r="T87" i="4"/>
  <c r="T86" i="4"/>
  <c r="T85" i="4" s="1"/>
  <c r="BK256" i="2"/>
  <c r="J256" i="2" s="1"/>
  <c r="J66" i="2" s="1"/>
  <c r="BK263" i="2"/>
  <c r="J263" i="2"/>
  <c r="J69" i="2" s="1"/>
  <c r="BK360" i="2"/>
  <c r="J360" i="2" s="1"/>
  <c r="J76" i="2" s="1"/>
  <c r="BK415" i="3"/>
  <c r="J415" i="3"/>
  <c r="J68" i="3" s="1"/>
  <c r="BK1296" i="3"/>
  <c r="J1296" i="3" s="1"/>
  <c r="J90" i="3" s="1"/>
  <c r="BK258" i="2"/>
  <c r="J258" i="2"/>
  <c r="J67" i="2" s="1"/>
  <c r="BK355" i="2"/>
  <c r="J355" i="2" s="1"/>
  <c r="J74" i="2" s="1"/>
  <c r="BK119" i="4"/>
  <c r="J119" i="4"/>
  <c r="J64" i="4" s="1"/>
  <c r="BK116" i="4"/>
  <c r="J116" i="4" s="1"/>
  <c r="J63" i="4" s="1"/>
  <c r="BK122" i="4"/>
  <c r="J122" i="4"/>
  <c r="J65" i="4" s="1"/>
  <c r="J113" i="3"/>
  <c r="J61" i="3" s="1"/>
  <c r="E48" i="4"/>
  <c r="F55" i="4"/>
  <c r="BE88" i="4"/>
  <c r="BE91" i="4"/>
  <c r="BE105" i="4"/>
  <c r="BE114" i="4"/>
  <c r="BE117" i="4"/>
  <c r="J52" i="4"/>
  <c r="BE94" i="4"/>
  <c r="BE96" i="4"/>
  <c r="BE99" i="4"/>
  <c r="BE110" i="4"/>
  <c r="BE120" i="4"/>
  <c r="BE123" i="4"/>
  <c r="BE101" i="4"/>
  <c r="BE102" i="4"/>
  <c r="BE107" i="4"/>
  <c r="BE112" i="4"/>
  <c r="BK97" i="2"/>
  <c r="E101" i="3"/>
  <c r="J105" i="3"/>
  <c r="F108" i="3"/>
  <c r="BE117" i="3"/>
  <c r="BE123" i="3"/>
  <c r="BE139" i="3"/>
  <c r="BE146" i="3"/>
  <c r="BE149" i="3"/>
  <c r="BE158" i="3"/>
  <c r="BE191" i="3"/>
  <c r="BE193" i="3"/>
  <c r="BE195" i="3"/>
  <c r="BE205" i="3"/>
  <c r="BE273" i="3"/>
  <c r="BE275" i="3"/>
  <c r="BE360" i="3"/>
  <c r="BE363" i="3"/>
  <c r="BE371" i="3"/>
  <c r="BE381" i="3"/>
  <c r="BE389" i="3"/>
  <c r="BE406" i="3"/>
  <c r="BE413" i="3"/>
  <c r="BE416" i="3"/>
  <c r="BE420" i="3"/>
  <c r="BE425" i="3"/>
  <c r="BE428" i="3"/>
  <c r="BE430" i="3"/>
  <c r="BE438" i="3"/>
  <c r="BE443" i="3"/>
  <c r="BE448" i="3"/>
  <c r="BE455" i="3"/>
  <c r="BE498" i="3"/>
  <c r="BE500" i="3"/>
  <c r="BE502" i="3"/>
  <c r="BE524" i="3"/>
  <c r="BE529" i="3"/>
  <c r="BE535" i="3"/>
  <c r="BE541" i="3"/>
  <c r="BE550" i="3"/>
  <c r="BE561" i="3"/>
  <c r="BE574" i="3"/>
  <c r="BE596" i="3"/>
  <c r="BE601" i="3"/>
  <c r="BE604" i="3"/>
  <c r="BE616" i="3"/>
  <c r="BE625" i="3"/>
  <c r="BE651" i="3"/>
  <c r="BE653" i="3"/>
  <c r="BE658" i="3"/>
  <c r="BE663" i="3"/>
  <c r="BE664" i="3"/>
  <c r="BE683" i="3"/>
  <c r="BE693" i="3"/>
  <c r="BE716" i="3"/>
  <c r="BE732" i="3"/>
  <c r="BE734" i="3"/>
  <c r="BE737" i="3"/>
  <c r="BE763" i="3"/>
  <c r="BE770" i="3"/>
  <c r="BE775" i="3"/>
  <c r="BE778" i="3"/>
  <c r="BE781" i="3"/>
  <c r="BE791" i="3"/>
  <c r="BE792" i="3"/>
  <c r="BE795" i="3"/>
  <c r="BE809" i="3"/>
  <c r="BE817" i="3"/>
  <c r="BE822" i="3"/>
  <c r="BE842" i="3"/>
  <c r="BE855" i="3"/>
  <c r="BE120" i="3"/>
  <c r="BE164" i="3"/>
  <c r="BE199" i="3"/>
  <c r="BE213" i="3"/>
  <c r="BE220" i="3"/>
  <c r="BE230" i="3"/>
  <c r="BE236" i="3"/>
  <c r="BE239" i="3"/>
  <c r="BE242" i="3"/>
  <c r="BE250" i="3"/>
  <c r="BE258" i="3"/>
  <c r="BE264" i="3"/>
  <c r="BE278" i="3"/>
  <c r="BE292" i="3"/>
  <c r="BE315" i="3"/>
  <c r="BE324" i="3"/>
  <c r="BE338" i="3"/>
  <c r="BE343" i="3"/>
  <c r="BE386" i="3"/>
  <c r="BE392" i="3"/>
  <c r="BE398" i="3"/>
  <c r="BE408" i="3"/>
  <c r="BE423" i="3"/>
  <c r="BE433" i="3"/>
  <c r="BE436" i="3"/>
  <c r="BE441" i="3"/>
  <c r="BE450" i="3"/>
  <c r="BE465" i="3"/>
  <c r="BE472" i="3"/>
  <c r="BE478" i="3"/>
  <c r="BE483" i="3"/>
  <c r="BE489" i="3"/>
  <c r="BE490" i="3"/>
  <c r="BE493" i="3"/>
  <c r="BE495" i="3"/>
  <c r="BE504" i="3"/>
  <c r="BE511" i="3"/>
  <c r="BE538" i="3"/>
  <c r="BE544" i="3"/>
  <c r="BE547" i="3"/>
  <c r="BE553" i="3"/>
  <c r="BE563" i="3"/>
  <c r="BE587" i="3"/>
  <c r="BE593" i="3"/>
  <c r="BE607" i="3"/>
  <c r="BE613" i="3"/>
  <c r="BE628" i="3"/>
  <c r="BE631" i="3"/>
  <c r="BE643" i="3"/>
  <c r="BE648" i="3"/>
  <c r="BE655" i="3"/>
  <c r="BE665" i="3"/>
  <c r="BE695" i="3"/>
  <c r="BE705" i="3"/>
  <c r="BE713" i="3"/>
  <c r="BE721" i="3"/>
  <c r="BE754" i="3"/>
  <c r="BE760" i="3"/>
  <c r="BE768" i="3"/>
  <c r="BE787" i="3"/>
  <c r="BE803" i="3"/>
  <c r="BE804" i="3"/>
  <c r="BE807" i="3"/>
  <c r="BE825" i="3"/>
  <c r="BE831" i="3"/>
  <c r="BE838" i="3"/>
  <c r="BE841" i="3"/>
  <c r="BE843" i="3"/>
  <c r="BE848" i="3"/>
  <c r="BE858" i="3"/>
  <c r="BE867" i="3"/>
  <c r="BE868" i="3"/>
  <c r="BE873" i="3"/>
  <c r="BE875" i="3"/>
  <c r="BE877" i="3"/>
  <c r="BE888" i="3"/>
  <c r="BE895" i="3"/>
  <c r="BE905" i="3"/>
  <c r="BE918" i="3"/>
  <c r="BE921" i="3"/>
  <c r="BE923" i="3"/>
  <c r="BE936" i="3"/>
  <c r="BE974" i="3"/>
  <c r="BE977" i="3"/>
  <c r="BE990" i="3"/>
  <c r="BE1005" i="3"/>
  <c r="BE1008" i="3"/>
  <c r="BE1017" i="3"/>
  <c r="BE1024" i="3"/>
  <c r="BE1030" i="3"/>
  <c r="BE1038" i="3"/>
  <c r="BE1052" i="3"/>
  <c r="BE1054" i="3"/>
  <c r="BE1065" i="3"/>
  <c r="BE1072" i="3"/>
  <c r="BE1086" i="3"/>
  <c r="BE1095" i="3"/>
  <c r="BE1111" i="3"/>
  <c r="BE1119" i="3"/>
  <c r="BE1124" i="3"/>
  <c r="BE1133" i="3"/>
  <c r="BE1145" i="3"/>
  <c r="BE1163" i="3"/>
  <c r="BE1175" i="3"/>
  <c r="BE129" i="3"/>
  <c r="BE137" i="3"/>
  <c r="BE152" i="3"/>
  <c r="BE178" i="3"/>
  <c r="BE184" i="3"/>
  <c r="BE197" i="3"/>
  <c r="BE223" i="3"/>
  <c r="BE284" i="3"/>
  <c r="BE289" i="3"/>
  <c r="BE294" i="3"/>
  <c r="BE305" i="3"/>
  <c r="BE310" i="3"/>
  <c r="BE318" i="3"/>
  <c r="BE329" i="3"/>
  <c r="BE332" i="3"/>
  <c r="BE348" i="3"/>
  <c r="BE354" i="3"/>
  <c r="BE373" i="3"/>
  <c r="BE378" i="3"/>
  <c r="BE383" i="3"/>
  <c r="BE404" i="3"/>
  <c r="BE410" i="3"/>
  <c r="BE485" i="3"/>
  <c r="BE496" i="3"/>
  <c r="BE501" i="3"/>
  <c r="BE556" i="3"/>
  <c r="BE566" i="3"/>
  <c r="BE590" i="3"/>
  <c r="BE622" i="3"/>
  <c r="BE633" i="3"/>
  <c r="BE638" i="3"/>
  <c r="BE640" i="3"/>
  <c r="BE645" i="3"/>
  <c r="BE673" i="3"/>
  <c r="BE685" i="3"/>
  <c r="BE688" i="3"/>
  <c r="BE708" i="3"/>
  <c r="BE710" i="3"/>
  <c r="BE724" i="3"/>
  <c r="BE743" i="3"/>
  <c r="BE746" i="3"/>
  <c r="BE756" i="3"/>
  <c r="BE758" i="3"/>
  <c r="BE762" i="3"/>
  <c r="BE796" i="3"/>
  <c r="BE799" i="3"/>
  <c r="BE801" i="3"/>
  <c r="BE815" i="3"/>
  <c r="BE828" i="3"/>
  <c r="BE837" i="3"/>
  <c r="BE849" i="3"/>
  <c r="BE851" i="3"/>
  <c r="BE852" i="3"/>
  <c r="BE856" i="3"/>
  <c r="BE861" i="3"/>
  <c r="BE864" i="3"/>
  <c r="BE869" i="3"/>
  <c r="BE871" i="3"/>
  <c r="BE878" i="3"/>
  <c r="BE887" i="3"/>
  <c r="BE889" i="3"/>
  <c r="BE891" i="3"/>
  <c r="BE892" i="3"/>
  <c r="BE893" i="3"/>
  <c r="BE901" i="3"/>
  <c r="BE906" i="3"/>
  <c r="BE928" i="3"/>
  <c r="BE942" i="3"/>
  <c r="BE954" i="3"/>
  <c r="BE985" i="3"/>
  <c r="BE999" i="3"/>
  <c r="BE1003" i="3"/>
  <c r="BE1014" i="3"/>
  <c r="BE1033" i="3"/>
  <c r="BE1041" i="3"/>
  <c r="BE1047" i="3"/>
  <c r="BE1059" i="3"/>
  <c r="BE1067" i="3"/>
  <c r="BE1080" i="3"/>
  <c r="BE1092" i="3"/>
  <c r="BE1105" i="3"/>
  <c r="BE1114" i="3"/>
  <c r="BE1117" i="3"/>
  <c r="BE1122" i="3"/>
  <c r="BE1127" i="3"/>
  <c r="BE1130" i="3"/>
  <c r="BE1139" i="3"/>
  <c r="BE1153" i="3"/>
  <c r="BE1165" i="3"/>
  <c r="BE1178" i="3"/>
  <c r="BE1183" i="3"/>
  <c r="BE1186" i="3"/>
  <c r="BE1189" i="3"/>
  <c r="BE1194" i="3"/>
  <c r="BE1207" i="3"/>
  <c r="BE1268" i="3"/>
  <c r="BE1288" i="3"/>
  <c r="BE1289" i="3"/>
  <c r="BE1290" i="3"/>
  <c r="BE1293" i="3"/>
  <c r="BE1297" i="3"/>
  <c r="BE1301" i="3"/>
  <c r="BE114" i="3"/>
  <c r="BE125" i="3"/>
  <c r="BE134" i="3"/>
  <c r="BE155" i="3"/>
  <c r="BE169" i="3"/>
  <c r="BE172" i="3"/>
  <c r="BE211" i="3"/>
  <c r="BE227" i="3"/>
  <c r="BE233" i="3"/>
  <c r="BE261" i="3"/>
  <c r="BE267" i="3"/>
  <c r="BE270" i="3"/>
  <c r="BE299" i="3"/>
  <c r="BE302" i="3"/>
  <c r="BE308" i="3"/>
  <c r="BE321" i="3"/>
  <c r="BE335" i="3"/>
  <c r="BE366" i="3"/>
  <c r="BE375" i="3"/>
  <c r="BE394" i="3"/>
  <c r="BE395" i="3"/>
  <c r="BE401" i="3"/>
  <c r="BE445" i="3"/>
  <c r="BE453" i="3"/>
  <c r="BE488" i="3"/>
  <c r="BE492" i="3"/>
  <c r="BE497" i="3"/>
  <c r="BE519" i="3"/>
  <c r="BE532" i="3"/>
  <c r="BE569" i="3"/>
  <c r="BE571" i="3"/>
  <c r="BE619" i="3"/>
  <c r="BE670" i="3"/>
  <c r="BE678" i="3"/>
  <c r="BE684" i="3"/>
  <c r="BE700" i="3"/>
  <c r="BE719" i="3"/>
  <c r="BE729" i="3"/>
  <c r="BE740" i="3"/>
  <c r="BE748" i="3"/>
  <c r="BE751" i="3"/>
  <c r="BE764" i="3"/>
  <c r="BE765" i="3"/>
  <c r="BE773" i="3"/>
  <c r="BE784" i="3"/>
  <c r="BE788" i="3"/>
  <c r="BE834" i="3"/>
  <c r="BE844" i="3"/>
  <c r="BE845" i="3"/>
  <c r="BE850" i="3"/>
  <c r="BE854" i="3"/>
  <c r="BE857" i="3"/>
  <c r="BE863" i="3"/>
  <c r="BE876" i="3"/>
  <c r="BE882" i="3"/>
  <c r="BE886" i="3"/>
  <c r="BE890" i="3"/>
  <c r="BE898" i="3"/>
  <c r="BE902" i="3"/>
  <c r="BE912" i="3"/>
  <c r="BE924" i="3"/>
  <c r="BE927" i="3"/>
  <c r="BE933" i="3"/>
  <c r="BE939" i="3"/>
  <c r="BE951" i="3"/>
  <c r="BE982" i="3"/>
  <c r="BE993" i="3"/>
  <c r="BE995" i="3"/>
  <c r="BE997" i="3"/>
  <c r="BE1001" i="3"/>
  <c r="BE1035" i="3"/>
  <c r="BE1044" i="3"/>
  <c r="BE1057" i="3"/>
  <c r="BE1089" i="3"/>
  <c r="BE1102" i="3"/>
  <c r="BE1108" i="3"/>
  <c r="BE1136" i="3"/>
  <c r="BE1142" i="3"/>
  <c r="BE1148" i="3"/>
  <c r="BE1158" i="3"/>
  <c r="BE1170" i="3"/>
  <c r="BE1191" i="3"/>
  <c r="BE1220" i="3"/>
  <c r="BE1234" i="3"/>
  <c r="BE1251" i="3"/>
  <c r="BE1286" i="3"/>
  <c r="BE1294" i="3"/>
  <c r="BE1302" i="3"/>
  <c r="BE1303" i="3"/>
  <c r="BE1304" i="3"/>
  <c r="BE316" i="2"/>
  <c r="BE322" i="2"/>
  <c r="BE325" i="2"/>
  <c r="BE331" i="2"/>
  <c r="BE349" i="2"/>
  <c r="BE361" i="2"/>
  <c r="E48" i="2"/>
  <c r="F55" i="2"/>
  <c r="BE119" i="2"/>
  <c r="BE125" i="2"/>
  <c r="BE130" i="2"/>
  <c r="BE133" i="2"/>
  <c r="BE160" i="2"/>
  <c r="BE176" i="2"/>
  <c r="BE191" i="2"/>
  <c r="BE197" i="2"/>
  <c r="BE211" i="2"/>
  <c r="BE219" i="2"/>
  <c r="BE222" i="2"/>
  <c r="BE225" i="2"/>
  <c r="BE229" i="2"/>
  <c r="BE233" i="2"/>
  <c r="BE238" i="2"/>
  <c r="BE241" i="2"/>
  <c r="BE245" i="2"/>
  <c r="BE251" i="2"/>
  <c r="BE253" i="2"/>
  <c r="BE254" i="2"/>
  <c r="BE257" i="2"/>
  <c r="BE259" i="2"/>
  <c r="BE328" i="2"/>
  <c r="BE333" i="2"/>
  <c r="BE99" i="2"/>
  <c r="BE105" i="2"/>
  <c r="BE138" i="2"/>
  <c r="BE141" i="2"/>
  <c r="BE143" i="2"/>
  <c r="BE151" i="2"/>
  <c r="BE154" i="2"/>
  <c r="BE165" i="2"/>
  <c r="BE168" i="2"/>
  <c r="BE171" i="2"/>
  <c r="BE185" i="2"/>
  <c r="BE188" i="2"/>
  <c r="BE209" i="2"/>
  <c r="BE214" i="2"/>
  <c r="BE217" i="2"/>
  <c r="BE231" i="2"/>
  <c r="BE236" i="2"/>
  <c r="BE248" i="2"/>
  <c r="BE261" i="2"/>
  <c r="BE262" i="2"/>
  <c r="BE264" i="2"/>
  <c r="BE266" i="2"/>
  <c r="BE271" i="2"/>
  <c r="BE274" i="2"/>
  <c r="BE277" i="2"/>
  <c r="BE282" i="2"/>
  <c r="BE285" i="2"/>
  <c r="BE288" i="2"/>
  <c r="BE292" i="2"/>
  <c r="BE295" i="2"/>
  <c r="BE298" i="2"/>
  <c r="BE304" i="2"/>
  <c r="BE310" i="2"/>
  <c r="BE313" i="2"/>
  <c r="BE319" i="2"/>
  <c r="BE352" i="2"/>
  <c r="BE356" i="2"/>
  <c r="J52" i="2"/>
  <c r="BE102" i="2"/>
  <c r="BE110" i="2"/>
  <c r="BE116" i="2"/>
  <c r="BE128" i="2"/>
  <c r="BE135" i="2"/>
  <c r="BE146" i="2"/>
  <c r="BE157" i="2"/>
  <c r="BE179" i="2"/>
  <c r="BE203" i="2"/>
  <c r="BE206" i="2"/>
  <c r="BE336" i="2"/>
  <c r="BE338" i="2"/>
  <c r="BE344" i="2"/>
  <c r="F35" i="3"/>
  <c r="BB56" i="1" s="1"/>
  <c r="F37" i="3"/>
  <c r="BD56" i="1" s="1"/>
  <c r="J34" i="2"/>
  <c r="AW55" i="1" s="1"/>
  <c r="F37" i="4"/>
  <c r="BD57" i="1" s="1"/>
  <c r="J34" i="3"/>
  <c r="AW56" i="1" s="1"/>
  <c r="F35" i="2"/>
  <c r="BB55" i="1" s="1"/>
  <c r="F34" i="4"/>
  <c r="BA57" i="1" s="1"/>
  <c r="J34" i="4"/>
  <c r="AW57" i="1" s="1"/>
  <c r="F36" i="4"/>
  <c r="BC57" i="1" s="1"/>
  <c r="F36" i="2"/>
  <c r="BC55" i="1" s="1"/>
  <c r="F35" i="4"/>
  <c r="BB57" i="1" s="1"/>
  <c r="F37" i="2"/>
  <c r="BD55" i="1" s="1"/>
  <c r="F34" i="3"/>
  <c r="BA56" i="1" s="1"/>
  <c r="F34" i="2"/>
  <c r="BA55" i="1" s="1"/>
  <c r="F36" i="3"/>
  <c r="BC56" i="1" s="1"/>
  <c r="AB123" i="6" l="1"/>
  <c r="AK122" i="6" s="1"/>
  <c r="J122" i="6"/>
  <c r="J12" i="6"/>
  <c r="J150" i="6" s="1"/>
  <c r="AB13" i="6"/>
  <c r="R418" i="3"/>
  <c r="R243" i="2"/>
  <c r="R97" i="2"/>
  <c r="R96" i="2"/>
  <c r="P97" i="2"/>
  <c r="P243" i="2"/>
  <c r="T112" i="3"/>
  <c r="BK112" i="3"/>
  <c r="J112" i="3" s="1"/>
  <c r="J60" i="3" s="1"/>
  <c r="R86" i="4"/>
  <c r="R85" i="4"/>
  <c r="R112" i="3"/>
  <c r="R111" i="3"/>
  <c r="P112" i="3"/>
  <c r="T243" i="2"/>
  <c r="T97" i="2"/>
  <c r="T96" i="2" s="1"/>
  <c r="T418" i="3"/>
  <c r="P418" i="3"/>
  <c r="BK243" i="2"/>
  <c r="J243" i="2"/>
  <c r="J64" i="2"/>
  <c r="BK86" i="4"/>
  <c r="J86" i="4" s="1"/>
  <c r="J60" i="4" s="1"/>
  <c r="BK359" i="2"/>
  <c r="J359" i="2"/>
  <c r="J75" i="2" s="1"/>
  <c r="BK418" i="3"/>
  <c r="J418" i="3" s="1"/>
  <c r="J69" i="3" s="1"/>
  <c r="J97" i="2"/>
  <c r="J60" i="2"/>
  <c r="J33" i="2"/>
  <c r="AV55" i="1"/>
  <c r="AT55" i="1" s="1"/>
  <c r="F33" i="2"/>
  <c r="AZ55" i="1"/>
  <c r="F33" i="4"/>
  <c r="AZ57" i="1" s="1"/>
  <c r="BD54" i="1"/>
  <c r="W33" i="1" s="1"/>
  <c r="BA54" i="1"/>
  <c r="AW54" i="1" s="1"/>
  <c r="AK30" i="1" s="1"/>
  <c r="F33" i="3"/>
  <c r="AZ56" i="1" s="1"/>
  <c r="J33" i="4"/>
  <c r="AV57" i="1"/>
  <c r="AT57" i="1"/>
  <c r="BC54" i="1"/>
  <c r="AY54" i="1" s="1"/>
  <c r="BB54" i="1"/>
  <c r="AX54" i="1" s="1"/>
  <c r="J33" i="3"/>
  <c r="AV56" i="1" s="1"/>
  <c r="AT56" i="1" s="1"/>
  <c r="AK12" i="6" l="1"/>
  <c r="AB150" i="6"/>
  <c r="P111" i="3"/>
  <c r="AU56" i="1" s="1"/>
  <c r="T111" i="3"/>
  <c r="P96" i="2"/>
  <c r="AU55" i="1" s="1"/>
  <c r="BK111" i="3"/>
  <c r="J111" i="3" s="1"/>
  <c r="J30" i="3" s="1"/>
  <c r="AG56" i="1" s="1"/>
  <c r="BK96" i="2"/>
  <c r="J96" i="2" s="1"/>
  <c r="J59" i="2" s="1"/>
  <c r="BK85" i="4"/>
  <c r="J85" i="4"/>
  <c r="J59" i="4" s="1"/>
  <c r="AZ54" i="1"/>
  <c r="W29" i="1" s="1"/>
  <c r="W30" i="1"/>
  <c r="W31" i="1"/>
  <c r="W32" i="1"/>
  <c r="J39" i="3" l="1"/>
  <c r="J59" i="3"/>
  <c r="AN56" i="1"/>
  <c r="AV54" i="1"/>
  <c r="AK29" i="1" s="1"/>
  <c r="J30" i="4"/>
  <c r="AG57" i="1"/>
  <c r="J30" i="2"/>
  <c r="AG55" i="1" s="1"/>
  <c r="AN55" i="1" s="1"/>
  <c r="AU54" i="1"/>
  <c r="J39" i="4" l="1"/>
  <c r="J39" i="2"/>
  <c r="AN57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<sst xmlns="http://schemas.openxmlformats.org/spreadsheetml/2006/main" count="16854" uniqueCount="3523">
  <si>
    <t>Export Komplet</t>
  </si>
  <si>
    <t>VZ</t>
  </si>
  <si>
    <t>2.0</t>
  </si>
  <si>
    <t>ZAMOK</t>
  </si>
  <si>
    <t>False</t>
  </si>
  <si>
    <t>{376644c3-97aa-4ce3-8223-2b7b3e77f5e1}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</si>
  <si>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</si>
  <si>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</si>
  <si>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</si>
  <si>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</si>
  <si>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</si>
  <si>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</si>
  <si>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</si>
  <si>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</si>
  <si>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22/393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</si>
  <si>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</si>
  <si>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</si>
  <si>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gymnáziu Hostivice - rekonstrukce gymnázia II.etapa</t>
  </si>
  <si>
    <t>KSO:</t>
  </si>
  <si>
    <t/>
  </si>
  <si>
    <t>CC-CZ:</t>
  </si>
  <si>
    <t>Místo:</t>
  </si>
  <si>
    <t>Gymnázium Hostivice, Komenského 141</t>
  </si>
  <si>
    <t>Datum:</t>
  </si>
  <si>
    <t>Zadavatel:</t>
  </si>
  <si>
    <t>IČ:</t>
  </si>
  <si>
    <t>Středočeský kraj, Zborovská 81/11, Praha 5</t>
  </si>
  <si>
    <t>DIČ:</t>
  </si>
  <si>
    <t>Uchazeč:</t>
  </si>
  <si>
    <t>Vyplň údaj</t>
  </si>
  <si>
    <t>Projektant:</t>
  </si>
  <si>
    <t>13309099</t>
  </si>
  <si>
    <t>Ing. Petr Petele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</si>
  <si>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</si>
  <si>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</si>
  <si>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</si>
  <si>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</si>
  <si>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</si>
  <si>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</si>
  <si>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</si>
  <si>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</si>
  <si>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</si>
  <si>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</si>
  <si>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</si>
  <si>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</si>
  <si>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</si>
  <si>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</si>
  <si>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</si>
  <si>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</si>
  <si>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</si>
  <si>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</si>
  <si>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</si>
  <si>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</si>
  <si>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</si>
  <si>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</si>
  <si>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</si>
  <si>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</si>
  <si>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</si>
  <si>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</si>
  <si>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</si>
  <si>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</si>
  <si>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</si>
  <si>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</si>
  <si>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</si>
  <si>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</si>
  <si>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</si>
  <si>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</si>
  <si>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</si>
  <si>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</si>
  <si>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</si>
  <si>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</si>
  <si>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</si>
  <si>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</si>
  <si>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</si>
  <si>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</si>
  <si>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</si>
  <si>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</si>
  <si>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</si>
  <si>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</si>
  <si>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</si>
  <si>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{95006946-8438-4894-a214-3208d70c8c0b}</t>
  </si>
  <si>
    <t>2</t>
  </si>
  <si>
    <t>02</t>
  </si>
  <si>
    <t>Nové konstrukce</t>
  </si>
  <si>
    <t>{7e9ba591-a401-4da8-bbee-eb727b4de791}</t>
  </si>
  <si>
    <t>03</t>
  </si>
  <si>
    <t>Vedlejší rozpočtové náklady</t>
  </si>
  <si>
    <t>{f0bf325a-89a5-4427-80a3-9f46b972c136}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</si>
  <si>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</si>
  <si>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</si>
  <si>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</si>
  <si>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</si>
  <si>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</si>
  <si>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</si>
  <si>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</si>
  <si>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</si>
  <si>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</si>
  <si>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</si>
  <si>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</si>
  <si>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</si>
  <si>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</si>
  <si>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720 - Zdravotechnika</t>
  </si>
  <si>
    <t xml:space="preserve">    730 -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</si>
  <si>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</si>
  <si>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</si>
  <si>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</si>
  <si>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</si>
  <si>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</si>
  <si>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</si>
  <si>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</si>
  <si>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</si>
  <si>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</si>
  <si>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</si>
  <si>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</si>
  <si>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</si>
  <si>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</si>
  <si>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</si>
  <si>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</si>
  <si>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</si>
  <si>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</si>
  <si>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</si>
  <si>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</si>
  <si>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</si>
  <si>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</si>
  <si>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</si>
  <si>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</si>
  <si>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</si>
  <si>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</si>
  <si>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</si>
  <si>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</si>
  <si>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</si>
  <si>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</si>
  <si>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</si>
  <si>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</si>
  <si>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</si>
  <si>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1410644782</t>
  </si>
  <si>
    <t>Online PSC</t>
  </si>
  <si>
    <t>https://podminky.urs.cz/item/CS_URS_2022_02/113106123</t>
  </si>
  <si>
    <t>VV</t>
  </si>
  <si>
    <t>17 "plocha pod budoucím schodištěm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</si>
  <si>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</si>
  <si>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</si>
  <si>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1370486069</t>
  </si>
  <si>
    <t>https://podminky.urs.cz/item/CS_URS_2022_02/113107123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</si>
  <si>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</si>
  <si>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</si>
  <si>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</si>
  <si>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</si>
  <si>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721543842</t>
  </si>
  <si>
    <t>https://podminky.urs.cz/item/CS_URS_2022_02/132212131</t>
  </si>
  <si>
    <t>1,35*1,2*2,608 "výkop pro základ stěny u schodiště</t>
  </si>
  <si>
    <t>0,2*0,55*2,608 "pod nastupní rameno schodiště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</si>
  <si>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</si>
  <si>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</si>
  <si>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</si>
  <si>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1811295510</t>
  </si>
  <si>
    <t>https://podminky.urs.cz/item/CS_URS_2022_02/162751117</t>
  </si>
  <si>
    <t>17*0,3 "plocha pod budoucím schodištěm</t>
  </si>
  <si>
    <t>1,35*0,6*2,608 "výkop pro základ stěny u schodiště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</si>
  <si>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</si>
  <si>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</si>
  <si>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</si>
  <si>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-67862015</t>
  </si>
  <si>
    <t>https://podminky.urs.cz/item/CS_URS_2022_02/162751119</t>
  </si>
  <si>
    <t>7,499*10 'Přepočtené koeficientem množství</t>
  </si>
  <si>
    <t>6</t>
  </si>
  <si>
    <t>167111101</t>
  </si>
  <si>
    <t>Nakládání, skládání a překládání neulehlého výkopku nebo sypaniny ručně nakládání, z hornin třídy těžitelnosti I, skupiny 1 až 3</t>
  </si>
  <si>
    <t>-717167731</t>
  </si>
  <si>
    <t>https://podminky.urs.cz/item/CS_URS_2022_02/167111101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</si>
  <si>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</si>
  <si>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</si>
  <si>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</si>
  <si>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</si>
  <si>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-1769018430</t>
  </si>
  <si>
    <t>https://podminky.urs.cz/item/CS_URS_2022_02/171201221</t>
  </si>
  <si>
    <t>7,917*1,8 'Přepočtené koeficientem množství</t>
  </si>
  <si>
    <t>8</t>
  </si>
  <si>
    <t>171251201</t>
  </si>
  <si>
    <t>Uložení sypaniny na skládky nebo meziskládky bez hutnění s upravením uložené sypaniny do předepsaného tvaru</t>
  </si>
  <si>
    <t>1327251820</t>
  </si>
  <si>
    <t>https://podminky.urs.cz/item/CS_URS_2022_02/171251201</t>
  </si>
  <si>
    <t>80</t>
  </si>
  <si>
    <t>174111101</t>
  </si>
  <si>
    <t>Zásyp sypaninou z jakékoliv horniny ručně s uložením výkopku ve vrstvách se zhutněním jam, šachet, rýh nebo kolem objektů v těchto vykopávkách</t>
  </si>
  <si>
    <t>995688264</t>
  </si>
  <si>
    <t>https://podminky.urs.cz/item/CS_URS_2022_02/174111101</t>
  </si>
  <si>
    <t>1,35*0,6*2,608 "kolem výkop pro základ stěny u schodiště</t>
  </si>
  <si>
    <t>9</t>
  </si>
  <si>
    <t>1-spec.01</t>
  </si>
  <si>
    <t>Provedení sondy před výkopovými pracemi v místě budoucího schodiště</t>
  </si>
  <si>
    <t>kpl.</t>
  </si>
  <si>
    <t>-1763681253</t>
  </si>
  <si>
    <t>Ostatní konstrukce a práce, bourání</t>
  </si>
  <si>
    <t>10</t>
  </si>
  <si>
    <t>943211112</t>
  </si>
  <si>
    <t>Montáž lešení prostorového rámového lehkého pracovního s podlahami s provozním zatížením tř. 3 do 200 kg/m2, výšky přes 10 do 25 m</t>
  </si>
  <si>
    <t>-734075449</t>
  </si>
  <si>
    <t>https://podminky.urs.cz/item/CS_URS_2022_02/943211112</t>
  </si>
  <si>
    <t>6*2,61*15,1 "v prostoru budoucího schodiště</t>
  </si>
  <si>
    <t>11</t>
  </si>
  <si>
    <t>943211212</t>
  </si>
  <si>
    <t>Montáž lešení prostorového rámového lehkého pracovního s podlahami Příplatek za první a každý další den použití lešení k ceně -1112</t>
  </si>
  <si>
    <t>-1323010492</t>
  </si>
  <si>
    <t>https://podminky.urs.cz/item/CS_URS_2022_02/943211212</t>
  </si>
  <si>
    <t>236,466*60 'Přepočtené koeficientem množství</t>
  </si>
  <si>
    <t>12</t>
  </si>
  <si>
    <t>943211812</t>
  </si>
  <si>
    <t>Demontáž lešení prostorového rámového lehkého pracovního s podlahami s provozním zatížením tř. 3 do 200 kg/m2, výšky přes 10 do 25 m</t>
  </si>
  <si>
    <t>-99852017</t>
  </si>
  <si>
    <t>https://podminky.urs.cz/item/CS_URS_2022_02/943211812</t>
  </si>
  <si>
    <t>13</t>
  </si>
  <si>
    <t>962031133</t>
  </si>
  <si>
    <t>Bourání příček z cihel, tvárnic nebo příčkovek z cihel pálených, plných nebo dutých na maltu vápennou nebo vápenocementovou, tl. do 150 mm</t>
  </si>
  <si>
    <t>-1983129842</t>
  </si>
  <si>
    <t>https://podminky.urs.cz/item/CS_URS_2022_02/962031133</t>
  </si>
  <si>
    <t>(2,9+2,8+2+11,2+7,6+2,2+0,9+1,32+1,13+4,37+6,5)*3 "vnitřní příčky</t>
  </si>
  <si>
    <t>14</t>
  </si>
  <si>
    <t>962032230</t>
  </si>
  <si>
    <t>Bourání zdiva nadzákladového z cihel nebo tvárnic z cihel pálených nebo vápenopískových, na maltu vápennou nebo vápenocementovou, objemu do 1 m3</t>
  </si>
  <si>
    <t>-2066053969</t>
  </si>
  <si>
    <t>https://podminky.urs.cz/item/CS_URS_2022_02/962032230</t>
  </si>
  <si>
    <t>(2,32*0,48+0,48*2,53+1,56*0,48+2,04*0,478)*3 "komíny pod střešní část</t>
  </si>
  <si>
    <t>(6,7*0,4+6,7*0,43+6,7*0,48)*3+1*0,45*2,2 "vnitřní stěny v podkroví</t>
  </si>
  <si>
    <t>962032631</t>
  </si>
  <si>
    <t>Bourání zdiva nadzákladového z cihel nebo tvárnic komínového z cihel pálených, šamotových nebo vápenopískových nad střechou na maltu vápennou nebo vápenocementovou</t>
  </si>
  <si>
    <t>-515704138</t>
  </si>
  <si>
    <t>https://podminky.urs.cz/item/CS_URS_2022_02/962032631</t>
  </si>
  <si>
    <t>(2,32*0,48+0,48*2,53+1,56*0,48+2,04*0,478+2,46*0,538)*1,5 "komíny nad střešní část</t>
  </si>
  <si>
    <t>16</t>
  </si>
  <si>
    <t>964011221</t>
  </si>
  <si>
    <t>Vybourání železobetonových prefabrikovaných překladů uložených ve zdivu, délky do 3 m, hmotnosti do 75 kg/m</t>
  </si>
  <si>
    <t>1095295388</t>
  </si>
  <si>
    <t>https://podminky.urs.cz/item/CS_URS_2022_02/964011221</t>
  </si>
  <si>
    <t>0,45*0,37*2 "pro uložení překladu u výtahových dveří</t>
  </si>
  <si>
    <t>17</t>
  </si>
  <si>
    <t>965041341</t>
  </si>
  <si>
    <t>Bourání mazanin škvárobetonových tl. do 100 mm, plochy přes 4 m2</t>
  </si>
  <si>
    <t>158405526</t>
  </si>
  <si>
    <t>https://podminky.urs.cz/item/CS_URS_2022_02/965041341</t>
  </si>
  <si>
    <t>544,25*0,025 "maltové lože půdní plocha 4.NP</t>
  </si>
  <si>
    <t>18</t>
  </si>
  <si>
    <t>965081113</t>
  </si>
  <si>
    <t>Bourání podlah z dlaždic bez podkladního lože nebo mazaniny, s jakoukoliv výplní spár půdních, plochy přes 1 m2</t>
  </si>
  <si>
    <t>544040210</t>
  </si>
  <si>
    <t>https://podminky.urs.cz/item/CS_URS_2022_02/965081113</t>
  </si>
  <si>
    <t>544,25 "půdní plocha 4.NP</t>
  </si>
  <si>
    <t>-27,5 "prostor kotelny</t>
  </si>
  <si>
    <t>19</t>
  </si>
  <si>
    <t>965082923</t>
  </si>
  <si>
    <t>Odstranění násypu pod podlahami nebo ochranného násypu na střechách tl. do 100 mm, plochy přes 2 m2</t>
  </si>
  <si>
    <t>1768066572</t>
  </si>
  <si>
    <t>https://podminky.urs.cz/item/CS_URS_2022_02/965082923</t>
  </si>
  <si>
    <t>544,25*0,07 "škvárový násyp půdní plocha 4.NP</t>
  </si>
  <si>
    <t>20</t>
  </si>
  <si>
    <t>966031313</t>
  </si>
  <si>
    <t>Vybourání částí říms z cihel vyložených do 250 mm tl. do 300 mm</t>
  </si>
  <si>
    <t>m</t>
  </si>
  <si>
    <t>553066771</t>
  </si>
  <si>
    <t>https://podminky.urs.cz/item/CS_URS_2022_02/966031313</t>
  </si>
  <si>
    <t>6+6+1,638 "podstřešní římsa v úrovni podlahy 4.NP</t>
  </si>
  <si>
    <t>966031314</t>
  </si>
  <si>
    <t>Vybourání částí říms z cihel vyložených do 250 mm tl. přes 300 mm</t>
  </si>
  <si>
    <t>593597083</t>
  </si>
  <si>
    <t>https://podminky.urs.cz/item/CS_URS_2022_02/966031314</t>
  </si>
  <si>
    <t>6+6+1,638 "podstřešní římsa</t>
  </si>
  <si>
    <t>6+6+1,638 "římsa v úrovni podlahy 2.NP</t>
  </si>
  <si>
    <t>22</t>
  </si>
  <si>
    <t>967042712</t>
  </si>
  <si>
    <t>Odsekání zdiva z kamene nebo betonu plošné, tl. do 100 mm</t>
  </si>
  <si>
    <t>-1134523740</t>
  </si>
  <si>
    <t>https://podminky.urs.cz/item/CS_URS_2022_02/967042712</t>
  </si>
  <si>
    <t>(6+2,61+6)*0,85 "kamenný sokl v úrovni 1.NP</t>
  </si>
  <si>
    <t>23</t>
  </si>
  <si>
    <t>968062246</t>
  </si>
  <si>
    <t>Vybourání dřevěných rámů oken s křídly, dveřních zárubní, vrat, stěn, ostění nebo obkladů rámů oken s křídly jednoduchých, plochy do 4 m2</t>
  </si>
  <si>
    <t>-142580227</t>
  </si>
  <si>
    <t>https://podminky.urs.cz/item/CS_URS_2022_02/968062246</t>
  </si>
  <si>
    <t>1,27*1,44 "štítové okno pohled východní</t>
  </si>
  <si>
    <t>0,95*0,43 "okno viz. výkres D.1.1.4 - §4</t>
  </si>
  <si>
    <t>0,94*0,46 "okno viz. výkres D.1.1.4 - §7</t>
  </si>
  <si>
    <t>24</t>
  </si>
  <si>
    <t>968072455</t>
  </si>
  <si>
    <t>Vybourání kovových rámů oken s křídly, dveřních zárubní, vrat, stěn, ostění nebo obkladů dveřních zárubní, plochy do 2 m2</t>
  </si>
  <si>
    <t>-138109162</t>
  </si>
  <si>
    <t>https://podminky.urs.cz/item/CS_URS_2022_02/968072455</t>
  </si>
  <si>
    <t>0,8*1,97+0,85*1,97+0,8*1,97 "zárubně v 4.NP</t>
  </si>
  <si>
    <t>25</t>
  </si>
  <si>
    <t>968072456</t>
  </si>
  <si>
    <t>Vybourání kovových rámů oken s křídly, dveřních zárubní, vrat, stěn, ostění nebo obkladů dveřních zárubní, plochy přes 2 m2</t>
  </si>
  <si>
    <t>1816661773</t>
  </si>
  <si>
    <t>https://podminky.urs.cz/item/CS_URS_2022_02/968072456</t>
  </si>
  <si>
    <t>1,16*2,4+1,16*2,13 "zárubně v 4.NP</t>
  </si>
  <si>
    <t>26</t>
  </si>
  <si>
    <t>973031151</t>
  </si>
  <si>
    <t>Vysekání výklenků nebo kapes ve zdivu z cihel na maltu vápennou nebo vápenocementovou výklenků, pohledové plochy přes 0,25 m2</t>
  </si>
  <si>
    <t>-1356101626</t>
  </si>
  <si>
    <t>https://podminky.urs.cz/item/CS_URS_2022_02/973031151</t>
  </si>
  <si>
    <t>0,6*0,35*1,4*25 "vyskání výklenku pro ocelovou konstrukci</t>
  </si>
  <si>
    <t>(1,56+1,56+2,899)*0,3*0,3*3+(1,299+1,299)*0,3*0,3*3 "kapsy pro uložení PZD nosníku viz. bourací príce §6</t>
  </si>
  <si>
    <t>0,35*0,2*25 "vysekání výklenku pro patku ocelové konstrukce</t>
  </si>
  <si>
    <t>27</t>
  </si>
  <si>
    <t>973031335</t>
  </si>
  <si>
    <t>Vysekání výklenků nebo kapes ve zdivu z cihel na maltu vápennou nebo vápenocementovou kapes, plochy do 0,16 m2, hl. do 300 mm</t>
  </si>
  <si>
    <t>kus</t>
  </si>
  <si>
    <t>532378144</t>
  </si>
  <si>
    <t>https://podminky.urs.cz/item/CS_URS_2022_02/973031335</t>
  </si>
  <si>
    <t>7*2 "kapsa pro IPE nosníky §8 viz. výkres bourané kce</t>
  </si>
  <si>
    <t>3*2 "kapsa pro kotvení ŽB věnců §7 viz. výkres bourané kce</t>
  </si>
  <si>
    <t>2,25*0,3*0,45 "kapsa pro uložení překladu nad okno na štítové straně</t>
  </si>
  <si>
    <t>28</t>
  </si>
  <si>
    <t>975121321</t>
  </si>
  <si>
    <t>Jednořadé podchycení konstrukcí systémovými prvky stojkami včetně nosníků výšky podepření do 4 m, zatížení přes 750 do 1 000 kg/m zřízení</t>
  </si>
  <si>
    <t>-930757627</t>
  </si>
  <si>
    <t>https://podminky.urs.cz/item/CS_URS_2022_02/975121321</t>
  </si>
  <si>
    <t>(4,31+3,158)*6 "podstojkování stropu při demontáži krovu viz. výkres řez C-C bourací práce</t>
  </si>
  <si>
    <t>29</t>
  </si>
  <si>
    <t>975121322</t>
  </si>
  <si>
    <t>Jednořadé podchycení konstrukcí systémovými prvky stojkami včetně nosníků výšky podepření do 4 m, zatížení přes 750 do 1 000 kg/m příplatek za první a každý další den použití</t>
  </si>
  <si>
    <t>-1664776029</t>
  </si>
  <si>
    <t>https://podminky.urs.cz/item/CS_URS_2022_02/975121322</t>
  </si>
  <si>
    <t>44,808*30 'Přepočtené koeficientem množství</t>
  </si>
  <si>
    <t>30</t>
  </si>
  <si>
    <t>975121323</t>
  </si>
  <si>
    <t>Jednořadé podchycení konstrukcí systémovými prvky stojkami včetně nosníků výšky podepření do 4 m, zatížení přes 750 do 1 000 kg/m odstranění</t>
  </si>
  <si>
    <t>-851104494</t>
  </si>
  <si>
    <t>https://podminky.urs.cz/item/CS_URS_2022_02/975121323</t>
  </si>
  <si>
    <t>31</t>
  </si>
  <si>
    <t>975121421</t>
  </si>
  <si>
    <t>Jednořadé podchycení konstrukcí systémovými prvky stojkami včetně nosníků výšky podepření přes 4 do 5 m, zatížení přes 750 do 1 000 kg/m zřízení</t>
  </si>
  <si>
    <t>-835426686</t>
  </si>
  <si>
    <t>https://podminky.urs.cz/item/CS_URS_2022_02/975121421</t>
  </si>
  <si>
    <t>3,579*6 "podstojkování stropu na stáv. schodišti při demontáži krovu viz. výkres řez C-C bourací práce</t>
  </si>
  <si>
    <t>32</t>
  </si>
  <si>
    <t>975121422</t>
  </si>
  <si>
    <t>Jednořadé podchycení konstrukcí systémovými prvky stojkami včetně nosníků výšky podepření přes 4 do 5 m, zatížení přes 750 do 1 000 kg/m příplatek za první a každý další den použití</t>
  </si>
  <si>
    <t>1950568664</t>
  </si>
  <si>
    <t>https://podminky.urs.cz/item/CS_URS_2022_02/975121422</t>
  </si>
  <si>
    <t>21,474*30 'Přepočtené koeficientem množství</t>
  </si>
  <si>
    <t>33</t>
  </si>
  <si>
    <t>975121423</t>
  </si>
  <si>
    <t>Jednořadé podchycení konstrukcí systémovými prvky stojkami včetně nosníků výšky podepření přes 4 do 5 m, zatížení přes 750 do 1 000 kg/m odstranění</t>
  </si>
  <si>
    <t>362151974</t>
  </si>
  <si>
    <t>https://podminky.urs.cz/item/CS_URS_2022_02/975121423</t>
  </si>
  <si>
    <t>34</t>
  </si>
  <si>
    <t>978012191</t>
  </si>
  <si>
    <t>Otlučení vápenných nebo vápenocementových omítek vnitřních ploch stropů rákosovaných, v rozsahu přes 50 do 100 %</t>
  </si>
  <si>
    <t>316107557</t>
  </si>
  <si>
    <t>https://podminky.urs.cz/item/CS_URS_2022_02/978012191</t>
  </si>
  <si>
    <t>157 "podbiti střešní konstrukce</t>
  </si>
  <si>
    <t>35</t>
  </si>
  <si>
    <t>978013191</t>
  </si>
  <si>
    <t>Otlučení vápenných nebo vápenocementových omítek vnitřních ploch stěn s vyškrabáním spar, s očištěním zdiva, v rozsahu přes 50 do 100 %</t>
  </si>
  <si>
    <t>-600719251</t>
  </si>
  <si>
    <t>https://podminky.urs.cz/item/CS_URS_2022_02/978013191</t>
  </si>
  <si>
    <t>158,24*1 "po obvodu objektu</t>
  </si>
  <si>
    <t>36</t>
  </si>
  <si>
    <t>978015391</t>
  </si>
  <si>
    <t>Otlučení vápenných nebo vápenocementových omítek vnějších ploch s vyškrabáním spar a s očištěním zdiva stupně členitosti 1 a 2, v rozsahu přes 80 do 100 %</t>
  </si>
  <si>
    <t>1316084438</t>
  </si>
  <si>
    <t>https://podminky.urs.cz/item/CS_URS_2022_02/978015391</t>
  </si>
  <si>
    <t>(6+2,61+6)*15,1 "vnější omítka budoucího schodiště</t>
  </si>
  <si>
    <t>997</t>
  </si>
  <si>
    <t>Přesun sutě</t>
  </si>
  <si>
    <t>37</t>
  </si>
  <si>
    <t>997013154</t>
  </si>
  <si>
    <t>Vnitrostaveništní doprava suti a vybouraných hmot vodorovně do 50 m svisle s omezením mechanizace pro budovy a haly výšky přes 12 do 15 m</t>
  </si>
  <si>
    <t>-1619678159</t>
  </si>
  <si>
    <t>https://podminky.urs.cz/item/CS_URS_2022_02/997013154</t>
  </si>
  <si>
    <t>38</t>
  </si>
  <si>
    <t>997013312</t>
  </si>
  <si>
    <t>Doprava suti shozem montáž a demontáž shozu výšky přes 10 do 20 m</t>
  </si>
  <si>
    <t>-464986500</t>
  </si>
  <si>
    <t>https://podminky.urs.cz/item/CS_URS_2022_02/997013312</t>
  </si>
  <si>
    <t>39</t>
  </si>
  <si>
    <t>997013322</t>
  </si>
  <si>
    <t>Doprava suti shozem montáž a demontáž shozu výšky Příplatek za první a každý další den použití shozu k ceně -3312</t>
  </si>
  <si>
    <t>-792150232</t>
  </si>
  <si>
    <t>https://podminky.urs.cz/item/CS_URS_2022_02/997013322</t>
  </si>
  <si>
    <t>17*90 'Přepočtené koeficientem množství</t>
  </si>
  <si>
    <t>40</t>
  </si>
  <si>
    <t>997013501</t>
  </si>
  <si>
    <t>Odvoz suti a vybouraných hmot na skládku nebo meziskládku se složením, na vzdálenost do 1 km</t>
  </si>
  <si>
    <t>1587919046</t>
  </si>
  <si>
    <t>https://podminky.urs.cz/item/CS_URS_2022_02/997013501</t>
  </si>
  <si>
    <t>41</t>
  </si>
  <si>
    <t>997013509</t>
  </si>
  <si>
    <t>Odvoz suti a vybouraných hmot na skládku nebo meziskládku se složením, na vzdálenost Příplatek k ceně za každý další i započatý 1 km přes 1 km</t>
  </si>
  <si>
    <t>-773430655</t>
  </si>
  <si>
    <t>https://podminky.urs.cz/item/CS_URS_2022_02/997013509</t>
  </si>
  <si>
    <t>397,568*19 'Přepočtené koeficientem množství</t>
  </si>
  <si>
    <t>42</t>
  </si>
  <si>
    <t>997013631</t>
  </si>
  <si>
    <t>Poplatek za uložení stavebního odpadu na skládce (skládkovné) směsného stavebního a demoličního zatříděného do Katalogu odpadů pod kódem 17 09 04</t>
  </si>
  <si>
    <t>-131569135</t>
  </si>
  <si>
    <t>https://podminky.urs.cz/item/CS_URS_2022_02/997013631</t>
  </si>
  <si>
    <t>PSV</t>
  </si>
  <si>
    <t>Práce a dodávky PSV</t>
  </si>
  <si>
    <t>712</t>
  </si>
  <si>
    <t>Povlakové krytiny</t>
  </si>
  <si>
    <t>43</t>
  </si>
  <si>
    <t>712340833</t>
  </si>
  <si>
    <t>Odstranění povlakové krytiny střech plochých do 10° z přitavených pásů NAIP v plné ploše třívrstvé</t>
  </si>
  <si>
    <t>94059890</t>
  </si>
  <si>
    <t>https://podminky.urs.cz/item/CS_URS_2022_02/712340833</t>
  </si>
  <si>
    <t>29 "střecha výtahu</t>
  </si>
  <si>
    <t>44</t>
  </si>
  <si>
    <t>712341659</t>
  </si>
  <si>
    <t>Provedení povlakové krytiny střech plochých do 10° pásy přitavením NAIP bodově</t>
  </si>
  <si>
    <t>60871805</t>
  </si>
  <si>
    <t>https://podminky.urs.cz/item/CS_URS_2022_02/712341659</t>
  </si>
  <si>
    <t>544,25 "půdní plocha 4.NP provizorní izolační vrstva po dobu stavebních prací</t>
  </si>
  <si>
    <t>45</t>
  </si>
  <si>
    <t>M</t>
  </si>
  <si>
    <t>62832001</t>
  </si>
  <si>
    <t>pás asfaltový natavitelný oxidovaný tl 3,5mm typu V60 S35 s vložkou ze skleněné rohože, s jemnozrnným minerálním posypem</t>
  </si>
  <si>
    <t>-1925599119</t>
  </si>
  <si>
    <t>544,25*1,1655 'Přepočtené koeficientem množství</t>
  </si>
  <si>
    <t>79</t>
  </si>
  <si>
    <t>712-spec.01</t>
  </si>
  <si>
    <t>Napojení provizorní hydroizolace na stávající svody (odovd dešťové vody)</t>
  </si>
  <si>
    <t>-419974401</t>
  </si>
  <si>
    <t>46</t>
  </si>
  <si>
    <t>998712203</t>
  </si>
  <si>
    <t>Přesun hmot pro povlakové krytiny stanovený procentní sazbou (%) z ceny vodorovná dopravní vzdálenost do 50 m v objektech výšky přes 12 do 24 m</t>
  </si>
  <si>
    <t>%</t>
  </si>
  <si>
    <t>1196131894</t>
  </si>
  <si>
    <t>https://podminky.urs.cz/item/CS_URS_2022_02/998712203</t>
  </si>
  <si>
    <t>720</t>
  </si>
  <si>
    <t>Zdravotechnika</t>
  </si>
  <si>
    <t>47</t>
  </si>
  <si>
    <t>720-spec.01</t>
  </si>
  <si>
    <t>Odpojení a přeložení vody, kanalizace, plynu před bouracími pracemi</t>
  </si>
  <si>
    <t>2092846931</t>
  </si>
  <si>
    <t>730</t>
  </si>
  <si>
    <t>Ústřední vytápění</t>
  </si>
  <si>
    <t>48</t>
  </si>
  <si>
    <t>730-spec.01</t>
  </si>
  <si>
    <t>Odpojení a přeložení topení před bouracími pracemi vč. bourání kotelny</t>
  </si>
  <si>
    <t>-1030816598</t>
  </si>
  <si>
    <t>741</t>
  </si>
  <si>
    <t>Elektroinstalace - silnoproud</t>
  </si>
  <si>
    <t>49</t>
  </si>
  <si>
    <t>741-spec.01</t>
  </si>
  <si>
    <t>Demontáž hromosvodu na střešní konstrukci a dmtž svodu v prostoru nového schodiště</t>
  </si>
  <si>
    <t>545362092</t>
  </si>
  <si>
    <t>50</t>
  </si>
  <si>
    <t>741-spec.02</t>
  </si>
  <si>
    <t>Odpojení a přeložení elektroinstalace před bouracími pracemi</t>
  </si>
  <si>
    <t>-385609358</t>
  </si>
  <si>
    <t>751</t>
  </si>
  <si>
    <t>Vzduchotechnika</t>
  </si>
  <si>
    <t>51</t>
  </si>
  <si>
    <t>750-spec.01</t>
  </si>
  <si>
    <t>Odstranění vyústění VZT šachty nad střechou</t>
  </si>
  <si>
    <t>622206678</t>
  </si>
  <si>
    <t>762</t>
  </si>
  <si>
    <t>Konstrukce tesařské</t>
  </si>
  <si>
    <t>52</t>
  </si>
  <si>
    <t>762331813</t>
  </si>
  <si>
    <t>Demontáž vázaných konstrukcí krovů sklonu do 60° z hranolů, hranolků, fošen, průřezové plochy přes 224 do 288 cm2</t>
  </si>
  <si>
    <t>-353149615</t>
  </si>
  <si>
    <t>https://podminky.urs.cz/item/CS_URS_2022_02/762331813</t>
  </si>
  <si>
    <t>7,72+7,18+18+26+3,5+3,5+6,3+7,4+28+7,6+8+13*4+9,3*4+7,8*2+27*2+20+14*2+26+26+20+16+12+32+22+32+15+6+16+2,5*23+5*5+7,2*73</t>
  </si>
  <si>
    <t>(7,8+7,8+8,2+8,2+8,1+8+8,6+7,3+8,3+6,8+8+8+18+10)*1,3</t>
  </si>
  <si>
    <t>53</t>
  </si>
  <si>
    <t>762331814</t>
  </si>
  <si>
    <t>Demontáž vázaných konstrukcí krovů sklonu do 60° z hranolů, hranolků, fošen, průřezové plochy přes 288 do 450 cm2</t>
  </si>
  <si>
    <t>-2020098793</t>
  </si>
  <si>
    <t>https://podminky.urs.cz/item/CS_URS_2022_02/762331814</t>
  </si>
  <si>
    <t>7,8+27+5,6+7,6</t>
  </si>
  <si>
    <t>54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</si>
  <si>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</si>
  <si>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</si>
  <si>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426107693</t>
  </si>
  <si>
    <t>https://podminky.urs.cz/item/CS_URS_2022_02/762341832</t>
  </si>
  <si>
    <t>55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</si>
  <si>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</si>
  <si>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</si>
  <si>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1506386330</t>
  </si>
  <si>
    <t>https://podminky.urs.cz/item/CS_URS_2022_02/762342812</t>
  </si>
  <si>
    <t>790 "plocha střechy</t>
  </si>
  <si>
    <t>56</t>
  </si>
  <si>
    <t>762521811</t>
  </si>
  <si>
    <t>Demontáž podlah bez polštářů z prken tl. do 32 mm</t>
  </si>
  <si>
    <t>932596880</t>
  </si>
  <si>
    <t>https://podminky.urs.cz/item/CS_URS_2022_02/762521811</t>
  </si>
  <si>
    <t>544,25 "prkenný záklop půdní plocha 4.NP</t>
  </si>
  <si>
    <t>57</t>
  </si>
  <si>
    <t>762841811</t>
  </si>
  <si>
    <t>Demontáž podbíjení obkladů stropů a střech sklonu do 60° z hrubých prken tl. do 35 mm bez omítky</t>
  </si>
  <si>
    <t>-1125687180</t>
  </si>
  <si>
    <t>https://podminky.urs.cz/item/CS_URS_2022_02/762841811</t>
  </si>
  <si>
    <t>58</t>
  </si>
  <si>
    <t>762841812</t>
  </si>
  <si>
    <t>Demontáž podbíjení obkladů stropů a střech sklonu do 60° z hrubých prken tl. do 35 mm s omítkou</t>
  </si>
  <si>
    <t>1352502645</t>
  </si>
  <si>
    <t>https://podminky.urs.cz/item/CS_URS_2022_02/762841812</t>
  </si>
  <si>
    <t>544,25 "podbití půdní plocha 4.NP</t>
  </si>
  <si>
    <t>764</t>
  </si>
  <si>
    <t>Konstrukce klempířské</t>
  </si>
  <si>
    <t>59</t>
  </si>
  <si>
    <t>764001891</t>
  </si>
  <si>
    <t>Demontáž klempířských konstrukcí oplechování úžlabí do suti</t>
  </si>
  <si>
    <t>1199281887</t>
  </si>
  <si>
    <t>https://podminky.urs.cz/item/CS_URS_2022_02/764001891</t>
  </si>
  <si>
    <t>8,5*6</t>
  </si>
  <si>
    <t>60</t>
  </si>
  <si>
    <t>764002841</t>
  </si>
  <si>
    <t>Demontáž klempířských konstrukcí oplechování horních ploch zdí a nadezdívek do suti</t>
  </si>
  <si>
    <t>-2056816407</t>
  </si>
  <si>
    <t>https://podminky.urs.cz/item/CS_URS_2022_02/764002841</t>
  </si>
  <si>
    <t>7*2 "štítová stěna střechy</t>
  </si>
  <si>
    <t>61</t>
  </si>
  <si>
    <t>764002851</t>
  </si>
  <si>
    <t>Demontáž klempířských konstrukcí oplechování parapetů do suti</t>
  </si>
  <si>
    <t>-788415322</t>
  </si>
  <si>
    <t>https://podminky.urs.cz/item/CS_URS_2022_02/764002851</t>
  </si>
  <si>
    <t>1,27 "štítové okno pohled východní</t>
  </si>
  <si>
    <t>0,95 "okno viz. výkres D.1.1.4 - §4</t>
  </si>
  <si>
    <t>0,94 "okno viz. výkres D.1.1.4 - §7</t>
  </si>
  <si>
    <t>62</t>
  </si>
  <si>
    <t>764002861</t>
  </si>
  <si>
    <t>Demontáž klempířských konstrukcí oplechování říms do suti</t>
  </si>
  <si>
    <t>-1948915053</t>
  </si>
  <si>
    <t>https://podminky.urs.cz/item/CS_URS_2022_02/764002861</t>
  </si>
  <si>
    <t>132,65 "podstřešní římsa v úrovni podlahy 4.NP</t>
  </si>
  <si>
    <t>63</t>
  </si>
  <si>
    <t>764002871</t>
  </si>
  <si>
    <t>Demontáž klempířských konstrukcí lemování zdí do suti</t>
  </si>
  <si>
    <t>2106852045</t>
  </si>
  <si>
    <t>https://podminky.urs.cz/item/CS_URS_2022_02/764002871</t>
  </si>
  <si>
    <t>(2,32*2+0,48*2+0,48*2+2,53*2+1,56*2+0,48*2+2,04*2+0,478*2+2,46*2+0,538*2)*1,3 "kolem komínů na střeše</t>
  </si>
  <si>
    <t>64</t>
  </si>
  <si>
    <t>764004801</t>
  </si>
  <si>
    <t>Demontáž klempířských konstrukcí žlabu podokapního do suti</t>
  </si>
  <si>
    <t>-1662252831</t>
  </si>
  <si>
    <t>https://podminky.urs.cz/item/CS_URS_2022_02/764004801</t>
  </si>
  <si>
    <t>137,41 "žlab po obvodu střechy</t>
  </si>
  <si>
    <t>65</t>
  </si>
  <si>
    <t>764004861</t>
  </si>
  <si>
    <t>Demontáž klempířských konstrukcí svodu do suti</t>
  </si>
  <si>
    <t>725907455</t>
  </si>
  <si>
    <t>https://podminky.urs.cz/item/CS_URS_2022_02/764004861</t>
  </si>
  <si>
    <t>15 "v prostoru budoucího schodiště</t>
  </si>
  <si>
    <t>66</t>
  </si>
  <si>
    <t>764004863</t>
  </si>
  <si>
    <t>Demontáž klempířských konstrukcí svodu k dalšímu použití</t>
  </si>
  <si>
    <t>-1203486722</t>
  </si>
  <si>
    <t>https://podminky.urs.cz/item/CS_URS_2022_02/764004863</t>
  </si>
  <si>
    <t>5*15</t>
  </si>
  <si>
    <t>67</t>
  </si>
  <si>
    <t>764508131</t>
  </si>
  <si>
    <t>Montáž svodu kruhového, průměru svodu</t>
  </si>
  <si>
    <t>-967655191</t>
  </si>
  <si>
    <t>https://podminky.urs.cz/item/CS_URS_2022_02/764508131</t>
  </si>
  <si>
    <t>6*20 "provizorní odvodnění střešní konstrukce po dobu stavebních prací</t>
  </si>
  <si>
    <t>68</t>
  </si>
  <si>
    <t>28611281</t>
  </si>
  <si>
    <t>trubka drenážní systému budov neperforovaná flexibilní tyčová PVC-U DN 125 SN4 2,5m</t>
  </si>
  <si>
    <t>1747454722</t>
  </si>
  <si>
    <t>120*1,1 'Přepočtené koeficientem množství</t>
  </si>
  <si>
    <t>765</t>
  </si>
  <si>
    <t>Krytina skládaná</t>
  </si>
  <si>
    <t>69</t>
  </si>
  <si>
    <t>765111801</t>
  </si>
  <si>
    <t>Demontáž krytiny keramické drážkové, sklonu do 30° na sucho do suti</t>
  </si>
  <si>
    <t>-2048372472</t>
  </si>
  <si>
    <t>https://podminky.urs.cz/item/CS_URS_2022_02/765111801</t>
  </si>
  <si>
    <t>70</t>
  </si>
  <si>
    <t>765111811</t>
  </si>
  <si>
    <t>Demontáž krytiny keramické Příplatek k cenám za sklon přes 30° do suti</t>
  </si>
  <si>
    <t>2008437839</t>
  </si>
  <si>
    <t>https://podminky.urs.cz/item/CS_URS_2022_02/765111811</t>
  </si>
  <si>
    <t>71</t>
  </si>
  <si>
    <t>765111861</t>
  </si>
  <si>
    <t>Demontáž krytiny keramické hřebenů a nároží, sklonu do 30° z hřebenáčů na sucho do suti</t>
  </si>
  <si>
    <t>-1528780971</t>
  </si>
  <si>
    <t>https://podminky.urs.cz/item/CS_URS_2022_02/765111861</t>
  </si>
  <si>
    <t>7,75+26,7+5,3+5,6+(7,8+7,8+8,2+7,4+7,4+8,3+9+9)*1,3</t>
  </si>
  <si>
    <t>72</t>
  </si>
  <si>
    <t>765111881</t>
  </si>
  <si>
    <t>-1788855742</t>
  </si>
  <si>
    <t>https://podminky.urs.cz/item/CS_URS_2022_02/765111881</t>
  </si>
  <si>
    <t>73</t>
  </si>
  <si>
    <t>765192001</t>
  </si>
  <si>
    <t>Nouzové zakrytí střechy plachtou</t>
  </si>
  <si>
    <t>1092027311</t>
  </si>
  <si>
    <t>https://podminky.urs.cz/item/CS_URS_2022_02/765192001</t>
  </si>
  <si>
    <t>766</t>
  </si>
  <si>
    <t>Konstrukce truhlářské</t>
  </si>
  <si>
    <t>74</t>
  </si>
  <si>
    <t>766441812</t>
  </si>
  <si>
    <t>Demontáž parapetních desek dřevěných nebo plastových šířky přes 300 mm, délky do 1000 mm</t>
  </si>
  <si>
    <t>1238200780</t>
  </si>
  <si>
    <t>https://podminky.urs.cz/item/CS_URS_2022_02/766441812</t>
  </si>
  <si>
    <t>1 "okno viz. výkres D.1.1.4 - §4</t>
  </si>
  <si>
    <t>1 "okno viz. výkres D.1.1.4 - §7</t>
  </si>
  <si>
    <t>75</t>
  </si>
  <si>
    <t>766441822</t>
  </si>
  <si>
    <t>Demontáž parapetních desek dřevěných nebo plastových šířky přes 300 mm, délky přes 1000 do 2000 mm</t>
  </si>
  <si>
    <t>709167671</t>
  </si>
  <si>
    <t>https://podminky.urs.cz/item/CS_URS_2022_02/766441822</t>
  </si>
  <si>
    <t>1 "štítové okno pohled východní</t>
  </si>
  <si>
    <t>76</t>
  </si>
  <si>
    <t>766674811</t>
  </si>
  <si>
    <t>Demontáž střešních oken na krytině hladké a drážkové, sklonu přes 30 do 45°</t>
  </si>
  <si>
    <t>448281465</t>
  </si>
  <si>
    <t>https://podminky.urs.cz/item/CS_URS_2022_02/766674811</t>
  </si>
  <si>
    <t>16 "stávajících střešních oken</t>
  </si>
  <si>
    <t>771</t>
  </si>
  <si>
    <t>Podlahy z dlaždic</t>
  </si>
  <si>
    <t>77</t>
  </si>
  <si>
    <t>771573810</t>
  </si>
  <si>
    <t>Demontáž podlah z dlaždic keramických lepených</t>
  </si>
  <si>
    <t>1601301416</t>
  </si>
  <si>
    <t>https://podminky.urs.cz/item/CS_URS_2022_02/771573810</t>
  </si>
  <si>
    <t>27,5 "prostor kotelny</t>
  </si>
  <si>
    <t>VRN</t>
  </si>
  <si>
    <t>VRN9</t>
  </si>
  <si>
    <t>Ostatní náklady</t>
  </si>
  <si>
    <t>78</t>
  </si>
  <si>
    <t>094103000</t>
  </si>
  <si>
    <t>Náklady na plánované vyklizení objektu</t>
  </si>
  <si>
    <t>1024</t>
  </si>
  <si>
    <t>-989048519</t>
  </si>
  <si>
    <t>https://podminky.urs.cz/item/CS_URS_2022_02/094103000</t>
  </si>
  <si>
    <t>02 - Nové konstrukce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</si>
  <si>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</si>
  <si>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</si>
  <si>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</si>
  <si>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</si>
  <si>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</si>
  <si>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</si>
  <si>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</si>
  <si>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</si>
  <si>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741 - Elektroinstalace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</si>
  <si>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</si>
  <si>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</si>
  <si>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</si>
  <si>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</si>
  <si>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</si>
  <si>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</si>
  <si>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</si>
  <si>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</si>
  <si>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</si>
  <si>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</si>
  <si>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</si>
  <si>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Zakládání</t>
  </si>
  <si>
    <t>181912112</t>
  </si>
  <si>
    <t>Úprava pláně vyrovnáním výškových rozdílů ručně v hornině třídy těžitelnosti I skupiny 3 se zhutněním</t>
  </si>
  <si>
    <t>403699261</t>
  </si>
  <si>
    <t>https://podminky.urs.cz/item/CS_URS_2022_02/181912112</t>
  </si>
  <si>
    <t>6*2,608 "skladba P2b</t>
  </si>
  <si>
    <t>273321511</t>
  </si>
  <si>
    <t>Základy z betonu železového (bez výztuže) desky z betonu bez zvláštních nároků na prostředí tř. C 25/30</t>
  </si>
  <si>
    <t>-700131501</t>
  </si>
  <si>
    <t>https://podminky.urs.cz/item/CS_URS_2022_02/273321511</t>
  </si>
  <si>
    <t>6*2,608*0,15 "skladba P2b</t>
  </si>
  <si>
    <t>273351121</t>
  </si>
  <si>
    <t>Bednění základů desek zřízení</t>
  </si>
  <si>
    <t>-568951140</t>
  </si>
  <si>
    <t>https://podminky.urs.cz/item/CS_URS_2022_02/273351121</t>
  </si>
  <si>
    <t>2,608*0,3 "podkladní betonová deska</t>
  </si>
  <si>
    <t>273351122</t>
  </si>
  <si>
    <t>Bednění základů desek odstranění</t>
  </si>
  <si>
    <t>-365010528</t>
  </si>
  <si>
    <t>https://podminky.urs.cz/item/CS_URS_2022_02/273351122</t>
  </si>
  <si>
    <t>273362021</t>
  </si>
  <si>
    <t>Výztuž základů desek ze svařovaných sítí z drátů typu KARI</t>
  </si>
  <si>
    <t>256339637</t>
  </si>
  <si>
    <t>https://podminky.urs.cz/item/CS_URS_2022_02/273362021</t>
  </si>
  <si>
    <t>procento vyztužení 90 kg/m3</t>
  </si>
  <si>
    <t>6*2,608*0,15*90/1000 "skladba P2b</t>
  </si>
  <si>
    <t>274321411</t>
  </si>
  <si>
    <t>Základy z betonu železového (bez výztuže) pasy z betonu bez zvláštních nároků na prostředí tř. C 20/25</t>
  </si>
  <si>
    <t>307682379</t>
  </si>
  <si>
    <t>https://podminky.urs.cz/item/CS_URS_2022_02/274321411</t>
  </si>
  <si>
    <t>1,2*0,6*2,608 "základ stěny u schodiště</t>
  </si>
  <si>
    <t>0,5*0,55*2,608 "pod nastupní rameno schodiště</t>
  </si>
  <si>
    <t>274351121</t>
  </si>
  <si>
    <t>Bednění základů pasů rovné zřízení</t>
  </si>
  <si>
    <t>-678151488</t>
  </si>
  <si>
    <t>https://podminky.urs.cz/item/CS_URS_2022_02/274351121</t>
  </si>
  <si>
    <t>0,7*2*2,608 "pod nastupní rameno schodiště</t>
  </si>
  <si>
    <t>274351122</t>
  </si>
  <si>
    <t>Bednění základů pasů rovné odstranění</t>
  </si>
  <si>
    <t>133867349</t>
  </si>
  <si>
    <t>https://podminky.urs.cz/item/CS_URS_2022_02/274351122</t>
  </si>
  <si>
    <t>274361821</t>
  </si>
  <si>
    <t>Výztuž základů pasů z betonářské oceli 10 505 (R) nebo BSt 500</t>
  </si>
  <si>
    <t>-1746730107</t>
  </si>
  <si>
    <t>https://podminky.urs.cz/item/CS_URS_2022_02/274361821</t>
  </si>
  <si>
    <t>procento vyztužení 120 kg/m3</t>
  </si>
  <si>
    <t>1,2*0,6*2,608*120/1000 "základ stěny u schodiště</t>
  </si>
  <si>
    <t>0,5*0,55*2,608*120/1000 "pod nastupní rameno schodiště</t>
  </si>
  <si>
    <t>Svislé a kompletní konstrukce</t>
  </si>
  <si>
    <t>311234051</t>
  </si>
  <si>
    <t>Zdivo jednovrstvé z cihel děrovaných nebroušených klasických spojených na pero a drážku na maltu M5, pevnost cihel do P10, tl. zdiva 300 mm</t>
  </si>
  <si>
    <t>-488479507</t>
  </si>
  <si>
    <t>https://podminky.urs.cz/item/CS_URS_2022_02/311234051</t>
  </si>
  <si>
    <t>(3,15+3,15)*3,8-0,9*1,97*2 "stěna u WC</t>
  </si>
  <si>
    <t>311234111</t>
  </si>
  <si>
    <t>Zdivo jednovrstvé z cihel děrovaných nebroušených klasických spojených na pero a drážku na maltu M5, pevnost cihel do P10, tl. zdiva 440 mm</t>
  </si>
  <si>
    <t>520379542</t>
  </si>
  <si>
    <t>https://podminky.urs.cz/item/CS_URS_2022_02/311234111</t>
  </si>
  <si>
    <t>1,8*3,8-1*1,97 "u vystupu z únikového schodiště ve 4.NP</t>
  </si>
  <si>
    <t>311236101</t>
  </si>
  <si>
    <t>Zdivo jednovrstvé zvukově izolační z cihel děrovaných spojených na pero a drážku na maltu cementovou M10, pevnost cihel do P15, tl. zdiva 190 mm</t>
  </si>
  <si>
    <t>-1577867142</t>
  </si>
  <si>
    <t>https://podminky.urs.cz/item/CS_URS_2022_02/311236101</t>
  </si>
  <si>
    <t>(9,3+20,22+0,68+3,2+7,75)*3,8-0,9*1,97*4 "vnitřní stěna mezi chodbou a učebnami</t>
  </si>
  <si>
    <t>311238803</t>
  </si>
  <si>
    <t>Zdivo jednovrstvé tepelně izolační z cihel děrovaných broušených s integrovanou izolací z expandovaného (samozhášivého) polystyrenu na tenkovrstvou maltu, součinitel prostupu tepla U do 0,14, pevnost cihel P8, tl. zdiva 440 mm</t>
  </si>
  <si>
    <t>-1748873073</t>
  </si>
  <si>
    <t>https://podminky.urs.cz/item/CS_URS_2022_02/311238803</t>
  </si>
  <si>
    <t>2,6*17,9+25*2-1,2*2,4*3-1,2*2,1 "stěny únikové schodiště</t>
  </si>
  <si>
    <t>317168052</t>
  </si>
  <si>
    <t>Překlady keramické vysoké osazené do maltového lože, šířky překladu 70 mm výšky 238 mm, délky 1250 mm</t>
  </si>
  <si>
    <t>955772469</t>
  </si>
  <si>
    <t>https://podminky.urs.cz/item/CS_URS_2022_02/317168052</t>
  </si>
  <si>
    <t>4 "do m.č. 4.02</t>
  </si>
  <si>
    <t>3 "do m.č. 4.03</t>
  </si>
  <si>
    <t>2*4 "z místnostní do chodby 4.01</t>
  </si>
  <si>
    <t>317168053</t>
  </si>
  <si>
    <t>Překlady keramické vysoké osazené do maltového lože, šířky překladu 70 mm výšky 238 mm, délky 1500 mm</t>
  </si>
  <si>
    <t>-671656012</t>
  </si>
  <si>
    <t>https://podminky.urs.cz/item/CS_URS_2022_02/317168053</t>
  </si>
  <si>
    <t>4*5 "překlady nad okna a dveře na schodišti</t>
  </si>
  <si>
    <t>6 "překlad nad vstupními dvermi ze schodiště do 4.NP</t>
  </si>
  <si>
    <t>317168056</t>
  </si>
  <si>
    <t>Překlady keramické vysoké osazené do maltového lože, šířky překladu 70 mm výšky 238 mm, délky 2250 mm</t>
  </si>
  <si>
    <t>1093973920</t>
  </si>
  <si>
    <t>https://podminky.urs.cz/item/CS_URS_2022_02/317168056</t>
  </si>
  <si>
    <t>5 "nad štítové okno</t>
  </si>
  <si>
    <t>317234410</t>
  </si>
  <si>
    <t>Vyzdívka mezi nosníky cihlami pálenými na maltu cementovou</t>
  </si>
  <si>
    <t>-1796851262</t>
  </si>
  <si>
    <t>https://podminky.urs.cz/item/CS_URS_2022_02/317234410</t>
  </si>
  <si>
    <t>0,6*0,35*1,4*25 "kolem ocelových stojek po obvodu budovy</t>
  </si>
  <si>
    <t>7*2*0,3*0,25*0,3 "kapsa pro IPE nosníky §8 viz. výkres bourané kce</t>
  </si>
  <si>
    <t>(11*4+10*4+22*4+14*4+22*4+11*2+10*4)*0,3*0,2*0,2 "pro vložení STEICO příložek</t>
  </si>
  <si>
    <t>317998143</t>
  </si>
  <si>
    <t>Izolace tepelná mezi překlady z extrudovaného polystyrenu jakékoliv výšky, tloušťky 80 mm</t>
  </si>
  <si>
    <t>-1332604832</t>
  </si>
  <si>
    <t>https://podminky.urs.cz/item/CS_URS_2022_02/317998143</t>
  </si>
  <si>
    <t>2,6*3+(2,6+10+10) "věnec únikové schodiště</t>
  </si>
  <si>
    <t>Vodorovné konstrukce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</si>
  <si>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</si>
  <si>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</si>
  <si>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-1074388239</t>
  </si>
  <si>
    <t>https://podminky.urs.cz/item/CS_URS_2022_02/411121232</t>
  </si>
  <si>
    <t>27 "D1</t>
  </si>
  <si>
    <t>28 "D2</t>
  </si>
  <si>
    <t>77 "D3</t>
  </si>
  <si>
    <t>9 "D4</t>
  </si>
  <si>
    <t>59341218</t>
  </si>
  <si>
    <t>deska stropní plná PZD 1200x300x90mm</t>
  </si>
  <si>
    <t>1598244809</t>
  </si>
  <si>
    <t>5934121x</t>
  </si>
  <si>
    <t>deska stropní plná PZD 1400x300x90mm</t>
  </si>
  <si>
    <t>-465528372</t>
  </si>
  <si>
    <t>5934121y</t>
  </si>
  <si>
    <t>deska stropní plná PZD 1600x300x90mm</t>
  </si>
  <si>
    <t>-67511668</t>
  </si>
  <si>
    <t>5934122x</t>
  </si>
  <si>
    <t>deska stropní plná PZD 1700x300x90mm</t>
  </si>
  <si>
    <t>1002674260</t>
  </si>
  <si>
    <t>417321515</t>
  </si>
  <si>
    <t>Ztužující pásy a věnce z betonu železového (bez výztuže) tř. C 25/30</t>
  </si>
  <si>
    <t>-349986105</t>
  </si>
  <si>
    <t>https://podminky.urs.cz/item/CS_URS_2022_02/417321515</t>
  </si>
  <si>
    <t>0,3*0,25*2,6*3+0,3*0,25*(2,6+10+10) "stěna únikové schodiště</t>
  </si>
  <si>
    <t>0,35*0,2*25 "výklenku pro patku ocelové konstrukce</t>
  </si>
  <si>
    <t>0,25*0,45*7 "nad vstupními dvermi ve 4.NP řez A-A</t>
  </si>
  <si>
    <t>417351115</t>
  </si>
  <si>
    <t>Bednění bočnic ztužujících pásů a věnců včetně vzpěr zřízení</t>
  </si>
  <si>
    <t>-1183586229</t>
  </si>
  <si>
    <t>https://podminky.urs.cz/item/CS_URS_2022_02/417351115</t>
  </si>
  <si>
    <t>0,4*2,6*2*3+0,4*(2,6+10+10)*2 "stěna únikové schodiště</t>
  </si>
  <si>
    <t>0,5*0,3*25 "výklenku pro patku ocelové konstrukce</t>
  </si>
  <si>
    <t>0,4*2*7 "nad vstupními dvermi ve 4.NP řez A-A</t>
  </si>
  <si>
    <t>417351116</t>
  </si>
  <si>
    <t>Bednění bočnic ztužujících pásů a věnců včetně vzpěr odstranění</t>
  </si>
  <si>
    <t>-1214237080</t>
  </si>
  <si>
    <t>https://podminky.urs.cz/item/CS_URS_2022_02/417351116</t>
  </si>
  <si>
    <t>417361821</t>
  </si>
  <si>
    <t>Výztuž ztužujících pásů a věnců z betonářské oceli 10 505 (R) nebo BSt 500</t>
  </si>
  <si>
    <t>-1101589345</t>
  </si>
  <si>
    <t>https://podminky.urs.cz/item/CS_URS_2022_02/417361821</t>
  </si>
  <si>
    <t>procento vyztužení 110 kg/m3</t>
  </si>
  <si>
    <t>(0,3*0,25*2,6*3+0,3*0,25*(2,6+10+10))*110/1000 "stěna únikové schodiště</t>
  </si>
  <si>
    <t>0,35*0,2*25*110/1000 "výklenku pro patku ocelové konstrukce</t>
  </si>
  <si>
    <t>0,25*0,45*7*110/1000 "nad vstupními dvermi ve 4.NP řez A-A</t>
  </si>
  <si>
    <t>430321212</t>
  </si>
  <si>
    <t>Schodišťové konstrukce a rampy z betonu železového (bez výztuže) stupně, schodnice, ramena, podesty s nosníky tř. C 12/15</t>
  </si>
  <si>
    <t>-578016229</t>
  </si>
  <si>
    <t>https://podminky.urs.cz/item/CS_URS_2022_02/430321212</t>
  </si>
  <si>
    <t>0,39*1,3+0,44*1,3*5+0,76*1,3 "vnitřní schodiště</t>
  </si>
  <si>
    <t>430361821</t>
  </si>
  <si>
    <t>Výztuž schodišťových konstrukcí a ramp stupňů, schodnic, ramen, podest s nosníky z betonářské oceli 10 505 (R) nebo BSt 500</t>
  </si>
  <si>
    <t>-738466437</t>
  </si>
  <si>
    <t>https://podminky.urs.cz/item/CS_URS_2022_02/430361821</t>
  </si>
  <si>
    <t>procento vyztužení 150 kg/m3</t>
  </si>
  <si>
    <t>(0,39*1,3+0,44*1,3*5+0,76*1,3)*150/1000 "vnitřní schodiště</t>
  </si>
  <si>
    <t>434351141</t>
  </si>
  <si>
    <t>Bednění stupňů betonovaných na podstupňové desce nebo na terénu půdorysně přímočarých zřízení</t>
  </si>
  <si>
    <t>1281479870</t>
  </si>
  <si>
    <t>https://podminky.urs.cz/item/CS_URS_2022_02/434351141</t>
  </si>
  <si>
    <t>0,186*1,3*10+0,186*1,3*11*5+0,186*1,3*12 "vnitřní schodiště</t>
  </si>
  <si>
    <t>434351142</t>
  </si>
  <si>
    <t>Bednění stupňů betonovaných na podstupňové desce nebo na terénu půdorysně přímočarých odstranění</t>
  </si>
  <si>
    <t>950049948</t>
  </si>
  <si>
    <t>https://podminky.urs.cz/item/CS_URS_2022_02/434351142</t>
  </si>
  <si>
    <t>Komunikace pozemní</t>
  </si>
  <si>
    <t>564760001</t>
  </si>
  <si>
    <t>Podklad nebo kryt z kameniva hrubého drceného vel. 8-16 mm s rozprostřením a zhutněním plochy jednotlivě do 100 m2, po zhutnění tl. 200 mm</t>
  </si>
  <si>
    <t>433122331</t>
  </si>
  <si>
    <t>https://podminky.urs.cz/item/CS_URS_2022_02/564760001</t>
  </si>
  <si>
    <t>1 "pod zpětné položení původní zámkové dlažby vybrané v prostoru schodiště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</si>
  <si>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</si>
  <si>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</si>
  <si>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-1139450665</t>
  </si>
  <si>
    <t>https://podminky.urs.cz/item/CS_URS_2022_02/596211110</t>
  </si>
  <si>
    <t>1 "zpětné doložení původní zámkové dlažby vybrané v prostoru schodiště</t>
  </si>
  <si>
    <t>59245015</t>
  </si>
  <si>
    <t>dlažba zámková tvaru I 200x165x60mm přírodní</t>
  </si>
  <si>
    <t>816963684</t>
  </si>
  <si>
    <t>1*1,1 'Přepočtené koeficientem množství</t>
  </si>
  <si>
    <t>Úpravy povrchů, podlahy a osazování výplní</t>
  </si>
  <si>
    <t>612131121</t>
  </si>
  <si>
    <t>Podkladní a spojovací vrstva vnitřních omítaných ploch penetrace disperzní nanášená ručně stěn</t>
  </si>
  <si>
    <t>1964756911</t>
  </si>
  <si>
    <t>https://podminky.urs.cz/item/CS_URS_2022_02/612131121</t>
  </si>
  <si>
    <t>(9,3+20,22+0,68+3,2+7,75)*3,8*2 "vnitřní stěna mezi chodbou a učebnami</t>
  </si>
  <si>
    <t>(3,15+3,15)*3,8 "vstupní stěna na WC</t>
  </si>
  <si>
    <t>2,6*17,9+25*2 "stěny únikové schodiště</t>
  </si>
  <si>
    <t>1,8*3,8*2 "u vystupu z únikového schodiště ve 4.NP</t>
  </si>
  <si>
    <t>(6+2,61+6)*15,1 "po otlučeni vnější omítku prortoru budoucího únikového schodiště</t>
  </si>
  <si>
    <t>612321141</t>
  </si>
  <si>
    <t>Omítka vápenocementová vnitřních ploch nanášená ručně dvouvrstvá, tloušťky jádrové omítky do 10 mm a tloušťky štuku do 3 mm štuková svislých konstrukcí stěn</t>
  </si>
  <si>
    <t>2036474811</t>
  </si>
  <si>
    <t>https://podminky.urs.cz/item/CS_URS_2022_02/612321141</t>
  </si>
  <si>
    <t>612325302</t>
  </si>
  <si>
    <t>Vápenocementová omítka ostění nebo nadpraží štuková</t>
  </si>
  <si>
    <t>-715350832</t>
  </si>
  <si>
    <t>https://podminky.urs.cz/item/CS_URS_2022_02/612325302</t>
  </si>
  <si>
    <t>(1,85+1,35*2)*(0,3+0,3) "okno v 4.NP štítová stěna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</si>
  <si>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</si>
  <si>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</si>
  <si>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1376443737</t>
  </si>
  <si>
    <t>https://podminky.urs.cz/item/CS_URS_2022_02/612325419</t>
  </si>
  <si>
    <t>(6,9+2+2+3,5+6,5+6,4)*3,8+(4,51+9,3+5,9)*1,5 "oprava stávajících stěn</t>
  </si>
  <si>
    <t>619996117</t>
  </si>
  <si>
    <t>Ochrana stavebních konstrukcí a samostatných prvků včetně pozdějšího odstranění obedněním z OSB desek podlahy</t>
  </si>
  <si>
    <t>-1007061115</t>
  </si>
  <si>
    <t>https://podminky.urs.cz/item/CS_URS_2022_02/619996117</t>
  </si>
  <si>
    <t>590 "ochrana podlahy 3.NP</t>
  </si>
  <si>
    <t>619996145</t>
  </si>
  <si>
    <t>Ochrana stavebních konstrukcí a samostatných prvků včetně pozdějšího odstranění obalením geotextilií samostatných konstrukcí a prvků</t>
  </si>
  <si>
    <t>-816736085</t>
  </si>
  <si>
    <t>https://podminky.urs.cz/item/CS_URS_2022_02/619996145</t>
  </si>
  <si>
    <t>621211012</t>
  </si>
  <si>
    <t>Montáž kontaktního zateplení lepením a mechanickým kotvením z polystyrenových desek na vnější podhledy, na podklad z pórobetonu, tloušťky desek přes 40 do 80 mm</t>
  </si>
  <si>
    <t>2094206980</t>
  </si>
  <si>
    <t>https://podminky.urs.cz/item/CS_URS_2022_02/621211012</t>
  </si>
  <si>
    <t>1,5 "skladba R3</t>
  </si>
  <si>
    <t>28376442</t>
  </si>
  <si>
    <t>deska XPS hrana rovná a strukturovaný povrch 300kPa tl 80mm</t>
  </si>
  <si>
    <t>-916455519</t>
  </si>
  <si>
    <t>1,5*1,1 'Přepočtené koeficientem množství</t>
  </si>
  <si>
    <t>622131121</t>
  </si>
  <si>
    <t>Podkladní a spojovací vrstva vnějších omítaných ploch penetrace nanášená ručně stěn</t>
  </si>
  <si>
    <t>825279477</t>
  </si>
  <si>
    <t>https://podminky.urs.cz/item/CS_URS_2022_02/622131121</t>
  </si>
  <si>
    <t>622142001</t>
  </si>
  <si>
    <t>Potažení vnějších ploch pletivem v ploše nebo pruzích, na plném podkladu sklovláknitým vtlačením do tmelu stěn</t>
  </si>
  <si>
    <t>-1334795828</t>
  </si>
  <si>
    <t>https://podminky.urs.cz/item/CS_URS_2022_02/622142001</t>
  </si>
  <si>
    <t>((1,2+2,4*2)*3+(1,2+2,1*2))*0,3 "ostění únikové schodiště</t>
  </si>
  <si>
    <t>1,2*3*0,3 "parapet únikové schodiště</t>
  </si>
  <si>
    <t>622151011</t>
  </si>
  <si>
    <t>Penetrační nátěr vnějších pastovitých tenkovrstvých omítek silikátový paropropustný stěn</t>
  </si>
  <si>
    <t>1584211964</t>
  </si>
  <si>
    <t>https://podminky.urs.cz/item/CS_URS_2022_02/622151011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</si>
  <si>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</si>
  <si>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</si>
  <si>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856507813</t>
  </si>
  <si>
    <t>https://podminky.urs.cz/item/CS_URS_2022_02/622221021</t>
  </si>
  <si>
    <t>63152264</t>
  </si>
  <si>
    <t>deska tepelně izolační minerální kontaktních fasád podélné vlákno λ=0,034 tl 120mm</t>
  </si>
  <si>
    <t>-1169164652</t>
  </si>
  <si>
    <t>85,38*1,05 'Přepočtené koeficientem množství</t>
  </si>
  <si>
    <t>622212051</t>
  </si>
  <si>
    <t>Montáž kontaktního zateplení vnějšího ostění, nadpraží nebo parapetu lepením z polystyrenových desek hloubky špalet přes 200 do 400 mm, tloušťky desek do 40 mm</t>
  </si>
  <si>
    <t>-1554358689</t>
  </si>
  <si>
    <t>https://podminky.urs.cz/item/CS_URS_2022_02/622212051</t>
  </si>
  <si>
    <t>(1,2+2,4*2)*3+(1,2+2,1*2) "ostění únikové schodiště</t>
  </si>
  <si>
    <t>1,2*3 "parapet únikové schodiště</t>
  </si>
  <si>
    <t>28375932</t>
  </si>
  <si>
    <t>deska EPS 70 fasádní λ=0,039 tl 40mm</t>
  </si>
  <si>
    <t>-2124590950</t>
  </si>
  <si>
    <t>7,02*1,1 'Přepočtené koeficientem množství</t>
  </si>
  <si>
    <t>28376439</t>
  </si>
  <si>
    <t>deska XPS hrana rovná a strukturovaný povrch 250kPa tl 40mm</t>
  </si>
  <si>
    <t>2063725904</t>
  </si>
  <si>
    <t>1,08*1,1 'Přepočtené koeficientem množství</t>
  </si>
  <si>
    <t>622252001</t>
  </si>
  <si>
    <t>Montáž profilů kontaktního zateplení zakládacích soklových připevněných hmoždinkami</t>
  </si>
  <si>
    <t>-350565556</t>
  </si>
  <si>
    <t>https://podminky.urs.cz/item/CS_URS_2022_02/622252001</t>
  </si>
  <si>
    <t>2,6-1,2+10+10</t>
  </si>
  <si>
    <t>59051649</t>
  </si>
  <si>
    <t>profil zakládací Al tl 0,7mm pro ETICS pro izolant tl 120mm</t>
  </si>
  <si>
    <t>1841433325</t>
  </si>
  <si>
    <t>21,4*1,05 'Přepočtené koeficientem množství</t>
  </si>
  <si>
    <t>622252002</t>
  </si>
  <si>
    <t>Montáž profilů kontaktního zateplení ostatních stěnových, dilatačních apod. lepených do tmelu</t>
  </si>
  <si>
    <t>251737411</t>
  </si>
  <si>
    <t>https://podminky.urs.cz/item/CS_URS_2022_02/622252002</t>
  </si>
  <si>
    <t>18,3+18,3+(1,2+2,4*2)*3+(1,2+2,1*2) "rohové lišty</t>
  </si>
  <si>
    <t>(1,2+2,4*2)*3+(1,2+2,1*2) "APU lišty</t>
  </si>
  <si>
    <t>59051486</t>
  </si>
  <si>
    <t>profil rohový PVC 15x15mm s výztužnou tkaninou š 100mm pro ETICS</t>
  </si>
  <si>
    <t>-1333986968</t>
  </si>
  <si>
    <t>60*1,05 'Přepočtené koeficientem množství</t>
  </si>
  <si>
    <t>59051476</t>
  </si>
  <si>
    <t>profil začišťovací PVC 9mm s výztužnou tkaninou pro ostění ETICS</t>
  </si>
  <si>
    <t>1745263839</t>
  </si>
  <si>
    <t>23,4*1,05 'Přepočtené koeficientem množství</t>
  </si>
  <si>
    <t>622326359</t>
  </si>
  <si>
    <t>Oprava vápenocementové omítky s celoplošným přeštukováním vnějších ploch stupně členitosti 2, v rozsahu opravované plochy přes 80 do 100%</t>
  </si>
  <si>
    <t>-1766876389</t>
  </si>
  <si>
    <t>https://podminky.urs.cz/item/CS_URS_2022_02/622326359</t>
  </si>
  <si>
    <t>622521012</t>
  </si>
  <si>
    <t>Omítka tenkovrstvá silikátová vnějších ploch probarvená bez penetrace zatíraná (škrábaná ), zrnitost 1,5 mm stěn</t>
  </si>
  <si>
    <t>2060394790</t>
  </si>
  <si>
    <t>https://podminky.urs.cz/item/CS_URS_2022_02/622521012</t>
  </si>
  <si>
    <t>629991011</t>
  </si>
  <si>
    <t>Zakrytí vnějších ploch před znečištěním včetně pozdějšího odkrytí výplní otvorů a svislých ploch fólií přilepenou lepící páskou</t>
  </si>
  <si>
    <t>354398133</t>
  </si>
  <si>
    <t>https://podminky.urs.cz/item/CS_URS_2022_02/629991011</t>
  </si>
  <si>
    <t>1,2*2,4*3+1,2*2,1 "okna schodišťová stěna</t>
  </si>
  <si>
    <t>631311113</t>
  </si>
  <si>
    <t>Mazanina z betonu prostého bez zvýšených nároků na prostředí tl. přes 50 do 80 mm tř. C 12/15</t>
  </si>
  <si>
    <t>-950844504</t>
  </si>
  <si>
    <t>https://podminky.urs.cz/item/CS_URS_2022_02/631311113</t>
  </si>
  <si>
    <t>(2,6*1,3*3+2,6*1,5*3)*0,08 "skladba P2a</t>
  </si>
  <si>
    <t>631311114</t>
  </si>
  <si>
    <t>Mazanina z betonu prostého bez zvýšených nároků na prostředí tl. přes 50 do 80 mm tř. C 16/20</t>
  </si>
  <si>
    <t>1378634149</t>
  </si>
  <si>
    <t>https://podminky.urs.cz/item/CS_URS_2022_02/631311114</t>
  </si>
  <si>
    <t>6*2,608*0,05 "skladba P2b</t>
  </si>
  <si>
    <t>631319011</t>
  </si>
  <si>
    <t>Příplatek k cenám mazanin za úpravu povrchu mazaniny přehlazením, mazanina tl. přes 50 do 80 mm</t>
  </si>
  <si>
    <t>115774492</t>
  </si>
  <si>
    <t>https://podminky.urs.cz/item/CS_URS_2022_02/631319011</t>
  </si>
  <si>
    <t>631319171</t>
  </si>
  <si>
    <t>Příplatek k cenám mazanin za stržení povrchu spodní vrstvy mazaniny latí před vložením výztuže nebo pletiva pro tl. obou vrstev mazaniny přes 50 do 80 mm</t>
  </si>
  <si>
    <t>-1708487518</t>
  </si>
  <si>
    <t>https://podminky.urs.cz/item/CS_URS_2022_02/631319171</t>
  </si>
  <si>
    <t>631362021</t>
  </si>
  <si>
    <t>Výztuž mazanin ze svařovaných sítí z drátů typu KARI</t>
  </si>
  <si>
    <t>2117990082</t>
  </si>
  <si>
    <t>https://podminky.urs.cz/item/CS_URS_2022_02/631362021</t>
  </si>
  <si>
    <t>6*2,608*0,05*90/1000 "skladba P2b</t>
  </si>
  <si>
    <t>(2,6*1,3*3+2,6*1,5*3)*0,08*90/1000 "skladba P2a</t>
  </si>
  <si>
    <t>634112113</t>
  </si>
  <si>
    <t>Obvodová dilatace mezi stěnou a mazaninou nebo potěrem podlahovým páskem z pěnového PE tl. do 10 mm, výšky 80 mm</t>
  </si>
  <si>
    <t>-1148224805</t>
  </si>
  <si>
    <t>https://podminky.urs.cz/item/CS_URS_2022_02/634112113</t>
  </si>
  <si>
    <t>6*2+2,608*2 "skladba P2b</t>
  </si>
  <si>
    <t>(2,6+1,3*2)*3+(2,6+1,5*2)*3 "skladba P2a</t>
  </si>
  <si>
    <t>941211111</t>
  </si>
  <si>
    <t>Montáž lešení řadového rámového lehkého pracovního s podlahami s provozním zatížením tř. 3 do 200 kg/m2 šířky tř. SW06 od 0,6 do 0,9 m, výšky do 10 m</t>
  </si>
  <si>
    <t>-1022570153</t>
  </si>
  <si>
    <t>https://podminky.urs.cz/item/CS_URS_2022_02/941211111</t>
  </si>
  <si>
    <t>(12+20+40+22+12+15+6+6)*2 "po obvodu objektu</t>
  </si>
  <si>
    <t>941211112</t>
  </si>
  <si>
    <t>Montáž lešení řadového rámového lehkého pracovního s podlahami s provozním zatížením tř. 3 do 200 kg/m2 šířky tř. SW06 od 0,6 do 0,9 m, výšky přes 10 do 25 m</t>
  </si>
  <si>
    <t>-1481609071</t>
  </si>
  <si>
    <t>https://podminky.urs.cz/item/CS_URS_2022_02/941211112</t>
  </si>
  <si>
    <t>4*20+10*2 "stěna schodiště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</si>
  <si>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</si>
  <si>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</si>
  <si>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-1800288325</t>
  </si>
  <si>
    <t>https://podminky.urs.cz/item/CS_URS_2022_02/941211211</t>
  </si>
  <si>
    <t>(4*20+10*2)*60 "stěna schodiště</t>
  </si>
  <si>
    <t>(12+20+40+22+12+15+6+6)*2*150 "po obvodu objektu</t>
  </si>
  <si>
    <t>941211811</t>
  </si>
  <si>
    <t>Demontáž lešení řadového rámového lehkého pracovního s provozním zatížením tř. 3 do 200 kg/m2 šířky tř. SW06 od 0,6 do 0,9 m, výšky do 10 m</t>
  </si>
  <si>
    <t>-854458262</t>
  </si>
  <si>
    <t>https://podminky.urs.cz/item/CS_URS_2022_02/941211811</t>
  </si>
  <si>
    <t>941211812</t>
  </si>
  <si>
    <t>Demontáž lešení řadového rámového lehkého pracovního s provozním zatížením tř. 3 do 200 kg/m2 šířky tř. SW06 od 0,6 do 0,9 m, výšky přes 10 do 25 m</t>
  </si>
  <si>
    <t>-1925732689</t>
  </si>
  <si>
    <t>https://podminky.urs.cz/item/CS_URS_2022_02/941211812</t>
  </si>
  <si>
    <t>942322111</t>
  </si>
  <si>
    <t>Montáž konzol pro založení lešení osazených na stěně lehkých s jednou úrovní pracovní podlahy šířky tř. SW06 přes 0,6 do 0,9 m s možností přitížení lešením výšky do 10 m</t>
  </si>
  <si>
    <t>-850488164</t>
  </si>
  <si>
    <t>https://podminky.urs.cz/item/CS_URS_2022_02/942322111</t>
  </si>
  <si>
    <t>12+20+40+22+12+15+6+6 "po obvodu objektu</t>
  </si>
  <si>
    <t>942322211</t>
  </si>
  <si>
    <t>Montáž konzol pro založení lešení Příplatek za první a každý další den použití lešení k ceně -2111</t>
  </si>
  <si>
    <t>-1821315336</t>
  </si>
  <si>
    <t>https://podminky.urs.cz/item/CS_URS_2022_02/942322211</t>
  </si>
  <si>
    <t>133*150 'Přepočtené koeficientem množství</t>
  </si>
  <si>
    <t>942322811</t>
  </si>
  <si>
    <t>Demontáž konzol pro založení lešení osazených na stěně lehkých s jednou úrovní pracovní podlahy šířky tř. SW06 přes 0,6 do 0,9 m s možností přitížení lešením výšky do 10 m</t>
  </si>
  <si>
    <t>1231908790</t>
  </si>
  <si>
    <t>https://podminky.urs.cz/item/CS_URS_2022_02/942322811</t>
  </si>
  <si>
    <t>945421112</t>
  </si>
  <si>
    <t>Hydraulická zvedací plošina včetně obsluhy instalovaná na automobilovém podvozku, výšky zdvihu do 34 m</t>
  </si>
  <si>
    <t>hod</t>
  </si>
  <si>
    <t>-1553092647</t>
  </si>
  <si>
    <t>https://podminky.urs.cz/item/CS_URS_2022_02/945421112</t>
  </si>
  <si>
    <t>150 "pro opravné práce na fasádě a při montáži okapové hrany střechy</t>
  </si>
  <si>
    <t>949101112</t>
  </si>
  <si>
    <t>Lešení pomocné pracovní pro objekty pozemních staveb pro zatížení do 150 kg/m2, o výšce lešeňové podlahy přes 1,9 do 3,5 m</t>
  </si>
  <si>
    <t>1742905609</t>
  </si>
  <si>
    <t>https://podminky.urs.cz/item/CS_URS_2022_02/949101112</t>
  </si>
  <si>
    <t>92+8,98+9,14+4,14+1,62+19,95+17,25+54,42+55,34+59,42+43,34+65,08+30,83+14,87+4,87 "plocha 4.NP</t>
  </si>
  <si>
    <t>952901111</t>
  </si>
  <si>
    <t>Vyčištění budov nebo objektů před předáním do užívání budov bytové nebo občanské výstavby, světlé výšky podlaží do 4 m</t>
  </si>
  <si>
    <t>-1549422170</t>
  </si>
  <si>
    <t>https://podminky.urs.cz/item/CS_URS_2022_02/952901111</t>
  </si>
  <si>
    <t>360</t>
  </si>
  <si>
    <t>953943211</t>
  </si>
  <si>
    <t>Osazování drobných kovových předmětů kotvených do stěny hasicího přístroje</t>
  </si>
  <si>
    <t>355194835</t>
  </si>
  <si>
    <t>https://podminky.urs.cz/item/CS_URS_2022_02/953943211</t>
  </si>
  <si>
    <t>361</t>
  </si>
  <si>
    <t>44932114</t>
  </si>
  <si>
    <t>přístroj hasicí ruční práškový PG 6 LE</t>
  </si>
  <si>
    <t>-348365579</t>
  </si>
  <si>
    <t>81</t>
  </si>
  <si>
    <t>953961114</t>
  </si>
  <si>
    <t>Kotvy chemické s vyvrtáním otvoru do betonu, železobetonu nebo tvrdého kamene tmel, velikost M 16, hloubka 125 mm</t>
  </si>
  <si>
    <t>-1717254958</t>
  </si>
  <si>
    <t>https://podminky.urs.cz/item/CS_URS_2022_02/953961114</t>
  </si>
  <si>
    <t>25*2 "patky ocelové konstrukce</t>
  </si>
  <si>
    <t>82</t>
  </si>
  <si>
    <t>953965133</t>
  </si>
  <si>
    <t>Kotvy chemické s vyvrtáním otvoru kotevní šrouby pro chemické kotvy, velikost M 16, délka 300 mm</t>
  </si>
  <si>
    <t>-1649899472</t>
  </si>
  <si>
    <t>https://podminky.urs.cz/item/CS_URS_2022_02/953965133</t>
  </si>
  <si>
    <t>83</t>
  </si>
  <si>
    <t>973031325</t>
  </si>
  <si>
    <t>Vysekání výklenků nebo kapes ve zdivu z cihel na maltu vápennou nebo vápenocementovou kapes, plochy do 0,10 m2, hl. do 300 mm</t>
  </si>
  <si>
    <t>1342912891</t>
  </si>
  <si>
    <t>https://podminky.urs.cz/item/CS_URS_2022_02/973031325</t>
  </si>
  <si>
    <t>11*4+10*4+22*4+14*4+22*4+11*2+10*4 "pro vložení STEICO příložek</t>
  </si>
  <si>
    <t>84</t>
  </si>
  <si>
    <t>9-spec.01</t>
  </si>
  <si>
    <t>Ochranná konstrukce nad hlavním vstupem do objektu po dobu stavebních prací vč. demontáže</t>
  </si>
  <si>
    <t>936107364</t>
  </si>
  <si>
    <t>85</t>
  </si>
  <si>
    <t>284254817</t>
  </si>
  <si>
    <t>86</t>
  </si>
  <si>
    <t>-2009726248</t>
  </si>
  <si>
    <t>87</t>
  </si>
  <si>
    <t>1679363224</t>
  </si>
  <si>
    <t>24,698*19 'Přepočtené koeficientem množství</t>
  </si>
  <si>
    <t>88</t>
  </si>
  <si>
    <t>-1006231082</t>
  </si>
  <si>
    <t>998</t>
  </si>
  <si>
    <t>Přesun hmot</t>
  </si>
  <si>
    <t>89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</si>
  <si>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</si>
  <si>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</si>
  <si>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-1118900591</t>
  </si>
  <si>
    <t>https://podminky.urs.cz/item/CS_URS_2022_02/998017003</t>
  </si>
  <si>
    <t>711</t>
  </si>
  <si>
    <t>Izolace proti vodě, vlhkosti a plynům</t>
  </si>
  <si>
    <t>90</t>
  </si>
  <si>
    <t>711111002</t>
  </si>
  <si>
    <t>Provedení izolace proti zemní vlhkosti natěradly a tmely za studena na ploše vodorovné V nátěrem lakem asfaltovým</t>
  </si>
  <si>
    <t>-592600599</t>
  </si>
  <si>
    <t>https://podminky.urs.cz/item/CS_URS_2022_02/711111002</t>
  </si>
  <si>
    <t>91</t>
  </si>
  <si>
    <t>11163152</t>
  </si>
  <si>
    <t>lak hydroizolační asfaltový</t>
  </si>
  <si>
    <t>-342685560</t>
  </si>
  <si>
    <t>15,648*0,00039 'Přepočtené koeficientem množství</t>
  </si>
  <si>
    <t>92</t>
  </si>
  <si>
    <t>711141559</t>
  </si>
  <si>
    <t>Provedení izolace proti zemní vlhkosti pásy přitavením NAIP na ploše vodorovné V</t>
  </si>
  <si>
    <t>167342497</t>
  </si>
  <si>
    <t>https://podminky.urs.cz/item/CS_URS_2022_02/711141559</t>
  </si>
  <si>
    <t>93</t>
  </si>
  <si>
    <t>62853004</t>
  </si>
  <si>
    <t>pás asfaltový natavitelný modifikovaný SBS tl 4,0mm s vložkou ze skleněné tkaniny a spalitelnou PE fólií nebo jemnozrnným minerálním posypem na horním povrchu</t>
  </si>
  <si>
    <t>-764122183</t>
  </si>
  <si>
    <t>15,648*1,1655 'Přepočtené koeficientem množství</t>
  </si>
  <si>
    <t>94</t>
  </si>
  <si>
    <t>998711203</t>
  </si>
  <si>
    <t>Přesun hmot pro izolace proti vodě, vlhkosti a plynům stanovený procentní sazbou (%) z ceny vodorovná dopravní vzdálenost do 50 m v objektech výšky přes 12 do 60 m</t>
  </si>
  <si>
    <t>-1948502682</t>
  </si>
  <si>
    <t>https://podminky.urs.cz/item/CS_URS_2022_02/998711203</t>
  </si>
  <si>
    <t>713</t>
  </si>
  <si>
    <t>Izolace tepelné</t>
  </si>
  <si>
    <t>95</t>
  </si>
  <si>
    <t>713121111</t>
  </si>
  <si>
    <t>Montáž tepelné izolace podlah rohožemi, pásy, deskami, dílci, bloky (izolační materiál ve specifikaci) kladenými volně jednovrstvá</t>
  </si>
  <si>
    <t>-1831978910</t>
  </si>
  <si>
    <t>https://podminky.urs.cz/item/CS_URS_2022_02/713121111</t>
  </si>
  <si>
    <t>96</t>
  </si>
  <si>
    <t>28376463</t>
  </si>
  <si>
    <t>deska XPS hrana polodrážková a hladký povrch 700kPa tl 80mm</t>
  </si>
  <si>
    <t>580494806</t>
  </si>
  <si>
    <t>15,648*1,05 'Přepočtené koeficientem množství</t>
  </si>
  <si>
    <t>97</t>
  </si>
  <si>
    <t>713121121</t>
  </si>
  <si>
    <t>Montáž tepelné izolace podlah rohožemi, pásy, deskami, dílci, bloky (izolační materiál ve specifikaci) kladenými volně dvouvrstvá</t>
  </si>
  <si>
    <t>-300155903</t>
  </si>
  <si>
    <t>https://podminky.urs.cz/item/CS_URS_2022_02/713121121</t>
  </si>
  <si>
    <t>543,4 "podlaha 4.NP</t>
  </si>
  <si>
    <t>98</t>
  </si>
  <si>
    <t>28372303</t>
  </si>
  <si>
    <t>deska EPS 100 pro konstrukce s běžným zatížením λ=0,037 tl 40mm</t>
  </si>
  <si>
    <t>-1252179268</t>
  </si>
  <si>
    <t>543,4*1,1 'Přepočtené koeficientem množství</t>
  </si>
  <si>
    <t>99</t>
  </si>
  <si>
    <t>28376558</t>
  </si>
  <si>
    <t>deska polystyrénová pro snížení kročejového hluku (max. zatížení 6,5 kN/m2) tl 40mm</t>
  </si>
  <si>
    <t>-285853533</t>
  </si>
  <si>
    <t>100</t>
  </si>
  <si>
    <t>713121122</t>
  </si>
  <si>
    <t>Montáž tepelné izolace podlah rohožemi, pásy, deskami, dílci, bloky (izolační materiál ve specifikaci) kladenými volně dvouvrstvá mezi trámy nebo rošt</t>
  </si>
  <si>
    <t>-1488987465</t>
  </si>
  <si>
    <t>https://podminky.urs.cz/item/CS_URS_2022_02/713121122</t>
  </si>
  <si>
    <t>101</t>
  </si>
  <si>
    <t>63153706</t>
  </si>
  <si>
    <t>deska tepelně izolační minerální univerzální λ=0,036-0,037 tl 100mm</t>
  </si>
  <si>
    <t>720051215</t>
  </si>
  <si>
    <t>543,4*2,1 'Přepočtené koeficientem množství</t>
  </si>
  <si>
    <t>102</t>
  </si>
  <si>
    <t>713131141</t>
  </si>
  <si>
    <t>Montáž tepelné izolace stěn rohožemi, pásy, deskami, dílci, bloky (izolační materiál ve specifikaci) lepením celoplošně</t>
  </si>
  <si>
    <t>706725976</t>
  </si>
  <si>
    <t>https://podminky.urs.cz/item/CS_URS_2022_02/713131141</t>
  </si>
  <si>
    <t>2,6*1,8 "základy</t>
  </si>
  <si>
    <t>103</t>
  </si>
  <si>
    <t>28376441</t>
  </si>
  <si>
    <t>deska XPS hrana rovná a strukturovaný povrch 300kPa tl 60mm</t>
  </si>
  <si>
    <t>724928405</t>
  </si>
  <si>
    <t>4,68*1,1 'Přepočtené koeficientem množství</t>
  </si>
  <si>
    <t>104</t>
  </si>
  <si>
    <t>713151111</t>
  </si>
  <si>
    <t>Montáž tepelné izolace střech šikmých rohožemi, pásy, deskami (izolační materiál ve specifikaci) kladenými volně mezi krokve</t>
  </si>
  <si>
    <t>-1488999933</t>
  </si>
  <si>
    <t>https://podminky.urs.cz/item/CS_URS_2022_02/713151111</t>
  </si>
  <si>
    <t>790 "skladba S1 - isover tl. 160 mm mezi dřevěné trámy</t>
  </si>
  <si>
    <t>790 "skladba S1 - isover tl. 160 mm mezi ocelové rámy</t>
  </si>
  <si>
    <t>790 "skladba S1 - isover tl. 180 mm mezi ocelové rámy</t>
  </si>
  <si>
    <t>47 "skladba S2 - isover tl. 160 mm</t>
  </si>
  <si>
    <t>47 "skladba S2 - isover tl. 180 mm</t>
  </si>
  <si>
    <t>29 "skladba S3 - isover tl. 160 mm</t>
  </si>
  <si>
    <t>29 "skladba S3 - isover tl. 180 mm</t>
  </si>
  <si>
    <t>105</t>
  </si>
  <si>
    <t>63152104</t>
  </si>
  <si>
    <t>pás tepelně izolační univerzální λ=0,032-0,033 tl 160mm</t>
  </si>
  <si>
    <t>-2066137925</t>
  </si>
  <si>
    <t>1656*1,1 'Přepočtené koeficientem množství</t>
  </si>
  <si>
    <t>106</t>
  </si>
  <si>
    <t>63152106</t>
  </si>
  <si>
    <t>pás tepelně izolační univerzální λ=0,032-0,033 tl 180mm</t>
  </si>
  <si>
    <t>99586031</t>
  </si>
  <si>
    <t>866*1,1 'Přepočtené koeficientem množství</t>
  </si>
  <si>
    <t>107</t>
  </si>
  <si>
    <t>713191132</t>
  </si>
  <si>
    <t>Montáž tepelné izolace stavebních konstrukcí - doplňky a konstrukční součásti podlah, stropů vrchem nebo střech překrytím fólií separační z PE</t>
  </si>
  <si>
    <t>-424692183</t>
  </si>
  <si>
    <t>https://podminky.urs.cz/item/CS_URS_2022_02/713191132</t>
  </si>
  <si>
    <t>543,4*2 "podhala 4.NP</t>
  </si>
  <si>
    <t>108</t>
  </si>
  <si>
    <t>28329041</t>
  </si>
  <si>
    <t>fólie PE separační či ochranná tl 0,1mm</t>
  </si>
  <si>
    <t>-1198206908</t>
  </si>
  <si>
    <t>1102,448*1,1655 'Přepočtené koeficientem množství</t>
  </si>
  <si>
    <t>109</t>
  </si>
  <si>
    <t>998713203</t>
  </si>
  <si>
    <t>Přesun hmot pro izolace tepelné stanovený procentní sazbou (%) z ceny vodorovná dopravní vzdálenost do 50 m v objektech výšky přes 12 do 24 m</t>
  </si>
  <si>
    <t>1548401668</t>
  </si>
  <si>
    <t>https://podminky.urs.cz/item/CS_URS_2022_02/998713203</t>
  </si>
  <si>
    <t>110</t>
  </si>
  <si>
    <t>Zdravotechnika (viz.samostatný rozpočet)</t>
  </si>
  <si>
    <t>77632684</t>
  </si>
  <si>
    <t>111</t>
  </si>
  <si>
    <t>720-spec.02</t>
  </si>
  <si>
    <t>Plyn (viz.samostatný rozpočet)</t>
  </si>
  <si>
    <t>1412520362</t>
  </si>
  <si>
    <t>112</t>
  </si>
  <si>
    <t>720-spec.03</t>
  </si>
  <si>
    <t>Stavební přípomoce a koordinace</t>
  </si>
  <si>
    <t>26212182</t>
  </si>
  <si>
    <t>113</t>
  </si>
  <si>
    <t>Ústřední vytápění (viz.samostatný rozpočet)</t>
  </si>
  <si>
    <t>-707019527</t>
  </si>
  <si>
    <t>114</t>
  </si>
  <si>
    <t>730-spec.02</t>
  </si>
  <si>
    <t>822558949</t>
  </si>
  <si>
    <t>Elektroinstalace</t>
  </si>
  <si>
    <t>115</t>
  </si>
  <si>
    <t>Elektroinstalace - silnoproud (viz.samostatný rozpočet)</t>
  </si>
  <si>
    <t>-1899900922</t>
  </si>
  <si>
    <t>116</t>
  </si>
  <si>
    <t>Elektroinstalace - slaboproud</t>
  </si>
  <si>
    <t>681467552</t>
  </si>
  <si>
    <t>117</t>
  </si>
  <si>
    <t>741-spec.03</t>
  </si>
  <si>
    <t>-594022364</t>
  </si>
  <si>
    <t>365</t>
  </si>
  <si>
    <t>741-spec.04</t>
  </si>
  <si>
    <t>Koordinace s firmou CETIN (vysílače,antény na střeše) pro demontáž i montáž</t>
  </si>
  <si>
    <t>1573297813</t>
  </si>
  <si>
    <t>118</t>
  </si>
  <si>
    <t>751-spec.01</t>
  </si>
  <si>
    <t>Vzduchotechnika (viz.samostatný rozpočet)</t>
  </si>
  <si>
    <t>1372378410</t>
  </si>
  <si>
    <t>363</t>
  </si>
  <si>
    <t>751-spec.02</t>
  </si>
  <si>
    <t>Napojení a přívodního potrubí k laboratorním digestořím</t>
  </si>
  <si>
    <t>-1849881173</t>
  </si>
  <si>
    <t>119</t>
  </si>
  <si>
    <t>751-spec.03</t>
  </si>
  <si>
    <t>48414005</t>
  </si>
  <si>
    <t>120</t>
  </si>
  <si>
    <t>762081150</t>
  </si>
  <si>
    <t>Hoblování hraněného řeziva přímo na staveništi ve staveništní dílně</t>
  </si>
  <si>
    <t>1383860218</t>
  </si>
  <si>
    <t>https://podminky.urs.cz/item/CS_URS_2022_02/762081150</t>
  </si>
  <si>
    <t>924,2*0,12*0,16 "krokve A - H rozměr 120/160</t>
  </si>
  <si>
    <t>246*0,14*0,14 "pozednice a mezilehla vaznice rozměr 140/160</t>
  </si>
  <si>
    <t>54,4*0,16*0,16 "vrcholová vaznice 160/160</t>
  </si>
  <si>
    <t>128,4*0,2*0,16 "nárožní krokve a úžlabí rozměr 200/160</t>
  </si>
  <si>
    <t>121</t>
  </si>
  <si>
    <t>762083121</t>
  </si>
  <si>
    <t>Impregnace řeziva máčením proti dřevokaznému hmyzu, houbám a plísním, třída ohrožení 1 a 2 (dřevo v interiéru)</t>
  </si>
  <si>
    <t>-1110122906</t>
  </si>
  <si>
    <t>https://podminky.urs.cz/item/CS_URS_2022_02/762083121</t>
  </si>
  <si>
    <t>740*0,04*0,14 "KVH hranol rozměr 40/140</t>
  </si>
  <si>
    <t>122</t>
  </si>
  <si>
    <t>762332542</t>
  </si>
  <si>
    <t>Montáž vázaných konstrukcí krovů střech pultových, sedlových, valbových, stanových čtvercového nebo obdélníkového půdorysu z řeziva hoblovaného s použitím ocelových spojek (spojky ve specifikaci) průřezové plochy přes 120 do 224 cm2</t>
  </si>
  <si>
    <t>-991861846</t>
  </si>
  <si>
    <t>https://podminky.urs.cz/item/CS_URS_2022_02/762332542</t>
  </si>
  <si>
    <t>924,2 "krokve A - H rozměr 120/160</t>
  </si>
  <si>
    <t>246 "pozednice a mezilehla vaznice rozměr 140/160</t>
  </si>
  <si>
    <t>123</t>
  </si>
  <si>
    <t>60512131</t>
  </si>
  <si>
    <t>hranol stavební řezivo průřezu do 224cm2 dl 6-8m</t>
  </si>
  <si>
    <t>657552596</t>
  </si>
  <si>
    <t>22,567*1,1 'Přepočtené koeficientem množství</t>
  </si>
  <si>
    <t>124</t>
  </si>
  <si>
    <t>762332543</t>
  </si>
  <si>
    <t>Montáž vázaných konstrukcí krovů střech pultových, sedlových, valbových, stanových čtvercového nebo obdélníkového půdorysu z řeziva hoblovaného s použitím ocelových spojek (spojky ve specifikaci) průřezové plochy přes 224 do 288 cm2</t>
  </si>
  <si>
    <t>1682561346</t>
  </si>
  <si>
    <t>https://podminky.urs.cz/item/CS_URS_2022_02/762332543</t>
  </si>
  <si>
    <t>54,4 "vrcholová vaznice 160/160</t>
  </si>
  <si>
    <t>125</t>
  </si>
  <si>
    <t>60512137</t>
  </si>
  <si>
    <t>hranol stavební řezivo průřezu do 288cm2 přes dl 8m</t>
  </si>
  <si>
    <t>1539015522</t>
  </si>
  <si>
    <t>1,393*1,1 'Přepočtené koeficientem množství</t>
  </si>
  <si>
    <t>126</t>
  </si>
  <si>
    <t>762332544</t>
  </si>
  <si>
    <t>Montáž vázaných konstrukcí krovů střech pultových, sedlových, valbových, stanových čtvercového nebo obdélníkového půdorysu z řeziva hoblovaného s použitím ocelových spojek (spojky ve specifikaci) průřezové plochy přes 288 do 450 cm2</t>
  </si>
  <si>
    <t>-194486373</t>
  </si>
  <si>
    <t>https://podminky.urs.cz/item/CS_URS_2022_02/762332544</t>
  </si>
  <si>
    <t>128,4 "nárožní krokve a úžlabí rozměr 200/160</t>
  </si>
  <si>
    <t>127</t>
  </si>
  <si>
    <t>60512142</t>
  </si>
  <si>
    <t>hranol stavební řezivo průřezu do 450cm2 přes dl 8m</t>
  </si>
  <si>
    <t>-1870348715</t>
  </si>
  <si>
    <t>4,109*1,1 'Přepočtené koeficientem množství</t>
  </si>
  <si>
    <t>128</t>
  </si>
  <si>
    <t>762332641</t>
  </si>
  <si>
    <t>Montáž vázaných konstrukcí krovů střech pultových, sedlových, valbových, stanových čtvercového nebo obdélníkového půdorysu z lepených hranolů s použitím ocelových spojek (spojky ve specifikaci) průřezové plochy do 120 cm2</t>
  </si>
  <si>
    <t>219802778</t>
  </si>
  <si>
    <t>https://podminky.urs.cz/item/CS_URS_2022_02/762332641</t>
  </si>
  <si>
    <t>740 "KVH hranol rozměr 40/140</t>
  </si>
  <si>
    <t>129</t>
  </si>
  <si>
    <t>61223267</t>
  </si>
  <si>
    <t>hranol konstrukční KVH lepený průřezu 40x80-280mm pohledový</t>
  </si>
  <si>
    <t>469950326</t>
  </si>
  <si>
    <t>4,144*1,1 'Přepočtené koeficientem množství</t>
  </si>
  <si>
    <t>130</t>
  </si>
  <si>
    <t>762332645</t>
  </si>
  <si>
    <t>Montáž vázaných konstrukcí krovů střech pultových, sedlových, valbových, stanových čtvercového nebo obdélníkového půdorysu z lepených hranolů s použitím ocelových spojek (spojky ve specifikaci) průřezové plochy přes 450 cm2</t>
  </si>
  <si>
    <t>1365809895</t>
  </si>
  <si>
    <t>https://podminky.urs.cz/item/CS_URS_2022_02/762332645</t>
  </si>
  <si>
    <t>650 "pomocná konstrukce do skladby S1</t>
  </si>
  <si>
    <t>131</t>
  </si>
  <si>
    <t>61223260</t>
  </si>
  <si>
    <t>hranol konstrukční KVH lepený průřezu 40x60-280mm nepohledový</t>
  </si>
  <si>
    <t>871907013</t>
  </si>
  <si>
    <t>650*0,04*0,14 "pomocná konstrukce do skladby S1</t>
  </si>
  <si>
    <t>3,64*1,1 'Přepočtené koeficientem množství</t>
  </si>
  <si>
    <t>132</t>
  </si>
  <si>
    <t>762341042</t>
  </si>
  <si>
    <t>Bednění střech střech rovných sklonu do 60° s vyřezáním otvorů z dřevoštěpkových desek OSB šroubovaných na rošt na pero a drážku, tloušťky desky 12 mm</t>
  </si>
  <si>
    <t>1762997896</t>
  </si>
  <si>
    <t>https://podminky.urs.cz/item/CS_URS_2022_02/762341042</t>
  </si>
  <si>
    <t>(12+30+12+12)*(2,2*2) "skladba S4</t>
  </si>
  <si>
    <t>133</t>
  </si>
  <si>
    <t>762341270</t>
  </si>
  <si>
    <t>Montáž bednění střech rovných a šikmých sklonu do 60° s vyřezáním otvorů z desek dřevotřískových nebo dřevoštěpkových na sraz</t>
  </si>
  <si>
    <t>-602411518</t>
  </si>
  <si>
    <t>https://podminky.urs.cz/item/CS_URS_2022_02/762341270</t>
  </si>
  <si>
    <t>47 "skladba S2</t>
  </si>
  <si>
    <t>29 "skladba S3</t>
  </si>
  <si>
    <t>134</t>
  </si>
  <si>
    <t>60621149</t>
  </si>
  <si>
    <t>překližka vodovzdorná hladká/hladká bříza tl 21mm</t>
  </si>
  <si>
    <t>1113082264</t>
  </si>
  <si>
    <t>76*1,1 'Přepočtené koeficientem množství</t>
  </si>
  <si>
    <t>135</t>
  </si>
  <si>
    <t>762342214</t>
  </si>
  <si>
    <t>Montáž laťování střech jednoduchých sklonu do 60° při osové vzdálenosti latí přes 150 do 360 mm</t>
  </si>
  <si>
    <t>468727954</t>
  </si>
  <si>
    <t>https://podminky.urs.cz/item/CS_URS_2022_02/762342214</t>
  </si>
  <si>
    <t>790 "skladba S1</t>
  </si>
  <si>
    <t>136</t>
  </si>
  <si>
    <t>60514114</t>
  </si>
  <si>
    <t>řezivo jehličnaté lať impregnovaná dl 4 m</t>
  </si>
  <si>
    <t>-692855078</t>
  </si>
  <si>
    <t>790*4*0,04*0,06 "skladba S1</t>
  </si>
  <si>
    <t>7,584*1,1 'Přepočtené koeficientem množství</t>
  </si>
  <si>
    <t>137</t>
  </si>
  <si>
    <t>762342511</t>
  </si>
  <si>
    <t>Montáž laťování montáž kontralatí na podklad bez tepelné izolace</t>
  </si>
  <si>
    <t>-128059221</t>
  </si>
  <si>
    <t>https://podminky.urs.cz/item/CS_URS_2022_02/762342511</t>
  </si>
  <si>
    <t>138</t>
  </si>
  <si>
    <t>859064936</t>
  </si>
  <si>
    <t>924,2*0,04*0,06 "kontralatě</t>
  </si>
  <si>
    <t>2,218*1,1 'Přepočtené koeficientem množství</t>
  </si>
  <si>
    <t>139</t>
  </si>
  <si>
    <t>762395000</t>
  </si>
  <si>
    <t>Spojovací prostředky krovů, bednění a laťování, nadstřešních konstrukcí svory, prkna, hřebíky, pásová ocel, vruty</t>
  </si>
  <si>
    <t>769335287</t>
  </si>
  <si>
    <t>https://podminky.urs.cz/item/CS_URS_2022_02/762395000</t>
  </si>
  <si>
    <t>790*4*0,04*0,06 "skladba S1 latě</t>
  </si>
  <si>
    <t>47*0,021 "skladba S2</t>
  </si>
  <si>
    <t>29*0,021 "skladba S3</t>
  </si>
  <si>
    <t>(12+30+12+12)*(2,2*2)*0,012 "skladba S4</t>
  </si>
  <si>
    <t>140</t>
  </si>
  <si>
    <t>762511145</t>
  </si>
  <si>
    <t>Podlahové konstrukce podkladové z cementotřískových desek jednovrstvých šroubovaných na sraz 20 mm</t>
  </si>
  <si>
    <t>1227050799</t>
  </si>
  <si>
    <t>https://podminky.urs.cz/item/CS_URS_2022_02/762511145</t>
  </si>
  <si>
    <t>141</t>
  </si>
  <si>
    <t>762511277</t>
  </si>
  <si>
    <t>Podlahové konstrukce podkladové z dřevoštěpkových desek OSB jednovrstvých šroubovaných na pero a drážku broušených, tloušťky desky 25 mm</t>
  </si>
  <si>
    <t>1869113936</t>
  </si>
  <si>
    <t>https://podminky.urs.cz/item/CS_URS_2022_02/762511277</t>
  </si>
  <si>
    <t>142</t>
  </si>
  <si>
    <t>762511264</t>
  </si>
  <si>
    <t>Podlahové konstrukce podkladové z dřevoštěpkových desek OSB jednovrstvých šroubovaných na pero a drážku nebroušených, tloušťky desky 18 mm</t>
  </si>
  <si>
    <t>225593888</t>
  </si>
  <si>
    <t>https://podminky.urs.cz/item/CS_URS_2022_02/762511264</t>
  </si>
  <si>
    <t>(12+30+12+12)*2,7 "skladba P3</t>
  </si>
  <si>
    <t>143</t>
  </si>
  <si>
    <t>762512261</t>
  </si>
  <si>
    <t>Podlahové konstrukce podkladové montáž roštu podkladového</t>
  </si>
  <si>
    <t>470210621</t>
  </si>
  <si>
    <t>https://podminky.urs.cz/item/CS_URS_2022_02/762512261</t>
  </si>
  <si>
    <t>543,4/0,625 "podhala 4.NP</t>
  </si>
  <si>
    <t>(12+30+12+12)*2,7*3 "skladba P3</t>
  </si>
  <si>
    <t>144</t>
  </si>
  <si>
    <t>60512126</t>
  </si>
  <si>
    <t>hranol stavební řezivo průřezu do 120cm2 dl 6-8m</t>
  </si>
  <si>
    <t>-1323061691</t>
  </si>
  <si>
    <t>543,4/0,625*0,08*0,08 "podhala 4.NP</t>
  </si>
  <si>
    <t>5,564*1,1 'Přepočtené koeficientem množství</t>
  </si>
  <si>
    <t>145</t>
  </si>
  <si>
    <t>-1364960134</t>
  </si>
  <si>
    <t>(12+30+12+12)*2,7*3*0,14*0,04 "skladba P3</t>
  </si>
  <si>
    <t>2,994*1,2 'Přepočtené koeficientem množství</t>
  </si>
  <si>
    <t>146</t>
  </si>
  <si>
    <t>762595001</t>
  </si>
  <si>
    <t>Spojovací prostředky podlah a podkladových konstrukcí hřebíky, vruty</t>
  </si>
  <si>
    <t>1229382576</t>
  </si>
  <si>
    <t>https://podminky.urs.cz/item/CS_URS_2022_02/762595001</t>
  </si>
  <si>
    <t>543,4*2 "podlaha 4.NP</t>
  </si>
  <si>
    <t>147</t>
  </si>
  <si>
    <t>998762203</t>
  </si>
  <si>
    <t>Přesun hmot pro konstrukce tesařské stanovený procentní sazbou (%) z ceny vodorovná dopravní vzdálenost do 50 m v objektech výšky přes 12 do 24 m</t>
  </si>
  <si>
    <t>820882804</t>
  </si>
  <si>
    <t>https://podminky.urs.cz/item/CS_URS_2022_02/998762203</t>
  </si>
  <si>
    <t>763</t>
  </si>
  <si>
    <t>Konstrukce suché výstavby</t>
  </si>
  <si>
    <t>148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</si>
  <si>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</si>
  <si>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</si>
  <si>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1273825246</t>
  </si>
  <si>
    <t>https://podminky.urs.cz/item/CS_URS_2022_02/763111314</t>
  </si>
  <si>
    <t>10,21*3,6+20,63*2+(7+7,2+2,8+0,8+4+1,1+3,9+2,8+2)*3,6 "stěny v 4.NP</t>
  </si>
  <si>
    <t>149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</si>
  <si>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</si>
  <si>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</si>
  <si>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-1250820898</t>
  </si>
  <si>
    <t>https://podminky.urs.cz/item/CS_URS_2022_02/763111333</t>
  </si>
  <si>
    <t>(4,8+1,2+1+1+3+1+4,8+1,2+1+1+1+3)*3 "stěny ve 4.NP WC</t>
  </si>
  <si>
    <t>150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</si>
  <si>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</si>
  <si>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</si>
  <si>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163936125</t>
  </si>
  <si>
    <t>https://podminky.urs.cz/item/CS_URS_2022_02/763121411</t>
  </si>
  <si>
    <t>(6,96+9,22+17,37+15,14+0,15+0,15+5,55+8+2,5+4,5+7,79+3,57)*1,2+2,56*3,3 "předstěna v 4.NP §1</t>
  </si>
  <si>
    <t>151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</si>
  <si>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</si>
  <si>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</si>
  <si>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-979913160</t>
  </si>
  <si>
    <t>https://podminky.urs.cz/item/CS_URS_2022_02/763121415</t>
  </si>
  <si>
    <t>(1,83+1+1,2+1,85+1+1+1,95)*1,6</t>
  </si>
  <si>
    <t>152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</si>
  <si>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</si>
  <si>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</si>
  <si>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2128562441</t>
  </si>
  <si>
    <t>https://podminky.urs.cz/item/CS_URS_2022_02/763121422</t>
  </si>
  <si>
    <t>1,5*1,5*6 "předstěna pro umyvadla v učebnách</t>
  </si>
  <si>
    <t>357</t>
  </si>
  <si>
    <t>7631214r1</t>
  </si>
  <si>
    <t>SDK stěna předsazená tl 65 mm profil CW+UW 50 deska 1x akustická např. Knauf Cleaneo UFF</t>
  </si>
  <si>
    <t>594496303</t>
  </si>
  <si>
    <t>48,1 "Zadní části stěn učeben</t>
  </si>
  <si>
    <t>153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</si>
  <si>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</si>
  <si>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</si>
  <si>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-764973167</t>
  </si>
  <si>
    <t>https://podminky.urs.cz/item/CS_URS_2022_02/763131431</t>
  </si>
  <si>
    <t>1,3*2,6*(3+4) "skladba P2a</t>
  </si>
  <si>
    <t>4*1,3*7 "skladba P2c</t>
  </si>
  <si>
    <t>358</t>
  </si>
  <si>
    <t>7631315R2</t>
  </si>
  <si>
    <t>SDK podhled deska 1x akustická 12,5 jednovrstvá spodní kce profil např. desky Knauf Cleaneo UFF</t>
  </si>
  <si>
    <t>1577295349</t>
  </si>
  <si>
    <t>178,73 "Vodorovný strop - plocha ž-ti učeben</t>
  </si>
  <si>
    <t>154</t>
  </si>
  <si>
    <t>763131751</t>
  </si>
  <si>
    <t>Podhled ze sádrokartonových desek ostatní práce a konstrukce na podhledech ze sádrokartonových desek montáž parotěsné zábrany</t>
  </si>
  <si>
    <t>-145957304</t>
  </si>
  <si>
    <t>https://podminky.urs.cz/item/CS_URS_2022_02/763131751</t>
  </si>
  <si>
    <t>650 "podhled podkroví</t>
  </si>
  <si>
    <t>155</t>
  </si>
  <si>
    <t>28329233</t>
  </si>
  <si>
    <t>fólie univerzální pro parotěsnou vrstvu s proměnlivou difúzní tloušťkou a UV stabilizací</t>
  </si>
  <si>
    <t>-307826485</t>
  </si>
  <si>
    <t>650*1,1235 'Přepočtené koeficientem množství</t>
  </si>
  <si>
    <t>156</t>
  </si>
  <si>
    <t>763132121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</si>
  <si>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</si>
  <si>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278666009</t>
  </si>
  <si>
    <t>https://podminky.urs.cz/item/CS_URS_2022_02/763132121</t>
  </si>
  <si>
    <t>543,4 "strop 3.NP</t>
  </si>
  <si>
    <t>157</t>
  </si>
  <si>
    <t>763158115</t>
  </si>
  <si>
    <t>SDK podlaha suchý podsyp tl. 10 mm</t>
  </si>
  <si>
    <t>-683981057</t>
  </si>
  <si>
    <t>https://podminky.urs.cz/item/CS_URS_2022_02/763158115</t>
  </si>
  <si>
    <t>158</t>
  </si>
  <si>
    <t>763158118</t>
  </si>
  <si>
    <t>Příplatek k SDK podlaze za každých další 10 mm tloušťky suchého podsypu</t>
  </si>
  <si>
    <t>-1718572901</t>
  </si>
  <si>
    <t>https://podminky.urs.cz/item/CS_URS_2022_02/763158118</t>
  </si>
  <si>
    <t>359</t>
  </si>
  <si>
    <t>7631615R3</t>
  </si>
  <si>
    <t>SDK podhled šikmý na na krokvových závěsech akustické desky např. Knauf Cleaneo UFF</t>
  </si>
  <si>
    <t>1592704551</t>
  </si>
  <si>
    <t>67,3 "Šikmý podhled v učebnách</t>
  </si>
  <si>
    <t>159</t>
  </si>
  <si>
    <t>763161751</t>
  </si>
  <si>
    <t>Podkroví ze sádrokartonových desek dvouvrstvá spodní konstrukce z ocelových profilů CD, UD na krokvových závěsech dvojitě opláštěná deskami standardními A, tl. 2 x 12,5 mm, TI tl. 200 mm 15 kg/m3, REI 30</t>
  </si>
  <si>
    <t>-869032307</t>
  </si>
  <si>
    <t>https://podminky.urs.cz/item/CS_URS_2022_02/763161751</t>
  </si>
  <si>
    <t>160</t>
  </si>
  <si>
    <t>763181311</t>
  </si>
  <si>
    <t>Výplně otvorů konstrukcí ze sádrokartonových desek montáž zárubně kovové s konstrukcí jednokřídlové</t>
  </si>
  <si>
    <t>1517148571</t>
  </si>
  <si>
    <t>https://podminky.urs.cz/item/CS_URS_2022_02/763181311</t>
  </si>
  <si>
    <t>6 "700/1970</t>
  </si>
  <si>
    <t>2 "900/1970</t>
  </si>
  <si>
    <t>161</t>
  </si>
  <si>
    <t>55331589</t>
  </si>
  <si>
    <t>zárubeň jednokřídlá ocelová pro sádrokartonové příčky tl stěny 75-100mm rozměru 700/1970, 2100mm</t>
  </si>
  <si>
    <t>1041996772</t>
  </si>
  <si>
    <t>162</t>
  </si>
  <si>
    <t>55331591</t>
  </si>
  <si>
    <t>zárubeň jednokřídlá ocelová pro sádrokartonové příčky tl stěny 75-100mm rozměru 900/1970, 2100mm</t>
  </si>
  <si>
    <t>484365477</t>
  </si>
  <si>
    <t>163</t>
  </si>
  <si>
    <t>763182411</t>
  </si>
  <si>
    <t>Výplně otvorů konstrukcí ze sádrokartonových desek opláštění obvodu (špalety) střešního okna z desek včetně Al rohu hloubky do 0,5 m</t>
  </si>
  <si>
    <t>1756901882</t>
  </si>
  <si>
    <t>https://podminky.urs.cz/item/CS_URS_2022_02/763182411</t>
  </si>
  <si>
    <t>(0,78*2+1,6*2)*2+(1,14*2+1,6*2)*22+(0,78*2+0,98*2)*2 "kolem střešních oken</t>
  </si>
  <si>
    <t>(0,5*4)*5 "kolem střešních výlezů</t>
  </si>
  <si>
    <t>164</t>
  </si>
  <si>
    <t>763264542</t>
  </si>
  <si>
    <t>Obklad ocelových nosníků sádrovláknitými deskami bez spodní konstrukce uzavřeného tvaru rozvinuté šíře přes 0,5 m do 0,75 m, opláštění deskou protipožární tl. 2x12,5 mm</t>
  </si>
  <si>
    <t>-540152972</t>
  </si>
  <si>
    <t>https://podminky.urs.cz/item/CS_URS_2022_02/763264542</t>
  </si>
  <si>
    <t>3*3,5 "pozarni obklad dřevěnýcjh sloupu v kotelně a O2</t>
  </si>
  <si>
    <t>165</t>
  </si>
  <si>
    <t>763782213</t>
  </si>
  <si>
    <t>Montáž stropní konstrukce z plnostěnných nosníků (např. trámů, průvlaků, překladů) konstrukční délky do 15 m, průřezové plochy přes 150 do 500 cm2</t>
  </si>
  <si>
    <t>2116807010</t>
  </si>
  <si>
    <t>https://podminky.urs.cz/item/CS_URS_2022_02/763782213</t>
  </si>
  <si>
    <t>7,15*11+7*10+7,1*22+2,75*22+3,55*7+3,12*7+7,2*2+6,999*8+7,1*11 "příložka LVL-R 75/360</t>
  </si>
  <si>
    <t>7,15*11+7*10+7,1*22+2,75*22+3,55*7+3,12*7+7,2*2+6,999*8+7,1*11 "příložka LVL-R 45/360</t>
  </si>
  <si>
    <t>166</t>
  </si>
  <si>
    <t>6122327x</t>
  </si>
  <si>
    <t>hranol konstrukční LVL-R 75/360 a LVL-R 45/360</t>
  </si>
  <si>
    <t>-145075504</t>
  </si>
  <si>
    <t>(7,15*11+7*10+7,1*22+2,75*22+3,55*7+3,12*7+7,2*2+6,999*8+7,1*11)*0,075*0,36 "příložka LVL-R 75/360</t>
  </si>
  <si>
    <t>(7,15*11+7*10+7,1*22+2,75*22+3,55*7+3,12*7+7,2*2+6,999*8+7,1*11)*0,045*0,36 "příložka LVL-R 45/360</t>
  </si>
  <si>
    <t>24,215*1,1 'Přepočtené koeficientem množství</t>
  </si>
  <si>
    <t>167</t>
  </si>
  <si>
    <t>763-spec.01</t>
  </si>
  <si>
    <t>Příplatek za úpravu podhledu v místě klimatizačních jednotek</t>
  </si>
  <si>
    <t>-862397016</t>
  </si>
  <si>
    <t>362</t>
  </si>
  <si>
    <t>763-spec.02</t>
  </si>
  <si>
    <t>Protipožární obklad dřevěných původních sloupků v kotelne §4 pož.odolnost 30 minut.</t>
  </si>
  <si>
    <t>985584407</t>
  </si>
  <si>
    <t>168</t>
  </si>
  <si>
    <t>998763403</t>
  </si>
  <si>
    <t>Přesun hmot pro konstrukce montované z desek stanovený procentní sazbou (%) z ceny vodorovná dopravní vzdálenost do 50 m v objektech výšky přes 12 do 24 m</t>
  </si>
  <si>
    <t>-543580381</t>
  </si>
  <si>
    <t>https://podminky.urs.cz/item/CS_URS_2022_02/998763403</t>
  </si>
  <si>
    <t>169</t>
  </si>
  <si>
    <t>764002414</t>
  </si>
  <si>
    <t>Montáž strukturované oddělovací rohože jakékoli rš</t>
  </si>
  <si>
    <t>-1477891999</t>
  </si>
  <si>
    <t>https://podminky.urs.cz/item/CS_URS_2022_02/764002414</t>
  </si>
  <si>
    <t>170</t>
  </si>
  <si>
    <t>28329223</t>
  </si>
  <si>
    <t>fólie difuzně propustné s nakašírovanou strukturovanou rohoží pod hladkou plechovou krytinu</t>
  </si>
  <si>
    <t>-967091547</t>
  </si>
  <si>
    <t>76*1,15 'Přepočtené koeficientem množství</t>
  </si>
  <si>
    <t>171</t>
  </si>
  <si>
    <t>764131403</t>
  </si>
  <si>
    <t>Krytina ze svitků nebo tabulí z měděného plechu s úpravou u okapů, prostupů a výčnělků střechy rovné drážkováním ze svitků rš 500 mm, sklon střechy přes 30 do 60°</t>
  </si>
  <si>
    <t>500555451</t>
  </si>
  <si>
    <t>https://podminky.urs.cz/item/CS_URS_2022_02/764131403</t>
  </si>
  <si>
    <t>172</t>
  </si>
  <si>
    <t>764131491</t>
  </si>
  <si>
    <t>Krytina ze svitků nebo tabulí z měděného plechu s úpravou u okapů, prostupů a výčnělků Příplatek k cenám za těsnění drážek ve sklonu do 10°</t>
  </si>
  <si>
    <t>-1101651264</t>
  </si>
  <si>
    <t>https://podminky.urs.cz/item/CS_URS_2022_02/764131491</t>
  </si>
  <si>
    <t>173</t>
  </si>
  <si>
    <t>764231466</t>
  </si>
  <si>
    <t>Oplechování střešních prvků z měděného plechu úžlabí rš 500 mm</t>
  </si>
  <si>
    <t>-565733386</t>
  </si>
  <si>
    <t>https://podminky.urs.cz/item/CS_URS_2022_02/764231466</t>
  </si>
  <si>
    <t>30,7 "K5</t>
  </si>
  <si>
    <t>377</t>
  </si>
  <si>
    <t>76423146x</t>
  </si>
  <si>
    <t>Oplechování střešních prvků z měděného plechu úžlabí rš 300 mm</t>
  </si>
  <si>
    <t>-61236838</t>
  </si>
  <si>
    <t>14,2 "K8</t>
  </si>
  <si>
    <t>376</t>
  </si>
  <si>
    <t>764232403</t>
  </si>
  <si>
    <t>Oplechování střešních prvků z měděného plechu štítu závětrnou lištou rš 250 mm</t>
  </si>
  <si>
    <t>1591992005</t>
  </si>
  <si>
    <t>https://podminky.urs.cz/item/CS_URS_2022_02/764232403</t>
  </si>
  <si>
    <t>22,4 "K7</t>
  </si>
  <si>
    <t>174</t>
  </si>
  <si>
    <t>764232437</t>
  </si>
  <si>
    <t>Oplechování střešních prvků z měděného plechu okapu okapovým plechem střechy rovné rš 670 mm</t>
  </si>
  <si>
    <t>-232443724</t>
  </si>
  <si>
    <t>https://podminky.urs.cz/item/CS_URS_2022_02/764232437</t>
  </si>
  <si>
    <t>122 "K3</t>
  </si>
  <si>
    <t>175</t>
  </si>
  <si>
    <t>764235406</t>
  </si>
  <si>
    <t>Oplechování horních ploch zdí a nadezdívek (atik) z měděného plechu celoplošně lepených rš 500 mm</t>
  </si>
  <si>
    <t>225488256</t>
  </si>
  <si>
    <t>https://podminky.urs.cz/item/CS_URS_2022_02/764235406</t>
  </si>
  <si>
    <t>14,2 "K6</t>
  </si>
  <si>
    <t>378</t>
  </si>
  <si>
    <t>76423540x</t>
  </si>
  <si>
    <t>Oplechování horních ploch zdí a nadezdívek (atik) z měděného plechu celoplošně lepených rš 350 mm</t>
  </si>
  <si>
    <t>-477366108</t>
  </si>
  <si>
    <t>121,95 "K14</t>
  </si>
  <si>
    <t>176</t>
  </si>
  <si>
    <t>764235411</t>
  </si>
  <si>
    <t>Oplechování horních ploch zdí a nadezdívek (atik) z měděného plechu celoplošně lepených přes rš 800 mm</t>
  </si>
  <si>
    <t>1821866624</t>
  </si>
  <si>
    <t>https://podminky.urs.cz/item/CS_URS_2022_02/764235411</t>
  </si>
  <si>
    <t>1,5 "oplechování hlavy komínu</t>
  </si>
  <si>
    <t>177</t>
  </si>
  <si>
    <t>764246404</t>
  </si>
  <si>
    <t>Oplechování parapetů z titanzinkového předzvětralého plechu rovných mechanicky kotvené, bez rohů rš 330 mm</t>
  </si>
  <si>
    <t>-668293913</t>
  </si>
  <si>
    <t>https://podminky.urs.cz/item/CS_URS_2022_02/764246404</t>
  </si>
  <si>
    <t>3,6 "K12</t>
  </si>
  <si>
    <t>1,85 "K13</t>
  </si>
  <si>
    <t>178</t>
  </si>
  <si>
    <t>764331413</t>
  </si>
  <si>
    <t>Lemování zdí z měděného plechu boční nebo horní rovných, střech s krytinou skládanou mimo prejzovou rš 250 mm</t>
  </si>
  <si>
    <t>-1394324317</t>
  </si>
  <si>
    <t>https://podminky.urs.cz/item/CS_URS_2022_02/764331413</t>
  </si>
  <si>
    <t>7,3 "K4</t>
  </si>
  <si>
    <t>379</t>
  </si>
  <si>
    <t>76433445x</t>
  </si>
  <si>
    <t>Oplechování odvětrání kanalizace</t>
  </si>
  <si>
    <t>-1925891399</t>
  </si>
  <si>
    <t>11 "K15</t>
  </si>
  <si>
    <t>180</t>
  </si>
  <si>
    <t>764531404</t>
  </si>
  <si>
    <t>Žlab podokapní z měděného plechu včetně háků a čel půlkruhový rš 330 mm</t>
  </si>
  <si>
    <t>22387488</t>
  </si>
  <si>
    <t>https://podminky.urs.cz/item/CS_URS_2022_02/764531404</t>
  </si>
  <si>
    <t>4,2 "K11</t>
  </si>
  <si>
    <t>181</t>
  </si>
  <si>
    <t>764531446</t>
  </si>
  <si>
    <t>Žlab podokapní z měděného plechu včetně háků a čel kotlík oválný (trychtýřový), rš žlabu/průměr svodu 400/150 mm</t>
  </si>
  <si>
    <t>1293412879</t>
  </si>
  <si>
    <t>https://podminky.urs.cz/item/CS_URS_2022_02/764531446</t>
  </si>
  <si>
    <t>5 "K3</t>
  </si>
  <si>
    <t>182</t>
  </si>
  <si>
    <t>764533412</t>
  </si>
  <si>
    <t>Žlab nadokapní (nástřešní) z měděného plechu oblého tvaru, včetně háků, čel a hrdel rš 1000 mm</t>
  </si>
  <si>
    <t>1661922348</t>
  </si>
  <si>
    <t>https://podminky.urs.cz/item/CS_URS_2022_02/764533412</t>
  </si>
  <si>
    <t>183</t>
  </si>
  <si>
    <t>764538424</t>
  </si>
  <si>
    <t>Svod z měděného plechu včetně objímek, kolen a odskoků kruhový, průměru 150 mm</t>
  </si>
  <si>
    <t>1315533107</t>
  </si>
  <si>
    <t>https://podminky.urs.cz/item/CS_URS_2022_02/764538424</t>
  </si>
  <si>
    <t>93,6 "K9</t>
  </si>
  <si>
    <t>380</t>
  </si>
  <si>
    <t>764-spec.01</t>
  </si>
  <si>
    <t>VZT roura z kotelny</t>
  </si>
  <si>
    <t>-1152255403</t>
  </si>
  <si>
    <t>1 "K21</t>
  </si>
  <si>
    <t>184</t>
  </si>
  <si>
    <t>998764203</t>
  </si>
  <si>
    <t>Přesun hmot pro konstrukce klempířské stanovený procentní sazbou (%) z ceny vodorovná dopravní vzdálenost do 50 m v objektech výšky přes 12 do 24 m</t>
  </si>
  <si>
    <t>964953415</t>
  </si>
  <si>
    <t>https://podminky.urs.cz/item/CS_URS_2022_02/998764203</t>
  </si>
  <si>
    <t>185</t>
  </si>
  <si>
    <t>765111015</t>
  </si>
  <si>
    <t>Montáž krytiny keramické sklonu do 30° drážkové na sucho, počet kusů přes 11 do 12 ks/m2</t>
  </si>
  <si>
    <t>-1185658429</t>
  </si>
  <si>
    <t>https://podminky.urs.cz/item/CS_URS_2022_02/765111015</t>
  </si>
  <si>
    <t>186</t>
  </si>
  <si>
    <t>59660400</t>
  </si>
  <si>
    <t>taška ražená drážková režná velkoformátová (do 12 ks/m2) základní</t>
  </si>
  <si>
    <t>-1137572680</t>
  </si>
  <si>
    <t>790*12 'Přepočtené koeficientem množství</t>
  </si>
  <si>
    <t>187</t>
  </si>
  <si>
    <t>59660431</t>
  </si>
  <si>
    <t>taška ražená drážková režná velkoformátová (do 12 ks/m2) poloviční</t>
  </si>
  <si>
    <t>-1030688397</t>
  </si>
  <si>
    <t>790*1,2 'Přepočtené koeficientem množství</t>
  </si>
  <si>
    <t>188</t>
  </si>
  <si>
    <t>59660403</t>
  </si>
  <si>
    <t>taška ražená drážková režná velkoformátová (do 12 ks/m2) krajová levá</t>
  </si>
  <si>
    <t>1910488354</t>
  </si>
  <si>
    <t>790*0,6 'Přepočtené koeficientem množství</t>
  </si>
  <si>
    <t>189</t>
  </si>
  <si>
    <t>59660402</t>
  </si>
  <si>
    <t>taška ražená drážková režná velkoformátová (do 12 ks/m2) krajová pravá</t>
  </si>
  <si>
    <t>-740761779</t>
  </si>
  <si>
    <t>190</t>
  </si>
  <si>
    <t>59660401</t>
  </si>
  <si>
    <t>taška ražená drážková režná velkoformátová (do 12 ks/m2) větrací</t>
  </si>
  <si>
    <t>-2119593637</t>
  </si>
  <si>
    <t>191</t>
  </si>
  <si>
    <t>59660408</t>
  </si>
  <si>
    <t>taška ražená drážková režná velkoformátová (do 12 ks/m2) větrací pro připojení hřebene</t>
  </si>
  <si>
    <t>1470722045</t>
  </si>
  <si>
    <t>192</t>
  </si>
  <si>
    <t>59660411</t>
  </si>
  <si>
    <t>taška ražená drážková režná velkoformátová (do 12 ks/m2) prostupová s anténním nástavcem</t>
  </si>
  <si>
    <t>1725659853</t>
  </si>
  <si>
    <t>193</t>
  </si>
  <si>
    <t>765111201</t>
  </si>
  <si>
    <t>Montáž krytiny keramické okapové hrany s okapním větracím pásem</t>
  </si>
  <si>
    <t>1781626262</t>
  </si>
  <si>
    <t>https://podminky.urs.cz/item/CS_URS_2022_02/765111201</t>
  </si>
  <si>
    <t>124,05-2,7-1,7-11 "skladba S1</t>
  </si>
  <si>
    <t>194</t>
  </si>
  <si>
    <t>59660022</t>
  </si>
  <si>
    <t>pás ochranný větrací okapní plastový š 100mm</t>
  </si>
  <si>
    <t>677056929</t>
  </si>
  <si>
    <t>108,65*1,1 'Přepočtené koeficientem množství</t>
  </si>
  <si>
    <t>195</t>
  </si>
  <si>
    <t>765111253</t>
  </si>
  <si>
    <t>Montáž krytiny keramické hřebene větraného na sucho bez pásu (s podhřebenovou větrací taškou)</t>
  </si>
  <si>
    <t>23924081</t>
  </si>
  <si>
    <t>https://podminky.urs.cz/item/CS_URS_2022_02/765111253</t>
  </si>
  <si>
    <t>8+26,8+7,8+5,6</t>
  </si>
  <si>
    <t>196</t>
  </si>
  <si>
    <t>59660030</t>
  </si>
  <si>
    <t>hřebenáč drážkový keramický š 210mm režný</t>
  </si>
  <si>
    <t>1396304455</t>
  </si>
  <si>
    <t>48,2*3,09 'Přepočtené koeficientem množství</t>
  </si>
  <si>
    <t>197</t>
  </si>
  <si>
    <t>765111403</t>
  </si>
  <si>
    <t>Montáž krytiny keramické opracování krytiny v místě prostupu plochy prostupu jednotlivě přes 0,5 do 1 m2</t>
  </si>
  <si>
    <t>1914738388</t>
  </si>
  <si>
    <t>https://podminky.urs.cz/item/CS_URS_2022_02/765111403</t>
  </si>
  <si>
    <t>5 "střešní výlez</t>
  </si>
  <si>
    <t>198</t>
  </si>
  <si>
    <t>765111404</t>
  </si>
  <si>
    <t>Montáž krytiny keramické opracování krytiny v místě prostupu plochy prostupu jednotlivě přes 1 m2</t>
  </si>
  <si>
    <t>-751543714</t>
  </si>
  <si>
    <t>https://podminky.urs.cz/item/CS_URS_2022_02/765111404</t>
  </si>
  <si>
    <t>(0,78*2+1,6*2)*2+(1,14*1,6)*22 "kolem střešních oken</t>
  </si>
  <si>
    <t>199</t>
  </si>
  <si>
    <t>765111503</t>
  </si>
  <si>
    <t>Montáž krytiny keramické Příplatek k cenám včetně připevňovacích prostředků za sklon přes 30 do 40°</t>
  </si>
  <si>
    <t>-973304358</t>
  </si>
  <si>
    <t>https://podminky.urs.cz/item/CS_URS_2022_02/765111503</t>
  </si>
  <si>
    <t>200</t>
  </si>
  <si>
    <t>765115302</t>
  </si>
  <si>
    <t>Montáž střešních doplňků krytiny keramické střešního výlezu plochy jednotlivě přes 0,25 m2</t>
  </si>
  <si>
    <t>1563777316</t>
  </si>
  <si>
    <t>https://podminky.urs.cz/item/CS_URS_2022_02/765115302</t>
  </si>
  <si>
    <t>201</t>
  </si>
  <si>
    <t>61140606</t>
  </si>
  <si>
    <t>výlez střešní pro sklon střechy 20-65° 46x61cm</t>
  </si>
  <si>
    <t>-89156552</t>
  </si>
  <si>
    <t>202</t>
  </si>
  <si>
    <t>765115351</t>
  </si>
  <si>
    <t>Montáž střešních doplňků krytiny keramické stoupací plošiny délky do 400 mm</t>
  </si>
  <si>
    <t>-613730913</t>
  </si>
  <si>
    <t>https://podminky.urs.cz/item/CS_URS_2022_02/765115351</t>
  </si>
  <si>
    <t>1 "K2</t>
  </si>
  <si>
    <t>203</t>
  </si>
  <si>
    <t>59660034</t>
  </si>
  <si>
    <t>stoupací komplet rovný pro keramickou krytinu rošt š 250mm d 400mm</t>
  </si>
  <si>
    <t>sada</t>
  </si>
  <si>
    <t>-59734348</t>
  </si>
  <si>
    <t>204</t>
  </si>
  <si>
    <t>765115352</t>
  </si>
  <si>
    <t>Montáž střešních doplňků krytiny keramické stoupací plošiny délky přes 400 do 800 mm</t>
  </si>
  <si>
    <t>-498279360</t>
  </si>
  <si>
    <t>https://podminky.urs.cz/item/CS_URS_2022_02/765115352</t>
  </si>
  <si>
    <t>4 "K1</t>
  </si>
  <si>
    <t>205</t>
  </si>
  <si>
    <t>59660036</t>
  </si>
  <si>
    <t>stoupací komplet profilovaný pro keramickou krytinu rošt š 250mm d 800mm</t>
  </si>
  <si>
    <t>-2040206913</t>
  </si>
  <si>
    <t>206</t>
  </si>
  <si>
    <t>765115401</t>
  </si>
  <si>
    <t>Montáž střešních doplňků krytiny keramické protisněhové zábrany háku</t>
  </si>
  <si>
    <t>871566051</t>
  </si>
  <si>
    <t>https://podminky.urs.cz/item/CS_URS_2022_02/765115401</t>
  </si>
  <si>
    <t>1100 "K10</t>
  </si>
  <si>
    <t>207</t>
  </si>
  <si>
    <t>59660249</t>
  </si>
  <si>
    <t>hák protisněhový keramické drážkové velkoformátové krytiny</t>
  </si>
  <si>
    <t>1067656031</t>
  </si>
  <si>
    <t>1100*1,01 'Přepočtené koeficientem množství</t>
  </si>
  <si>
    <t>208</t>
  </si>
  <si>
    <t>765115421</t>
  </si>
  <si>
    <t>Montáž střešních doplňků krytiny keramické bezpečnostního háku</t>
  </si>
  <si>
    <t>-1919725210</t>
  </si>
  <si>
    <t>https://podminky.urs.cz/item/CS_URS_2022_02/765115421</t>
  </si>
  <si>
    <t>209</t>
  </si>
  <si>
    <t>59660887</t>
  </si>
  <si>
    <t>hák Pz bezpečnostní střešní d 220mm</t>
  </si>
  <si>
    <t>-1289846741</t>
  </si>
  <si>
    <t>210</t>
  </si>
  <si>
    <t>765191001</t>
  </si>
  <si>
    <t>Montáž pojistné hydroizolační nebo parotěsné fólie kladené ve sklonu do 20° lepením (vodotěsné podstřeší) na bednění nebo tepelnou izolaci</t>
  </si>
  <si>
    <t>45596160</t>
  </si>
  <si>
    <t>https://podminky.urs.cz/item/CS_URS_2022_02/765191001</t>
  </si>
  <si>
    <t>211</t>
  </si>
  <si>
    <t>-1625191222</t>
  </si>
  <si>
    <t>29*1,15 'Přepočtené koeficientem množství</t>
  </si>
  <si>
    <t>212</t>
  </si>
  <si>
    <t>765191021</t>
  </si>
  <si>
    <t>Montáž pojistné hydroizolační nebo parotěsné fólie kladené ve sklonu přes 20° s lepenými přesahy na krokve</t>
  </si>
  <si>
    <t>-1059078700</t>
  </si>
  <si>
    <t>https://podminky.urs.cz/item/CS_URS_2022_02/765191021</t>
  </si>
  <si>
    <t>213</t>
  </si>
  <si>
    <t>63150818</t>
  </si>
  <si>
    <t>fólie kontaktní difuzně propustná pro doplňkovou hydroizolační vrstvu, jednovrstvá mikrovláknitá s reflexní a funkční vrstvou tl 175μm</t>
  </si>
  <si>
    <t>-1487850326</t>
  </si>
  <si>
    <t>866*1,15 'Přepočtené koeficientem množství</t>
  </si>
  <si>
    <t>214</t>
  </si>
  <si>
    <t>765191045</t>
  </si>
  <si>
    <t>Montáž pojistné hydroizolační nebo parotěsné fólie v místech střešních prostupů plochy jednotlivě přes 1 m2</t>
  </si>
  <si>
    <t>1592830331</t>
  </si>
  <si>
    <t>https://podminky.urs.cz/item/CS_URS_2022_02/765191045</t>
  </si>
  <si>
    <t>24 "kolem střešních oken</t>
  </si>
  <si>
    <t>215</t>
  </si>
  <si>
    <t>765191051</t>
  </si>
  <si>
    <t>Montáž pojistné hydroizolační nebo parotěsné fólie hřebene nebo nároží, střechy větrané</t>
  </si>
  <si>
    <t>1312836516</t>
  </si>
  <si>
    <t>https://podminky.urs.cz/item/CS_URS_2022_02/765191051</t>
  </si>
  <si>
    <t>(8+26,8+7,8+5,6)*2</t>
  </si>
  <si>
    <t>216</t>
  </si>
  <si>
    <t>765191071</t>
  </si>
  <si>
    <t>Montáž pojistné hydroizolační nebo parotěsné fólie okapu přesahem na okapnici</t>
  </si>
  <si>
    <t>1017670370</t>
  </si>
  <si>
    <t>https://podminky.urs.cz/item/CS_URS_2022_02/765191071</t>
  </si>
  <si>
    <t>217</t>
  </si>
  <si>
    <t>765191091</t>
  </si>
  <si>
    <t>Montáž pojistné hydroizolační nebo parotěsné fólie Příplatek k cenám montáže na bednění nebo tepelnou izolaci za sklon přes 30°</t>
  </si>
  <si>
    <t>1305039551</t>
  </si>
  <si>
    <t>https://podminky.urs.cz/item/CS_URS_2022_02/765191091</t>
  </si>
  <si>
    <t>218</t>
  </si>
  <si>
    <t>998765203</t>
  </si>
  <si>
    <t>Přesun hmot pro krytiny skládané stanovený procentní sazbou (%) z ceny vodorovná dopravní vzdálenost do 50 m v objektech výšky přes 12 do 24 m</t>
  </si>
  <si>
    <t>1313889628</t>
  </si>
  <si>
    <t>https://podminky.urs.cz/item/CS_URS_2022_02/998765203</t>
  </si>
  <si>
    <t>219</t>
  </si>
  <si>
    <t>766231113</t>
  </si>
  <si>
    <t>Montáž sklápěcích schodů na půdu s vyřezáním otvoru a kompletizací</t>
  </si>
  <si>
    <t>-2023636502</t>
  </si>
  <si>
    <t>https://podminky.urs.cz/item/CS_URS_2022_02/766231113</t>
  </si>
  <si>
    <t>2 "výlez na půdu</t>
  </si>
  <si>
    <t>220</t>
  </si>
  <si>
    <t>5534758x</t>
  </si>
  <si>
    <t>schody skládací protipožární, El 30 130x70cm</t>
  </si>
  <si>
    <t>2004365029</t>
  </si>
  <si>
    <t>234</t>
  </si>
  <si>
    <t>766671023</t>
  </si>
  <si>
    <t>Montáž střešních oken dřevěných nebo plastových kyvných, výklopných/kyvných s okenním rámem a lemováním, s plisovaným límcem, s napojením na krytinu do krytiny tvarované, rozměru 78 x 98 cm</t>
  </si>
  <si>
    <t>-561571888</t>
  </si>
  <si>
    <t>https://podminky.urs.cz/item/CS_URS_2022_02/766671023</t>
  </si>
  <si>
    <t>2 "okno O6</t>
  </si>
  <si>
    <t>235</t>
  </si>
  <si>
    <t>61124828</t>
  </si>
  <si>
    <t>okno střešní dřevěné bílé PU povrch výklopně-kyvné, izolační trojsklo 78x98cm, Uw=1,1W/m2K Al oplechování</t>
  </si>
  <si>
    <t>63619479</t>
  </si>
  <si>
    <t>236</t>
  </si>
  <si>
    <t>61124152</t>
  </si>
  <si>
    <t>lemování střešních oken na profilované krytiny 78x98cm</t>
  </si>
  <si>
    <t>-442517571</t>
  </si>
  <si>
    <t>237</t>
  </si>
  <si>
    <t>61124232</t>
  </si>
  <si>
    <t>manžeta z parotěsné fólie pro střešní okno 78x98cm</t>
  </si>
  <si>
    <t>1886928806</t>
  </si>
  <si>
    <t>238</t>
  </si>
  <si>
    <t>61124049</t>
  </si>
  <si>
    <t>zateplovací sada střešních oken rám 78x98cm</t>
  </si>
  <si>
    <t>-1478411592</t>
  </si>
  <si>
    <t>239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</si>
  <si>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</si>
  <si>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</si>
  <si>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398089789</t>
  </si>
  <si>
    <t>https://podminky.urs.cz/item/CS_URS_2022_02/766671026</t>
  </si>
  <si>
    <t>2 "pozice O5</t>
  </si>
  <si>
    <t>240</t>
  </si>
  <si>
    <t>61124829</t>
  </si>
  <si>
    <t>okno střešní dřevěné bílé PU povrch výklopně-kyvné, izolační trojsklo 78x160cm, Uw=1,1W/m2K Al oplechování</t>
  </si>
  <si>
    <t>-1034359624</t>
  </si>
  <si>
    <t>241</t>
  </si>
  <si>
    <t>61124155</t>
  </si>
  <si>
    <t>lemování střešních oken na profilované krytiny 78x160cm</t>
  </si>
  <si>
    <t>257493337</t>
  </si>
  <si>
    <t>242</t>
  </si>
  <si>
    <t>61124235</t>
  </si>
  <si>
    <t>manžeta z parotěsné fólie pro střešní okno 78x160cm</t>
  </si>
  <si>
    <t>1530033757</t>
  </si>
  <si>
    <t>243</t>
  </si>
  <si>
    <t>61124062</t>
  </si>
  <si>
    <t>zateplovací sada střešních oken rám 78x160cm</t>
  </si>
  <si>
    <t>-1164330565</t>
  </si>
  <si>
    <t>244</t>
  </si>
  <si>
    <t>76667103x</t>
  </si>
  <si>
    <t>Montáž střešních oken dřevěných nebo plastových kyvných, výklopných/kyvných s okenním rámem a lemováním, s plisovaným límcem, s napojením na krytinu do krytiny tvarované, rozměru 114 x 160 cm</t>
  </si>
  <si>
    <t>1353927984</t>
  </si>
  <si>
    <t>22 "pozice O1</t>
  </si>
  <si>
    <t>245</t>
  </si>
  <si>
    <t>61124835</t>
  </si>
  <si>
    <t>okno střešní dřevěné bílé PU povrch výklopně-kyvné, izolační trojsklo 114x160cm, Uw=1,1W/m2K Al oplechování</t>
  </si>
  <si>
    <t>686051278</t>
  </si>
  <si>
    <t>246</t>
  </si>
  <si>
    <t>6112415x</t>
  </si>
  <si>
    <t>lemování střešních oken na profilované krytiny 114x160cm</t>
  </si>
  <si>
    <t>-119302721</t>
  </si>
  <si>
    <t>247</t>
  </si>
  <si>
    <t>6112423x</t>
  </si>
  <si>
    <t>manžeta z parotěsné fólie pro střešní okno 114x160cm</t>
  </si>
  <si>
    <t>-1237366930</t>
  </si>
  <si>
    <t>248</t>
  </si>
  <si>
    <t>6112406x</t>
  </si>
  <si>
    <t>zateplovací sada střešních oken rám 114x160cm</t>
  </si>
  <si>
    <t>824213445</t>
  </si>
  <si>
    <t>249</t>
  </si>
  <si>
    <t>766694112</t>
  </si>
  <si>
    <t>Montáž ostatních truhlářských konstrukcí parapetních desek dřevěných nebo plastových šířky do 300 mm, délky přes 1000 do 1600 mm</t>
  </si>
  <si>
    <t>1131802924</t>
  </si>
  <si>
    <t>https://podminky.urs.cz/item/CS_URS_2022_02/766694112</t>
  </si>
  <si>
    <t>3 "okno na schodišti</t>
  </si>
  <si>
    <t>250</t>
  </si>
  <si>
    <t>60794102</t>
  </si>
  <si>
    <t>parapet dřevotřískový vnitřní povrch laminátový š 260mm</t>
  </si>
  <si>
    <t>-524044125</t>
  </si>
  <si>
    <t>3*1,2 "okno na schodišti</t>
  </si>
  <si>
    <t>251</t>
  </si>
  <si>
    <t>60794003</t>
  </si>
  <si>
    <t>parapet dřevotřískový vnitřní povrch laminátový zažehlené hrany</t>
  </si>
  <si>
    <t>444093473</t>
  </si>
  <si>
    <t>252</t>
  </si>
  <si>
    <t>766694113</t>
  </si>
  <si>
    <t>Montáž ostatních truhlářských konstrukcí parapetních desek dřevěných nebo plastových šířky do 300 mm, délky přes 1600 do 2600 mm</t>
  </si>
  <si>
    <t>-1482105163</t>
  </si>
  <si>
    <t>https://podminky.urs.cz/item/CS_URS_2022_02/766694113</t>
  </si>
  <si>
    <t>1 "okno v 4.NP štítová stěna</t>
  </si>
  <si>
    <t>253</t>
  </si>
  <si>
    <t>-1549387864</t>
  </si>
  <si>
    <t>254</t>
  </si>
  <si>
    <t>71164051</t>
  </si>
  <si>
    <t>255</t>
  </si>
  <si>
    <t>766-spec.01</t>
  </si>
  <si>
    <t>Příplatek ovládání okna elektronicky</t>
  </si>
  <si>
    <t>749237417</t>
  </si>
  <si>
    <t>2 "§2 dle výkresu 4.NP nový stav</t>
  </si>
  <si>
    <t>256</t>
  </si>
  <si>
    <t>766-spec.02</t>
  </si>
  <si>
    <t>Z/01 Dřevěné madlo na ocelové konstrukci dl. 3380 mm</t>
  </si>
  <si>
    <t>-1891514163</t>
  </si>
  <si>
    <t>5 "Z/01</t>
  </si>
  <si>
    <t>257</t>
  </si>
  <si>
    <t>766-spec.03</t>
  </si>
  <si>
    <t>Z/05 Dřevěné madlo na ocelové konstrukci dl. 3690 mm</t>
  </si>
  <si>
    <t>-1315788940</t>
  </si>
  <si>
    <t>1 "Z/05</t>
  </si>
  <si>
    <t>258</t>
  </si>
  <si>
    <t>766-spec.04</t>
  </si>
  <si>
    <t>Repase stávajících madel na hl.schodišti v horní části 4.NP</t>
  </si>
  <si>
    <t>-663415849</t>
  </si>
  <si>
    <t>364</t>
  </si>
  <si>
    <t>766-spec.05</t>
  </si>
  <si>
    <t>Mobiliář - laboratorní vybavení učebny (viz.samostatný rozpočet)</t>
  </si>
  <si>
    <t>68490620</t>
  </si>
  <si>
    <t>366</t>
  </si>
  <si>
    <t>766-spec.06</t>
  </si>
  <si>
    <t>D1 dodávka a montáž dveří 900/1970 mm vč. zárubně a kování (přesný popis viz.tabulka prvků)</t>
  </si>
  <si>
    <t>-1481058668</t>
  </si>
  <si>
    <t>367</t>
  </si>
  <si>
    <t>766-spec.07</t>
  </si>
  <si>
    <t>D2 dodávka a montáž dveří 900/1970 mm vč. zárubně a kování (přesný popis viz.tabulka prvků)</t>
  </si>
  <si>
    <t>-1015938311</t>
  </si>
  <si>
    <t>1 "levé</t>
  </si>
  <si>
    <t>4 "pravé</t>
  </si>
  <si>
    <t>368</t>
  </si>
  <si>
    <t>766-spec.08</t>
  </si>
  <si>
    <t>D3 dodávka a montáž dveří 700/1970 mm vč. zárubně a kování (přesný popis viz.tabulka prvků)</t>
  </si>
  <si>
    <t>1638502439</t>
  </si>
  <si>
    <t>1 "pravé</t>
  </si>
  <si>
    <t>2 "levé</t>
  </si>
  <si>
    <t>369</t>
  </si>
  <si>
    <t>766-spec.09</t>
  </si>
  <si>
    <t>D4 dodávka a montáž dveří 700/1970 mm vč. zárubně a kování (přesný popis viz.tabulka prvků)</t>
  </si>
  <si>
    <t>1704347365</t>
  </si>
  <si>
    <t>370</t>
  </si>
  <si>
    <t>766-spec.10</t>
  </si>
  <si>
    <t>D5 dodávka a montáž dveří 900/1970 mm vč. zárubně a kování (přesný popis viz.tabulka prvků)</t>
  </si>
  <si>
    <t>179225866</t>
  </si>
  <si>
    <t>371</t>
  </si>
  <si>
    <t>766-spec.11</t>
  </si>
  <si>
    <t>D6 dodávka a montáž dveří 900/1970 mm vč. zárubně a kování (přesný popis viz.tabulka prvků)</t>
  </si>
  <si>
    <t>1888947855</t>
  </si>
  <si>
    <t>372</t>
  </si>
  <si>
    <t>766-spec.12</t>
  </si>
  <si>
    <t>D7 dodávka a montáž dveří 900/1970 mm vč. zárubně a kování (přesný popis viz.tabulka prvků)</t>
  </si>
  <si>
    <t>845431636</t>
  </si>
  <si>
    <t>373</t>
  </si>
  <si>
    <t>766-spec.13</t>
  </si>
  <si>
    <t>D8 dodávka a montáž dveří 1000/2000 mm vč. zárubně a kování (přesný popis viz.tabulka prvků)</t>
  </si>
  <si>
    <t>-318496556</t>
  </si>
  <si>
    <t>374</t>
  </si>
  <si>
    <t>766-spec.14</t>
  </si>
  <si>
    <t>D9 dodávka a montáž dveří 1000/1970 mm vč. zárubně a kování (přesný popis viz.tabulka prvků)</t>
  </si>
  <si>
    <t>1503779141</t>
  </si>
  <si>
    <t>375</t>
  </si>
  <si>
    <t>766-spec.15</t>
  </si>
  <si>
    <t>D16 dodávka a montáž dveří 1000/1970 mm vč. zárubně a kování (přesný popis viz.tabulka prvků)</t>
  </si>
  <si>
    <t>1636096815</t>
  </si>
  <si>
    <t>382</t>
  </si>
  <si>
    <t>766-spec.16</t>
  </si>
  <si>
    <t>Z/07 Dřevěné madlo na ocelové konstrukci dl. 3050 mm</t>
  </si>
  <si>
    <t>569690285</t>
  </si>
  <si>
    <t>1 "Z/07</t>
  </si>
  <si>
    <t>259</t>
  </si>
  <si>
    <t>998766203</t>
  </si>
  <si>
    <t>Přesun hmot pro konstrukce truhlářské stanovený procentní sazbou (%) z ceny vodorovná dopravní vzdálenost do 50 m v objektech výšky přes 12 do 24 m</t>
  </si>
  <si>
    <t>2140423945</t>
  </si>
  <si>
    <t>https://podminky.urs.cz/item/CS_URS_2022_02/998766203</t>
  </si>
  <si>
    <t>767</t>
  </si>
  <si>
    <t>Konstrukce zámečnické</t>
  </si>
  <si>
    <t>260</t>
  </si>
  <si>
    <t>767610127</t>
  </si>
  <si>
    <t>Montáž oken jednoduchých z hliníkových nebo ocelových profilů na polyuretanovou pěnu otevíravých do zdiva, plochy přes 1,5 do 2,5 m2</t>
  </si>
  <si>
    <t>1543897962</t>
  </si>
  <si>
    <t>https://podminky.urs.cz/item/CS_URS_2022_02/767610127</t>
  </si>
  <si>
    <t>1,85*1,65 "okno v 4.NP štítová stěna</t>
  </si>
  <si>
    <t>261</t>
  </si>
  <si>
    <t>55341013</t>
  </si>
  <si>
    <t>okno Al otevíravé/sklopné trojsklo přes plochu 1m2 v 1,5-2,5m</t>
  </si>
  <si>
    <t>-998995063</t>
  </si>
  <si>
    <t>262</t>
  </si>
  <si>
    <t>767610128</t>
  </si>
  <si>
    <t>Montáž oken jednoduchých z hliníkových nebo ocelových profilů na polyuretanovou pěnu otevíravých do zdiva, plochy přes 2,5 m2</t>
  </si>
  <si>
    <t>-1306492447</t>
  </si>
  <si>
    <t>https://podminky.urs.cz/item/CS_URS_2022_02/767610128</t>
  </si>
  <si>
    <t>1,2*2,4*3 "okno na schodišti</t>
  </si>
  <si>
    <t>263</t>
  </si>
  <si>
    <t>1813209835</t>
  </si>
  <si>
    <t>264</t>
  </si>
  <si>
    <t>767627306</t>
  </si>
  <si>
    <t>Montáž oken zdvojených Příplatek k cenám za připojovací spáru mezi ostěním a rámem vnitřní parotěsnou páskou</t>
  </si>
  <si>
    <t>-1171600024</t>
  </si>
  <si>
    <t>https://podminky.urs.cz/item/CS_URS_2022_02/767627306</t>
  </si>
  <si>
    <t>(1,85*2+1,65*2) "okno v 4.NP štítová stěna</t>
  </si>
  <si>
    <t>(1,2*2+2,4*2)*3 "okno na schodišti</t>
  </si>
  <si>
    <t>(1,2*2+2,1*2) "vstupní dveře na schodiště</t>
  </si>
  <si>
    <t>265</t>
  </si>
  <si>
    <t>767627307</t>
  </si>
  <si>
    <t>Montáž oken zdvojených Příplatek k cenám za připojovací spáru mezi ostěním a rámem venkovní paropropustnou páskou</t>
  </si>
  <si>
    <t>-1942884006</t>
  </si>
  <si>
    <t>https://podminky.urs.cz/item/CS_URS_2022_02/767627307</t>
  </si>
  <si>
    <t>266</t>
  </si>
  <si>
    <t>767640111</t>
  </si>
  <si>
    <t>Montáž dveří ocelových nebo hliníkových vchodových jednokřídlových bez nadsvětlíku</t>
  </si>
  <si>
    <t>937688654</t>
  </si>
  <si>
    <t>https://podminky.urs.cz/item/CS_URS_2022_02/767640111</t>
  </si>
  <si>
    <t>1 "na schodiště</t>
  </si>
  <si>
    <t>267</t>
  </si>
  <si>
    <t>55341330</t>
  </si>
  <si>
    <t>dveře jednokřídlé Al plné max rozměru otvoru 2,42m2 bezpečnostní třídy RC2</t>
  </si>
  <si>
    <t>771342611</t>
  </si>
  <si>
    <t>1,2*2,1 "vstupní dveře na schodiště</t>
  </si>
  <si>
    <t>268</t>
  </si>
  <si>
    <t>54914136</t>
  </si>
  <si>
    <t>kování panikové madlo/klika</t>
  </si>
  <si>
    <t>1865505940</t>
  </si>
  <si>
    <t>269</t>
  </si>
  <si>
    <t>767649191</t>
  </si>
  <si>
    <t>Montáž dveří ocelových nebo hliníkových doplňků dveří samozavírače hydraulického</t>
  </si>
  <si>
    <t>570595668</t>
  </si>
  <si>
    <t>https://podminky.urs.cz/item/CS_URS_2022_02/767649191</t>
  </si>
  <si>
    <t>270</t>
  </si>
  <si>
    <t>54917250</t>
  </si>
  <si>
    <t>samozavírač dveří hydraulický</t>
  </si>
  <si>
    <t>-1400687250</t>
  </si>
  <si>
    <t>271</t>
  </si>
  <si>
    <t>767995113</t>
  </si>
  <si>
    <t>Montáž ostatních atypických zámečnických konstrukcí hmotnosti přes 10 do 20 kg</t>
  </si>
  <si>
    <t>kg</t>
  </si>
  <si>
    <t>-168629871</t>
  </si>
  <si>
    <t>https://podminky.urs.cz/item/CS_URS_2022_02/767995113</t>
  </si>
  <si>
    <t>14*3*21,9 "nosník vnitřního schodiště I180</t>
  </si>
  <si>
    <t>(10*3,5+2*3+2*3,65)*18,8 "nosník vnitřního schodiště U160</t>
  </si>
  <si>
    <t>272</t>
  </si>
  <si>
    <t>13010720</t>
  </si>
  <si>
    <t>ocel profilová jakost S235JR (11 375) průřez I (IPN) 180</t>
  </si>
  <si>
    <t>-486048789</t>
  </si>
  <si>
    <t>14*3*21,9/1000 "nosník vnitřního schodiště I180</t>
  </si>
  <si>
    <t>0,92*1,1 'Přepočtené koeficientem množství</t>
  </si>
  <si>
    <t>273</t>
  </si>
  <si>
    <t>13010822</t>
  </si>
  <si>
    <t>ocel profilová jakost S235JR (11 375) průřez U (UPN) 160</t>
  </si>
  <si>
    <t>-1778230284</t>
  </si>
  <si>
    <t>(10*3,5+2*3+2*3,65)*18,8/1000 "nosník vnitřního schodiště U160</t>
  </si>
  <si>
    <t>0,908*1,1 'Přepočtené koeficientem množství</t>
  </si>
  <si>
    <t>274</t>
  </si>
  <si>
    <t>767995114</t>
  </si>
  <si>
    <t>Montáž ostatních atypických zámečnických konstrukcí hmotnosti přes 20 do 50 kg</t>
  </si>
  <si>
    <t>265911988</t>
  </si>
  <si>
    <t>https://podminky.urs.cz/item/CS_URS_2022_02/767995114</t>
  </si>
  <si>
    <t>31465 "ocelová konstrukce krovu</t>
  </si>
  <si>
    <t>275</t>
  </si>
  <si>
    <t>-957232254</t>
  </si>
  <si>
    <t>1316/1000 "pozice 1</t>
  </si>
  <si>
    <t>676,8/1000 "pozice 12</t>
  </si>
  <si>
    <t>676,8/1000 "pozice 21</t>
  </si>
  <si>
    <t>372,24/1000 "pozice 22</t>
  </si>
  <si>
    <t>251,92 /1000 "pozice 23</t>
  </si>
  <si>
    <t>432,4/1000 "pozice 24</t>
  </si>
  <si>
    <t>3,726*1,1 'Přepočtené koeficientem množství</t>
  </si>
  <si>
    <t>276</t>
  </si>
  <si>
    <t>13010826</t>
  </si>
  <si>
    <t>ocel profilová jakost S235JR (11 375) průřez U (UPN) 200</t>
  </si>
  <si>
    <t>-1668061879</t>
  </si>
  <si>
    <t>2605,9/1000 "pozice 27</t>
  </si>
  <si>
    <t>2,606*1,1 'Přepočtené koeficientem množství</t>
  </si>
  <si>
    <t>277</t>
  </si>
  <si>
    <t>13010830</t>
  </si>
  <si>
    <t>ocel profilová jakost S235JR (11 375) průřez U (UPN) 240</t>
  </si>
  <si>
    <t>-1005543798</t>
  </si>
  <si>
    <t>166/1000 "pozice 2</t>
  </si>
  <si>
    <t>2704 /1000 "pozice 3</t>
  </si>
  <si>
    <t>2704/1000 "pozice 4</t>
  </si>
  <si>
    <t>916/1000 "pozice 5</t>
  </si>
  <si>
    <t>916/1000 "pozice 6</t>
  </si>
  <si>
    <t>916/1000 "pozice 7</t>
  </si>
  <si>
    <t>1003/1000 "pozice 8</t>
  </si>
  <si>
    <t>1096/1000 "pozice 10</t>
  </si>
  <si>
    <t>1096/1000 "pozice 11</t>
  </si>
  <si>
    <t>863/1000 "pozice 13</t>
  </si>
  <si>
    <t>863/1000 "pozice 14</t>
  </si>
  <si>
    <t>1135/1000 "pozice 15</t>
  </si>
  <si>
    <t>1135/1000 "pozice 16</t>
  </si>
  <si>
    <t>863/1000 "pozice 17</t>
  </si>
  <si>
    <t>863/1000 "pozice 18</t>
  </si>
  <si>
    <t>903/1000 "pozice 19</t>
  </si>
  <si>
    <t>903/1000 "pozice 20</t>
  </si>
  <si>
    <t>19,045*1,1 'Přepočtené koeficientem množství</t>
  </si>
  <si>
    <t>278</t>
  </si>
  <si>
    <t>14550301</t>
  </si>
  <si>
    <t>profil ocelový svařovaný jakost S235 průřez čtvercový 100x100x5mm</t>
  </si>
  <si>
    <t>-1522801746</t>
  </si>
  <si>
    <t>117,6/1000 "pozice 9</t>
  </si>
  <si>
    <t>0,118*1,1 'Přepočtené koeficientem množství</t>
  </si>
  <si>
    <t>279</t>
  </si>
  <si>
    <t>13611228</t>
  </si>
  <si>
    <t>plech ocelový hladký jakost S235JR tl 10mm tabule</t>
  </si>
  <si>
    <t>1791899404</t>
  </si>
  <si>
    <t>128,79/1000 "pozice 25</t>
  </si>
  <si>
    <t>572,4/1000 "pozice 30</t>
  </si>
  <si>
    <t>0,701*1,1 'Přepočtené koeficientem množství</t>
  </si>
  <si>
    <t>280</t>
  </si>
  <si>
    <t>13611248</t>
  </si>
  <si>
    <t>plech ocelový hladký jakost S235JR tl 20mm tabule</t>
  </si>
  <si>
    <t>-1806756717</t>
  </si>
  <si>
    <t>1188/1000 "pozice 26</t>
  </si>
  <si>
    <t>1,188*1,1 'Přepočtené koeficientem množství</t>
  </si>
  <si>
    <t>281</t>
  </si>
  <si>
    <t>13011059</t>
  </si>
  <si>
    <t>úhelník ocelový nerovnostranný jakost S235JR (11 375) 150x100x12mm</t>
  </si>
  <si>
    <t>302378374</t>
  </si>
  <si>
    <t>115/1000 "pozice 28</t>
  </si>
  <si>
    <t>2668/1000 "pozice 31</t>
  </si>
  <si>
    <t>2,783*1,1 'Přepočtené koeficientem množství</t>
  </si>
  <si>
    <t>282</t>
  </si>
  <si>
    <t>13010017</t>
  </si>
  <si>
    <t>tyč ocelová kruhová jakost S235JR (11 375) D 24mm</t>
  </si>
  <si>
    <t>-1542034806</t>
  </si>
  <si>
    <t>1296/1000 "pozice 29</t>
  </si>
  <si>
    <t>1,296*1,1 'Přepočtené koeficientem množství</t>
  </si>
  <si>
    <t>283</t>
  </si>
  <si>
    <t>767-spec.02</t>
  </si>
  <si>
    <t>Z/02 Ocelové zábradlí s dřevěným madlem dl. 200 mm</t>
  </si>
  <si>
    <t>-2077645333</t>
  </si>
  <si>
    <t>6 "Z/02</t>
  </si>
  <si>
    <t>284</t>
  </si>
  <si>
    <t>767-spec.03</t>
  </si>
  <si>
    <t>Z/03 Ocelové zábradlí s dřevěným madlem dl. 1350 mm</t>
  </si>
  <si>
    <t>602813772</t>
  </si>
  <si>
    <t>1 "Z/03</t>
  </si>
  <si>
    <t>285</t>
  </si>
  <si>
    <t>767-spec.04</t>
  </si>
  <si>
    <t>Z/04 Ocelové zábradlí s dřevěným madlem dl. 3380 mm</t>
  </si>
  <si>
    <t>-1928740860</t>
  </si>
  <si>
    <t>5 "Z/04</t>
  </si>
  <si>
    <t>286</t>
  </si>
  <si>
    <t>767-spec.05</t>
  </si>
  <si>
    <t>Z/08 Zábradlí na šikmé části prvního nástupního ramene dl. 3050 mm</t>
  </si>
  <si>
    <t>1066659216</t>
  </si>
  <si>
    <t>1 "Z/08</t>
  </si>
  <si>
    <t>287</t>
  </si>
  <si>
    <t>767-spec.06</t>
  </si>
  <si>
    <t>Ocelová konstrukce na střeše pro VZT</t>
  </si>
  <si>
    <t>1954117140</t>
  </si>
  <si>
    <t>1 "Z/09</t>
  </si>
  <si>
    <t>381</t>
  </si>
  <si>
    <t>767-spec.07</t>
  </si>
  <si>
    <t>Z/06 Zábradlí na šikmé části posledního ramene dl. 3690 mm</t>
  </si>
  <si>
    <t>962132539</t>
  </si>
  <si>
    <t>1 "Z/06</t>
  </si>
  <si>
    <t>288</t>
  </si>
  <si>
    <t>998767203</t>
  </si>
  <si>
    <t>Přesun hmot pro zámečnické konstrukce stanovený procentní sazbou (%) z ceny vodorovná dopravní vzdálenost do 50 m v objektech výšky přes 12 do 24 m</t>
  </si>
  <si>
    <t>1979085392</t>
  </si>
  <si>
    <t>https://podminky.urs.cz/item/CS_URS_2022_02/998767203</t>
  </si>
  <si>
    <t>289</t>
  </si>
  <si>
    <t>771111011</t>
  </si>
  <si>
    <t>Příprava podkladu před provedením dlažby vysátí podlah</t>
  </si>
  <si>
    <t>235167633</t>
  </si>
  <si>
    <t>https://podminky.urs.cz/item/CS_URS_2022_02/771111011</t>
  </si>
  <si>
    <t>2,6*1,3*3+2,6*1,5*3 "skladba P2a</t>
  </si>
  <si>
    <t>8,98+9,14+4,14 "skladba P1b</t>
  </si>
  <si>
    <t>290</t>
  </si>
  <si>
    <t>771111012</t>
  </si>
  <si>
    <t>Příprava podkladu před provedením dlažby vysátí schodišť</t>
  </si>
  <si>
    <t>-994961697</t>
  </si>
  <si>
    <t>https://podminky.urs.cz/item/CS_URS_2022_02/771111012</t>
  </si>
  <si>
    <t>1,3*10+1,3*11*5+1,3*12 "vnitřní schodiště</t>
  </si>
  <si>
    <t>291</t>
  </si>
  <si>
    <t>771121011</t>
  </si>
  <si>
    <t>Příprava podkladu před provedením dlažby nátěr penetrační na podlahu</t>
  </si>
  <si>
    <t>1244956568</t>
  </si>
  <si>
    <t>https://podminky.urs.cz/item/CS_URS_2022_02/771121011</t>
  </si>
  <si>
    <t>0,275*1,3*10+0,275*1,3*11*5+0,275*1,3*12 "vnitřní schodiště</t>
  </si>
  <si>
    <t>292</t>
  </si>
  <si>
    <t>771151012</t>
  </si>
  <si>
    <t>Příprava podkladu před provedením dlažby samonivelační stěrka min.pevnosti 20 MPa, tloušťky přes 3 do 5 mm</t>
  </si>
  <si>
    <t>-1174288066</t>
  </si>
  <si>
    <t>https://podminky.urs.cz/item/CS_URS_2022_02/771151012</t>
  </si>
  <si>
    <t>293</t>
  </si>
  <si>
    <t>771161022</t>
  </si>
  <si>
    <t>Příprava podkladu před provedením dlažby montáž profilu ukončujícího profilu pro schodové hrany a ukončení dlažby</t>
  </si>
  <si>
    <t>-353303166</t>
  </si>
  <si>
    <t>https://podminky.urs.cz/item/CS_URS_2022_02/771161022</t>
  </si>
  <si>
    <t>294</t>
  </si>
  <si>
    <t>59054143</t>
  </si>
  <si>
    <t>profil schodový protiskluzový ušlechtilá ocel V2A R10 V6 8x1000mm</t>
  </si>
  <si>
    <t>1399823418</t>
  </si>
  <si>
    <t>100,1*1,1 'Přepočtené koeficientem množství</t>
  </si>
  <si>
    <t>295</t>
  </si>
  <si>
    <t>771274123</t>
  </si>
  <si>
    <t>Montáž obkladů schodišť z dlaždic keramických lepených flexibilním lepidlem stupnic protiskluzných nebo reliéfních, šířky přes 250 do 300 mm</t>
  </si>
  <si>
    <t>997277458</t>
  </si>
  <si>
    <t>https://podminky.urs.cz/item/CS_URS_2022_02/771274123</t>
  </si>
  <si>
    <t>296</t>
  </si>
  <si>
    <t>59761409</t>
  </si>
  <si>
    <t>dlažba keramická slinutá protiskluzná do interiéru i exteriéru pro vysoké mechanické namáhání přes 9 do 12ks/m2</t>
  </si>
  <si>
    <t>-2139772679</t>
  </si>
  <si>
    <t>27,528*1,2 'Přepočtené koeficientem množství</t>
  </si>
  <si>
    <t>297</t>
  </si>
  <si>
    <t>771274232</t>
  </si>
  <si>
    <t>Montáž obkladů schodišť z dlaždic keramických lepených flexibilním lepidlem podstupnic hladkých, výšky přes 150 do 200 mm</t>
  </si>
  <si>
    <t>-2104652742</t>
  </si>
  <si>
    <t>https://podminky.urs.cz/item/CS_URS_2022_02/771274232</t>
  </si>
  <si>
    <t>298</t>
  </si>
  <si>
    <t>1620867285</t>
  </si>
  <si>
    <t>18,619*1,1 'Přepočtené koeficientem množství</t>
  </si>
  <si>
    <t>299</t>
  </si>
  <si>
    <t>771474113</t>
  </si>
  <si>
    <t>Montáž soklů z dlaždic keramických lepených flexibilním lepidlem rovných, výšky přes 90 do 120 mm</t>
  </si>
  <si>
    <t>-434374279</t>
  </si>
  <si>
    <t>https://podminky.urs.cz/item/CS_URS_2022_02/771474113</t>
  </si>
  <si>
    <t>300</t>
  </si>
  <si>
    <t>-925286196</t>
  </si>
  <si>
    <t>49,616*0,144 'Přepočtené koeficientem množství</t>
  </si>
  <si>
    <t>301</t>
  </si>
  <si>
    <t>771474133</t>
  </si>
  <si>
    <t>Montáž soklů z dlaždic keramických lepených flexibilním lepidlem schodišťových stupňovitých, výšky přes 90 do 120 mm</t>
  </si>
  <si>
    <t>801971419</t>
  </si>
  <si>
    <t>https://podminky.urs.cz/item/CS_URS_2022_02/771474133</t>
  </si>
  <si>
    <t>(0,275+0,186+0,12)*10+(0,275+0,186+0,12)*11*5+(0,275+0,186+0,12)*12 "vnitřní schodiště</t>
  </si>
  <si>
    <t>302</t>
  </si>
  <si>
    <t>-1609338621</t>
  </si>
  <si>
    <t>44,737*0,144 'Přepočtené koeficientem množství</t>
  </si>
  <si>
    <t>303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</si>
  <si>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</si>
  <si>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</si>
  <si>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-1031528773</t>
  </si>
  <si>
    <t>https://podminky.urs.cz/item/CS_URS_2022_02/771574263</t>
  </si>
  <si>
    <t>304</t>
  </si>
  <si>
    <t>224212721</t>
  </si>
  <si>
    <t>59,748*1,1 'Přepočtené koeficientem množství</t>
  </si>
  <si>
    <t>305</t>
  </si>
  <si>
    <t>771591112</t>
  </si>
  <si>
    <t>Izolace podlahy pod dlažbu nátěrem nebo stěrkou ve dvou vrstvách</t>
  </si>
  <si>
    <t>1301023037</t>
  </si>
  <si>
    <t>https://podminky.urs.cz/item/CS_URS_2022_02/771591112</t>
  </si>
  <si>
    <t>(18,4-1+0,3+0,3+24,52-1+0,3+0,3)*0,12 "skladba P1b vytaženi na stěnu 12 cm</t>
  </si>
  <si>
    <t>306</t>
  </si>
  <si>
    <t>771591115</t>
  </si>
  <si>
    <t>Podlahy - dokončovací práce spárování silikonem</t>
  </si>
  <si>
    <t>1962312347</t>
  </si>
  <si>
    <t>https://podminky.urs.cz/item/CS_URS_2022_02/771591115</t>
  </si>
  <si>
    <t>6*2+2,608*2 "skladba P2b styk dlažba sokl</t>
  </si>
  <si>
    <t>1,3*10+1,3*11*5+1,3*12 "vnitřní schodiště styk stupen podstupen</t>
  </si>
  <si>
    <t>(0,275+0,186+0,12)*10+(0,275+0,186+0,12)*11*5+(0,275+0,186+0,12)*12 "vnitřní schodiště styk podlaha stěna</t>
  </si>
  <si>
    <t>(2,6+1,3*2)*3+(2,6+1,5*2)*3 "skladba P2a styk dlažba sokl</t>
  </si>
  <si>
    <t>18,4-1+0,3+0,3+24,52-1+0,3+0,3 "skladba P1b styk dlažba obklad</t>
  </si>
  <si>
    <t>307</t>
  </si>
  <si>
    <t>771591117</t>
  </si>
  <si>
    <t>Podlahy - dokončovací práce spárování akrylem</t>
  </si>
  <si>
    <t>751041024</t>
  </si>
  <si>
    <t>https://podminky.urs.cz/item/CS_URS_2022_02/771591117</t>
  </si>
  <si>
    <t>6*2+2,608*2 "skladba P2b horní hrana soklu</t>
  </si>
  <si>
    <t>(0,275+0,186+0,12)*10+(0,275+0,186+0,12)*11*5+(0,275+0,186+0,12)*12 "vnitřní schodiště horni hrana sokklu</t>
  </si>
  <si>
    <t>(2,6+1,3*2)*3+(2,6+1,5*2)*3 "skladba P2a horní hrana soklu</t>
  </si>
  <si>
    <t>308</t>
  </si>
  <si>
    <t>771591241</t>
  </si>
  <si>
    <t>Izolace podlahy pod dlažbu těsnícími izolačními pásy vnitřní kout</t>
  </si>
  <si>
    <t>66278890</t>
  </si>
  <si>
    <t>https://podminky.urs.cz/item/CS_URS_2022_02/771591241</t>
  </si>
  <si>
    <t>13+17 "skladba P1b</t>
  </si>
  <si>
    <t>309</t>
  </si>
  <si>
    <t>771591242</t>
  </si>
  <si>
    <t>Izolace podlahy pod dlažbu těsnícími izolačními pásy vnější roh</t>
  </si>
  <si>
    <t>-1086841967</t>
  </si>
  <si>
    <t>https://podminky.urs.cz/item/CS_URS_2022_02/771591242</t>
  </si>
  <si>
    <t>2 "skladba P1b</t>
  </si>
  <si>
    <t>310</t>
  </si>
  <si>
    <t>771591264</t>
  </si>
  <si>
    <t>Izolace podlahy pod dlažbu těsnícími izolačními pásy mezi podlahou a stěnu</t>
  </si>
  <si>
    <t>-722507993</t>
  </si>
  <si>
    <t>https://podminky.urs.cz/item/CS_URS_2022_02/771591264</t>
  </si>
  <si>
    <t>18,4-1+0,3+0,3+24,52-1+0,3+0,3 "skladba P1b</t>
  </si>
  <si>
    <t>311</t>
  </si>
  <si>
    <t>771592011</t>
  </si>
  <si>
    <t>Čištění vnitřních ploch po položení dlažby podlah nebo schodišť chemickými prostředky</t>
  </si>
  <si>
    <t>-1406529086</t>
  </si>
  <si>
    <t>https://podminky.urs.cz/item/CS_URS_2022_02/771592011</t>
  </si>
  <si>
    <t>(1,3*10+1,3*11*5+1,3*12)*(0,186+0,275) "vnitřní schodiště</t>
  </si>
  <si>
    <t>312</t>
  </si>
  <si>
    <t>998771203</t>
  </si>
  <si>
    <t>Přesun hmot pro podlahy z dlaždic stanovený procentní sazbou (%) z ceny vodorovná dopravní vzdálenost do 50 m v objektech výšky přes 12 do 24 m</t>
  </si>
  <si>
    <t>423704300</t>
  </si>
  <si>
    <t>https://podminky.urs.cz/item/CS_URS_2022_02/998771203</t>
  </si>
  <si>
    <t>776</t>
  </si>
  <si>
    <t>Podlahy povlakové</t>
  </si>
  <si>
    <t>313</t>
  </si>
  <si>
    <t>776111311</t>
  </si>
  <si>
    <t>Příprava podkladu vysátí podlah</t>
  </si>
  <si>
    <t>886264617</t>
  </si>
  <si>
    <t>https://podminky.urs.cz/item/CS_URS_2022_02/776111311</t>
  </si>
  <si>
    <t>92+17,25+54,42+55,34+59,42+43,34+60,25+65,08+30,63 "skladba P1a</t>
  </si>
  <si>
    <t>314</t>
  </si>
  <si>
    <t>776121112</t>
  </si>
  <si>
    <t>Příprava podkladu penetrace vodou ředitelná podlah</t>
  </si>
  <si>
    <t>-4611770</t>
  </si>
  <si>
    <t>https://podminky.urs.cz/item/CS_URS_2022_02/776121112</t>
  </si>
  <si>
    <t>315</t>
  </si>
  <si>
    <t>776141113</t>
  </si>
  <si>
    <t>Příprava podkladu vyrovnání samonivelační stěrkou podlah min.pevnosti 20 MPa, tloušťky přes 5 do 8 mm</t>
  </si>
  <si>
    <t>-2005406986</t>
  </si>
  <si>
    <t>https://podminky.urs.cz/item/CS_URS_2022_02/776141113</t>
  </si>
  <si>
    <t>316</t>
  </si>
  <si>
    <t>776221111</t>
  </si>
  <si>
    <t>Montáž podlahovin z PVC lepením standardním lepidlem z pásů standardních</t>
  </si>
  <si>
    <t>-2067721376</t>
  </si>
  <si>
    <t>https://podminky.urs.cz/item/CS_URS_2022_02/776221111</t>
  </si>
  <si>
    <t>317</t>
  </si>
  <si>
    <t>28412245</t>
  </si>
  <si>
    <t>krytina podlahová heterogenní š 1,5m tl 2mm</t>
  </si>
  <si>
    <t>-777937382</t>
  </si>
  <si>
    <t>477,73*1,1 'Přepočtené koeficientem množství</t>
  </si>
  <si>
    <t>318</t>
  </si>
  <si>
    <t>776411111</t>
  </si>
  <si>
    <t>Montáž soklíků lepením obvodových, výšky do 80 mm</t>
  </si>
  <si>
    <t>-896709426</t>
  </si>
  <si>
    <t>https://podminky.urs.cz/item/CS_URS_2022_02/776411111</t>
  </si>
  <si>
    <t>55,43-0,9*11-1-1,55-3,5+17,7-0,9*2+30,2-0,9+29,5-0,9+31,15-0,9+30,94-0,9+26,35-0,9+32,2-0,9+32,46-0,9 "skladba P1a</t>
  </si>
  <si>
    <t>319</t>
  </si>
  <si>
    <t>28411008</t>
  </si>
  <si>
    <t>lišta soklová PVC 16x60mm</t>
  </si>
  <si>
    <t>-416941622</t>
  </si>
  <si>
    <t>261,88*1,1 'Přepočtené koeficientem množství</t>
  </si>
  <si>
    <t>320</t>
  </si>
  <si>
    <t>776991121</t>
  </si>
  <si>
    <t>Ostatní práce údržba nových podlahovin po pokládce čištění základní</t>
  </si>
  <si>
    <t>-284538019</t>
  </si>
  <si>
    <t>https://podminky.urs.cz/item/CS_URS_2022_02/776991121</t>
  </si>
  <si>
    <t>321</t>
  </si>
  <si>
    <t>998776203</t>
  </si>
  <si>
    <t>Přesun hmot pro podlahy povlakové stanovený procentní sazbou (%) z ceny vodorovná dopravní vzdálenost do 50 m v objektech výšky přes 12 do 24 m</t>
  </si>
  <si>
    <t>174589465</t>
  </si>
  <si>
    <t>https://podminky.urs.cz/item/CS_URS_2022_02/998776203</t>
  </si>
  <si>
    <t>777</t>
  </si>
  <si>
    <t>Podlahy lité</t>
  </si>
  <si>
    <t>322</t>
  </si>
  <si>
    <t>777111111</t>
  </si>
  <si>
    <t>Příprava podkladu před provedením litých podlah vysátí</t>
  </si>
  <si>
    <t>-1507332618</t>
  </si>
  <si>
    <t>https://podminky.urs.cz/item/CS_URS_2022_02/777111111</t>
  </si>
  <si>
    <t>1,62+19,95+4,87 "skladba P1c</t>
  </si>
  <si>
    <t>323</t>
  </si>
  <si>
    <t>777131101</t>
  </si>
  <si>
    <t>Penetrační nátěr podlahy epoxidový na podklad suchý a vyzrálý</t>
  </si>
  <si>
    <t>-829734009</t>
  </si>
  <si>
    <t>https://podminky.urs.cz/item/CS_URS_2022_02/777131101</t>
  </si>
  <si>
    <t>324</t>
  </si>
  <si>
    <t>777511103</t>
  </si>
  <si>
    <t>Krycí stěrka dekorativní epoxidová, tloušťky přes 1 do 2 mm</t>
  </si>
  <si>
    <t>-1797646177</t>
  </si>
  <si>
    <t>https://podminky.urs.cz/item/CS_URS_2022_02/777511103</t>
  </si>
  <si>
    <t>325</t>
  </si>
  <si>
    <t>777611101</t>
  </si>
  <si>
    <t>Krycí nátěr podlahy dekorativní epoxidový</t>
  </si>
  <si>
    <t>-1152754939</t>
  </si>
  <si>
    <t>https://podminky.urs.cz/item/CS_URS_2022_02/777611101</t>
  </si>
  <si>
    <t>326</t>
  </si>
  <si>
    <t>777911113</t>
  </si>
  <si>
    <t>Napojení na stěnu nebo sokl fabionem z epoxidové stěrky plněné pískem a výplňovým spárovým profilem s trvale pružným tmelem pohyblivé</t>
  </si>
  <si>
    <t>-90565434</t>
  </si>
  <si>
    <t>https://podminky.urs.cz/item/CS_URS_2022_02/777911113</t>
  </si>
  <si>
    <t>5,02-0,9-0,7-1+19,92-1+8,9-0,7 "skladba P1c</t>
  </si>
  <si>
    <t>327</t>
  </si>
  <si>
    <t>998777203</t>
  </si>
  <si>
    <t>Přesun hmot pro podlahy lité stanovený procentní sazbou (%) z ceny vodorovná dopravní vzdálenost do 50 m v objektech výšky přes 12 do 24 m</t>
  </si>
  <si>
    <t>-1295274945</t>
  </si>
  <si>
    <t>https://podminky.urs.cz/item/CS_URS_2022_02/998777203</t>
  </si>
  <si>
    <t>781</t>
  </si>
  <si>
    <t>Dokončovací práce - obklady</t>
  </si>
  <si>
    <t>328</t>
  </si>
  <si>
    <t>781111011</t>
  </si>
  <si>
    <t>Příprava podkladu před provedením obkladu oprášení (ometení) stěny</t>
  </si>
  <si>
    <t>-431304578</t>
  </si>
  <si>
    <t>https://podminky.urs.cz/item/CS_URS_2022_02/781111011</t>
  </si>
  <si>
    <t>(10,09+6+5,25+10,09+6+5,3+8,33)*2,1-(0,7*1,97*3*2)-0,9*1,97-(0,7*1,97*2*2)-0,9*1,97 "obklady WC</t>
  </si>
  <si>
    <t>329</t>
  </si>
  <si>
    <t>781121011</t>
  </si>
  <si>
    <t>Příprava podkladu před provedením obkladu nátěr penetrační na stěnu</t>
  </si>
  <si>
    <t>-12986261</t>
  </si>
  <si>
    <t>https://podminky.urs.cz/item/CS_URS_2022_02/781121011</t>
  </si>
  <si>
    <t>330</t>
  </si>
  <si>
    <t>781474112</t>
  </si>
  <si>
    <t>Montáž obkladů vnitřních stěn z dlaždic keramických lepených flexibilním lepidlem maloformátových hladkých přes 9 do 12 ks/m2</t>
  </si>
  <si>
    <t>1315292406</t>
  </si>
  <si>
    <t>https://podminky.urs.cz/item/CS_URS_2022_02/781474112</t>
  </si>
  <si>
    <t>331</t>
  </si>
  <si>
    <t>59761026</t>
  </si>
  <si>
    <t>obklad keramický hladký do 12ks/m2</t>
  </si>
  <si>
    <t>-1362702345</t>
  </si>
  <si>
    <t>103,39*1,1 'Přepočtené koeficientem množství</t>
  </si>
  <si>
    <t>332</t>
  </si>
  <si>
    <t>781477111</t>
  </si>
  <si>
    <t>Montáž obkladů vnitřních stěn z dlaždic keramických Příplatek k cenám za plochu do 10 m2 jednotlivě</t>
  </si>
  <si>
    <t>878892668</t>
  </si>
  <si>
    <t>https://podminky.urs.cz/item/CS_URS_2022_02/781477111</t>
  </si>
  <si>
    <t>333</t>
  </si>
  <si>
    <t>781494111</t>
  </si>
  <si>
    <t>Obklad - dokončující práce profily ukončovací lepené flexibilním lepidlem rohové</t>
  </si>
  <si>
    <t>-714933397</t>
  </si>
  <si>
    <t>https://podminky.urs.cz/item/CS_URS_2022_02/781494111</t>
  </si>
  <si>
    <t>2*2,1+1,9+1,9+1,95 "WC</t>
  </si>
  <si>
    <t>1,5*3*6 "předstěna pro umyvadla v učebnách</t>
  </si>
  <si>
    <t>334</t>
  </si>
  <si>
    <t>781495115</t>
  </si>
  <si>
    <t>Obklad - dokončující práce ostatní práce spárování silikonem</t>
  </si>
  <si>
    <t>1847463977</t>
  </si>
  <si>
    <t>https://podminky.urs.cz/item/CS_URS_2022_02/781495115</t>
  </si>
  <si>
    <t>(13+17)*2,1 "WC vnitřní kout</t>
  </si>
  <si>
    <t>335</t>
  </si>
  <si>
    <t>781495211</t>
  </si>
  <si>
    <t>Čištění vnitřních ploch po provedení obkladu stěn chemickými prostředky</t>
  </si>
  <si>
    <t>-672277464</t>
  </si>
  <si>
    <t>https://podminky.urs.cz/item/CS_URS_2022_02/781495211</t>
  </si>
  <si>
    <t>336</t>
  </si>
  <si>
    <t>998781203</t>
  </si>
  <si>
    <t>Přesun hmot pro obklady keramické stanovený procentní sazbou (%) z ceny vodorovná dopravní vzdálenost do 50 m v objektech výšky přes 12 do 24 m</t>
  </si>
  <si>
    <t>-1010865114</t>
  </si>
  <si>
    <t>https://podminky.urs.cz/item/CS_URS_2022_02/998781203</t>
  </si>
  <si>
    <t>782</t>
  </si>
  <si>
    <t>Dokončovací práce - obklady z kamene</t>
  </si>
  <si>
    <t>337</t>
  </si>
  <si>
    <t>782132412</t>
  </si>
  <si>
    <t>Montáž obkladů stěn z tvrdých kamenů kladených do lepidla ze zlomků desek s upravením stran na místě přisekáním tl. přes 25 do 30 mm</t>
  </si>
  <si>
    <t>-851451919</t>
  </si>
  <si>
    <t>https://podminky.urs.cz/item/CS_URS_2022_02/782132412</t>
  </si>
  <si>
    <t>338</t>
  </si>
  <si>
    <t>58384673</t>
  </si>
  <si>
    <t>kámen nepravidelný pískovec pískový obklad/dlažba D 100-500mm tl 20-40mm</t>
  </si>
  <si>
    <t>855711595</t>
  </si>
  <si>
    <t>1,5*1,5 'Přepočtené koeficientem množství</t>
  </si>
  <si>
    <t>339</t>
  </si>
  <si>
    <t>998782201</t>
  </si>
  <si>
    <t>Přesun hmot pro obklady kamenné stanovený procentní sazbou (%) z ceny vodorovná dopravní vzdálenost do 50 m v objektech výšky do 6 m</t>
  </si>
  <si>
    <t>611521068</t>
  </si>
  <si>
    <t>https://podminky.urs.cz/item/CS_URS_2022_02/998782201</t>
  </si>
  <si>
    <t>783</t>
  </si>
  <si>
    <t>Dokončovací práce - nátěry</t>
  </si>
  <si>
    <t>340</t>
  </si>
  <si>
    <t>783301313</t>
  </si>
  <si>
    <t>Příprava podkladu zámečnických konstrukcí před provedením nátěru odmaštění odmašťovačem ředidlovým</t>
  </si>
  <si>
    <t>1286278819</t>
  </si>
  <si>
    <t>https://podminky.urs.cz/item/CS_URS_2022_02/783301313</t>
  </si>
  <si>
    <t>(2*35+2*18+2*18+2*9,9+2*6,7+2*11,5)*0,546 "U160</t>
  </si>
  <si>
    <t>103*0,661 "U200</t>
  </si>
  <si>
    <t>(2*2,5+2*40,73*2+2*13,8*3+2*15,1+2*16,5*2+2*18+2*13*2+2*17,1*2+2*13*2+2*13,6*2)*0,775 "U240</t>
  </si>
  <si>
    <t>0,4*8 "JA 100/100</t>
  </si>
  <si>
    <t>0,1*0,2*2*(81+240) "PL100/10</t>
  </si>
  <si>
    <t>0,55*0,5*2*27 "plech tl. 20 mm</t>
  </si>
  <si>
    <t>(0,16*2+0,1*2)*(5+116) "L160/100</t>
  </si>
  <si>
    <t>360*0,075398 "kulatina 24</t>
  </si>
  <si>
    <t>14*3*0,64 "nosník vnitřního schodiště I180</t>
  </si>
  <si>
    <t>(10*3,5+2*3+2*3,65)*0,546 "nosník vnitřního schodiště U160</t>
  </si>
  <si>
    <t>341</t>
  </si>
  <si>
    <t>783301401</t>
  </si>
  <si>
    <t>Příprava podkladu zámečnických konstrukcí před provedením nátěru ometení</t>
  </si>
  <si>
    <t>955435619</t>
  </si>
  <si>
    <t>https://podminky.urs.cz/item/CS_URS_2022_02/783301401</t>
  </si>
  <si>
    <t>342</t>
  </si>
  <si>
    <t>783314203</t>
  </si>
  <si>
    <t>Základní antikorozní nátěr zámečnických konstrukcí jednonásobný syntetický samozákladující</t>
  </si>
  <si>
    <t>2066112553</t>
  </si>
  <si>
    <t>https://podminky.urs.cz/item/CS_URS_2022_02/783314203</t>
  </si>
  <si>
    <t>784</t>
  </si>
  <si>
    <t>Dokončovací práce - malby a tapety</t>
  </si>
  <si>
    <t>343</t>
  </si>
  <si>
    <t>784111001</t>
  </si>
  <si>
    <t>Oprášení (ometení) podkladu v místnostech výšky do 3,80 m</t>
  </si>
  <si>
    <t>1556390695</t>
  </si>
  <si>
    <t>https://podminky.urs.cz/item/CS_URS_2022_02/784111001</t>
  </si>
  <si>
    <t>10,21*3,6+20,63*2+(7+7,2+2,8+0,8+4+1,1+3,9+2,8+2)*3,6*2 "stěny v 4.NP</t>
  </si>
  <si>
    <t>(4,8+1,2+1+1+3+1+4,8+1,2+1+1+1+3)*3*2 "stěny ve 4.NP WC</t>
  </si>
  <si>
    <t>-103,39 "odpočet obklad</t>
  </si>
  <si>
    <t>344</t>
  </si>
  <si>
    <t>784181101</t>
  </si>
  <si>
    <t>Penetrace podkladu jednonásobná základní akrylátová bezbarvá v místnostech výšky do 3,80 m</t>
  </si>
  <si>
    <t>-1597647843</t>
  </si>
  <si>
    <t>https://podminky.urs.cz/item/CS_URS_2022_02/784181101</t>
  </si>
  <si>
    <t>345</t>
  </si>
  <si>
    <t>784211101</t>
  </si>
  <si>
    <t>Malby z malířských směsí oděruvzdorných za mokra dvojnásobné, bílé za mokra oděruvzdorné výborně v místnostech výšky do 3,80 m</t>
  </si>
  <si>
    <t>1372326501</t>
  </si>
  <si>
    <t>https://podminky.urs.cz/item/CS_URS_2022_02/784211101</t>
  </si>
  <si>
    <t>786</t>
  </si>
  <si>
    <t>Dokončovací práce - čalounické úpravy</t>
  </si>
  <si>
    <t>346</t>
  </si>
  <si>
    <t>786623111</t>
  </si>
  <si>
    <t>Montáž zastiňujících žaluzií lamelových vnitřních manuálně ovládaných, do oken střešních</t>
  </si>
  <si>
    <t>-1209652865</t>
  </si>
  <si>
    <t>https://podminky.urs.cz/item/CS_URS_2022_02/786623111</t>
  </si>
  <si>
    <t>347</t>
  </si>
  <si>
    <t>61124044</t>
  </si>
  <si>
    <t>roleta vnitřní střešních oken rozměru do 78x160cm</t>
  </si>
  <si>
    <t>-1861626797</t>
  </si>
  <si>
    <t>348</t>
  </si>
  <si>
    <t>6112418x</t>
  </si>
  <si>
    <t>roleta vnitřní střešních oken rozměru do 114x160cm</t>
  </si>
  <si>
    <t>187165495</t>
  </si>
  <si>
    <t>349</t>
  </si>
  <si>
    <t>786626121</t>
  </si>
  <si>
    <t>Montáž zastiňujících žaluzií lamelových vnitřních nebo do oken dvojitých kovových</t>
  </si>
  <si>
    <t>1234827232</t>
  </si>
  <si>
    <t>https://podminky.urs.cz/item/CS_URS_2022_02/786626121</t>
  </si>
  <si>
    <t>1,85*1,35 "štítové okno</t>
  </si>
  <si>
    <t>350</t>
  </si>
  <si>
    <t>55346200</t>
  </si>
  <si>
    <t>žaluzie horizontální interiérové</t>
  </si>
  <si>
    <t>826388505</t>
  </si>
  <si>
    <t>351</t>
  </si>
  <si>
    <t>998786203</t>
  </si>
  <si>
    <t>Přesun hmot pro stínění a čalounické úpravy stanovený procentní sazbou (%) z ceny vodorovná dopravní vzdálenost do 50 m v objektech výšky přes 12 do 24 m</t>
  </si>
  <si>
    <t>418925082</t>
  </si>
  <si>
    <t>https://podminky.urs.cz/item/CS_URS_2022_02/998786203</t>
  </si>
  <si>
    <t>HZS</t>
  </si>
  <si>
    <t>Hodinové zúčtovací sazby</t>
  </si>
  <si>
    <t>352</t>
  </si>
  <si>
    <t>HZS1442</t>
  </si>
  <si>
    <t>Hodinové zúčtovací sazby profesí HSV provádění konstrukcí inženýrských a dopravních staveb svářeč kvalifikovaný</t>
  </si>
  <si>
    <t>512</t>
  </si>
  <si>
    <t>1765942767</t>
  </si>
  <si>
    <t>https://podminky.urs.cz/item/CS_URS_2022_02/HZS1442</t>
  </si>
  <si>
    <t>300 "ocelová konstrukce krovu</t>
  </si>
  <si>
    <t>OST</t>
  </si>
  <si>
    <t>Ostatní</t>
  </si>
  <si>
    <t>353</t>
  </si>
  <si>
    <t>OST-spec.01</t>
  </si>
  <si>
    <t>Úprava výtahu a výtahových dveří</t>
  </si>
  <si>
    <t>1816465899</t>
  </si>
  <si>
    <t>354</t>
  </si>
  <si>
    <t>OST-spec.02</t>
  </si>
  <si>
    <t>Záchytný systém na střechu</t>
  </si>
  <si>
    <t>-576123624</t>
  </si>
  <si>
    <t>355</t>
  </si>
  <si>
    <t>OST-spec.03</t>
  </si>
  <si>
    <t>Požární ucpávky dle PBŘ</t>
  </si>
  <si>
    <t>1294657073</t>
  </si>
  <si>
    <t>356</t>
  </si>
  <si>
    <t>OST-spec.04</t>
  </si>
  <si>
    <t>Požární značení uníkových cest dle PBŘ</t>
  </si>
  <si>
    <t>120317895</t>
  </si>
  <si>
    <t>03 -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</si>
  <si>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</si>
  <si>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</si>
  <si>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</si>
  <si>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</si>
  <si>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>VRN1</t>
  </si>
  <si>
    <t>Průzkumné, geodetické a projektové práce</t>
  </si>
  <si>
    <t>011434000</t>
  </si>
  <si>
    <t>Akustické měření</t>
  </si>
  <si>
    <t>1606870696</t>
  </si>
  <si>
    <t>https://podminky.urs.cz/item/CS_URS_2022_02/011434000</t>
  </si>
  <si>
    <t>P</t>
  </si>
  <si>
    <t>Poznámka k položce:_x000D_
Zhotovitel zajistí a do své ceny zahrne studii zvukové pohltivosti prostoru všech učeben (doba dozvuku)</t>
  </si>
  <si>
    <t>011503000</t>
  </si>
  <si>
    <t>Stavební průzkum bez rozlišení (mykologický průzkum)</t>
  </si>
  <si>
    <t>1261746096</t>
  </si>
  <si>
    <t>https://podminky.urs.cz/item/CS_URS_2022_02/011503000</t>
  </si>
  <si>
    <t>Poznámka k položce:_x000D_
mykologický průzkum stropní kce v úrovni 16,140m – podklady viz konstrukční část PD</t>
  </si>
  <si>
    <t>013124000</t>
  </si>
  <si>
    <t>Hluková studie</t>
  </si>
  <si>
    <t>1095162144</t>
  </si>
  <si>
    <t>https://podminky.urs.cz/item/CS_URS_2022_02/013124000</t>
  </si>
  <si>
    <t>013194000</t>
  </si>
  <si>
    <t>Ostatní záměry a studie (posouuzení denního osvětlení)</t>
  </si>
  <si>
    <t>1549145560</t>
  </si>
  <si>
    <t>https://podminky.urs.cz/item/CS_URS_2022_02/013194000</t>
  </si>
  <si>
    <t>Poznámka k položce:_x000D_
- vytvoření 3D výpočtového modelu_x000D_
- výpočet a hodnocení denn. a sdruženého osvětlení dle ČSN 730580-1,3 a dle ČSN 36 0020, ČSN EN 17037 v souladu s vyhl. 410/2005_x000D_
- zpracování výsledků a vyhotovení závěrečné zprávy</t>
  </si>
  <si>
    <t>013244000</t>
  </si>
  <si>
    <t>Dokumentace pro provádění stavby (výrobní)</t>
  </si>
  <si>
    <t>2040815821</t>
  </si>
  <si>
    <t>https://podminky.urs.cz/item/CS_URS_2022_02/013244000</t>
  </si>
  <si>
    <t>013244000a</t>
  </si>
  <si>
    <t>Dokumentace pro provádění stavby (návrh záchytného systému)</t>
  </si>
  <si>
    <t>-201719329</t>
  </si>
  <si>
    <t>013254000</t>
  </si>
  <si>
    <t>Dokumentace skutečného provedení stavby</t>
  </si>
  <si>
    <t>1650223167</t>
  </si>
  <si>
    <t>https://podminky.urs.cz/item/CS_URS_2022_02/013254000</t>
  </si>
  <si>
    <t>Poznámka k položce:_x000D_
Výkresovou část ve formátu dwg, textovou část ve formátu doc a kopie dokladové části ve formátu pdf, vše 1 x na CD a ve trojím vyhotovení v tištěné podobě</t>
  </si>
  <si>
    <t>013274000</t>
  </si>
  <si>
    <t>Pasportizace objektu před započetím prací</t>
  </si>
  <si>
    <t>2131170638</t>
  </si>
  <si>
    <t>https://podminky.urs.cz/item/CS_URS_2022_02/013274000</t>
  </si>
  <si>
    <t>013284000</t>
  </si>
  <si>
    <t>Pasportizace objektu po provedení prací</t>
  </si>
  <si>
    <t>98748650</t>
  </si>
  <si>
    <t>https://podminky.urs.cz/item/CS_URS_2022_02/013284000</t>
  </si>
  <si>
    <t>VRN3</t>
  </si>
  <si>
    <t>Zařízení staveniště</t>
  </si>
  <si>
    <t>030001000</t>
  </si>
  <si>
    <t>-891390618</t>
  </si>
  <si>
    <t>https://podminky.urs.cz/item/CS_URS_2022_02/030001000</t>
  </si>
  <si>
    <t>033002000</t>
  </si>
  <si>
    <t>Připojení staveniště na inženýrské sítě vč. spotřeby energií</t>
  </si>
  <si>
    <t>-1654011412</t>
  </si>
  <si>
    <t>https://podminky.urs.cz/item/CS_URS_2022_02/033002000</t>
  </si>
  <si>
    <t>035002000</t>
  </si>
  <si>
    <t>Pronájmy ploch, objektů</t>
  </si>
  <si>
    <t>1709301380</t>
  </si>
  <si>
    <t>https://podminky.urs.cz/item/CS_URS_2022_02/035002000</t>
  </si>
  <si>
    <t>VRN5</t>
  </si>
  <si>
    <t>Finanční náklady</t>
  </si>
  <si>
    <t>052103000</t>
  </si>
  <si>
    <t>Rezerva investora</t>
  </si>
  <si>
    <t>573312215</t>
  </si>
  <si>
    <t>https://podminky.urs.cz/item/CS_URS_2022_02/052103000</t>
  </si>
  <si>
    <t>VRN6</t>
  </si>
  <si>
    <t>Územní vlivy</t>
  </si>
  <si>
    <t>065002000</t>
  </si>
  <si>
    <t>Mimostaveništní doprava materiálů</t>
  </si>
  <si>
    <t>-305588826</t>
  </si>
  <si>
    <t>https://podminky.urs.cz/item/CS_URS_2022_02/065002000</t>
  </si>
  <si>
    <t>094104000</t>
  </si>
  <si>
    <t>Náklady na opatření BOZP</t>
  </si>
  <si>
    <t>-1030814264</t>
  </si>
  <si>
    <t>https://podminky.urs.cz/item/CS_URS_2022_02/094104000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</si>
  <si>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</si>
  <si>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</si>
  <si>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</si>
  <si>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</si>
  <si>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</si>
  <si>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</si>
  <si>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</si>
  <si>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</si>
  <si>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</si>
  <si>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</si>
  <si>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</si>
  <si>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</si>
  <si>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</si>
  <si>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</si>
  <si>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</si>
  <si>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</si>
  <si>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</si>
  <si>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</si>
  <si>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</si>
  <si>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</si>
  <si>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</si>
  <si>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</si>
  <si>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</si>
  <si>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</si>
  <si>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</si>
  <si>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</si>
  <si>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</si>
  <si>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</si>
  <si>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</si>
  <si>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</si>
  <si>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</si>
  <si>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</si>
  <si>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</si>
  <si>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</si>
  <si>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</si>
  <si>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</si>
  <si>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</si>
  <si>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</si>
  <si>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</si>
  <si>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</si>
  <si>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</si>
  <si>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</si>
  <si>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</si>
  <si>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</si>
  <si>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</si>
  <si>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</si>
  <si>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</si>
  <si>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</si>
  <si>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</si>
  <si>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</si>
  <si>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</si>
  <si>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</si>
  <si>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</si>
  <si>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</si>
  <si>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</si>
  <si>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</si>
  <si>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</si>
  <si>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</si>
  <si>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</si>
  <si>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</si>
  <si>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</si>
  <si>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</si>
  <si>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</si>
  <si>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</si>
  <si>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</si>
  <si>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</si>
  <si>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</si>
  <si>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</si>
  <si>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</si>
  <si>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</si>
  <si>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</si>
  <si>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</si>
  <si>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</si>
  <si>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</si>
  <si>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</si>
  <si>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</si>
  <si>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</si>
  <si>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</si>
  <si>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</si>
  <si>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</si>
  <si>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</si>
  <si>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</si>
  <si>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</si>
  <si>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</si>
  <si>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</si>
  <si>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</si>
  <si>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</si>
  <si>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</si>
  <si>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</si>
  <si>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</si>
  <si>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</si>
  <si>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</si>
  <si>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</si>
  <si>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</si>
  <si>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</si>
  <si>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</si>
  <si>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</si>
  <si>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</si>
  <si>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</si>
  <si>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</si>
  <si>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</si>
  <si>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</si>
  <si>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</si>
  <si>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</si>
  <si>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</si>
  <si>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</si>
  <si>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</si>
  <si>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</si>
  <si>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</si>
  <si>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</si>
  <si>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</si>
  <si>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</si>
  <si>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</si>
  <si>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</si>
  <si>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</si>
  <si>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</si>
  <si>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</si>
  <si>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</si>
  <si>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</si>
  <si>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</si>
  <si>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</si>
  <si>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</si>
  <si>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</si>
  <si>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</si>
  <si>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</si>
  <si>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</si>
  <si>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</si>
  <si>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</si>
  <si>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</si>
  <si>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</si>
  <si>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</si>
  <si>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</si>
  <si>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</si>
  <si>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</si>
  <si>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</si>
  <si>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</si>
  <si>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</si>
  <si>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</si>
  <si>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</si>
  <si>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</si>
  <si>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</si>
  <si>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</si>
  <si>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</si>
  <si>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</si>
  <si>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</si>
  <si>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</si>
  <si>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</si>
  <si>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</si>
  <si>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</si>
  <si>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</si>
  <si>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</si>
  <si>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</si>
  <si>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</si>
  <si>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</si>
  <si>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</si>
  <si>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</si>
  <si>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</si>
  <si>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</si>
  <si>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</si>
  <si>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</si>
  <si>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</si>
  <si>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</si>
  <si>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</si>
  <si>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</si>
  <si>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</si>
  <si>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</si>
  <si>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</si>
  <si>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</si>
  <si>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</si>
  <si>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</si>
  <si>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</si>
  <si>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</si>
  <si>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</si>
  <si>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</si>
  <si>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</si>
  <si>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</si>
  <si>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</si>
  <si>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</si>
  <si>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</si>
  <si>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</si>
  <si>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</si>
  <si>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</si>
  <si>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</si>
  <si>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Stavební rozpočet+ ZTI</t>
  </si>
  <si>
    <t>Název stavby:</t>
  </si>
  <si>
    <t>gymnázium Hostivice</t>
  </si>
  <si>
    <t>Doba výstavby:</t>
  </si>
  <si>
    <t>Objednatel:</t>
  </si>
  <si>
    <t>Druh stavby:</t>
  </si>
  <si>
    <t>rekonstrukce</t>
  </si>
  <si>
    <t>Začátek výstavby:</t>
  </si>
  <si>
    <t>Lokalita:</t>
  </si>
  <si>
    <t>Konec výstavby:</t>
  </si>
  <si>
    <t>Zhotovitel:</t>
  </si>
  <si>
    <t>JKSO:</t>
  </si>
  <si>
    <t>Zpracováno dne:</t>
  </si>
  <si>
    <t>Zpracoval:</t>
  </si>
  <si>
    <t xml:space="preserve"> </t>
  </si>
  <si>
    <t>Jednot.</t>
  </si>
  <si>
    <t>Náklady (Kč)</t>
  </si>
  <si>
    <t>Hmotnost (t)</t>
  </si>
  <si>
    <t>Č</t>
  </si>
  <si>
    <t>Zkrácený popis</t>
  </si>
  <si>
    <t>M.j.</t>
  </si>
  <si>
    <t>cena (Kč)</t>
  </si>
  <si>
    <t>Dodávka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</si>
  <si>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</si>
  <si>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</si>
  <si>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</si>
  <si>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</si>
  <si>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</si>
  <si>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</si>
  <si>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</si>
  <si>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</si>
  <si>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</si>
  <si>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</si>
  <si>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</si>
  <si>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721</t>
  </si>
  <si>
    <t>Vnitřní kanalizace</t>
  </si>
  <si>
    <t>PS</t>
  </si>
  <si>
    <t>SO 02</t>
  </si>
  <si>
    <t>721176102R00</t>
  </si>
  <si>
    <t xml:space="preserve">Potrubí HTEM připojovací DN 40 </t>
  </si>
  <si>
    <t>721176103R00</t>
  </si>
  <si>
    <t>Potrubí HTEM připojovací DN 50</t>
  </si>
  <si>
    <t>721176104R00</t>
  </si>
  <si>
    <t xml:space="preserve">Potrubí HTEM připojovací DN 75 </t>
  </si>
  <si>
    <t>721176105R00</t>
  </si>
  <si>
    <t xml:space="preserve">Potrubí HTEM připojovací DN 100 </t>
  </si>
  <si>
    <t>721176115R00</t>
  </si>
  <si>
    <t xml:space="preserve">Potrubí HTEM odpadní svislé DN 100 </t>
  </si>
  <si>
    <t>721176116R00</t>
  </si>
  <si>
    <t>Potrubí HTEM odpadní svislé DN 125</t>
  </si>
  <si>
    <t>17-4111</t>
  </si>
  <si>
    <t>montáž čistící tvarovky ČK do DN75</t>
  </si>
  <si>
    <t>ks</t>
  </si>
  <si>
    <t>17-4112</t>
  </si>
  <si>
    <t>montáž čistící tvarovky ČK DN100</t>
  </si>
  <si>
    <t>17-4113</t>
  </si>
  <si>
    <t>montáž čistící tvarovky ČK do DN200</t>
  </si>
  <si>
    <t>ostatní tvarovky plastového zvukověizol.potrubí</t>
  </si>
  <si>
    <t>tj.kolena a odbočky D+M</t>
  </si>
  <si>
    <t>17-107</t>
  </si>
  <si>
    <t>(dle obvyklé praxe navýšení základní ceny potrubí</t>
  </si>
  <si>
    <t>viz.položka 76102 - 76116) kolena,odbočky všech úhlů a profilů</t>
  </si>
  <si>
    <t>čistící tvarovky a redukce zvukověizol.potrubí</t>
  </si>
  <si>
    <t>17-302</t>
  </si>
  <si>
    <t>NG-RE 75</t>
  </si>
  <si>
    <t>17-303</t>
  </si>
  <si>
    <t>NG-RE 100</t>
  </si>
  <si>
    <t>17-304</t>
  </si>
  <si>
    <t>NG-RE 125</t>
  </si>
  <si>
    <t>17-402</t>
  </si>
  <si>
    <t>NGR 50/100</t>
  </si>
  <si>
    <t>17-403</t>
  </si>
  <si>
    <t>NGR 75/100</t>
  </si>
  <si>
    <t>17-404</t>
  </si>
  <si>
    <t>NGR 100/125</t>
  </si>
  <si>
    <t>Specifikace trubních zvukověizol.úchytek</t>
  </si>
  <si>
    <t>viz.položka 76102 - 76116)</t>
  </si>
  <si>
    <t>17-700</t>
  </si>
  <si>
    <t>objímky pro uchycení potrubí</t>
  </si>
  <si>
    <t>Specifikace kanalizace 721 17</t>
  </si>
  <si>
    <t>Protipožární manžeta určená k zatěsnění</t>
  </si>
  <si>
    <t>plastového potrubí, do stěny nebo stropu,</t>
  </si>
  <si>
    <t>velikost manžety 30 mm</t>
  </si>
  <si>
    <t>17-804</t>
  </si>
  <si>
    <t>RS 10/110/030 pro potrubí vnějšího průměru 110 mm</t>
  </si>
  <si>
    <t>17-805</t>
  </si>
  <si>
    <t>RS 10/125/030 pro potrubí vnějšího průměru 125 mm</t>
  </si>
  <si>
    <t xml:space="preserve">722 18 - Ochrana potrubí </t>
  </si>
  <si>
    <t>18-1114</t>
  </si>
  <si>
    <t>DN 40 (jednou vrstvou plstěnými pásy)</t>
  </si>
  <si>
    <t>18-1116</t>
  </si>
  <si>
    <t>DN 50 a DN 65 (jednou vrstvou plstěnými pásy)</t>
  </si>
  <si>
    <t>18-1117</t>
  </si>
  <si>
    <t>DN 80 (jednou vrstvou plstěnými pásy)</t>
  </si>
  <si>
    <t>18-1118</t>
  </si>
  <si>
    <t>DN 100 a DN 125 (jednou vrstvou plstěnými pásy)</t>
  </si>
  <si>
    <t>721 19 - Zřízení přípojek na potrubí</t>
  </si>
  <si>
    <t>19-4104</t>
  </si>
  <si>
    <t>vyvedení odpadních výpustek 110x2,7mm</t>
  </si>
  <si>
    <t>721 22 - Zápachové uzávěrky</t>
  </si>
  <si>
    <t>22-1201</t>
  </si>
  <si>
    <t>uzávěrka zápachová  DN 40 (montáž)</t>
  </si>
  <si>
    <t>Specifikace 721 22</t>
  </si>
  <si>
    <t>22-001</t>
  </si>
  <si>
    <t xml:space="preserve">HL 21/32 plastový vtok se zápach.uzávěrkou </t>
  </si>
  <si>
    <t>22-002</t>
  </si>
  <si>
    <t xml:space="preserve">HL 136N (plastový kondenzační sifon DN40) </t>
  </si>
  <si>
    <t>22-003</t>
  </si>
  <si>
    <t>HL 138 (plastový kondenzační sifon DN40) podomítkový</t>
  </si>
  <si>
    <t>22-004</t>
  </si>
  <si>
    <t>HL 20 (plastový kalich s kuličkou pro úkapy,odvodnění kotlů)</t>
  </si>
  <si>
    <t>721 24 - Lapače střešních splavenin</t>
  </si>
  <si>
    <t>24-2115</t>
  </si>
  <si>
    <t>litinový lapač střešních splavenin DN 125</t>
  </si>
  <si>
    <t>721 27 - Ventilační hlavice</t>
  </si>
  <si>
    <t>27-3149</t>
  </si>
  <si>
    <t>plastová větrací hlavice HL 810/100</t>
  </si>
  <si>
    <t>722 17 - Plastové polypropylenové potrubí</t>
  </si>
  <si>
    <t>typové řady PP-R3 (provedení Standard) PN16</t>
  </si>
  <si>
    <t>(pro odvod kondenzátu)</t>
  </si>
  <si>
    <t>17-1438</t>
  </si>
  <si>
    <t>PPR 32</t>
  </si>
  <si>
    <t xml:space="preserve">m </t>
  </si>
  <si>
    <t>722 17 - Pevné body plast.potr., upevnění potrubí</t>
  </si>
  <si>
    <t>17-1484</t>
  </si>
  <si>
    <t>upevnění plast. potrubí PPR 32 (tepl.média 60°C)</t>
  </si>
  <si>
    <t>722 18 - Ochrana potrubí</t>
  </si>
  <si>
    <t>Termoizolačními pásy bez samolepícího uzávěru</t>
  </si>
  <si>
    <t>montáž do DN 25</t>
  </si>
  <si>
    <t>Specifikace 722 18</t>
  </si>
  <si>
    <t>Termoizolační pásy tl. stěny 6 mm</t>
  </si>
  <si>
    <t>18-x003</t>
  </si>
  <si>
    <t>hadice 35/6 mm</t>
  </si>
  <si>
    <t>721 29 - Ostatní</t>
  </si>
  <si>
    <t>721290112R00</t>
  </si>
  <si>
    <t>Zkouška těsnosti kanalizace vodou DN 200</t>
  </si>
  <si>
    <t>721300912R00</t>
  </si>
  <si>
    <t>Pročištění svislých odpadů, jedno podl., do DN 200</t>
  </si>
  <si>
    <t>29-0234</t>
  </si>
  <si>
    <t>proplach potrubí do DN 80</t>
  </si>
  <si>
    <t>Vyhledání stávající dešť,kanalizace a její přeložka (schodiště)</t>
  </si>
  <si>
    <t>stavební přípomoce-kanalizace</t>
  </si>
  <si>
    <t>998721102R00</t>
  </si>
  <si>
    <t>Přesun hmot pro vnitřní kanalizaci, výšky do 36 m</t>
  </si>
  <si>
    <t>722</t>
  </si>
  <si>
    <t>Vnitřní vodovod</t>
  </si>
  <si>
    <t>722172311R00</t>
  </si>
  <si>
    <t>Potrubí z PP-RCT EkoPlastik, studená, D 20/2,8 mm PN20</t>
  </si>
  <si>
    <t>722172312R00</t>
  </si>
  <si>
    <t>Potrubí z PPR Instaplast, studená, D 25/3,5 mm</t>
  </si>
  <si>
    <t>722172313R00</t>
  </si>
  <si>
    <t>Potrubí z PPR Instaplast, studená, D 32/4,4 mm</t>
  </si>
  <si>
    <t>722172314R00</t>
  </si>
  <si>
    <t>Potrubí z PPR Instaplast, studená, D 40/5,5 mm</t>
  </si>
  <si>
    <t>Potrubí z PP-RCT, studená, D 32/4,4 mm PN20</t>
  </si>
  <si>
    <t>Potrubí z PP-RCT, studená, D 40/5,5 mm PN20</t>
  </si>
  <si>
    <t>722172330R00</t>
  </si>
  <si>
    <t>Potrubí  EkoPlastik, teplá, D 20/2,8 mm PN28</t>
  </si>
  <si>
    <t>722172330R01</t>
  </si>
  <si>
    <t>Potrubí z PPR Instaplast, teplá, D 20/3,4 mm</t>
  </si>
  <si>
    <t>722172330R02</t>
  </si>
  <si>
    <t>Potrubí z PPR Instaplast, teplá, D 25/4,2 mm</t>
  </si>
  <si>
    <t>722172330R03</t>
  </si>
  <si>
    <t>Potrubí z PPR Instaplast, teplá, D 32/5,4 mm</t>
  </si>
  <si>
    <t>Potrubí  EkoPlastik, teplá, D 32x4,4 mm PN28</t>
  </si>
  <si>
    <t>Potrubí  EkoPlastik, teplá, D 40x5,5 mm PN28</t>
  </si>
  <si>
    <t>Potrubí  EkoPlastik, cirkulační, D 20/2,8 mm PN28</t>
  </si>
  <si>
    <t>Potrubí  EkoPlastik, cirkulační, D 32x5,4 mm PN28</t>
  </si>
  <si>
    <t>722172330R05</t>
  </si>
  <si>
    <t>Koleno EkoPlastik 90°, D 20 mm</t>
  </si>
  <si>
    <t>Koleno EkoPlastik  90°, D 25 mm</t>
  </si>
  <si>
    <t>Koleno EkoPlastik 90°, D 32 mm</t>
  </si>
  <si>
    <t>Koleno EkoPlastik 90°, D 40 mm</t>
  </si>
  <si>
    <t>722172330R06</t>
  </si>
  <si>
    <t>Redukce EkoPlastik, D 25/20mm</t>
  </si>
  <si>
    <t>Redukce EkoPlastik, D 32/20mm</t>
  </si>
  <si>
    <t>Redukce EkoPlastik, D 40/20mm</t>
  </si>
  <si>
    <t>722172330R07</t>
  </si>
  <si>
    <t>Koleno EkoPlastik 90° s vnitřním závitem, D 20 mm</t>
  </si>
  <si>
    <t>18-1134</t>
  </si>
  <si>
    <t>montáž do DN 50</t>
  </si>
  <si>
    <t>Termoizolační pásy tl.stěny 15 mm</t>
  </si>
  <si>
    <t>18-002</t>
  </si>
  <si>
    <t>hadice 22/15 mm</t>
  </si>
  <si>
    <t>18-003</t>
  </si>
  <si>
    <t>hadice 35/15 mm</t>
  </si>
  <si>
    <t>18-004</t>
  </si>
  <si>
    <t>hadice 42/15 mm</t>
  </si>
  <si>
    <t>Termoizolační pásy tl.stěny 20 mm (vč.stoupací potr.)</t>
  </si>
  <si>
    <t>18-202</t>
  </si>
  <si>
    <t>hadice 22/20 mm</t>
  </si>
  <si>
    <t>18-203</t>
  </si>
  <si>
    <t>hadice 35/20 mm</t>
  </si>
  <si>
    <t>18-204</t>
  </si>
  <si>
    <t>hadice 42/20 mm</t>
  </si>
  <si>
    <t>proplach a desinfekce potrubí do DN 80</t>
  </si>
  <si>
    <t>722290229R00</t>
  </si>
  <si>
    <t xml:space="preserve">Zkouška tlaku potrubí </t>
  </si>
  <si>
    <t>998722102R00</t>
  </si>
  <si>
    <t>Přesun hmot pro vnitřní vodovod, výšky do 36 m</t>
  </si>
  <si>
    <t>725</t>
  </si>
  <si>
    <t>Zařizovací předměty LAUFEN</t>
  </si>
  <si>
    <t>55145000</t>
  </si>
  <si>
    <t>Baterie umyvadlová stojánková SV, s výpusí</t>
  </si>
  <si>
    <t>55145001</t>
  </si>
  <si>
    <t>Baterie umyvadlová mísící stojánková s TV, s výpustí</t>
  </si>
  <si>
    <t>725013141R00</t>
  </si>
  <si>
    <t>Klozet závěsný vč.sedátka., nádrž do předstěny SDK s armaturou</t>
  </si>
  <si>
    <t>soubor</t>
  </si>
  <si>
    <t>725014141R00</t>
  </si>
  <si>
    <t>Pisoár s radarovým senzorem,antivandal,napájecí zdroj 24V</t>
  </si>
  <si>
    <t>725015141R00</t>
  </si>
  <si>
    <t>Bidet závěsný kpl.se sifonem a roháčky a baterií, nádrž do SDK</t>
  </si>
  <si>
    <t>725016141R00</t>
  </si>
  <si>
    <t>Sklopné nerezové madlo typu "U" dl.60cm, kotvení do stěny</t>
  </si>
  <si>
    <t>725017142R00</t>
  </si>
  <si>
    <t>Umyvadlo na šrouby, 55 cm, bílé</t>
  </si>
  <si>
    <t>725017149R00</t>
  </si>
  <si>
    <t>Kryt sifonu umyvadel</t>
  </si>
  <si>
    <t>725210821R00</t>
  </si>
  <si>
    <t>Demontáž umyvadel bez výtokových armatur</t>
  </si>
  <si>
    <t>725810811R00</t>
  </si>
  <si>
    <t>Demontáž ventilu výtokového nástěnného</t>
  </si>
  <si>
    <t>725819201R00</t>
  </si>
  <si>
    <t>Schell COMFORT ventil rohový 1/2" x 1/2" se sítkem</t>
  </si>
  <si>
    <t>725820802R00</t>
  </si>
  <si>
    <t>Demontáž baterie stojánkové do 1otvoru</t>
  </si>
  <si>
    <t>725829301R00</t>
  </si>
  <si>
    <t>Baterie dřezová stojánkové</t>
  </si>
  <si>
    <t>725860213R00</t>
  </si>
  <si>
    <t>Sifon umyvadlový HL132, DN 30, 40,50</t>
  </si>
  <si>
    <t>725860213R01</t>
  </si>
  <si>
    <t>Kuch.skříňka s dřezem pro učebnu VV, š.60cm, imitace dub</t>
  </si>
  <si>
    <t>725860213R02</t>
  </si>
  <si>
    <t>Úpravy vedení TV a SV v kotelně, drobný materiál</t>
  </si>
  <si>
    <t>725532101</t>
  </si>
  <si>
    <t>Elektrický ohřívač zásobníkový akumulační závěsný svislý 10 l / 2 kW</t>
  </si>
  <si>
    <t>725532102</t>
  </si>
  <si>
    <t>Elektrický osoušeč rukou Jet Dryer BUTTON stříbrný</t>
  </si>
  <si>
    <t>725532103</t>
  </si>
  <si>
    <t>EL.cirkulační čerpadlo teplé vody s armaturou pro doplnění 4.NP</t>
  </si>
  <si>
    <t>Wilo STAR-Z NOVA (4132760)</t>
  </si>
  <si>
    <t>725 98 - Dvířka</t>
  </si>
  <si>
    <t>98-x001</t>
  </si>
  <si>
    <t>dvířka kovová vanová nerez rozm. 30/30 cm-V1,V2</t>
  </si>
  <si>
    <t>speciální zákrytová dvířka s možností povrchové úpravy</t>
  </si>
  <si>
    <t xml:space="preserve"> keram.obkladem rozm. 30/30 cm (magnetická),S12-S15,S2</t>
  </si>
  <si>
    <t>soub</t>
  </si>
  <si>
    <t>998725102R00</t>
  </si>
  <si>
    <t>Přesun hmot pro zařizovací předměty, výšky do 36 m</t>
  </si>
  <si>
    <t>Celkem:</t>
  </si>
  <si>
    <t>08 - D.1.4.2 - plynovod</t>
  </si>
  <si>
    <t>Gymnázium Hostivice</t>
  </si>
  <si>
    <t>723</t>
  </si>
  <si>
    <t>Zdravotechnika - vnitřní plynovod</t>
  </si>
  <si>
    <t>723111203</t>
  </si>
  <si>
    <t>Potrubí ocelové závitové černé bezešvé svařované běžné DN 20</t>
  </si>
  <si>
    <t>723111205</t>
  </si>
  <si>
    <t>Potrubí ocelové závitové černé bezešvé svařované běžné DN 32</t>
  </si>
  <si>
    <t>723150366</t>
  </si>
  <si>
    <t>Chránička D 22,5x2,6 mm</t>
  </si>
  <si>
    <t>723231163</t>
  </si>
  <si>
    <t>Kohout kulový přímý G 3/4 PN 42 do 185°C plnoprůtokový vnitřní závit těžká řada</t>
  </si>
  <si>
    <t>723261914</t>
  </si>
  <si>
    <t>Montáž potrubí - napojení v kotelně, úprava potrubí v kotelně</t>
  </si>
  <si>
    <t>kpl</t>
  </si>
  <si>
    <t>Montáž potrubí - napojení v učebně na  laboratorní pracoviště</t>
  </si>
  <si>
    <t>998723203</t>
  </si>
  <si>
    <t>Přesun hmot procentní pro vnitřní plynovod v objektech v do 36 m</t>
  </si>
  <si>
    <t>783614551</t>
  </si>
  <si>
    <t>Základní jednonásobný syntetický nátěr potrubí DN do 50 mm</t>
  </si>
  <si>
    <t>783617611</t>
  </si>
  <si>
    <t>Krycí dvojnásobný syntetický nátěr potrubí DN do 50 mm</t>
  </si>
  <si>
    <t>HZS2491</t>
  </si>
  <si>
    <t>Hodinová zúčtovací sazba dělník zednických výpomocí vč.kotvení potrubí</t>
  </si>
  <si>
    <t>VRN4</t>
  </si>
  <si>
    <t>Inženýrská činnost</t>
  </si>
  <si>
    <t>043114R04</t>
  </si>
  <si>
    <t>Zkoušky tlakové, revize plynovodu</t>
  </si>
  <si>
    <t>STAVBA:</t>
  </si>
  <si>
    <t>GYMNÁZIUM HOSTIVICE REKONSTRUKCE GYMNZIA II.ETAPA</t>
  </si>
  <si>
    <t>PROFESE:</t>
  </si>
  <si>
    <t>Technika prostředí staveb - Vytápění</t>
  </si>
  <si>
    <t>KOD ČÁSTI:</t>
  </si>
  <si>
    <t>D.1.4</t>
  </si>
  <si>
    <t>č.</t>
  </si>
  <si>
    <t>Výrobek</t>
  </si>
  <si>
    <t>Jednotka</t>
  </si>
  <si>
    <t>Jedn.
cena</t>
  </si>
  <si>
    <t>Celková
cena</t>
  </si>
  <si>
    <t>1.</t>
  </si>
  <si>
    <t>KOTELNA</t>
  </si>
  <si>
    <t>Plynový nástěnný kondenzační kotel VAILLANT VU656/5-5 ecoTEC plus o výkonu 12,2 - 63,5 kW (50/30°C) pro provoz nezávislý na vzduchu z místnosti</t>
  </si>
  <si>
    <t>E-bus Sběrnicový modul VAILLANT VR 32 (k ekvitermní regulaci VAILLANT Calormatic 630)</t>
  </si>
  <si>
    <t>VR32</t>
  </si>
  <si>
    <t>Čidlo teploty topné vody VR10</t>
  </si>
  <si>
    <t>2.</t>
  </si>
  <si>
    <t>ODKOUŘENÍ PLYNOVÉHO KOTLE (koaxiální systém 80/125)</t>
  </si>
  <si>
    <t>Připojovací adaptér Ø 80/125 mm, pro kotle ecoTEC pure/pro/plus/exclusive (7-2 / 5-3 / 5-5 / 5-7 / ioniDetect), ecoCOMPACT VSC ../4, VCC ../4 a auroCOMPACT VSC D ../4</t>
  </si>
  <si>
    <t>Připojení na komín, šachtu Ø 80/125 mm</t>
  </si>
  <si>
    <t>Trubka s revizním otvorem, 0,25 m, Ø 80/125 mm</t>
  </si>
  <si>
    <t>Koleno 2x 45°, Ø 80/125 mm (2ks=1sada)</t>
  </si>
  <si>
    <t>Prodlužovací kus odkouření 0,5 m, Ø 80/125 mm</t>
  </si>
  <si>
    <t>Prodlužovací kus odkouření 1,0 m, Ø 80/125 mm</t>
  </si>
  <si>
    <t>Prodlužovací kus odkouření 2,0 m, Ø 80/125 mm</t>
  </si>
  <si>
    <t>Oddělovací prvek Ø 80/125 mm</t>
  </si>
  <si>
    <t>Trubkový upevňovací třmen Ø 80/125 mm (5 ks=1sada)</t>
  </si>
  <si>
    <t>Kryt komína, šachty</t>
  </si>
  <si>
    <t>Držák odstupu v šachtě (7 ks=1 sada) Ø 80/125 mm</t>
  </si>
  <si>
    <t>3.</t>
  </si>
  <si>
    <t>ROZVODY A IZOLACE - KOTELNA</t>
  </si>
  <si>
    <t>Trubka ocel DN25 (33,7x2,6)</t>
  </si>
  <si>
    <t>Trubka ocel DN32 (42,4x2,6)</t>
  </si>
  <si>
    <t>Trubka ocel DN100 (108x4)</t>
  </si>
  <si>
    <t xml:space="preserve">Ocel tvarovky </t>
  </si>
  <si>
    <t>Svařovací a montážní materiál</t>
  </si>
  <si>
    <t>Kotvící materiál (konzole, objímky apod)</t>
  </si>
  <si>
    <r>
      <t>PE tepelná izolace d = 35mm, tl.20mm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</si>
  <si>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r>
      <t>PE tepelná izolace d = 42mm, tl.20mm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</si>
  <si>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r>
      <t>PE tepelná izolace d = 114mm, tl.30mm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</si>
  <si>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t>4.</t>
  </si>
  <si>
    <t>OSTATNÍ MATERIÁL - KOTELNA</t>
  </si>
  <si>
    <t>Pojistný ventil MEIBES DUCO 1/2"x3/4"KD 2,5bar pro topnou vodu</t>
  </si>
  <si>
    <t>PV</t>
  </si>
  <si>
    <t>Filterball 5/4"</t>
  </si>
  <si>
    <t>BALL</t>
  </si>
  <si>
    <t>Kulový kohout 5/4"</t>
  </si>
  <si>
    <t>KK</t>
  </si>
  <si>
    <t>Zpětný ventil 5/4"</t>
  </si>
  <si>
    <t>ZV</t>
  </si>
  <si>
    <t>Teploměr 0-120°C včetně jímky</t>
  </si>
  <si>
    <t>T</t>
  </si>
  <si>
    <t xml:space="preserve">Manometr 0-400kPa </t>
  </si>
  <si>
    <t>Manometrická zpětná klapka</t>
  </si>
  <si>
    <t>k P</t>
  </si>
  <si>
    <t>Servisní armatura k expanzním nádobám REFLEX MK 1" se zajištěním a vypouštěním</t>
  </si>
  <si>
    <t>MK</t>
  </si>
  <si>
    <t>Redukce, šroubení, těsnící materiál atd.</t>
  </si>
  <si>
    <t>Automatický odvzdušňovací ventil</t>
  </si>
  <si>
    <t>TOPNÝ SYSTÉM</t>
  </si>
  <si>
    <t>5.</t>
  </si>
  <si>
    <t xml:space="preserve">OTOPNÁ TĚLESA +PŘÍSLUŠENSTVÍ - TOPNÝ SYSTÉM </t>
  </si>
  <si>
    <t>11060050-S0-0010 10</t>
  </si>
  <si>
    <t>RADIK 11 VKM8  600/500 (White RAL 9016)</t>
  </si>
  <si>
    <t>20060080-S0-0010 10</t>
  </si>
  <si>
    <t>RADIK 20 VKM8  600/800 (White RAL 9016)</t>
  </si>
  <si>
    <t>20060090-S0-0010 10</t>
  </si>
  <si>
    <t>RADIK 20 VKM8  600/900 (White RAL 9016)</t>
  </si>
  <si>
    <t>21060050-S0-0010 10</t>
  </si>
  <si>
    <t>RADIK 21 VKM8  600/500 (White RAL 9016)</t>
  </si>
  <si>
    <t>21060110-S0-0010 10</t>
  </si>
  <si>
    <t>RADIK 21 VKM8  600/1100 (White RAL 9016)</t>
  </si>
  <si>
    <t>21060120-S0-0010 10</t>
  </si>
  <si>
    <t>RADIK 21 VKM8  600/1200 (White RAL 9016)</t>
  </si>
  <si>
    <t>22060090-S0-0010 10</t>
  </si>
  <si>
    <t>RADIK 22 VKM8  600/900 (White RAL 9016)</t>
  </si>
  <si>
    <t>22060100-S0-0010 10</t>
  </si>
  <si>
    <t>RADIK 22 VKM8  600/1000 (White RAL 9016)</t>
  </si>
  <si>
    <t>22060110-S0-0010 10</t>
  </si>
  <si>
    <t>RADIK 22 VKM8  600/1100 (White RAL 9016)</t>
  </si>
  <si>
    <t>22060180-S0-0010 10</t>
  </si>
  <si>
    <t>RADIK 22 VKM8  600/1800 (White RAL 9016)</t>
  </si>
  <si>
    <t>33040110-S0-0010 10</t>
  </si>
  <si>
    <t>RADIK 33 VKM8  400/1100 (White RAL 9016)</t>
  </si>
  <si>
    <t>33060080-S0-0010 10</t>
  </si>
  <si>
    <t>RADIK 33 VKM8  600/800 (White RAL 9016)</t>
  </si>
  <si>
    <t>33060160-S0-0010 10</t>
  </si>
  <si>
    <t>RADIK 33 VKM8  600/1600 (White RAL 9016)</t>
  </si>
  <si>
    <t>rohová VK armatura IVAR.DS346 (3/4"x3/4"EK)</t>
  </si>
  <si>
    <t>adaptér IVAR.AVK01 (1/2"x3/4")</t>
  </si>
  <si>
    <t>Svěrné šroubení IVAR.TR4430 (EK-15x1,0)</t>
  </si>
  <si>
    <t>krycí růžice pro dvojitý vývod IVAR.AGE06 v bílé barvě</t>
  </si>
  <si>
    <t>Termostatická hlavice IVAR.T1500 (6,5 až 28°C, M30x1,5)</t>
  </si>
  <si>
    <t>6.</t>
  </si>
  <si>
    <t xml:space="preserve">ROZVODY A IZOLACE - TOPNÝ SYSTÉM </t>
  </si>
  <si>
    <t>Svařovací materiál a ocelové tvarovky</t>
  </si>
  <si>
    <t>Trubka měď 15x1,0</t>
  </si>
  <si>
    <t>Trubka měď 18x1,0</t>
  </si>
  <si>
    <t>Trubka měď 22x1,0</t>
  </si>
  <si>
    <t>Trubka měď 28x1,0</t>
  </si>
  <si>
    <t>Trubka měď 35x1,5</t>
  </si>
  <si>
    <t>Trubka měď 64x2,0</t>
  </si>
  <si>
    <t>Trubka měď 76,1x2,0</t>
  </si>
  <si>
    <t>Měděné tvarovky</t>
  </si>
  <si>
    <t>PE tep.izolace 15/10  (λmax=0,04W/m2K)</t>
  </si>
  <si>
    <t>PE tep.izolace 18/15  (λmax=0,04W/m2K)</t>
  </si>
  <si>
    <t>PE tep.izolace 22/15  (λmax=0,04W/m2K)</t>
  </si>
  <si>
    <t>PE tep.izolace 28/20  (λmax=0,04W/m2K)</t>
  </si>
  <si>
    <t>PE tep.izolace 35/20  (λmax=0,04W/m2K)</t>
  </si>
  <si>
    <t>PE tep.izolace 64/30  (λmax=0,04W/m2K)</t>
  </si>
  <si>
    <t>PE tep.izolace 76/30  (λmax=0,04W/m2K)</t>
  </si>
  <si>
    <r>
      <t>PE tepelná izolace 114/30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</si>
  <si>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t>7.</t>
  </si>
  <si>
    <t xml:space="preserve">OSTATNÍ ARMATURY A ZAŘÍZENÍ - TOPNÝ SYSTÉM </t>
  </si>
  <si>
    <t>Mezipřírubová uzavíratelná klapka DN100 PN6</t>
  </si>
  <si>
    <t>Elektronické ob.čerpadlo (Δp=36,3kPa, 1,63m3/h, DN32, PN6, 230V, 50Hz)</t>
  </si>
  <si>
    <t>Č3</t>
  </si>
  <si>
    <t>Elektronické ob.čerpadlo (Δp=41kPa, 4,8m3/h, DN50 PN6, 230V, 50Hz)</t>
  </si>
  <si>
    <t>Č4</t>
  </si>
  <si>
    <t>Teploměr 0-120°C včetně teploměrné jímky</t>
  </si>
  <si>
    <t>Termomanometr 0-120°C, 0-4bar</t>
  </si>
  <si>
    <t>TP</t>
  </si>
  <si>
    <t>Trojcestný směšovací ventil ESBE VRG131 (DN25, Kvs=6,3m3/h)</t>
  </si>
  <si>
    <t>TV3</t>
  </si>
  <si>
    <t>Pohon ESBE 95 (230V, 50Hz, 15Nm, 60s,  3-bod.regulace)</t>
  </si>
  <si>
    <t>k TV3</t>
  </si>
  <si>
    <t xml:space="preserve">montážní sada ESBE VRG801 pro ventily ESBE VRG </t>
  </si>
  <si>
    <t>Redukce, šroubení, pájecí materiál atd.</t>
  </si>
  <si>
    <t>OV</t>
  </si>
  <si>
    <t>Čidlo teploty teplé vody VR10</t>
  </si>
  <si>
    <t>SUMA MATERIÁL:</t>
  </si>
  <si>
    <t>8.</t>
  </si>
  <si>
    <t>MONTÁŽNÍ PRÁCE</t>
  </si>
  <si>
    <t>Montáž topného systému včetně přesunu stávajícího trubkového rozdělovače a sběrače a zásobníku TV, osazení otopných těles a instalace potrubí a tep.izolace a dopravy</t>
  </si>
  <si>
    <t>Provedení zkoušky těsnosti a provozních zkoušek topného systému</t>
  </si>
  <si>
    <t>nastavení a zaregulování armatur a zařízení topného systému</t>
  </si>
  <si>
    <t>montáž plyn.kotelny vč.odkouření a dopravy</t>
  </si>
  <si>
    <t>zkouška těsnosti a provozní zkoušky plyn.kotelny</t>
  </si>
  <si>
    <t>uvedení do provozu, zaškolení obsluhy, nastavení  regulace kaskády plyn.kotlů + ostatní práce v plynové kotelně</t>
  </si>
  <si>
    <t>SUMA MONTÁŽNÍ PRÁCE</t>
  </si>
  <si>
    <t>Cena celkem bez DPH</t>
  </si>
  <si>
    <t>SPECIFIKACE - elektromontáže</t>
  </si>
  <si>
    <t>specifikace je zpracována na základě rozsahu známých skutečností,</t>
  </si>
  <si>
    <t>uvedených v dokumentaci, ve specifikaci není uveden pomocný</t>
  </si>
  <si>
    <t>konstrukční materiál</t>
  </si>
  <si>
    <t>Výrobky zde uvedené jsou referenčními standardy, mohou být</t>
  </si>
  <si>
    <t>nahrazeny pouze výrobky s vlastnostmi stejnými nebo lepšími</t>
  </si>
  <si>
    <t>množství</t>
  </si>
  <si>
    <t>jedn.cena</t>
  </si>
  <si>
    <t>celkem</t>
  </si>
  <si>
    <t>Spínače, tlačítka, zásuvky</t>
  </si>
  <si>
    <t>spínač 01 pod omítku, IP 20, 230V, ABB SWING, bílý</t>
  </si>
  <si>
    <t>spínač 05 pod omítku, IP 20, 230V, ABB SWING, bílý</t>
  </si>
  <si>
    <t>spínač 06 pod omítku, IP 20, 230V, ABB SWING, bílý</t>
  </si>
  <si>
    <t>spínač 1/0 pod omítku, IP 20, 230V, ABB SWING, bílý</t>
  </si>
  <si>
    <t>zásuvka 230V, pod omítku, IP20, 230V, ABB SWING, bílá</t>
  </si>
  <si>
    <t>55,00</t>
  </si>
  <si>
    <t>zásuvka 230V, pod omítku, IP20, 230V, ABB SWING, bílá, vč. D</t>
  </si>
  <si>
    <t>9,00</t>
  </si>
  <si>
    <t>Vodiče, kabely</t>
  </si>
  <si>
    <r>
      <t>CYKY-O 3x1,5mm</t>
    </r>
    <r>
      <rPr>
        <vertAlign val="superscript"/>
        <sz val="9"/>
        <rFont val="Verdana"/>
        <family val="2"/>
        <charset val="238"/>
      </rPr>
      <t>2</t>
    </r>
  </si>
  <si>
    <r>
      <t>CYKY-J 3x1,5mm</t>
    </r>
    <r>
      <rPr>
        <vertAlign val="superscript"/>
        <sz val="9"/>
        <rFont val="Verdana"/>
        <family val="2"/>
        <charset val="238"/>
      </rPr>
      <t>2</t>
    </r>
  </si>
  <si>
    <r>
      <t>CYKY-J 3x2,5mm</t>
    </r>
    <r>
      <rPr>
        <vertAlign val="superscript"/>
        <sz val="9"/>
        <rFont val="Verdana"/>
        <family val="2"/>
        <charset val="238"/>
      </rPr>
      <t>2</t>
    </r>
  </si>
  <si>
    <r>
      <t>CYKY-J 5x2,5mm</t>
    </r>
    <r>
      <rPr>
        <vertAlign val="superscript"/>
        <sz val="9"/>
        <rFont val="Verdana"/>
        <family val="2"/>
        <charset val="238"/>
      </rPr>
      <t>2</t>
    </r>
  </si>
  <si>
    <r>
      <t>CYY 6mm</t>
    </r>
    <r>
      <rPr>
        <vertAlign val="superscript"/>
        <sz val="9"/>
        <rFont val="Verdana"/>
        <family val="2"/>
        <charset val="238"/>
      </rPr>
      <t>2</t>
    </r>
  </si>
  <si>
    <t>60,00</t>
  </si>
  <si>
    <t xml:space="preserve">Svítidla </t>
  </si>
  <si>
    <t>7651 LW19 65-840ET L225 01</t>
  </si>
  <si>
    <t>13,00</t>
  </si>
  <si>
    <t>7651 LW19 45-840ET L150 01</t>
  </si>
  <si>
    <t>7651 LW19 40-840ET L150 01</t>
  </si>
  <si>
    <t>18,00</t>
  </si>
  <si>
    <t>7651 LW19 20-840ET L75 01</t>
  </si>
  <si>
    <t>4,00</t>
  </si>
  <si>
    <t>7651 LAN 100-840ET L225 01</t>
  </si>
  <si>
    <t>6,00</t>
  </si>
  <si>
    <t>7651 LVW 60-840ET L225 01</t>
  </si>
  <si>
    <t>5,00</t>
  </si>
  <si>
    <t>7651 LVW 55-840ET L150 01</t>
  </si>
  <si>
    <t>2,00</t>
  </si>
  <si>
    <t>07650 L450 7LV 37 01</t>
  </si>
  <si>
    <t>17,00</t>
  </si>
  <si>
    <t>07650 L225 7LV E 37 01</t>
  </si>
  <si>
    <t>7,00</t>
  </si>
  <si>
    <t>07650 L150 7LV E 37 01</t>
  </si>
  <si>
    <t>12,00</t>
  </si>
  <si>
    <t>07650 L75 7LV E 37 01</t>
  </si>
  <si>
    <t>07650 Ks 01</t>
  </si>
  <si>
    <t>54,00</t>
  </si>
  <si>
    <t>A01DSXOE/1500</t>
  </si>
  <si>
    <t>102,00</t>
  </si>
  <si>
    <t>07650 BL L225 01</t>
  </si>
  <si>
    <t>07650 BL L75 01</t>
  </si>
  <si>
    <t>10,00</t>
  </si>
  <si>
    <t>07650 BL L37 01</t>
  </si>
  <si>
    <t>OleveonF 15 B 4000-840 ET</t>
  </si>
  <si>
    <t>1,00</t>
  </si>
  <si>
    <t>OleveonF 15 B 6000-840 ET</t>
  </si>
  <si>
    <t>Mondia G2 WD3 LED2800-840 ET</t>
  </si>
  <si>
    <t>TM-OR.M5ATM1O0N0WTEC R M5 105 M AT W</t>
  </si>
  <si>
    <t>TM-OR.C2ATM10O0nWtec R C2 105 M AT W</t>
  </si>
  <si>
    <t>TM-OE.EP.AT001TM ONTEC E E1P 101 M AT W</t>
  </si>
  <si>
    <t>8,00</t>
  </si>
  <si>
    <t>recyklace sk.4</t>
  </si>
  <si>
    <t>recyklace sk.5</t>
  </si>
  <si>
    <t>Rozvaděče:</t>
  </si>
  <si>
    <t>rozváděč RS51 vč. úpravy návrhu zařízení 2011</t>
  </si>
  <si>
    <t>Ostatní materiál</t>
  </si>
  <si>
    <t>SVORKOVNICE KABICOVÁ 3x1-2,5mm2</t>
  </si>
  <si>
    <t>EKVIPOTENCIONÁLNÍ SVORKOVNICE s krytem</t>
  </si>
  <si>
    <t>DETEKTOR ZEMNÍHO PLYNU S DVOUST. SIGNALIZACÍ - ústř.</t>
  </si>
  <si>
    <t>DETEKTOR ZVÝŠENÉ TEPLOTY PRO KOTELNY pro ústřednu</t>
  </si>
  <si>
    <t>HOUKAČKA pro ústřednu</t>
  </si>
  <si>
    <t>Ochrana před bleskem</t>
  </si>
  <si>
    <t>OCELOVÝ DRÁT POZINKOVANÝ</t>
  </si>
  <si>
    <t>FeZn-D8 (0,4kg/m), pevně</t>
  </si>
  <si>
    <t>OCELOVÝ PÁSEK POZINKOVANÝ</t>
  </si>
  <si>
    <t>FeZn30x4 (0,95 kg/m), pevně</t>
  </si>
  <si>
    <t>JÍMACÍ TYČ</t>
  </si>
  <si>
    <t>JR3,0 3m</t>
  </si>
  <si>
    <t xml:space="preserve">DRŽÁK JÍMACÍ TYČE </t>
  </si>
  <si>
    <t>DJD D20mm,na dřev.konstr.</t>
  </si>
  <si>
    <t xml:space="preserve">PODPĚRA VEDENÍ </t>
  </si>
  <si>
    <t>PV15a na hřebenáče</t>
  </si>
  <si>
    <t>PV21c na ploch.střechy-plastová</t>
  </si>
  <si>
    <t>PV22a pod tašky, šindele i eternit</t>
  </si>
  <si>
    <t>SVORKA HROMOSVODNÍ,UZEMŇOVACÍ</t>
  </si>
  <si>
    <t>SJ1 k jímací tyči,D=20</t>
  </si>
  <si>
    <t>SU univerzální</t>
  </si>
  <si>
    <t>SR 3b spoj pásek-drát</t>
  </si>
  <si>
    <t>SZa zkušební</t>
  </si>
  <si>
    <t>ST na okap D80-120</t>
  </si>
  <si>
    <t>ZEMNIČE FeZn</t>
  </si>
  <si>
    <t>ZT 1,5 tyč 1500x26mm</t>
  </si>
  <si>
    <t>OCHRANNÝ ÚHELNÍK A DRŽÁK</t>
  </si>
  <si>
    <t>OU1,7 ochranný úhelník 1700mm</t>
  </si>
  <si>
    <t>DUZ držák úhel.do zdi</t>
  </si>
  <si>
    <t>Montáže zařízení k položkám 1-6</t>
  </si>
  <si>
    <t>HODINOVE ZUCTOVACI SAZBY a REVIZE ZAŘÍZENÍ</t>
  </si>
  <si>
    <t xml:space="preserve"> Napojeni na stavajici zarizeni</t>
  </si>
  <si>
    <t>PROVEDENI REVIZNICH ZKOUSEK</t>
  </si>
  <si>
    <t>DLE CSN 331500</t>
  </si>
  <si>
    <t xml:space="preserve"> Revizni technik</t>
  </si>
  <si>
    <t xml:space="preserve"> Spoluprace s reviz.technikem</t>
  </si>
  <si>
    <t>Podružný, drobný a spojovací materiál</t>
  </si>
  <si>
    <t>Elektromontáže - celkem</t>
  </si>
  <si>
    <t>Zemní práce ochrana před bleskem</t>
  </si>
  <si>
    <t>HLOUBENÍ KABELOVÉ RÝHY</t>
  </si>
  <si>
    <t xml:space="preserve"> Zemina třídy 3, šíře 300mm,hloubka 650mm</t>
  </si>
  <si>
    <t>ZÁHOZ KABELOVÉ RÝHY</t>
  </si>
  <si>
    <t xml:space="preserve"> Zemina třídy 3, šíře 300mm,hloubka 450mm</t>
  </si>
  <si>
    <t xml:space="preserve"> Zatravnění dotčené plochy-travní semeno-vysetí</t>
  </si>
  <si>
    <t>Elektromontáže vč.zemních prací - celkem</t>
  </si>
  <si>
    <t>GYMNÁZIUM HOSTIVICE - REKONSTRUKCE GYMNÁZIA II.ETAPA</t>
  </si>
  <si>
    <t>Kabelové trasy + ostatní</t>
  </si>
  <si>
    <t>Celkový počet</t>
  </si>
  <si>
    <t>Měrná jednotka</t>
  </si>
  <si>
    <t>Jednotková cena valuta</t>
  </si>
  <si>
    <t>Celková cena valuta</t>
  </si>
  <si>
    <t>Název pro nabídku</t>
  </si>
  <si>
    <t>trubka dvoupl. / UV stabilní</t>
  </si>
  <si>
    <t>KS</t>
  </si>
  <si>
    <t>zaklapávací lišta PVC</t>
  </si>
  <si>
    <t>oddělovací přepážka do parapetního kanálu</t>
  </si>
  <si>
    <t>žlab MERKUR 2 200/50 galv. zinek</t>
  </si>
  <si>
    <t>montážní materiál</t>
  </si>
  <si>
    <t>KPL</t>
  </si>
  <si>
    <t>montážní materiál - příslušenství k drátěnému žlabu</t>
  </si>
  <si>
    <t>montážní materiál - příslušenství parapetního kanálu</t>
  </si>
  <si>
    <t>parapetní kanál</t>
  </si>
  <si>
    <t>protipožární ucpávky vč. práce</t>
  </si>
  <si>
    <t>přístrojová krabice do parapetního kanálu</t>
  </si>
  <si>
    <t>podpěra vedení na ploché střechy</t>
  </si>
  <si>
    <t>Vrtací šablona</t>
  </si>
  <si>
    <t>elektrorevize</t>
  </si>
  <si>
    <t>instalace, zapojení a uzemn. rozvodných a zásuv. krabic, vodivé propojení kabel. žlabu</t>
  </si>
  <si>
    <t>lištování, montáž kabel. žlabu, průrazy, pokládání el. trubek a kabelů, dokončovací práce</t>
  </si>
  <si>
    <t>prac. projekt, dokumentace skutečného provedení, zaškolení</t>
  </si>
  <si>
    <t>režijí náklady na dopravu</t>
  </si>
  <si>
    <t>rozebrání, přemístění a zpětná montáž rozvaděče</t>
  </si>
  <si>
    <t>SSK</t>
  </si>
  <si>
    <t>maska nosná pro 2 moduly RJ45</t>
  </si>
  <si>
    <t>třmen se soklem</t>
  </si>
  <si>
    <t>racková UPS 2 200VA</t>
  </si>
  <si>
    <t>elektroinstalační trubka ohebná</t>
  </si>
  <si>
    <t>vázací panel High Density, 2U, 19", jednostranný</t>
  </si>
  <si>
    <t>kabel HDMI 5m</t>
  </si>
  <si>
    <t>kabel S/FTP, kat. 6A</t>
  </si>
  <si>
    <t>korungovaná chránička dvoupl.</t>
  </si>
  <si>
    <t>krabice do sádrokartonu hluboká</t>
  </si>
  <si>
    <t>krabice univerzální podlahová</t>
  </si>
  <si>
    <t>modul keystone cat.6A RJ45 stíněný</t>
  </si>
  <si>
    <t>patch kabel stíněný Cat6A 1m</t>
  </si>
  <si>
    <t>police perforovaná 1U / 280mm, max. nosnost 25kg</t>
  </si>
  <si>
    <t>rám podlahové krabice</t>
  </si>
  <si>
    <t>rámeček jednoduchý balený</t>
  </si>
  <si>
    <t>switch 24x 1000Base-T</t>
  </si>
  <si>
    <t>patch panel pro 24 modulů keystone, neosazený, 1U, černý</t>
  </si>
  <si>
    <t>Access Point WiFi</t>
  </si>
  <si>
    <t>víko krabice podlahové</t>
  </si>
  <si>
    <t>spojovací metalický kabel, 1m</t>
  </si>
  <si>
    <t>certifikace a měření - metalický kabel</t>
  </si>
  <si>
    <t>instalace a zapojení komponentů</t>
  </si>
  <si>
    <t>oživení a seřízení systému</t>
  </si>
  <si>
    <t>pokládání kabelů a chrániček, uzemnění rozvaděče RACK</t>
  </si>
  <si>
    <t>zapojení RJ konektorů do patch panelů, vyvazování kabelů, značení zásuvek</t>
  </si>
  <si>
    <t>Optika</t>
  </si>
  <si>
    <t>FO patch LC-SC 2m 9/125 duplex</t>
  </si>
  <si>
    <t>FO pigtail SC 9/125, 0,9mm, 1m LSOH ZWP</t>
  </si>
  <si>
    <t>kabel optický, Blown Cable, 24vl., 9/125, LFP, 3,2mm, Z238, CLT, KDP</t>
  </si>
  <si>
    <t>mikrotrubička 12/8mm, zodolněná - modrá</t>
  </si>
  <si>
    <t>ochrana sváru, zatavovací</t>
  </si>
  <si>
    <t>19" optický rozvaděč, 24xSC simplex, výsuvný, černý</t>
  </si>
  <si>
    <t>adaptor SC-SC simplex, MM</t>
  </si>
  <si>
    <t>Gigabitový modul, 20km, LC konektor miniGBIC (SFP)</t>
  </si>
  <si>
    <t>certifikované měření optického spoje a vypracování protokolu</t>
  </si>
  <si>
    <t>instalace patchpanelů do rozvaděčů, pokládání mikrotrubičky</t>
  </si>
  <si>
    <t>sváry vláken vč. přípravy před svařováním</t>
  </si>
  <si>
    <t>zafouknutí OK, vč. přípravy zafukovací soupravy a kompresoru, tlaková zkouška MT</t>
  </si>
  <si>
    <t>Jednotný čas</t>
  </si>
  <si>
    <t>kabel CYKY 2A x 2,5(O)</t>
  </si>
  <si>
    <t>patch kabel S-FTP cat6a 0,25m</t>
  </si>
  <si>
    <t>nástěnné hodiny 30cm</t>
  </si>
  <si>
    <t>instalace a zapojení hodin, pokládání kabelu</t>
  </si>
  <si>
    <t>Školní rozhlas</t>
  </si>
  <si>
    <t>reprosoustava na zavěšení - bílý plast</t>
  </si>
  <si>
    <t>instalace a zapojení reproduktorů, instalace krabic, pokládání kabelu</t>
  </si>
  <si>
    <t>úprava stávajícího zapojení, oživení systému</t>
  </si>
  <si>
    <t>Školní zvonek</t>
  </si>
  <si>
    <t>školní zvonek</t>
  </si>
  <si>
    <t>instalace a zapojení zvonku, pokládání kabelu</t>
  </si>
  <si>
    <t>ACS</t>
  </si>
  <si>
    <t>modul kontroly přístupu</t>
  </si>
  <si>
    <t>baterie olověná 12V 4,5Ah Geti</t>
  </si>
  <si>
    <t>nízkoodběrový elektrický zámek</t>
  </si>
  <si>
    <t>kryt ústředny</t>
  </si>
  <si>
    <t>kabel SYKFY 5x2x0,5</t>
  </si>
  <si>
    <t>bezkontaktní čtečka ID</t>
  </si>
  <si>
    <t>transformátor 16VAC/ 30VA</t>
  </si>
  <si>
    <t>pokládání kabelu</t>
  </si>
  <si>
    <t>úprava stávajícího zapojení, programování PTZS, konfigurace a oživení ACS</t>
  </si>
  <si>
    <t>DT domácí telefon</t>
  </si>
  <si>
    <t>domovní telefon komfortní pro systém 1083, 3 servisní tl.</t>
  </si>
  <si>
    <t>instalace a zapojení domovního telefonu, pokládání kabelu</t>
  </si>
  <si>
    <t>UTO - telefonní linky</t>
  </si>
  <si>
    <t>kabel SYKFY 25x2x0,5 con</t>
  </si>
  <si>
    <t>Panasonic KX-DT321CE černý telefonní přístroj</t>
  </si>
  <si>
    <t>patch panel 19", 50 portů, CAT3, 1U</t>
  </si>
  <si>
    <t>instalace a zapojení telefonního přístroje, pokládání kabelu</t>
  </si>
  <si>
    <t>ukončení kabelu v RJ konektorech v patch panelu</t>
  </si>
  <si>
    <t>úprava stávajícího zapojení, zprovoznění tel. přístroje, proměření vodičů</t>
  </si>
  <si>
    <t>CCTV</t>
  </si>
  <si>
    <t>statická vnitřní DOME kamera AXIS 2Mpix 3.4-8.9mm</t>
  </si>
  <si>
    <t>zadní montážní box statické kamery</t>
  </si>
  <si>
    <t>patch kabel S-FTP cat6a 1,5m</t>
  </si>
  <si>
    <t>instalace a zapojení IP kamer</t>
  </si>
  <si>
    <t>konfigurace IP kamer, implementace do stávajícího systému, oživení a nastavení</t>
  </si>
  <si>
    <t>Celkem bez DPH</t>
  </si>
  <si>
    <t>Celkem s DPH</t>
  </si>
  <si>
    <t>Gymnázium Hostivice - rekonstrukce gymnázia II. etapa</t>
  </si>
  <si>
    <t>Rozpočet KLIMATIZACE</t>
  </si>
  <si>
    <t>Zař./Poz.</t>
  </si>
  <si>
    <t>Ceník</t>
  </si>
  <si>
    <t>Položka</t>
  </si>
  <si>
    <t>Počet</t>
  </si>
  <si>
    <t>Cena j.m.</t>
  </si>
  <si>
    <t>Klimatizace učeben 4.NP</t>
  </si>
  <si>
    <t>Mitsubishi Electric</t>
  </si>
  <si>
    <t>Venkovní klimatizační jednotka PUHY-EP300YNW (chladící/topný výkon 33,5/37 kW)</t>
  </si>
  <si>
    <t>Vnitřní jednocestná kazetová jednotka PMFY-M20VBM-E (chlacící/topný výkon 2,2/2,5 kW)</t>
  </si>
  <si>
    <t>Vnitřní čtyřcestná kazetová klimatizační jednotka PLFY-M40VEM-E (chladící/topný výkon 4,5/5,0kW)</t>
  </si>
  <si>
    <t>Vnitřní čtyřcestná kazetová klimatizační jednotka PLFY-M50VEM-E (chladící/topný výkon 5,6/6,3kW)</t>
  </si>
  <si>
    <t>Vnitřní čtyřcestná kazetová klimatizační jednotka PLFY-M63VEM-E (chladící/topný výkon 7,1/8,0kW)</t>
  </si>
  <si>
    <t>Nástěnný kabelový ovladač PAR-41MAA</t>
  </si>
  <si>
    <t>Vedení chladiva R 410 A, tepelná izolace, komunikační vedení</t>
  </si>
  <si>
    <t>bm</t>
  </si>
  <si>
    <t>Chladivo R410A - doplnění</t>
  </si>
  <si>
    <t>Stojanová konzole pod venkovní jednotku s nastavitelnými nohami</t>
  </si>
  <si>
    <t>Spojovací a montážní materiál</t>
  </si>
  <si>
    <t>CELKEM</t>
  </si>
  <si>
    <t>Centrální ovladač klimatizace a VZT jednotek</t>
  </si>
  <si>
    <t>Centrální řídící jednotka  EW-50E včetně zdroje software: web monitor, plánovač,hlášení poruch mailem</t>
  </si>
  <si>
    <t xml:space="preserve">komunikační kabel JYTY 2x1 </t>
  </si>
  <si>
    <t xml:space="preserve">Programování systému, zprovoznění </t>
  </si>
  <si>
    <t>Chlazení serverovny</t>
  </si>
  <si>
    <t>Venkovní klimatizační jednotka MUY-TP50VF (chladící výkon 3,5 kW)</t>
  </si>
  <si>
    <t>Vnitřní jnástěnná klimatizační jednotka MSY-TP50VF</t>
  </si>
  <si>
    <t>Interface MAC-334 IF-E - napojení kabelového ovladače napojení na cetrální ovladač</t>
  </si>
  <si>
    <t>Cenová rekapitulace:</t>
  </si>
  <si>
    <t>Jeřábnické práce</t>
  </si>
  <si>
    <t xml:space="preserve">Doprava </t>
  </si>
  <si>
    <t xml:space="preserve">Cena celkem bez DPH </t>
  </si>
  <si>
    <t xml:space="preserve">V ceně není zahrnuto: </t>
  </si>
  <si>
    <t>přívod el. proudu ke klimatrizačním jednotkám</t>
  </si>
  <si>
    <t>potrubí odvodu kondnezátu od vnitřních klimatizačních jednotek</t>
  </si>
  <si>
    <t>sifóny se zápachovou uzávěrou pro napojení potrubí odvodu kondnezátu do kanalizace</t>
  </si>
  <si>
    <t>uchycení ocelové konstrukce pod klimatizační jednotky ke střeše</t>
  </si>
  <si>
    <t>pol.</t>
  </si>
  <si>
    <t>název položky</t>
  </si>
  <si>
    <r>
      <rPr>
        <sz val="10"/>
        <rFont val="Times New Roman CE"/>
        <family val="1"/>
        <charset val="238"/>
      </rPr>
      <t>ks/ bm/ m</t>
    </r>
    <r>
      <rPr>
        <vertAlign val="superscript"/>
        <sz val="10"/>
        <rFont val="Times New Roman CE"/>
        <family val="1"/>
        <charset val="238"/>
      </rPr>
      <t>2</t>
    </r>
  </si>
  <si>
    <t>cena za ks v Kč bez DPH</t>
  </si>
  <si>
    <t>DPH za ks v Kč</t>
  </si>
  <si>
    <t>cena za ks v Kč včetně DPH</t>
  </si>
  <si>
    <t>cena za pol. celkem v Kč bez DPH</t>
  </si>
  <si>
    <t>DPH za polož. celkem</t>
  </si>
  <si>
    <t>cena za položku celkem včetně DPH</t>
  </si>
  <si>
    <t>Dodávka nábytku</t>
  </si>
  <si>
    <t>1.1.</t>
  </si>
  <si>
    <r>
      <rPr>
        <b/>
        <sz val="10"/>
        <rFont val="Times New Roman CE"/>
        <family val="1"/>
        <charset val="238"/>
      </rPr>
      <t>žákovské laboratorní pracoviště oboustranné s nástavbou</t>
    </r>
    <r>
      <rPr>
        <sz val="10"/>
        <rFont val="Times New Roman CE"/>
        <family val="1"/>
        <charset val="238"/>
      </rPr>
      <t xml:space="preserve"> - rozměr 420x125x90cm, rozměr nástavby 150x30x50 cm, kovová konstrukce z ocelových jäklových profilů s povrchovou úpravou žárový komaxit v barvě RAL s rektifikač.šrouby a ukotvením do podlahy, pracovní deska z vysokotlakého HPL laminátu, skříňky, okopy a police z LTD tl.18 mm s ABS hranou - </t>
    </r>
    <r>
      <rPr>
        <b/>
        <sz val="10"/>
        <rFont val="Times New Roman CE"/>
        <family val="1"/>
        <charset val="238"/>
      </rPr>
      <t>2ks LS 02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family val="1"/>
        <charset val="238"/>
      </rPr>
      <t xml:space="preserve">dřezová uzamykatelná </t>
    </r>
    <r>
      <rPr>
        <sz val="10"/>
        <rFont val="Times New Roman CE"/>
        <family val="1"/>
        <charset val="238"/>
      </rPr>
      <t xml:space="preserve">skříňka šíře 60 cm se sklolaminátovým bílým dřezem vč.vodovodní baterie a 2 ks plynových ventilů, </t>
    </r>
    <r>
      <rPr>
        <b/>
        <sz val="10"/>
        <rFont val="Times New Roman CE"/>
        <family val="1"/>
        <charset val="238"/>
      </rPr>
      <t>8 ks LS 04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family val="1"/>
        <charset val="238"/>
      </rPr>
      <t>policovýc</t>
    </r>
    <r>
      <rPr>
        <sz val="10"/>
        <rFont val="Times New Roman CE"/>
        <family val="1"/>
        <charset val="238"/>
      </rPr>
      <t xml:space="preserve">h </t>
    </r>
    <r>
      <rPr>
        <b/>
        <sz val="10"/>
        <rFont val="Times New Roman CE"/>
        <family val="1"/>
        <charset val="238"/>
      </rPr>
      <t>uzamykatelných</t>
    </r>
    <r>
      <rPr>
        <sz val="10"/>
        <rFont val="Times New Roman CE"/>
        <family val="1"/>
        <charset val="238"/>
      </rPr>
      <t xml:space="preserve"> skříněk šíře 60 cm, </t>
    </r>
    <r>
      <rPr>
        <b/>
        <sz val="10"/>
        <rFont val="Times New Roman CE"/>
        <family val="1"/>
        <charset val="238"/>
      </rPr>
      <t>4 ks LS 03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family val="1"/>
        <charset val="238"/>
      </rPr>
      <t xml:space="preserve">skříněk čtyřšuplíkových s centrálním zámkem </t>
    </r>
    <r>
      <rPr>
        <sz val="10"/>
        <rFont val="Times New Roman CE"/>
        <family val="1"/>
        <charset val="238"/>
      </rPr>
      <t xml:space="preserve">šíře 60 cm , </t>
    </r>
    <r>
      <rPr>
        <b/>
        <sz val="10"/>
        <rFont val="Times New Roman CE"/>
        <family val="1"/>
        <charset val="238"/>
      </rPr>
      <t>v nástavbách umístěno</t>
    </r>
    <r>
      <rPr>
        <sz val="10"/>
        <rFont val="Times New Roman CE"/>
        <family val="1"/>
        <charset val="238"/>
      </rPr>
      <t xml:space="preserve"> - 8 ks zásuvek pro 230V</t>
    </r>
  </si>
  <si>
    <t>1.2.</t>
  </si>
  <si>
    <r>
      <rPr>
        <b/>
        <sz val="10"/>
        <rFont val="Times New Roman CE"/>
        <family val="1"/>
        <charset val="238"/>
      </rPr>
      <t xml:space="preserve">jednostranná laboratorní digestoř – </t>
    </r>
    <r>
      <rPr>
        <sz val="10"/>
        <rFont val="Times New Roman CE"/>
        <family val="1"/>
        <charset val="238"/>
      </rPr>
      <t>rozměr š125xh cca70xv220 cm, konstrukce ze sendvičového skeletu a panely z polyethylenu a hliníku, pracovní plocha kyselinovzdorná keramická dlažba 15 x 15 cm, bílé barvy a kyselinovzdorná spárovací hmota, skříňka pod digestoří s posuvnými dveřmi, čelní vertikálně posuvné okno s bezpečnostní výplní Connex, manuální ovládání zdvihu okna pomocí protizávaží, vybavení – 1x zásuvka 230 V  (zvenku), 1x plynový ventil, 2x světelná trubice v protiprašném krytu oddělené od vnitřního prostoru bezpečnostním sklem Connex, tl. 6 mm, odtah - ventilátor plastový 160mm, včetně regulace otáček, příprava na odtah ven z místnosti průměr 250 mm</t>
    </r>
  </si>
  <si>
    <t>Dodávka nábytku celkem</t>
  </si>
  <si>
    <t>2.1.</t>
  </si>
  <si>
    <t>roznos, ustavení  a montáž</t>
  </si>
  <si>
    <t>2.2.</t>
  </si>
  <si>
    <t>doprava</t>
  </si>
  <si>
    <t>2.3.</t>
  </si>
  <si>
    <t xml:space="preserve">přípravné práce voda, elektro, plyn </t>
  </si>
  <si>
    <t>2.4.</t>
  </si>
  <si>
    <t>dopojení medií k pracovním stolům</t>
  </si>
  <si>
    <t xml:space="preserve">   Ostatní náklady celkem</t>
  </si>
  <si>
    <t xml:space="preserve">  Za zakázku celkem v Kč (bez DPH, DPH 21%, s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</si>
</sst>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0_ &quot;Kč&quot;"/>
    <numFmt numFmtId="169" formatCode="#,##0.00\ &quot;Kč&quot;"/>
    <numFmt numFmtId="170" formatCode="#,##0\ &quot;Kč&quot;"/>
  </numFmts>
  <fonts count="9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13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i/>
      <sz val="9"/>
      <name val="Verdana"/>
      <family val="2"/>
      <charset val="238"/>
    </font>
    <font>
      <b/>
      <i/>
      <sz val="9"/>
      <name val="Verdana"/>
      <family val="2"/>
      <charset val="238"/>
    </font>
    <font>
      <vertAlign val="superscript"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i/>
      <sz val="9"/>
      <color rgb="FF000000"/>
      <name val="Verdana"/>
      <family val="2"/>
      <charset val="238"/>
    </font>
    <font>
      <b/>
      <i/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3"/>
      <color rgb="FF000000"/>
      <name val="Verdana"/>
      <family val="2"/>
      <charset val="238"/>
    </font>
    <font>
      <sz val="17"/>
      <color rgb="FF000000"/>
      <name val="Verdana"/>
      <family val="2"/>
      <charset val="238"/>
    </font>
    <font>
      <sz val="14"/>
      <color rgb="FF00B0F0"/>
      <name val="Arial CE"/>
    </font>
    <font>
      <sz val="12"/>
      <color rgb="FF00B0F0"/>
      <name val="Arial CE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 CE"/>
      <family val="2"/>
      <charset val="238"/>
    </font>
    <font>
      <b/>
      <i/>
      <sz val="16"/>
      <name val="Times New Roman CE"/>
      <family val="1"/>
      <charset val="238"/>
    </font>
    <font>
      <sz val="10"/>
      <name val="Times New Roman CE"/>
      <family val="1"/>
      <charset val="238"/>
    </font>
    <font>
      <vertAlign val="superscript"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4"/>
        <bgColor indexed="31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</borders>
  <cellStyleXfs count="8">
    <xf numFmtId="0" fontId="0" fillId="0" borderId="0"/>
    <xf numFmtId="0" fontId="49" fillId="0" borderId="0" applyNumberFormat="0" applyFill="0" applyBorder="0" applyAlignment="0" applyProtection="0"/>
    <xf numFmtId="0" fontId="53" fillId="0" borderId="1"/>
    <xf numFmtId="0" fontId="64" fillId="0" borderId="1"/>
    <xf numFmtId="0" fontId="1" fillId="0" borderId="1"/>
    <xf numFmtId="0" fontId="73" fillId="0" borderId="1" applyNumberFormat="0" applyFont="0" applyFill="0" applyBorder="0" applyAlignment="0" applyProtection="0">
      <alignment vertical="top"/>
    </xf>
    <xf numFmtId="0" fontId="57" fillId="0" borderId="1"/>
    <xf numFmtId="0" fontId="51" fillId="0" borderId="1"/>
  </cellStyleXfs>
  <cellXfs count="6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55" fillId="0" borderId="1" xfId="2" applyFont="1" applyAlignment="1">
      <alignment vertical="center"/>
    </xf>
    <xf numFmtId="0" fontId="55" fillId="0" borderId="27" xfId="2" applyFont="1" applyBorder="1" applyAlignment="1">
      <alignment vertical="center"/>
    </xf>
    <xf numFmtId="49" fontId="55" fillId="0" borderId="1" xfId="2" applyNumberFormat="1" applyFont="1" applyAlignment="1">
      <alignment horizontal="left" vertical="center"/>
    </xf>
    <xf numFmtId="49" fontId="55" fillId="0" borderId="35" xfId="2" applyNumberFormat="1" applyFont="1" applyBorder="1" applyAlignment="1">
      <alignment horizontal="left" vertical="center"/>
    </xf>
    <xf numFmtId="49" fontId="55" fillId="0" borderId="36" xfId="2" applyNumberFormat="1" applyFont="1" applyBorder="1" applyAlignment="1">
      <alignment horizontal="left" vertical="center"/>
    </xf>
    <xf numFmtId="49" fontId="56" fillId="0" borderId="37" xfId="2" applyNumberFormat="1" applyFont="1" applyBorder="1" applyAlignment="1">
      <alignment horizontal="center" vertical="center"/>
    </xf>
    <xf numFmtId="0" fontId="55" fillId="0" borderId="41" xfId="2" applyFont="1" applyBorder="1" applyAlignment="1">
      <alignment vertical="center"/>
    </xf>
    <xf numFmtId="49" fontId="56" fillId="0" borderId="42" xfId="2" applyNumberFormat="1" applyFont="1" applyBorder="1" applyAlignment="1">
      <alignment horizontal="left" vertical="center"/>
    </xf>
    <xf numFmtId="49" fontId="56" fillId="0" borderId="43" xfId="2" applyNumberFormat="1" applyFont="1" applyBorder="1" applyAlignment="1">
      <alignment horizontal="left" vertical="center"/>
    </xf>
    <xf numFmtId="49" fontId="56" fillId="0" borderId="43" xfId="2" applyNumberFormat="1" applyFont="1" applyBorder="1" applyAlignment="1">
      <alignment horizontal="center" vertical="center"/>
    </xf>
    <xf numFmtId="49" fontId="56" fillId="0" borderId="44" xfId="2" applyNumberFormat="1" applyFont="1" applyBorder="1" applyAlignment="1">
      <alignment horizontal="right" vertical="center"/>
    </xf>
    <xf numFmtId="49" fontId="56" fillId="0" borderId="45" xfId="2" applyNumberFormat="1" applyFont="1" applyBorder="1" applyAlignment="1">
      <alignment horizontal="center" vertical="center"/>
    </xf>
    <xf numFmtId="49" fontId="56" fillId="0" borderId="46" xfId="2" applyNumberFormat="1" applyFont="1" applyBorder="1" applyAlignment="1">
      <alignment horizontal="center" vertical="center"/>
    </xf>
    <xf numFmtId="49" fontId="56" fillId="0" borderId="47" xfId="2" applyNumberFormat="1" applyFont="1" applyBorder="1" applyAlignment="1">
      <alignment horizontal="center" vertical="center"/>
    </xf>
    <xf numFmtId="49" fontId="56" fillId="5" borderId="1" xfId="2" applyNumberFormat="1" applyFont="1" applyFill="1" applyAlignment="1">
      <alignment horizontal="right" vertical="center"/>
    </xf>
    <xf numFmtId="49" fontId="55" fillId="5" borderId="1" xfId="2" applyNumberFormat="1" applyFont="1" applyFill="1" applyAlignment="1">
      <alignment horizontal="left" vertical="center"/>
    </xf>
    <xf numFmtId="49" fontId="56" fillId="5" borderId="1" xfId="2" applyNumberFormat="1" applyFont="1" applyFill="1" applyAlignment="1">
      <alignment horizontal="left" vertical="center"/>
    </xf>
    <xf numFmtId="49" fontId="56" fillId="5" borderId="1" xfId="2" applyNumberFormat="1" applyFont="1" applyFill="1" applyAlignment="1">
      <alignment vertical="center"/>
    </xf>
    <xf numFmtId="0" fontId="56" fillId="5" borderId="1" xfId="2" applyFont="1" applyFill="1" applyAlignment="1">
      <alignment vertical="center"/>
    </xf>
    <xf numFmtId="4" fontId="56" fillId="5" borderId="1" xfId="2" applyNumberFormat="1" applyFont="1" applyFill="1" applyAlignment="1">
      <alignment vertical="center"/>
    </xf>
    <xf numFmtId="4" fontId="56" fillId="5" borderId="1" xfId="2" applyNumberFormat="1" applyFont="1" applyFill="1" applyAlignment="1">
      <alignment horizontal="right" vertical="center"/>
    </xf>
    <xf numFmtId="49" fontId="55" fillId="0" borderId="1" xfId="2" applyNumberFormat="1" applyFont="1" applyAlignment="1">
      <alignment horizontal="center" vertical="center"/>
    </xf>
    <xf numFmtId="4" fontId="55" fillId="0" borderId="1" xfId="2" applyNumberFormat="1" applyFont="1" applyAlignment="1">
      <alignment horizontal="right" vertical="center"/>
    </xf>
    <xf numFmtId="49" fontId="55" fillId="0" borderId="1" xfId="2" applyNumberFormat="1" applyFont="1" applyAlignment="1">
      <alignment horizontal="right" vertical="center"/>
    </xf>
    <xf numFmtId="0" fontId="57" fillId="0" borderId="1" xfId="2" applyFont="1"/>
    <xf numFmtId="0" fontId="53" fillId="0" borderId="1" xfId="2" applyAlignment="1">
      <alignment wrapText="1"/>
    </xf>
    <xf numFmtId="0" fontId="53" fillId="0" borderId="1" xfId="2" applyAlignment="1">
      <alignment horizontal="center"/>
    </xf>
    <xf numFmtId="0" fontId="58" fillId="0" borderId="1" xfId="2" applyFont="1" applyAlignment="1">
      <alignment wrapText="1"/>
    </xf>
    <xf numFmtId="0" fontId="59" fillId="0" borderId="1" xfId="2" applyFont="1"/>
    <xf numFmtId="0" fontId="57" fillId="0" borderId="1" xfId="2" applyFont="1" applyAlignment="1">
      <alignment wrapText="1"/>
    </xf>
    <xf numFmtId="0" fontId="60" fillId="0" borderId="1" xfId="2" applyFont="1" applyAlignment="1">
      <alignment wrapText="1"/>
    </xf>
    <xf numFmtId="0" fontId="61" fillId="0" borderId="1" xfId="2" applyFont="1"/>
    <xf numFmtId="0" fontId="62" fillId="0" borderId="1" xfId="2" applyFont="1" applyAlignment="1">
      <alignment wrapText="1"/>
    </xf>
    <xf numFmtId="4" fontId="57" fillId="0" borderId="1" xfId="2" applyNumberFormat="1" applyFont="1"/>
    <xf numFmtId="0" fontId="57" fillId="0" borderId="1" xfId="2" applyFont="1" applyAlignment="1">
      <alignment horizontal="left"/>
    </xf>
    <xf numFmtId="0" fontId="53" fillId="0" borderId="1" xfId="2"/>
    <xf numFmtId="0" fontId="55" fillId="0" borderId="1" xfId="2" applyFont="1" applyAlignment="1">
      <alignment horizontal="center" vertical="center"/>
    </xf>
    <xf numFmtId="0" fontId="53" fillId="0" borderId="1" xfId="2" applyAlignment="1">
      <alignment horizontal="right"/>
    </xf>
    <xf numFmtId="0" fontId="55" fillId="6" borderId="1" xfId="2" applyFont="1" applyFill="1" applyAlignment="1">
      <alignment vertical="center"/>
    </xf>
    <xf numFmtId="49" fontId="63" fillId="0" borderId="48" xfId="2" applyNumberFormat="1" applyFont="1" applyBorder="1" applyAlignment="1">
      <alignment horizontal="left" vertical="center" wrapText="1"/>
    </xf>
    <xf numFmtId="0" fontId="63" fillId="0" borderId="48" xfId="2" applyFont="1" applyBorder="1" applyAlignment="1">
      <alignment horizontal="left" vertical="center" wrapText="1"/>
    </xf>
    <xf numFmtId="0" fontId="53" fillId="0" borderId="1" xfId="2" applyAlignment="1">
      <alignment horizontal="left"/>
    </xf>
    <xf numFmtId="2" fontId="53" fillId="0" borderId="1" xfId="2" applyNumberFormat="1"/>
    <xf numFmtId="49" fontId="63" fillId="0" borderId="1" xfId="2" applyNumberFormat="1" applyFont="1" applyAlignment="1">
      <alignment horizontal="left" vertical="center" wrapText="1"/>
    </xf>
    <xf numFmtId="0" fontId="63" fillId="0" borderId="1" xfId="2" applyFont="1" applyAlignment="1">
      <alignment horizontal="left" vertical="center" wrapText="1"/>
    </xf>
    <xf numFmtId="0" fontId="55" fillId="0" borderId="25" xfId="2" applyFont="1" applyBorder="1" applyAlignment="1">
      <alignment vertical="center"/>
    </xf>
    <xf numFmtId="4" fontId="56" fillId="0" borderId="25" xfId="2" applyNumberFormat="1" applyFont="1" applyBorder="1" applyAlignment="1">
      <alignment horizontal="right" vertical="center"/>
    </xf>
    <xf numFmtId="4" fontId="56" fillId="0" borderId="1" xfId="2" applyNumberFormat="1" applyFont="1" applyAlignment="1">
      <alignment horizontal="right" vertical="center"/>
    </xf>
    <xf numFmtId="0" fontId="64" fillId="0" borderId="1" xfId="3" applyAlignment="1">
      <alignment horizontal="left"/>
    </xf>
    <xf numFmtId="0" fontId="64" fillId="0" borderId="1" xfId="3"/>
    <xf numFmtId="4" fontId="64" fillId="0" borderId="1" xfId="3" applyNumberFormat="1"/>
    <xf numFmtId="0" fontId="52" fillId="7" borderId="1" xfId="3" applyFont="1" applyFill="1" applyAlignment="1">
      <alignment horizontal="left"/>
    </xf>
    <xf numFmtId="0" fontId="64" fillId="7" borderId="1" xfId="3" applyFill="1"/>
    <xf numFmtId="4" fontId="64" fillId="7" borderId="1" xfId="3" applyNumberFormat="1" applyFill="1"/>
    <xf numFmtId="4" fontId="52" fillId="7" borderId="1" xfId="3" applyNumberFormat="1" applyFont="1" applyFill="1"/>
    <xf numFmtId="0" fontId="52" fillId="0" borderId="1" xfId="3" applyFont="1"/>
    <xf numFmtId="4" fontId="52" fillId="0" borderId="1" xfId="3" applyNumberFormat="1" applyFont="1"/>
    <xf numFmtId="0" fontId="52" fillId="0" borderId="1" xfId="3" applyFont="1" applyAlignment="1">
      <alignment horizontal="left"/>
    </xf>
    <xf numFmtId="0" fontId="65" fillId="0" borderId="1" xfId="4" applyFont="1" applyAlignment="1">
      <alignment horizontal="right" vertical="top"/>
    </xf>
    <xf numFmtId="0" fontId="65" fillId="0" borderId="1" xfId="4" applyFont="1" applyAlignment="1">
      <alignment horizontal="left" vertical="top"/>
    </xf>
    <xf numFmtId="0" fontId="66" fillId="0" borderId="1" xfId="4" applyFont="1" applyAlignment="1">
      <alignment vertical="top"/>
    </xf>
    <xf numFmtId="0" fontId="67" fillId="0" borderId="1" xfId="4" applyFont="1" applyAlignment="1">
      <alignment vertical="top"/>
    </xf>
    <xf numFmtId="0" fontId="65" fillId="0" borderId="1" xfId="4" applyFont="1" applyAlignment="1">
      <alignment vertical="top"/>
    </xf>
    <xf numFmtId="168" fontId="65" fillId="0" borderId="1" xfId="4" applyNumberFormat="1" applyFont="1" applyAlignment="1">
      <alignment vertical="top"/>
    </xf>
    <xf numFmtId="0" fontId="66" fillId="0" borderId="1" xfId="4" applyFont="1" applyAlignment="1">
      <alignment horizontal="right" vertical="top"/>
    </xf>
    <xf numFmtId="0" fontId="67" fillId="0" borderId="50" xfId="4" applyFont="1" applyBorder="1" applyAlignment="1">
      <alignment vertical="top"/>
    </xf>
    <xf numFmtId="0" fontId="67" fillId="0" borderId="50" xfId="4" applyFont="1" applyBorder="1" applyAlignment="1">
      <alignment horizontal="right" vertical="top" wrapText="1"/>
    </xf>
    <xf numFmtId="0" fontId="67" fillId="0" borderId="50" xfId="4" applyFont="1" applyBorder="1" applyAlignment="1">
      <alignment vertical="top" wrapText="1"/>
    </xf>
    <xf numFmtId="0" fontId="67" fillId="0" borderId="51" xfId="4" applyFont="1" applyBorder="1" applyAlignment="1">
      <alignment vertical="top"/>
    </xf>
    <xf numFmtId="168" fontId="67" fillId="0" borderId="50" xfId="4" applyNumberFormat="1" applyFont="1" applyBorder="1" applyAlignment="1">
      <alignment vertical="top" wrapText="1"/>
    </xf>
    <xf numFmtId="168" fontId="67" fillId="0" borderId="51" xfId="4" applyNumberFormat="1" applyFont="1" applyBorder="1" applyAlignment="1">
      <alignment vertical="top" wrapText="1"/>
    </xf>
    <xf numFmtId="0" fontId="68" fillId="0" borderId="1" xfId="4" applyFont="1" applyAlignment="1">
      <alignment vertical="top"/>
    </xf>
    <xf numFmtId="0" fontId="68" fillId="0" borderId="1" xfId="4" applyFont="1" applyAlignment="1">
      <alignment horizontal="right" vertical="top"/>
    </xf>
    <xf numFmtId="168" fontId="68" fillId="0" borderId="1" xfId="4" applyNumberFormat="1" applyFont="1" applyAlignment="1">
      <alignment vertical="top"/>
    </xf>
    <xf numFmtId="0" fontId="67" fillId="0" borderId="1" xfId="4" applyFont="1" applyAlignment="1">
      <alignment horizontal="left" vertical="top"/>
    </xf>
    <xf numFmtId="168" fontId="65" fillId="0" borderId="1" xfId="4" applyNumberFormat="1" applyFont="1" applyAlignment="1">
      <alignment horizontal="left" vertical="top"/>
    </xf>
    <xf numFmtId="0" fontId="65" fillId="0" borderId="1" xfId="4" applyFont="1" applyAlignment="1">
      <alignment horizontal="right" vertical="top" wrapText="1"/>
    </xf>
    <xf numFmtId="0" fontId="65" fillId="0" borderId="1" xfId="4" applyFont="1" applyAlignment="1">
      <alignment horizontal="left" vertical="top" wrapText="1"/>
    </xf>
    <xf numFmtId="168" fontId="65" fillId="0" borderId="1" xfId="4" applyNumberFormat="1" applyFont="1" applyAlignment="1" applyProtection="1">
      <alignment vertical="top" wrapText="1"/>
      <protection locked="0"/>
    </xf>
    <xf numFmtId="168" fontId="65" fillId="0" borderId="1" xfId="4" applyNumberFormat="1" applyFont="1" applyAlignment="1">
      <alignment vertical="top" wrapText="1"/>
    </xf>
    <xf numFmtId="0" fontId="65" fillId="0" borderId="1" xfId="4" applyFont="1" applyAlignment="1">
      <alignment vertical="top" wrapText="1"/>
    </xf>
    <xf numFmtId="0" fontId="69" fillId="0" borderId="1" xfId="4" applyFont="1" applyAlignment="1">
      <alignment horizontal="right" vertical="top"/>
    </xf>
    <xf numFmtId="0" fontId="69" fillId="0" borderId="1" xfId="4" applyFont="1" applyAlignment="1">
      <alignment horizontal="left" vertical="top"/>
    </xf>
    <xf numFmtId="0" fontId="69" fillId="0" borderId="1" xfId="4" applyFont="1" applyAlignment="1">
      <alignment vertical="top" wrapText="1"/>
    </xf>
    <xf numFmtId="0" fontId="69" fillId="0" borderId="1" xfId="4" applyFont="1" applyAlignment="1">
      <alignment vertical="top"/>
    </xf>
    <xf numFmtId="168" fontId="69" fillId="0" borderId="1" xfId="4" applyNumberFormat="1" applyFont="1" applyAlignment="1">
      <alignment vertical="top"/>
    </xf>
    <xf numFmtId="0" fontId="67" fillId="0" borderId="1" xfId="4" applyFont="1" applyAlignment="1">
      <alignment horizontal="right" vertical="top"/>
    </xf>
    <xf numFmtId="168" fontId="67" fillId="0" borderId="1" xfId="4" applyNumberFormat="1" applyFont="1" applyAlignment="1">
      <alignment horizontal="left" vertical="top"/>
    </xf>
    <xf numFmtId="168" fontId="67" fillId="0" borderId="1" xfId="4" applyNumberFormat="1" applyFont="1" applyAlignment="1">
      <alignment vertical="top"/>
    </xf>
    <xf numFmtId="0" fontId="66" fillId="0" borderId="1" xfId="4" applyFont="1" applyAlignment="1">
      <alignment horizontal="left" vertical="top" wrapText="1"/>
    </xf>
    <xf numFmtId="0" fontId="66" fillId="0" borderId="1" xfId="4" applyFont="1" applyAlignment="1">
      <alignment horizontal="right" vertical="top" wrapText="1"/>
    </xf>
    <xf numFmtId="168" fontId="66" fillId="0" borderId="1" xfId="4" applyNumberFormat="1" applyFont="1" applyAlignment="1">
      <alignment vertical="top" wrapText="1"/>
    </xf>
    <xf numFmtId="0" fontId="66" fillId="0" borderId="1" xfId="4" applyFont="1" applyAlignment="1">
      <alignment vertical="top" wrapText="1"/>
    </xf>
    <xf numFmtId="0" fontId="66" fillId="0" borderId="1" xfId="4" applyFont="1" applyAlignment="1">
      <alignment horizontal="left" vertical="top"/>
    </xf>
    <xf numFmtId="168" fontId="66" fillId="0" borderId="1" xfId="4" applyNumberFormat="1" applyFont="1" applyAlignment="1">
      <alignment horizontal="left" vertical="top"/>
    </xf>
    <xf numFmtId="168" fontId="66" fillId="0" borderId="1" xfId="4" applyNumberFormat="1" applyFont="1" applyAlignment="1">
      <alignment vertical="top"/>
    </xf>
    <xf numFmtId="168" fontId="65" fillId="0" borderId="1" xfId="4" applyNumberFormat="1" applyFont="1" applyAlignment="1">
      <alignment horizontal="left" vertical="top" wrapText="1"/>
    </xf>
    <xf numFmtId="0" fontId="67" fillId="0" borderId="1" xfId="4" applyFont="1" applyAlignment="1">
      <alignment vertical="top" wrapText="1"/>
    </xf>
    <xf numFmtId="168" fontId="66" fillId="0" borderId="1" xfId="4" applyNumberFormat="1" applyFont="1" applyAlignment="1">
      <alignment horizontal="left" vertical="top" wrapText="1"/>
    </xf>
    <xf numFmtId="168" fontId="72" fillId="0" borderId="1" xfId="4" applyNumberFormat="1" applyFont="1" applyAlignment="1">
      <alignment vertical="top"/>
    </xf>
    <xf numFmtId="168" fontId="66" fillId="0" borderId="1" xfId="4" applyNumberFormat="1" applyFont="1" applyAlignment="1" applyProtection="1">
      <alignment vertical="top"/>
      <protection locked="0"/>
    </xf>
    <xf numFmtId="0" fontId="72" fillId="0" borderId="1" xfId="4" applyFont="1" applyAlignment="1">
      <alignment vertical="top"/>
    </xf>
    <xf numFmtId="0" fontId="72" fillId="0" borderId="1" xfId="4" applyFont="1" applyAlignment="1">
      <alignment horizontal="right" vertical="top"/>
    </xf>
    <xf numFmtId="169" fontId="72" fillId="0" borderId="1" xfId="4" applyNumberFormat="1" applyFont="1" applyAlignment="1">
      <alignment vertical="top"/>
    </xf>
    <xf numFmtId="0" fontId="74" fillId="0" borderId="1" xfId="5" applyNumberFormat="1" applyFont="1" applyFill="1" applyBorder="1" applyAlignment="1" applyProtection="1">
      <alignment vertical="top"/>
    </xf>
    <xf numFmtId="0" fontId="75" fillId="0" borderId="1" xfId="5" applyNumberFormat="1" applyFont="1" applyFill="1" applyBorder="1" applyAlignment="1" applyProtection="1">
      <alignment vertical="top"/>
    </xf>
    <xf numFmtId="4" fontId="75" fillId="0" borderId="1" xfId="5" applyNumberFormat="1" applyFont="1" applyFill="1" applyBorder="1" applyAlignment="1" applyProtection="1">
      <alignment vertical="top"/>
    </xf>
    <xf numFmtId="0" fontId="76" fillId="0" borderId="1" xfId="5" applyNumberFormat="1" applyFont="1" applyFill="1" applyBorder="1" applyAlignment="1" applyProtection="1">
      <alignment vertical="top"/>
    </xf>
    <xf numFmtId="0" fontId="75" fillId="0" borderId="49" xfId="5" applyNumberFormat="1" applyFont="1" applyFill="1" applyBorder="1" applyAlignment="1" applyProtection="1">
      <alignment vertical="top"/>
    </xf>
    <xf numFmtId="0" fontId="75" fillId="0" borderId="50" xfId="5" applyNumberFormat="1" applyFont="1" applyFill="1" applyBorder="1" applyAlignment="1" applyProtection="1">
      <alignment vertical="top"/>
    </xf>
    <xf numFmtId="4" fontId="75" fillId="0" borderId="50" xfId="5" applyNumberFormat="1" applyFont="1" applyFill="1" applyBorder="1" applyAlignment="1" applyProtection="1">
      <alignment horizontal="left" vertical="top" indent="1"/>
    </xf>
    <xf numFmtId="4" fontId="75" fillId="0" borderId="51" xfId="5" applyNumberFormat="1" applyFont="1" applyFill="1" applyBorder="1" applyAlignment="1" applyProtection="1">
      <alignment horizontal="right" vertical="top" indent="1"/>
    </xf>
    <xf numFmtId="0" fontId="77" fillId="7" borderId="24" xfId="5" applyNumberFormat="1" applyFont="1" applyFill="1" applyBorder="1" applyAlignment="1" applyProtection="1">
      <alignment vertical="top"/>
    </xf>
    <xf numFmtId="0" fontId="75" fillId="7" borderId="25" xfId="5" applyNumberFormat="1" applyFont="1" applyFill="1" applyBorder="1" applyAlignment="1" applyProtection="1">
      <alignment horizontal="left" indent="15"/>
    </xf>
    <xf numFmtId="0" fontId="75" fillId="7" borderId="25" xfId="5" applyNumberFormat="1" applyFont="1" applyFill="1" applyBorder="1" applyAlignment="1" applyProtection="1">
      <alignment horizontal="left"/>
    </xf>
    <xf numFmtId="4" fontId="75" fillId="7" borderId="25" xfId="5" applyNumberFormat="1" applyFont="1" applyFill="1" applyBorder="1" applyAlignment="1" applyProtection="1">
      <alignment horizontal="center" vertical="top"/>
    </xf>
    <xf numFmtId="4" fontId="75" fillId="7" borderId="25" xfId="5" applyNumberFormat="1" applyFont="1" applyFill="1" applyBorder="1" applyAlignment="1" applyProtection="1">
      <alignment vertical="top"/>
    </xf>
    <xf numFmtId="4" fontId="77" fillId="7" borderId="26" xfId="5" applyNumberFormat="1" applyFont="1" applyFill="1" applyBorder="1" applyAlignment="1" applyProtection="1">
      <alignment vertical="top"/>
    </xf>
    <xf numFmtId="0" fontId="75" fillId="0" borderId="27" xfId="5" applyNumberFormat="1" applyFont="1" applyFill="1" applyBorder="1" applyAlignment="1" applyProtection="1">
      <alignment vertical="top"/>
    </xf>
    <xf numFmtId="0" fontId="75" fillId="0" borderId="1" xfId="5" applyNumberFormat="1" applyFont="1" applyFill="1" applyBorder="1" applyAlignment="1" applyProtection="1">
      <alignment horizontal="left"/>
    </xf>
    <xf numFmtId="4" fontId="75" fillId="0" borderId="1" xfId="5" applyNumberFormat="1" applyFont="1" applyFill="1" applyBorder="1" applyAlignment="1" applyProtection="1">
      <alignment horizontal="center"/>
    </xf>
    <xf numFmtId="4" fontId="75" fillId="0" borderId="1" xfId="5" applyNumberFormat="1" applyFont="1" applyFill="1" applyBorder="1" applyAlignment="1" applyProtection="1">
      <alignment horizontal="right"/>
    </xf>
    <xf numFmtId="4" fontId="75" fillId="0" borderId="28" xfId="5" applyNumberFormat="1" applyFont="1" applyFill="1" applyBorder="1" applyAlignment="1" applyProtection="1">
      <alignment vertical="top"/>
    </xf>
    <xf numFmtId="0" fontId="75" fillId="0" borderId="30" xfId="5" applyNumberFormat="1" applyFont="1" applyFill="1" applyBorder="1" applyAlignment="1" applyProtection="1">
      <alignment vertical="top"/>
    </xf>
    <xf numFmtId="0" fontId="75" fillId="0" borderId="29" xfId="5" applyNumberFormat="1" applyFont="1" applyFill="1" applyBorder="1" applyAlignment="1" applyProtection="1">
      <alignment vertical="top"/>
    </xf>
    <xf numFmtId="0" fontId="75" fillId="0" borderId="29" xfId="5" applyNumberFormat="1" applyFont="1" applyFill="1" applyBorder="1" applyAlignment="1" applyProtection="1">
      <alignment horizontal="left"/>
    </xf>
    <xf numFmtId="4" fontId="75" fillId="0" borderId="29" xfId="5" applyNumberFormat="1" applyFont="1" applyFill="1" applyBorder="1" applyAlignment="1" applyProtection="1">
      <alignment horizontal="center"/>
    </xf>
    <xf numFmtId="4" fontId="75" fillId="0" borderId="29" xfId="5" applyNumberFormat="1" applyFont="1" applyFill="1" applyBorder="1" applyAlignment="1" applyProtection="1">
      <alignment horizontal="right"/>
    </xf>
    <xf numFmtId="4" fontId="75" fillId="0" borderId="31" xfId="5" applyNumberFormat="1" applyFont="1" applyFill="1" applyBorder="1" applyAlignment="1" applyProtection="1">
      <alignment vertical="top"/>
    </xf>
    <xf numFmtId="4" fontId="75" fillId="0" borderId="1" xfId="5" applyNumberFormat="1" applyFont="1" applyFill="1" applyBorder="1" applyAlignment="1" applyProtection="1">
      <alignment horizontal="center" vertical="top"/>
    </xf>
    <xf numFmtId="0" fontId="75" fillId="0" borderId="27" xfId="5" applyNumberFormat="1" applyFont="1" applyFill="1" applyBorder="1" applyAlignment="1" applyProtection="1">
      <alignment horizontal="left" vertical="top" wrapText="1"/>
    </xf>
    <xf numFmtId="0" fontId="75" fillId="0" borderId="1" xfId="5" applyNumberFormat="1" applyFont="1" applyFill="1" applyBorder="1" applyAlignment="1" applyProtection="1">
      <alignment horizontal="left" indent="15"/>
    </xf>
    <xf numFmtId="4" fontId="75" fillId="0" borderId="28" xfId="5" applyNumberFormat="1" applyFont="1" applyFill="1" applyBorder="1" applyAlignment="1" applyProtection="1">
      <alignment horizontal="right"/>
    </xf>
    <xf numFmtId="0" fontId="75" fillId="0" borderId="27" xfId="5" applyNumberFormat="1" applyFont="1" applyFill="1" applyBorder="1" applyAlignment="1" applyProtection="1">
      <alignment horizontal="left"/>
    </xf>
    <xf numFmtId="0" fontId="75" fillId="0" borderId="30" xfId="5" applyNumberFormat="1" applyFont="1" applyFill="1" applyBorder="1" applyAlignment="1" applyProtection="1">
      <alignment horizontal="left"/>
    </xf>
    <xf numFmtId="0" fontId="75" fillId="0" borderId="29" xfId="5" applyNumberFormat="1" applyFont="1" applyFill="1" applyBorder="1" applyAlignment="1" applyProtection="1">
      <alignment horizontal="left" indent="15"/>
    </xf>
    <xf numFmtId="4" fontId="75" fillId="0" borderId="31" xfId="5" applyNumberFormat="1" applyFont="1" applyFill="1" applyBorder="1" applyAlignment="1" applyProtection="1">
      <alignment horizontal="right"/>
    </xf>
    <xf numFmtId="0" fontId="75" fillId="0" borderId="1" xfId="5" applyNumberFormat="1" applyFont="1" applyFill="1" applyBorder="1" applyAlignment="1" applyProtection="1">
      <alignment horizontal="center"/>
    </xf>
    <xf numFmtId="0" fontId="77" fillId="7" borderId="24" xfId="5" applyNumberFormat="1" applyFont="1" applyFill="1" applyBorder="1" applyAlignment="1" applyProtection="1">
      <alignment horizontal="left"/>
    </xf>
    <xf numFmtId="0" fontId="75" fillId="7" borderId="25" xfId="5" applyNumberFormat="1" applyFont="1" applyFill="1" applyBorder="1" applyAlignment="1" applyProtection="1">
      <alignment horizontal="center"/>
    </xf>
    <xf numFmtId="4" fontId="75" fillId="7" borderId="25" xfId="5" applyNumberFormat="1" applyFont="1" applyFill="1" applyBorder="1" applyAlignment="1" applyProtection="1">
      <alignment horizontal="center"/>
    </xf>
    <xf numFmtId="4" fontId="75" fillId="7" borderId="25" xfId="5" applyNumberFormat="1" applyFont="1" applyFill="1" applyBorder="1" applyAlignment="1" applyProtection="1">
      <alignment horizontal="right"/>
    </xf>
    <xf numFmtId="0" fontId="75" fillId="0" borderId="1" xfId="5" applyNumberFormat="1" applyFont="1" applyFill="1" applyBorder="1" applyAlignment="1" applyProtection="1">
      <alignment horizontal="left" indent="13"/>
    </xf>
    <xf numFmtId="4" fontId="79" fillId="0" borderId="1" xfId="5" applyNumberFormat="1" applyFont="1" applyFill="1" applyBorder="1" applyAlignment="1" applyProtection="1">
      <alignment horizontal="center" vertical="top"/>
    </xf>
    <xf numFmtId="0" fontId="75" fillId="0" borderId="1" xfId="5" applyNumberFormat="1" applyFont="1" applyFill="1" applyBorder="1" applyAlignment="1" applyProtection="1">
      <alignment horizontal="left" vertical="top"/>
    </xf>
    <xf numFmtId="4" fontId="75" fillId="0" borderId="29" xfId="5" applyNumberFormat="1" applyFont="1" applyFill="1" applyBorder="1" applyAlignment="1" applyProtection="1">
      <alignment horizontal="center" vertical="top"/>
    </xf>
    <xf numFmtId="0" fontId="74" fillId="0" borderId="1" xfId="5" applyNumberFormat="1" applyFont="1" applyFill="1" applyBorder="1" applyAlignment="1" applyProtection="1">
      <alignment horizontal="left" vertical="top"/>
    </xf>
    <xf numFmtId="0" fontId="75" fillId="7" borderId="25" xfId="5" applyNumberFormat="1" applyFont="1" applyFill="1" applyBorder="1" applyAlignment="1" applyProtection="1">
      <alignment horizontal="justify"/>
    </xf>
    <xf numFmtId="0" fontId="75" fillId="0" borderId="29" xfId="5" applyNumberFormat="1" applyFont="1" applyFill="1" applyBorder="1" applyAlignment="1" applyProtection="1">
      <alignment horizontal="left" vertical="top" indent="15"/>
    </xf>
    <xf numFmtId="0" fontId="75" fillId="0" borderId="1" xfId="5" applyNumberFormat="1" applyFont="1" applyFill="1" applyBorder="1" applyAlignment="1" applyProtection="1">
      <alignment horizontal="left" vertical="top" indent="15"/>
    </xf>
    <xf numFmtId="0" fontId="75" fillId="0" borderId="1" xfId="5" applyNumberFormat="1" applyFont="1" applyFill="1" applyBorder="1" applyAlignment="1" applyProtection="1">
      <alignment horizontal="left" vertical="top" indent="2"/>
    </xf>
    <xf numFmtId="0" fontId="75" fillId="7" borderId="25" xfId="5" applyNumberFormat="1" applyFont="1" applyFill="1" applyBorder="1" applyAlignment="1" applyProtection="1">
      <alignment horizontal="left" vertical="top" indent="15"/>
    </xf>
    <xf numFmtId="0" fontId="75" fillId="7" borderId="25" xfId="5" applyNumberFormat="1" applyFont="1" applyFill="1" applyBorder="1" applyAlignment="1" applyProtection="1">
      <alignment horizontal="left" vertical="top" indent="2"/>
    </xf>
    <xf numFmtId="0" fontId="75" fillId="7" borderId="25" xfId="5" applyNumberFormat="1" applyFont="1" applyFill="1" applyBorder="1" applyAlignment="1" applyProtection="1">
      <alignment vertical="top"/>
    </xf>
    <xf numFmtId="0" fontId="80" fillId="0" borderId="27" xfId="5" applyFont="1" applyFill="1" applyBorder="1" applyAlignment="1">
      <alignment vertical="center"/>
    </xf>
    <xf numFmtId="0" fontId="80" fillId="0" borderId="1" xfId="5" applyFont="1" applyFill="1" applyBorder="1" applyAlignment="1">
      <alignment vertical="center"/>
    </xf>
    <xf numFmtId="4" fontId="80" fillId="0" borderId="1" xfId="5" applyNumberFormat="1" applyFont="1" applyFill="1" applyBorder="1" applyAlignment="1">
      <alignment horizontal="center" vertical="center"/>
    </xf>
    <xf numFmtId="4" fontId="79" fillId="0" borderId="1" xfId="5" applyNumberFormat="1" applyFont="1" applyFill="1" applyBorder="1" applyAlignment="1">
      <alignment horizontal="right" vertical="center"/>
    </xf>
    <xf numFmtId="0" fontId="79" fillId="0" borderId="27" xfId="5" applyFont="1" applyFill="1" applyBorder="1" applyAlignment="1">
      <alignment vertical="center"/>
    </xf>
    <xf numFmtId="0" fontId="79" fillId="0" borderId="1" xfId="5" applyFont="1" applyFill="1" applyBorder="1" applyAlignment="1">
      <alignment vertical="center"/>
    </xf>
    <xf numFmtId="4" fontId="79" fillId="0" borderId="1" xfId="5" applyNumberFormat="1" applyFont="1" applyFill="1" applyBorder="1" applyAlignment="1">
      <alignment horizontal="center" vertical="center"/>
    </xf>
    <xf numFmtId="0" fontId="79" fillId="8" borderId="30" xfId="5" applyFont="1" applyFill="1" applyBorder="1" applyAlignment="1">
      <alignment vertical="center"/>
    </xf>
    <xf numFmtId="0" fontId="79" fillId="8" borderId="29" xfId="5" applyFont="1" applyFill="1" applyBorder="1" applyAlignment="1">
      <alignment vertical="center"/>
    </xf>
    <xf numFmtId="4" fontId="79" fillId="8" borderId="29" xfId="5" applyNumberFormat="1" applyFont="1" applyFill="1" applyBorder="1" applyAlignment="1">
      <alignment horizontal="center" vertical="center"/>
    </xf>
    <xf numFmtId="0" fontId="79" fillId="8" borderId="1" xfId="5" applyFont="1" applyFill="1" applyBorder="1" applyAlignment="1">
      <alignment vertical="center"/>
    </xf>
    <xf numFmtId="4" fontId="79" fillId="8" borderId="1" xfId="5" applyNumberFormat="1" applyFont="1" applyFill="1" applyBorder="1" applyAlignment="1">
      <alignment horizontal="center" vertical="center"/>
    </xf>
    <xf numFmtId="4" fontId="79" fillId="8" borderId="1" xfId="5" applyNumberFormat="1" applyFont="1" applyFill="1" applyBorder="1" applyAlignment="1">
      <alignment horizontal="right" vertical="center"/>
    </xf>
    <xf numFmtId="0" fontId="81" fillId="0" borderId="49" xfId="5" applyFont="1" applyFill="1" applyBorder="1" applyAlignment="1">
      <alignment vertical="center"/>
    </xf>
    <xf numFmtId="0" fontId="79" fillId="0" borderId="50" xfId="5" applyFont="1" applyFill="1" applyBorder="1" applyAlignment="1">
      <alignment vertical="center"/>
    </xf>
    <xf numFmtId="4" fontId="79" fillId="0" borderId="50" xfId="5" applyNumberFormat="1" applyFont="1" applyFill="1" applyBorder="1" applyAlignment="1">
      <alignment horizontal="center" vertical="center"/>
    </xf>
    <xf numFmtId="4" fontId="75" fillId="0" borderId="50" xfId="5" applyNumberFormat="1" applyFont="1" applyFill="1" applyBorder="1" applyAlignment="1" applyProtection="1">
      <alignment horizontal="right"/>
    </xf>
    <xf numFmtId="4" fontId="77" fillId="0" borderId="51" xfId="5" applyNumberFormat="1" applyFont="1" applyFill="1" applyBorder="1" applyAlignment="1" applyProtection="1">
      <alignment vertical="top"/>
    </xf>
    <xf numFmtId="0" fontId="81" fillId="7" borderId="24" xfId="5" applyFont="1" applyFill="1" applyBorder="1" applyAlignment="1">
      <alignment vertical="center"/>
    </xf>
    <xf numFmtId="0" fontId="80" fillId="7" borderId="25" xfId="5" applyFont="1" applyFill="1" applyBorder="1" applyAlignment="1">
      <alignment vertical="center"/>
    </xf>
    <xf numFmtId="4" fontId="80" fillId="7" borderId="25" xfId="5" applyNumberFormat="1" applyFont="1" applyFill="1" applyBorder="1" applyAlignment="1">
      <alignment horizontal="right" vertical="center"/>
    </xf>
    <xf numFmtId="0" fontId="79" fillId="8" borderId="27" xfId="5" applyFont="1" applyFill="1" applyBorder="1" applyAlignment="1">
      <alignment vertical="center"/>
    </xf>
    <xf numFmtId="4" fontId="80" fillId="0" borderId="1" xfId="5" applyNumberFormat="1" applyFont="1" applyFill="1" applyBorder="1" applyAlignment="1">
      <alignment horizontal="right" vertical="center"/>
    </xf>
    <xf numFmtId="4" fontId="79" fillId="8" borderId="29" xfId="5" applyNumberFormat="1" applyFont="1" applyFill="1" applyBorder="1" applyAlignment="1">
      <alignment horizontal="right" vertical="center"/>
    </xf>
    <xf numFmtId="0" fontId="81" fillId="9" borderId="52" xfId="5" applyFont="1" applyFill="1" applyBorder="1" applyAlignment="1">
      <alignment vertical="center"/>
    </xf>
    <xf numFmtId="0" fontId="75" fillId="9" borderId="1" xfId="5" applyNumberFormat="1" applyFont="1" applyFill="1" applyBorder="1" applyAlignment="1" applyProtection="1">
      <alignment vertical="top"/>
    </xf>
    <xf numFmtId="4" fontId="75" fillId="9" borderId="1" xfId="5" applyNumberFormat="1" applyFont="1" applyFill="1" applyBorder="1" applyAlignment="1" applyProtection="1">
      <alignment vertical="top"/>
    </xf>
    <xf numFmtId="4" fontId="77" fillId="9" borderId="1" xfId="5" applyNumberFormat="1" applyFont="1" applyFill="1" applyBorder="1" applyAlignment="1" applyProtection="1">
      <alignment vertical="top"/>
    </xf>
    <xf numFmtId="0" fontId="82" fillId="7" borderId="25" xfId="5" applyFont="1" applyFill="1" applyBorder="1" applyAlignment="1">
      <alignment vertical="center"/>
    </xf>
    <xf numFmtId="4" fontId="82" fillId="7" borderId="25" xfId="5" applyNumberFormat="1" applyFont="1" applyFill="1" applyBorder="1" applyAlignment="1">
      <alignment horizontal="right" vertical="center"/>
    </xf>
    <xf numFmtId="4" fontId="79" fillId="7" borderId="25" xfId="5" applyNumberFormat="1" applyFont="1" applyFill="1" applyBorder="1" applyAlignment="1">
      <alignment horizontal="right" vertical="center"/>
    </xf>
    <xf numFmtId="0" fontId="79" fillId="0" borderId="29" xfId="5" applyFont="1" applyFill="1" applyBorder="1" applyAlignment="1">
      <alignment vertical="center"/>
    </xf>
    <xf numFmtId="4" fontId="79" fillId="0" borderId="29" xfId="5" applyNumberFormat="1" applyFont="1" applyFill="1" applyBorder="1" applyAlignment="1">
      <alignment horizontal="right" vertical="center"/>
    </xf>
    <xf numFmtId="0" fontId="81" fillId="9" borderId="53" xfId="5" applyFont="1" applyFill="1" applyBorder="1" applyAlignment="1">
      <alignment vertical="center"/>
    </xf>
    <xf numFmtId="0" fontId="75" fillId="9" borderId="54" xfId="5" applyNumberFormat="1" applyFont="1" applyFill="1" applyBorder="1" applyAlignment="1" applyProtection="1">
      <alignment vertical="top"/>
    </xf>
    <xf numFmtId="4" fontId="75" fillId="9" borderId="54" xfId="5" applyNumberFormat="1" applyFont="1" applyFill="1" applyBorder="1" applyAlignment="1" applyProtection="1">
      <alignment vertical="top"/>
    </xf>
    <xf numFmtId="4" fontId="77" fillId="9" borderId="55" xfId="5" applyNumberFormat="1" applyFont="1" applyFill="1" applyBorder="1" applyAlignment="1" applyProtection="1">
      <alignment horizontal="center" vertical="center"/>
    </xf>
    <xf numFmtId="0" fontId="1" fillId="0" borderId="1" xfId="4" applyAlignment="1">
      <alignment horizontal="left"/>
    </xf>
    <xf numFmtId="0" fontId="85" fillId="0" borderId="1" xfId="4" applyFont="1"/>
    <xf numFmtId="0" fontId="3" fillId="0" borderId="1" xfId="4" applyFont="1"/>
    <xf numFmtId="0" fontId="18" fillId="0" borderId="1" xfId="4" applyFont="1"/>
    <xf numFmtId="0" fontId="3" fillId="0" borderId="1" xfId="4" quotePrefix="1" applyFont="1"/>
    <xf numFmtId="0" fontId="3" fillId="0" borderId="33" xfId="4" quotePrefix="1" applyFont="1" applyBorder="1"/>
    <xf numFmtId="0" fontId="85" fillId="0" borderId="1" xfId="4" quotePrefix="1" applyFont="1"/>
    <xf numFmtId="169" fontId="3" fillId="0" borderId="1" xfId="4" quotePrefix="1" applyNumberFormat="1" applyFont="1"/>
    <xf numFmtId="169" fontId="86" fillId="0" borderId="1" xfId="4" quotePrefix="1" applyNumberFormat="1" applyFont="1"/>
    <xf numFmtId="169" fontId="3" fillId="0" borderId="1" xfId="4" applyNumberFormat="1" applyFont="1"/>
    <xf numFmtId="169" fontId="86" fillId="0" borderId="1" xfId="4" applyNumberFormat="1" applyFont="1"/>
    <xf numFmtId="0" fontId="58" fillId="0" borderId="1" xfId="6" applyFont="1"/>
    <xf numFmtId="0" fontId="57" fillId="0" borderId="1" xfId="6"/>
    <xf numFmtId="0" fontId="87" fillId="0" borderId="56" xfId="6" applyFont="1" applyBorder="1"/>
    <xf numFmtId="0" fontId="58" fillId="0" borderId="56" xfId="6" applyFont="1" applyBorder="1"/>
    <xf numFmtId="0" fontId="57" fillId="0" borderId="56" xfId="6" applyBorder="1"/>
    <xf numFmtId="4" fontId="58" fillId="0" borderId="56" xfId="6" applyNumberFormat="1" applyFont="1" applyBorder="1"/>
    <xf numFmtId="4" fontId="58" fillId="0" borderId="1" xfId="6" applyNumberFormat="1" applyFont="1"/>
    <xf numFmtId="0" fontId="62" fillId="0" borderId="56" xfId="6" applyFont="1" applyBorder="1"/>
    <xf numFmtId="1" fontId="57" fillId="0" borderId="1" xfId="6" applyNumberFormat="1"/>
    <xf numFmtId="0" fontId="88" fillId="0" borderId="56" xfId="6" applyFont="1" applyBorder="1"/>
    <xf numFmtId="1" fontId="57" fillId="0" borderId="56" xfId="6" applyNumberFormat="1" applyBorder="1" applyAlignment="1">
      <alignment wrapText="1"/>
    </xf>
    <xf numFmtId="0" fontId="57" fillId="0" borderId="56" xfId="6" applyBorder="1" applyAlignment="1">
      <alignment wrapText="1"/>
    </xf>
    <xf numFmtId="0" fontId="57" fillId="0" borderId="57" xfId="6" applyBorder="1"/>
    <xf numFmtId="0" fontId="57" fillId="0" borderId="57" xfId="6" applyBorder="1" applyAlignment="1">
      <alignment wrapText="1"/>
    </xf>
    <xf numFmtId="0" fontId="89" fillId="0" borderId="57" xfId="6" applyFont="1" applyBorder="1"/>
    <xf numFmtId="0" fontId="58" fillId="0" borderId="58" xfId="6" applyFont="1" applyBorder="1"/>
    <xf numFmtId="0" fontId="62" fillId="0" borderId="58" xfId="6" applyFont="1" applyBorder="1"/>
    <xf numFmtId="0" fontId="57" fillId="0" borderId="58" xfId="6" applyBorder="1"/>
    <xf numFmtId="1" fontId="58" fillId="0" borderId="58" xfId="6" applyNumberFormat="1" applyFont="1" applyBorder="1"/>
    <xf numFmtId="1" fontId="57" fillId="0" borderId="56" xfId="6" applyNumberFormat="1" applyBorder="1"/>
    <xf numFmtId="0" fontId="57" fillId="0" borderId="1" xfId="6" applyAlignment="1">
      <alignment wrapText="1"/>
    </xf>
    <xf numFmtId="0" fontId="90" fillId="0" borderId="56" xfId="6" applyFont="1" applyBorder="1"/>
    <xf numFmtId="170" fontId="90" fillId="0" borderId="56" xfId="6" applyNumberFormat="1" applyFont="1" applyBorder="1"/>
    <xf numFmtId="0" fontId="90" fillId="0" borderId="57" xfId="6" applyFont="1" applyBorder="1"/>
    <xf numFmtId="170" fontId="90" fillId="0" borderId="57" xfId="6" applyNumberFormat="1" applyFont="1" applyBorder="1"/>
    <xf numFmtId="0" fontId="87" fillId="0" borderId="58" xfId="6" applyFont="1" applyBorder="1"/>
    <xf numFmtId="170" fontId="87" fillId="0" borderId="58" xfId="6" applyNumberFormat="1" applyFont="1" applyBorder="1"/>
    <xf numFmtId="0" fontId="92" fillId="0" borderId="59" xfId="6" applyFont="1" applyBorder="1" applyAlignment="1">
      <alignment horizontal="center" vertical="center"/>
    </xf>
    <xf numFmtId="0" fontId="92" fillId="0" borderId="60" xfId="6" applyFont="1" applyBorder="1" applyAlignment="1">
      <alignment horizontal="center" vertical="center"/>
    </xf>
    <xf numFmtId="4" fontId="92" fillId="0" borderId="60" xfId="6" applyNumberFormat="1" applyFont="1" applyBorder="1" applyAlignment="1">
      <alignment horizontal="center" vertical="center" wrapText="1"/>
    </xf>
    <xf numFmtId="3" fontId="92" fillId="0" borderId="60" xfId="6" applyNumberFormat="1" applyFont="1" applyBorder="1" applyAlignment="1">
      <alignment horizontal="center" vertical="top" wrapText="1"/>
    </xf>
    <xf numFmtId="0" fontId="92" fillId="0" borderId="60" xfId="6" applyFont="1" applyBorder="1" applyAlignment="1">
      <alignment horizontal="center" vertical="top" wrapText="1"/>
    </xf>
    <xf numFmtId="49" fontId="92" fillId="0" borderId="60" xfId="6" applyNumberFormat="1" applyFont="1" applyBorder="1" applyAlignment="1">
      <alignment horizontal="center" vertical="top" wrapText="1"/>
    </xf>
    <xf numFmtId="4" fontId="92" fillId="0" borderId="61" xfId="6" applyNumberFormat="1" applyFont="1" applyBorder="1" applyAlignment="1">
      <alignment horizontal="center" vertical="top" wrapText="1"/>
    </xf>
    <xf numFmtId="0" fontId="94" fillId="0" borderId="62" xfId="6" applyFont="1" applyBorder="1" applyAlignment="1">
      <alignment horizontal="left"/>
    </xf>
    <xf numFmtId="0" fontId="95" fillId="0" borderId="63" xfId="6" applyFont="1" applyBorder="1" applyAlignment="1">
      <alignment horizontal="justify" vertical="top" wrapText="1"/>
    </xf>
    <xf numFmtId="0" fontId="92" fillId="0" borderId="63" xfId="6" applyFont="1" applyBorder="1" applyAlignment="1">
      <alignment horizontal="center"/>
    </xf>
    <xf numFmtId="3" fontId="92" fillId="0" borderId="63" xfId="6" applyNumberFormat="1" applyFont="1" applyBorder="1"/>
    <xf numFmtId="4" fontId="92" fillId="0" borderId="63" xfId="6" applyNumberFormat="1" applyFont="1" applyBorder="1"/>
    <xf numFmtId="4" fontId="92" fillId="0" borderId="64" xfId="6" applyNumberFormat="1" applyFont="1" applyBorder="1"/>
    <xf numFmtId="49" fontId="92" fillId="0" borderId="65" xfId="6" applyNumberFormat="1" applyFont="1" applyBorder="1" applyAlignment="1">
      <alignment horizontal="center" vertical="center"/>
    </xf>
    <xf numFmtId="0" fontId="96" fillId="0" borderId="66" xfId="6" applyFont="1" applyBorder="1" applyAlignment="1">
      <alignment horizontal="justify" vertical="top"/>
    </xf>
    <xf numFmtId="0" fontId="92" fillId="0" borderId="66" xfId="6" applyFont="1" applyBorder="1" applyAlignment="1">
      <alignment horizontal="center" vertical="center"/>
    </xf>
    <xf numFmtId="4" fontId="92" fillId="0" borderId="66" xfId="6" applyNumberFormat="1" applyFont="1" applyBorder="1" applyAlignment="1">
      <alignment vertical="center"/>
    </xf>
    <xf numFmtId="4" fontId="92" fillId="10" borderId="66" xfId="6" applyNumberFormat="1" applyFont="1" applyFill="1" applyBorder="1" applyAlignment="1">
      <alignment vertical="center"/>
    </xf>
    <xf numFmtId="4" fontId="92" fillId="0" borderId="67" xfId="6" applyNumberFormat="1" applyFont="1" applyBorder="1" applyAlignment="1">
      <alignment vertical="center"/>
    </xf>
    <xf numFmtId="49" fontId="92" fillId="0" borderId="65" xfId="7" applyNumberFormat="1" applyFont="1" applyBorder="1" applyAlignment="1">
      <alignment horizontal="center" vertical="center"/>
    </xf>
    <xf numFmtId="0" fontId="96" fillId="0" borderId="66" xfId="7" applyFont="1" applyBorder="1" applyAlignment="1">
      <alignment horizontal="justify" vertical="top"/>
    </xf>
    <xf numFmtId="0" fontId="92" fillId="0" borderId="66" xfId="7" applyFont="1" applyBorder="1" applyAlignment="1">
      <alignment horizontal="center" vertical="center"/>
    </xf>
    <xf numFmtId="4" fontId="92" fillId="0" borderId="66" xfId="7" applyNumberFormat="1" applyFont="1" applyBorder="1" applyAlignment="1">
      <alignment vertical="center"/>
    </xf>
    <xf numFmtId="4" fontId="92" fillId="10" borderId="66" xfId="7" applyNumberFormat="1" applyFont="1" applyFill="1" applyBorder="1" applyAlignment="1">
      <alignment vertical="center"/>
    </xf>
    <xf numFmtId="4" fontId="92" fillId="0" borderId="67" xfId="7" applyNumberFormat="1" applyFont="1" applyBorder="1" applyAlignment="1">
      <alignment vertical="center"/>
    </xf>
    <xf numFmtId="0" fontId="51" fillId="0" borderId="1" xfId="7"/>
    <xf numFmtId="0" fontId="92" fillId="0" borderId="65" xfId="6" applyFont="1" applyBorder="1" applyAlignment="1">
      <alignment horizontal="center" vertical="center"/>
    </xf>
    <xf numFmtId="0" fontId="96" fillId="0" borderId="66" xfId="6" applyFont="1" applyBorder="1" applyAlignment="1">
      <alignment horizontal="justify" vertical="center" wrapText="1"/>
    </xf>
    <xf numFmtId="4" fontId="96" fillId="0" borderId="66" xfId="6" applyNumberFormat="1" applyFont="1" applyBorder="1"/>
    <xf numFmtId="4" fontId="96" fillId="0" borderId="67" xfId="6" applyNumberFormat="1" applyFont="1" applyBorder="1"/>
    <xf numFmtId="0" fontId="96" fillId="0" borderId="66" xfId="6" applyFont="1" applyBorder="1" applyAlignment="1">
      <alignment horizontal="justify" vertical="top" wrapText="1"/>
    </xf>
    <xf numFmtId="0" fontId="94" fillId="0" borderId="65" xfId="6" applyFont="1" applyBorder="1" applyAlignment="1">
      <alignment horizontal="left"/>
    </xf>
    <xf numFmtId="0" fontId="95" fillId="0" borderId="66" xfId="6" applyFont="1" applyBorder="1" applyAlignment="1">
      <alignment horizontal="justify" vertical="top"/>
    </xf>
    <xf numFmtId="0" fontId="92" fillId="0" borderId="66" xfId="6" applyFont="1" applyBorder="1" applyAlignment="1">
      <alignment horizontal="center"/>
    </xf>
    <xf numFmtId="3" fontId="92" fillId="0" borderId="66" xfId="6" applyNumberFormat="1" applyFont="1" applyBorder="1"/>
    <xf numFmtId="4" fontId="92" fillId="0" borderId="66" xfId="6" applyNumberFormat="1" applyFont="1" applyBorder="1"/>
    <xf numFmtId="4" fontId="92" fillId="0" borderId="67" xfId="6" applyNumberFormat="1" applyFont="1" applyBorder="1"/>
    <xf numFmtId="0" fontId="97" fillId="0" borderId="66" xfId="6" applyFont="1" applyBorder="1" applyAlignment="1">
      <alignment horizontal="justify" vertical="top" wrapText="1"/>
    </xf>
    <xf numFmtId="0" fontId="95" fillId="0" borderId="65" xfId="6" applyFont="1" applyBorder="1" applyAlignment="1">
      <alignment horizontal="left"/>
    </xf>
    <xf numFmtId="0" fontId="95" fillId="0" borderId="66" xfId="6" applyFont="1" applyBorder="1" applyAlignment="1">
      <alignment horizontal="justify" vertical="top" wrapText="1"/>
    </xf>
    <xf numFmtId="4" fontId="92" fillId="0" borderId="66" xfId="6" applyNumberFormat="1" applyFont="1" applyBorder="1" applyAlignment="1">
      <alignment horizontal="left"/>
    </xf>
    <xf numFmtId="0" fontId="98" fillId="0" borderId="68" xfId="6" applyFont="1" applyBorder="1" applyAlignment="1">
      <alignment horizontal="left"/>
    </xf>
    <xf numFmtId="0" fontId="92" fillId="0" borderId="69" xfId="6" applyFont="1" applyBorder="1" applyAlignment="1">
      <alignment horizontal="justify" vertical="top" wrapText="1"/>
    </xf>
    <xf numFmtId="0" fontId="92" fillId="0" borderId="69" xfId="6" applyFont="1" applyBorder="1" applyAlignment="1">
      <alignment horizontal="center"/>
    </xf>
    <xf numFmtId="3" fontId="92" fillId="0" borderId="69" xfId="6" applyNumberFormat="1" applyFont="1" applyBorder="1"/>
    <xf numFmtId="4" fontId="92" fillId="0" borderId="69" xfId="6" applyNumberFormat="1" applyFont="1" applyBorder="1" applyAlignment="1">
      <alignment horizontal="left"/>
    </xf>
    <xf numFmtId="4" fontId="92" fillId="0" borderId="70" xfId="6" applyNumberFormat="1" applyFont="1" applyBorder="1"/>
    <xf numFmtId="4" fontId="95" fillId="0" borderId="71" xfId="6" applyNumberFormat="1" applyFont="1" applyBorder="1"/>
    <xf numFmtId="4" fontId="95" fillId="0" borderId="72" xfId="6" applyNumberFormat="1" applyFont="1" applyBorder="1"/>
    <xf numFmtId="0" fontId="92" fillId="0" borderId="1" xfId="6" applyFont="1" applyAlignment="1">
      <alignment horizontal="center"/>
    </xf>
    <xf numFmtId="0" fontId="92" fillId="0" borderId="1" xfId="6" applyFont="1" applyAlignment="1">
      <alignment horizontal="justify" vertical="top" wrapText="1"/>
    </xf>
    <xf numFmtId="3" fontId="92" fillId="0" borderId="1" xfId="6" applyNumberFormat="1" applyFont="1"/>
    <xf numFmtId="4" fontId="92" fillId="0" borderId="1" xfId="6" applyNumberFormat="1" applyFont="1"/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56" fillId="0" borderId="38" xfId="2" applyNumberFormat="1" applyFont="1" applyBorder="1" applyAlignment="1">
      <alignment horizontal="center" vertical="center"/>
    </xf>
    <xf numFmtId="0" fontId="56" fillId="0" borderId="39" xfId="2" applyFont="1" applyBorder="1" applyAlignment="1">
      <alignment horizontal="center" vertical="center"/>
    </xf>
    <xf numFmtId="0" fontId="56" fillId="0" borderId="40" xfId="2" applyFont="1" applyBorder="1" applyAlignment="1">
      <alignment horizontal="center" vertical="center"/>
    </xf>
    <xf numFmtId="49" fontId="56" fillId="5" borderId="1" xfId="2" applyNumberFormat="1" applyFont="1" applyFill="1" applyAlignment="1">
      <alignment horizontal="left" vertical="center"/>
    </xf>
    <xf numFmtId="0" fontId="56" fillId="5" borderId="1" xfId="2" applyFont="1" applyFill="1" applyAlignment="1">
      <alignment horizontal="left" vertical="center"/>
    </xf>
    <xf numFmtId="49" fontId="56" fillId="0" borderId="25" xfId="2" applyNumberFormat="1" applyFont="1" applyBorder="1" applyAlignment="1">
      <alignment horizontal="left" vertical="center"/>
    </xf>
    <xf numFmtId="0" fontId="56" fillId="0" borderId="25" xfId="2" applyFont="1" applyBorder="1" applyAlignment="1">
      <alignment horizontal="left" vertical="center"/>
    </xf>
    <xf numFmtId="49" fontId="55" fillId="0" borderId="27" xfId="2" applyNumberFormat="1" applyFont="1" applyBorder="1" applyAlignment="1">
      <alignment horizontal="left" vertical="center"/>
    </xf>
    <xf numFmtId="0" fontId="55" fillId="0" borderId="1" xfId="2" applyFont="1" applyAlignment="1">
      <alignment horizontal="left" vertical="center"/>
    </xf>
    <xf numFmtId="0" fontId="55" fillId="0" borderId="32" xfId="2" applyFont="1" applyBorder="1" applyAlignment="1">
      <alignment horizontal="left" vertical="center"/>
    </xf>
    <xf numFmtId="0" fontId="55" fillId="0" borderId="33" xfId="2" applyFont="1" applyBorder="1" applyAlignment="1">
      <alignment horizontal="left" vertical="center"/>
    </xf>
    <xf numFmtId="49" fontId="55" fillId="0" borderId="1" xfId="2" applyNumberFormat="1" applyFont="1" applyAlignment="1">
      <alignment horizontal="left" vertical="center"/>
    </xf>
    <xf numFmtId="14" fontId="55" fillId="0" borderId="1" xfId="2" applyNumberFormat="1" applyFont="1" applyAlignment="1">
      <alignment horizontal="left" vertical="center"/>
    </xf>
    <xf numFmtId="0" fontId="55" fillId="0" borderId="28" xfId="2" applyFont="1" applyBorder="1" applyAlignment="1">
      <alignment horizontal="left" vertical="center"/>
    </xf>
    <xf numFmtId="0" fontId="55" fillId="0" borderId="34" xfId="2" applyFont="1" applyBorder="1" applyAlignment="1">
      <alignment horizontal="left" vertical="center"/>
    </xf>
    <xf numFmtId="0" fontId="55" fillId="0" borderId="27" xfId="2" applyFont="1" applyBorder="1" applyAlignment="1">
      <alignment horizontal="left" vertical="center"/>
    </xf>
    <xf numFmtId="49" fontId="54" fillId="0" borderId="29" xfId="2" applyNumberFormat="1" applyFont="1" applyBorder="1" applyAlignment="1">
      <alignment horizontal="center" vertical="center"/>
    </xf>
    <xf numFmtId="0" fontId="54" fillId="0" borderId="29" xfId="2" applyFont="1" applyBorder="1" applyAlignment="1">
      <alignment horizontal="center" vertical="center"/>
    </xf>
    <xf numFmtId="49" fontId="55" fillId="0" borderId="24" xfId="2" applyNumberFormat="1" applyFont="1" applyBorder="1" applyAlignment="1">
      <alignment horizontal="left" vertical="center"/>
    </xf>
    <xf numFmtId="0" fontId="55" fillId="0" borderId="25" xfId="2" applyFont="1" applyBorder="1" applyAlignment="1">
      <alignment horizontal="left" vertical="center"/>
    </xf>
    <xf numFmtId="0" fontId="56" fillId="0" borderId="1" xfId="2" applyFont="1" applyAlignment="1">
      <alignment horizontal="left" vertical="center"/>
    </xf>
    <xf numFmtId="49" fontId="55" fillId="0" borderId="25" xfId="2" applyNumberFormat="1" applyFont="1" applyBorder="1" applyAlignment="1">
      <alignment horizontal="left" vertical="center"/>
    </xf>
    <xf numFmtId="0" fontId="55" fillId="0" borderId="26" xfId="2" applyFont="1" applyBorder="1" applyAlignment="1">
      <alignment horizontal="left" vertical="center"/>
    </xf>
    <xf numFmtId="0" fontId="64" fillId="0" borderId="23" xfId="3" applyBorder="1" applyAlignment="1" applyProtection="1">
      <alignment horizontal="left" vertical="center" wrapText="1"/>
      <protection locked="0"/>
    </xf>
    <xf numFmtId="0" fontId="67" fillId="0" borderId="49" xfId="4" applyFont="1" applyBorder="1" applyAlignment="1">
      <alignment vertical="top"/>
    </xf>
    <xf numFmtId="0" fontId="65" fillId="0" borderId="50" xfId="4" applyFont="1" applyBorder="1" applyAlignment="1">
      <alignment vertical="top"/>
    </xf>
    <xf numFmtId="0" fontId="1" fillId="0" borderId="1" xfId="4" applyAlignment="1">
      <alignment textRotation="90" wrapText="1"/>
    </xf>
    <xf numFmtId="0" fontId="83" fillId="0" borderId="1" xfId="4" applyFont="1" applyAlignment="1">
      <alignment horizontal="center" vertical="top"/>
    </xf>
    <xf numFmtId="0" fontId="1" fillId="0" borderId="1" xfId="4" applyAlignment="1">
      <alignment horizontal="center" vertical="top"/>
    </xf>
    <xf numFmtId="0" fontId="84" fillId="0" borderId="1" xfId="4" applyFont="1" applyAlignment="1">
      <alignment horizontal="center" vertical="top" wrapText="1"/>
    </xf>
    <xf numFmtId="0" fontId="1" fillId="0" borderId="1" xfId="4" applyAlignment="1">
      <alignment horizontal="center" vertical="top" wrapText="1"/>
    </xf>
    <xf numFmtId="0" fontId="91" fillId="0" borderId="1" xfId="6" applyFont="1" applyAlignment="1">
      <alignment horizontal="center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8">
    <cellStyle name="Hypertextový odkaz" xfId="1" builtinId="8"/>
    <cellStyle name="Normální" xfId="0" builtinId="0" customBuiltin="1"/>
    <cellStyle name="Normální 2" xfId="5" xr:uid="{3B507992-89DD-4675-9B1E-5FF933737CA0}"/>
    <cellStyle name="Normální 3" xfId="3" xr:uid="{9E02DF63-661C-4782-9960-212EFD8868F4}"/>
    <cellStyle name="Normální 4" xfId="2" xr:uid="{541F53BD-5E32-49A3-951C-4ECCF235F932}"/>
    <cellStyle name="Normální 5" xfId="4" xr:uid="{A5C18902-E22F-4B8D-A9DE-FF3F2AE60103}"/>
    <cellStyle name="Normální 6" xfId="6" xr:uid="{8AAC1A9F-EC19-40C7-9000-12DEBE5CD4BE}"/>
    <cellStyle name="Normální 7" xfId="7" xr:uid="{C34FE347-4059-422B-B323-5B1DF5ECCC1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62031133" TargetMode="External"/><Relationship Id="rId18" Type="http://schemas.openxmlformats.org/officeDocument/2006/relationships/hyperlink" Target="https://podminky.urs.cz/item/CS_URS_2022_02/965081113" TargetMode="External"/><Relationship Id="rId26" Type="http://schemas.openxmlformats.org/officeDocument/2006/relationships/hyperlink" Target="https://podminky.urs.cz/item/CS_URS_2022_02/973031151" TargetMode="External"/><Relationship Id="rId39" Type="http://schemas.openxmlformats.org/officeDocument/2006/relationships/hyperlink" Target="https://podminky.urs.cz/item/CS_URS_2022_02/997013322" TargetMode="External"/><Relationship Id="rId21" Type="http://schemas.openxmlformats.org/officeDocument/2006/relationships/hyperlink" Target="https://podminky.urs.cz/item/CS_URS_2022_02/966031314" TargetMode="External"/><Relationship Id="rId34" Type="http://schemas.openxmlformats.org/officeDocument/2006/relationships/hyperlink" Target="https://podminky.urs.cz/item/CS_URS_2022_02/978012191" TargetMode="External"/><Relationship Id="rId42" Type="http://schemas.openxmlformats.org/officeDocument/2006/relationships/hyperlink" Target="https://podminky.urs.cz/item/CS_URS_2022_02/997013631" TargetMode="External"/><Relationship Id="rId47" Type="http://schemas.openxmlformats.org/officeDocument/2006/relationships/hyperlink" Target="https://podminky.urs.cz/item/CS_URS_2022_02/762331814" TargetMode="External"/><Relationship Id="rId50" Type="http://schemas.openxmlformats.org/officeDocument/2006/relationships/hyperlink" Target="https://podminky.urs.cz/item/CS_URS_2022_02/762521811" TargetMode="External"/><Relationship Id="rId55" Type="http://schemas.openxmlformats.org/officeDocument/2006/relationships/hyperlink" Target="https://podminky.urs.cz/item/CS_URS_2022_02/764002851" TargetMode="External"/><Relationship Id="rId63" Type="http://schemas.openxmlformats.org/officeDocument/2006/relationships/hyperlink" Target="https://podminky.urs.cz/item/CS_URS_2022_02/765111811" TargetMode="External"/><Relationship Id="rId68" Type="http://schemas.openxmlformats.org/officeDocument/2006/relationships/hyperlink" Target="https://podminky.urs.cz/item/CS_URS_2022_02/766441822" TargetMode="External"/><Relationship Id="rId7" Type="http://schemas.openxmlformats.org/officeDocument/2006/relationships/hyperlink" Target="https://podminky.urs.cz/item/CS_URS_2022_02/171201221" TargetMode="External"/><Relationship Id="rId71" Type="http://schemas.openxmlformats.org/officeDocument/2006/relationships/hyperlink" Target="https://podminky.urs.cz/item/CS_URS_2022_02/094103000" TargetMode="External"/><Relationship Id="rId2" Type="http://schemas.openxmlformats.org/officeDocument/2006/relationships/hyperlink" Target="https://podminky.urs.cz/item/CS_URS_2022_02/113107123" TargetMode="External"/><Relationship Id="rId16" Type="http://schemas.openxmlformats.org/officeDocument/2006/relationships/hyperlink" Target="https://podminky.urs.cz/item/CS_URS_2022_02/964011221" TargetMode="External"/><Relationship Id="rId29" Type="http://schemas.openxmlformats.org/officeDocument/2006/relationships/hyperlink" Target="https://podminky.urs.cz/item/CS_URS_2022_02/975121322" TargetMode="External"/><Relationship Id="rId1" Type="http://schemas.openxmlformats.org/officeDocument/2006/relationships/hyperlink" Target="https://podminky.urs.cz/item/CS_URS_2022_02/113106123" TargetMode="External"/><Relationship Id="rId6" Type="http://schemas.openxmlformats.org/officeDocument/2006/relationships/hyperlink" Target="https://podminky.urs.cz/item/CS_URS_2022_02/167111101" TargetMode="External"/><Relationship Id="rId11" Type="http://schemas.openxmlformats.org/officeDocument/2006/relationships/hyperlink" Target="https://podminky.urs.cz/item/CS_URS_2022_02/943211212" TargetMode="External"/><Relationship Id="rId24" Type="http://schemas.openxmlformats.org/officeDocument/2006/relationships/hyperlink" Target="https://podminky.urs.cz/item/CS_URS_2022_02/968072455" TargetMode="External"/><Relationship Id="rId32" Type="http://schemas.openxmlformats.org/officeDocument/2006/relationships/hyperlink" Target="https://podminky.urs.cz/item/CS_URS_2022_02/975121422" TargetMode="External"/><Relationship Id="rId37" Type="http://schemas.openxmlformats.org/officeDocument/2006/relationships/hyperlink" Target="https://podminky.urs.cz/item/CS_URS_2022_02/997013154" TargetMode="External"/><Relationship Id="rId40" Type="http://schemas.openxmlformats.org/officeDocument/2006/relationships/hyperlink" Target="https://podminky.urs.cz/item/CS_URS_2022_02/997013501" TargetMode="External"/><Relationship Id="rId45" Type="http://schemas.openxmlformats.org/officeDocument/2006/relationships/hyperlink" Target="https://podminky.urs.cz/item/CS_URS_2022_02/998712203" TargetMode="External"/><Relationship Id="rId53" Type="http://schemas.openxmlformats.org/officeDocument/2006/relationships/hyperlink" Target="https://podminky.urs.cz/item/CS_URS_2022_02/764001891" TargetMode="External"/><Relationship Id="rId58" Type="http://schemas.openxmlformats.org/officeDocument/2006/relationships/hyperlink" Target="https://podminky.urs.cz/item/CS_URS_2022_02/764004801" TargetMode="External"/><Relationship Id="rId66" Type="http://schemas.openxmlformats.org/officeDocument/2006/relationships/hyperlink" Target="https://podminky.urs.cz/item/CS_URS_2022_02/765192001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962032631" TargetMode="External"/><Relationship Id="rId23" Type="http://schemas.openxmlformats.org/officeDocument/2006/relationships/hyperlink" Target="https://podminky.urs.cz/item/CS_URS_2022_02/968062246" TargetMode="External"/><Relationship Id="rId28" Type="http://schemas.openxmlformats.org/officeDocument/2006/relationships/hyperlink" Target="https://podminky.urs.cz/item/CS_URS_2022_02/975121321" TargetMode="External"/><Relationship Id="rId36" Type="http://schemas.openxmlformats.org/officeDocument/2006/relationships/hyperlink" Target="https://podminky.urs.cz/item/CS_URS_2022_02/978015391" TargetMode="External"/><Relationship Id="rId49" Type="http://schemas.openxmlformats.org/officeDocument/2006/relationships/hyperlink" Target="https://podminky.urs.cz/item/CS_URS_2022_02/762342812" TargetMode="External"/><Relationship Id="rId57" Type="http://schemas.openxmlformats.org/officeDocument/2006/relationships/hyperlink" Target="https://podminky.urs.cz/item/CS_URS_2022_02/764002871" TargetMode="External"/><Relationship Id="rId61" Type="http://schemas.openxmlformats.org/officeDocument/2006/relationships/hyperlink" Target="https://podminky.urs.cz/item/CS_URS_2022_02/764508131" TargetMode="External"/><Relationship Id="rId10" Type="http://schemas.openxmlformats.org/officeDocument/2006/relationships/hyperlink" Target="https://podminky.urs.cz/item/CS_URS_2022_02/943211112" TargetMode="External"/><Relationship Id="rId19" Type="http://schemas.openxmlformats.org/officeDocument/2006/relationships/hyperlink" Target="https://podminky.urs.cz/item/CS_URS_2022_02/965082923" TargetMode="External"/><Relationship Id="rId31" Type="http://schemas.openxmlformats.org/officeDocument/2006/relationships/hyperlink" Target="https://podminky.urs.cz/item/CS_URS_2022_02/975121421" TargetMode="External"/><Relationship Id="rId44" Type="http://schemas.openxmlformats.org/officeDocument/2006/relationships/hyperlink" Target="https://podminky.urs.cz/item/CS_URS_2022_02/712341659" TargetMode="External"/><Relationship Id="rId52" Type="http://schemas.openxmlformats.org/officeDocument/2006/relationships/hyperlink" Target="https://podminky.urs.cz/item/CS_URS_2022_02/762841812" TargetMode="External"/><Relationship Id="rId60" Type="http://schemas.openxmlformats.org/officeDocument/2006/relationships/hyperlink" Target="https://podminky.urs.cz/item/CS_URS_2022_02/764004863" TargetMode="External"/><Relationship Id="rId65" Type="http://schemas.openxmlformats.org/officeDocument/2006/relationships/hyperlink" Target="https://podminky.urs.cz/item/CS_URS_2022_02/765111881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174111101" TargetMode="External"/><Relationship Id="rId14" Type="http://schemas.openxmlformats.org/officeDocument/2006/relationships/hyperlink" Target="https://podminky.urs.cz/item/CS_URS_2022_02/962032230" TargetMode="External"/><Relationship Id="rId22" Type="http://schemas.openxmlformats.org/officeDocument/2006/relationships/hyperlink" Target="https://podminky.urs.cz/item/CS_URS_2022_02/967042712" TargetMode="External"/><Relationship Id="rId27" Type="http://schemas.openxmlformats.org/officeDocument/2006/relationships/hyperlink" Target="https://podminky.urs.cz/item/CS_URS_2022_02/973031335" TargetMode="External"/><Relationship Id="rId30" Type="http://schemas.openxmlformats.org/officeDocument/2006/relationships/hyperlink" Target="https://podminky.urs.cz/item/CS_URS_2022_02/975121323" TargetMode="External"/><Relationship Id="rId35" Type="http://schemas.openxmlformats.org/officeDocument/2006/relationships/hyperlink" Target="https://podminky.urs.cz/item/CS_URS_2022_02/978013191" TargetMode="External"/><Relationship Id="rId43" Type="http://schemas.openxmlformats.org/officeDocument/2006/relationships/hyperlink" Target="https://podminky.urs.cz/item/CS_URS_2022_02/712340833" TargetMode="External"/><Relationship Id="rId48" Type="http://schemas.openxmlformats.org/officeDocument/2006/relationships/hyperlink" Target="https://podminky.urs.cz/item/CS_URS_2022_02/762341832" TargetMode="External"/><Relationship Id="rId56" Type="http://schemas.openxmlformats.org/officeDocument/2006/relationships/hyperlink" Target="https://podminky.urs.cz/item/CS_URS_2022_02/764002861" TargetMode="External"/><Relationship Id="rId64" Type="http://schemas.openxmlformats.org/officeDocument/2006/relationships/hyperlink" Target="https://podminky.urs.cz/item/CS_URS_2022_02/765111861" TargetMode="External"/><Relationship Id="rId69" Type="http://schemas.openxmlformats.org/officeDocument/2006/relationships/hyperlink" Target="https://podminky.urs.cz/item/CS_URS_2022_02/766674811" TargetMode="External"/><Relationship Id="rId8" Type="http://schemas.openxmlformats.org/officeDocument/2006/relationships/hyperlink" Target="https://podminky.urs.cz/item/CS_URS_2022_02/171251201" TargetMode="External"/><Relationship Id="rId51" Type="http://schemas.openxmlformats.org/officeDocument/2006/relationships/hyperlink" Target="https://podminky.urs.cz/item/CS_URS_2022_02/762841811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podminky.urs.cz/item/CS_URS_2022_02/132212131" TargetMode="External"/><Relationship Id="rId12" Type="http://schemas.openxmlformats.org/officeDocument/2006/relationships/hyperlink" Target="https://podminky.urs.cz/item/CS_URS_2022_02/943211812" TargetMode="External"/><Relationship Id="rId17" Type="http://schemas.openxmlformats.org/officeDocument/2006/relationships/hyperlink" Target="https://podminky.urs.cz/item/CS_URS_2022_02/965041341" TargetMode="External"/><Relationship Id="rId25" Type="http://schemas.openxmlformats.org/officeDocument/2006/relationships/hyperlink" Target="https://podminky.urs.cz/item/CS_URS_2022_02/968072456" TargetMode="External"/><Relationship Id="rId33" Type="http://schemas.openxmlformats.org/officeDocument/2006/relationships/hyperlink" Target="https://podminky.urs.cz/item/CS_URS_2022_02/975121423" TargetMode="External"/><Relationship Id="rId38" Type="http://schemas.openxmlformats.org/officeDocument/2006/relationships/hyperlink" Target="https://podminky.urs.cz/item/CS_URS_2022_02/997013312" TargetMode="External"/><Relationship Id="rId46" Type="http://schemas.openxmlformats.org/officeDocument/2006/relationships/hyperlink" Target="https://podminky.urs.cz/item/CS_URS_2022_02/762331813" TargetMode="External"/><Relationship Id="rId59" Type="http://schemas.openxmlformats.org/officeDocument/2006/relationships/hyperlink" Target="https://podminky.urs.cz/item/CS_URS_2022_02/764004861" TargetMode="External"/><Relationship Id="rId67" Type="http://schemas.openxmlformats.org/officeDocument/2006/relationships/hyperlink" Target="https://podminky.urs.cz/item/CS_URS_2022_02/766441812" TargetMode="External"/><Relationship Id="rId20" Type="http://schemas.openxmlformats.org/officeDocument/2006/relationships/hyperlink" Target="https://podminky.urs.cz/item/CS_URS_2022_02/966031313" TargetMode="External"/><Relationship Id="rId41" Type="http://schemas.openxmlformats.org/officeDocument/2006/relationships/hyperlink" Target="https://podminky.urs.cz/item/CS_URS_2022_02/997013509" TargetMode="External"/><Relationship Id="rId54" Type="http://schemas.openxmlformats.org/officeDocument/2006/relationships/hyperlink" Target="https://podminky.urs.cz/item/CS_URS_2022_02/764002841" TargetMode="External"/><Relationship Id="rId62" Type="http://schemas.openxmlformats.org/officeDocument/2006/relationships/hyperlink" Target="https://podminky.urs.cz/item/CS_URS_2022_02/765111801" TargetMode="External"/><Relationship Id="rId70" Type="http://schemas.openxmlformats.org/officeDocument/2006/relationships/hyperlink" Target="https://podminky.urs.cz/item/CS_URS_2022_02/77157381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2/764002414" TargetMode="External"/><Relationship Id="rId21" Type="http://schemas.openxmlformats.org/officeDocument/2006/relationships/hyperlink" Target="https://podminky.urs.cz/item/CS_URS_2022_02/417351115" TargetMode="External"/><Relationship Id="rId42" Type="http://schemas.openxmlformats.org/officeDocument/2006/relationships/hyperlink" Target="https://podminky.urs.cz/item/CS_URS_2022_02/622252001" TargetMode="External"/><Relationship Id="rId63" Type="http://schemas.openxmlformats.org/officeDocument/2006/relationships/hyperlink" Target="https://podminky.urs.cz/item/CS_URS_2022_02/952901111" TargetMode="External"/><Relationship Id="rId84" Type="http://schemas.openxmlformats.org/officeDocument/2006/relationships/hyperlink" Target="https://podminky.urs.cz/item/CS_URS_2022_02/762083121" TargetMode="External"/><Relationship Id="rId138" Type="http://schemas.openxmlformats.org/officeDocument/2006/relationships/hyperlink" Target="https://podminky.urs.cz/item/CS_URS_2022_02/765115302" TargetMode="External"/><Relationship Id="rId159" Type="http://schemas.openxmlformats.org/officeDocument/2006/relationships/hyperlink" Target="https://podminky.urs.cz/item/CS_URS_2022_02/767627307" TargetMode="External"/><Relationship Id="rId170" Type="http://schemas.openxmlformats.org/officeDocument/2006/relationships/hyperlink" Target="https://podminky.urs.cz/item/CS_URS_2022_02/771274123" TargetMode="External"/><Relationship Id="rId191" Type="http://schemas.openxmlformats.org/officeDocument/2006/relationships/hyperlink" Target="https://podminky.urs.cz/item/CS_URS_2022_02/777131101" TargetMode="External"/><Relationship Id="rId205" Type="http://schemas.openxmlformats.org/officeDocument/2006/relationships/hyperlink" Target="https://podminky.urs.cz/item/CS_URS_2022_02/998782201" TargetMode="External"/><Relationship Id="rId107" Type="http://schemas.openxmlformats.org/officeDocument/2006/relationships/hyperlink" Target="https://podminky.urs.cz/item/CS_URS_2022_02/763131751" TargetMode="External"/><Relationship Id="rId11" Type="http://schemas.openxmlformats.org/officeDocument/2006/relationships/hyperlink" Target="https://podminky.urs.cz/item/CS_URS_2022_02/311234111" TargetMode="External"/><Relationship Id="rId32" Type="http://schemas.openxmlformats.org/officeDocument/2006/relationships/hyperlink" Target="https://podminky.urs.cz/item/CS_URS_2022_02/612325302" TargetMode="External"/><Relationship Id="rId37" Type="http://schemas.openxmlformats.org/officeDocument/2006/relationships/hyperlink" Target="https://podminky.urs.cz/item/CS_URS_2022_02/622131121" TargetMode="External"/><Relationship Id="rId53" Type="http://schemas.openxmlformats.org/officeDocument/2006/relationships/hyperlink" Target="https://podminky.urs.cz/item/CS_URS_2022_02/941211111" TargetMode="External"/><Relationship Id="rId58" Type="http://schemas.openxmlformats.org/officeDocument/2006/relationships/hyperlink" Target="https://podminky.urs.cz/item/CS_URS_2022_02/942322111" TargetMode="External"/><Relationship Id="rId74" Type="http://schemas.openxmlformats.org/officeDocument/2006/relationships/hyperlink" Target="https://podminky.urs.cz/item/CS_URS_2022_02/711141559" TargetMode="External"/><Relationship Id="rId79" Type="http://schemas.openxmlformats.org/officeDocument/2006/relationships/hyperlink" Target="https://podminky.urs.cz/item/CS_URS_2022_02/713131141" TargetMode="External"/><Relationship Id="rId102" Type="http://schemas.openxmlformats.org/officeDocument/2006/relationships/hyperlink" Target="https://podminky.urs.cz/item/CS_URS_2022_02/763111333" TargetMode="External"/><Relationship Id="rId123" Type="http://schemas.openxmlformats.org/officeDocument/2006/relationships/hyperlink" Target="https://podminky.urs.cz/item/CS_URS_2022_02/764235406" TargetMode="External"/><Relationship Id="rId128" Type="http://schemas.openxmlformats.org/officeDocument/2006/relationships/hyperlink" Target="https://podminky.urs.cz/item/CS_URS_2022_02/764531446" TargetMode="External"/><Relationship Id="rId144" Type="http://schemas.openxmlformats.org/officeDocument/2006/relationships/hyperlink" Target="https://podminky.urs.cz/item/CS_URS_2022_02/765191021" TargetMode="External"/><Relationship Id="rId149" Type="http://schemas.openxmlformats.org/officeDocument/2006/relationships/hyperlink" Target="https://podminky.urs.cz/item/CS_URS_2022_02/998765203" TargetMode="External"/><Relationship Id="rId5" Type="http://schemas.openxmlformats.org/officeDocument/2006/relationships/hyperlink" Target="https://podminky.urs.cz/item/CS_URS_2022_02/273362021" TargetMode="External"/><Relationship Id="rId90" Type="http://schemas.openxmlformats.org/officeDocument/2006/relationships/hyperlink" Target="https://podminky.urs.cz/item/CS_URS_2022_02/762341042" TargetMode="External"/><Relationship Id="rId95" Type="http://schemas.openxmlformats.org/officeDocument/2006/relationships/hyperlink" Target="https://podminky.urs.cz/item/CS_URS_2022_02/762511145" TargetMode="External"/><Relationship Id="rId160" Type="http://schemas.openxmlformats.org/officeDocument/2006/relationships/hyperlink" Target="https://podminky.urs.cz/item/CS_URS_2022_02/767640111" TargetMode="External"/><Relationship Id="rId165" Type="http://schemas.openxmlformats.org/officeDocument/2006/relationships/hyperlink" Target="https://podminky.urs.cz/item/CS_URS_2022_02/771111011" TargetMode="External"/><Relationship Id="rId181" Type="http://schemas.openxmlformats.org/officeDocument/2006/relationships/hyperlink" Target="https://podminky.urs.cz/item/CS_URS_2022_02/771592011" TargetMode="External"/><Relationship Id="rId186" Type="http://schemas.openxmlformats.org/officeDocument/2006/relationships/hyperlink" Target="https://podminky.urs.cz/item/CS_URS_2022_02/776221111" TargetMode="External"/><Relationship Id="rId216" Type="http://schemas.openxmlformats.org/officeDocument/2006/relationships/drawing" Target="../drawings/drawing3.xml"/><Relationship Id="rId211" Type="http://schemas.openxmlformats.org/officeDocument/2006/relationships/hyperlink" Target="https://podminky.urs.cz/item/CS_URS_2022_02/784211101" TargetMode="External"/><Relationship Id="rId22" Type="http://schemas.openxmlformats.org/officeDocument/2006/relationships/hyperlink" Target="https://podminky.urs.cz/item/CS_URS_2022_02/417351116" TargetMode="External"/><Relationship Id="rId27" Type="http://schemas.openxmlformats.org/officeDocument/2006/relationships/hyperlink" Target="https://podminky.urs.cz/item/CS_URS_2022_02/434351142" TargetMode="External"/><Relationship Id="rId43" Type="http://schemas.openxmlformats.org/officeDocument/2006/relationships/hyperlink" Target="https://podminky.urs.cz/item/CS_URS_2022_02/622252002" TargetMode="External"/><Relationship Id="rId48" Type="http://schemas.openxmlformats.org/officeDocument/2006/relationships/hyperlink" Target="https://podminky.urs.cz/item/CS_URS_2022_02/631311114" TargetMode="External"/><Relationship Id="rId64" Type="http://schemas.openxmlformats.org/officeDocument/2006/relationships/hyperlink" Target="https://podminky.urs.cz/item/CS_URS_2022_02/953943211" TargetMode="External"/><Relationship Id="rId69" Type="http://schemas.openxmlformats.org/officeDocument/2006/relationships/hyperlink" Target="https://podminky.urs.cz/item/CS_URS_2022_02/997013501" TargetMode="External"/><Relationship Id="rId113" Type="http://schemas.openxmlformats.org/officeDocument/2006/relationships/hyperlink" Target="https://podminky.urs.cz/item/CS_URS_2022_02/763182411" TargetMode="External"/><Relationship Id="rId118" Type="http://schemas.openxmlformats.org/officeDocument/2006/relationships/hyperlink" Target="https://podminky.urs.cz/item/CS_URS_2022_02/764131403" TargetMode="External"/><Relationship Id="rId134" Type="http://schemas.openxmlformats.org/officeDocument/2006/relationships/hyperlink" Target="https://podminky.urs.cz/item/CS_URS_2022_02/765111253" TargetMode="External"/><Relationship Id="rId139" Type="http://schemas.openxmlformats.org/officeDocument/2006/relationships/hyperlink" Target="https://podminky.urs.cz/item/CS_URS_2022_02/765115351" TargetMode="External"/><Relationship Id="rId80" Type="http://schemas.openxmlformats.org/officeDocument/2006/relationships/hyperlink" Target="https://podminky.urs.cz/item/CS_URS_2022_02/713151111" TargetMode="External"/><Relationship Id="rId85" Type="http://schemas.openxmlformats.org/officeDocument/2006/relationships/hyperlink" Target="https://podminky.urs.cz/item/CS_URS_2022_02/762332542" TargetMode="External"/><Relationship Id="rId150" Type="http://schemas.openxmlformats.org/officeDocument/2006/relationships/hyperlink" Target="https://podminky.urs.cz/item/CS_URS_2022_02/766231113" TargetMode="External"/><Relationship Id="rId155" Type="http://schemas.openxmlformats.org/officeDocument/2006/relationships/hyperlink" Target="https://podminky.urs.cz/item/CS_URS_2022_02/998766203" TargetMode="External"/><Relationship Id="rId171" Type="http://schemas.openxmlformats.org/officeDocument/2006/relationships/hyperlink" Target="https://podminky.urs.cz/item/CS_URS_2022_02/771274232" TargetMode="External"/><Relationship Id="rId176" Type="http://schemas.openxmlformats.org/officeDocument/2006/relationships/hyperlink" Target="https://podminky.urs.cz/item/CS_URS_2022_02/771591115" TargetMode="External"/><Relationship Id="rId192" Type="http://schemas.openxmlformats.org/officeDocument/2006/relationships/hyperlink" Target="https://podminky.urs.cz/item/CS_URS_2022_02/777511103" TargetMode="External"/><Relationship Id="rId197" Type="http://schemas.openxmlformats.org/officeDocument/2006/relationships/hyperlink" Target="https://podminky.urs.cz/item/CS_URS_2022_02/781121011" TargetMode="External"/><Relationship Id="rId206" Type="http://schemas.openxmlformats.org/officeDocument/2006/relationships/hyperlink" Target="https://podminky.urs.cz/item/CS_URS_2022_02/783301313" TargetMode="External"/><Relationship Id="rId201" Type="http://schemas.openxmlformats.org/officeDocument/2006/relationships/hyperlink" Target="https://podminky.urs.cz/item/CS_URS_2022_02/781495115" TargetMode="External"/><Relationship Id="rId12" Type="http://schemas.openxmlformats.org/officeDocument/2006/relationships/hyperlink" Target="https://podminky.urs.cz/item/CS_URS_2022_02/311236101" TargetMode="External"/><Relationship Id="rId17" Type="http://schemas.openxmlformats.org/officeDocument/2006/relationships/hyperlink" Target="https://podminky.urs.cz/item/CS_URS_2022_02/317234410" TargetMode="External"/><Relationship Id="rId33" Type="http://schemas.openxmlformats.org/officeDocument/2006/relationships/hyperlink" Target="https://podminky.urs.cz/item/CS_URS_2022_02/612325419" TargetMode="External"/><Relationship Id="rId38" Type="http://schemas.openxmlformats.org/officeDocument/2006/relationships/hyperlink" Target="https://podminky.urs.cz/item/CS_URS_2022_02/622142001" TargetMode="External"/><Relationship Id="rId59" Type="http://schemas.openxmlformats.org/officeDocument/2006/relationships/hyperlink" Target="https://podminky.urs.cz/item/CS_URS_2022_02/942322211" TargetMode="External"/><Relationship Id="rId103" Type="http://schemas.openxmlformats.org/officeDocument/2006/relationships/hyperlink" Target="https://podminky.urs.cz/item/CS_URS_2022_02/763121411" TargetMode="External"/><Relationship Id="rId108" Type="http://schemas.openxmlformats.org/officeDocument/2006/relationships/hyperlink" Target="https://podminky.urs.cz/item/CS_URS_2022_02/763132121" TargetMode="External"/><Relationship Id="rId124" Type="http://schemas.openxmlformats.org/officeDocument/2006/relationships/hyperlink" Target="https://podminky.urs.cz/item/CS_URS_2022_02/764235411" TargetMode="External"/><Relationship Id="rId129" Type="http://schemas.openxmlformats.org/officeDocument/2006/relationships/hyperlink" Target="https://podminky.urs.cz/item/CS_URS_2022_02/764533412" TargetMode="External"/><Relationship Id="rId54" Type="http://schemas.openxmlformats.org/officeDocument/2006/relationships/hyperlink" Target="https://podminky.urs.cz/item/CS_URS_2022_02/941211112" TargetMode="External"/><Relationship Id="rId70" Type="http://schemas.openxmlformats.org/officeDocument/2006/relationships/hyperlink" Target="https://podminky.urs.cz/item/CS_URS_2022_02/997013509" TargetMode="External"/><Relationship Id="rId75" Type="http://schemas.openxmlformats.org/officeDocument/2006/relationships/hyperlink" Target="https://podminky.urs.cz/item/CS_URS_2022_02/998711203" TargetMode="External"/><Relationship Id="rId91" Type="http://schemas.openxmlformats.org/officeDocument/2006/relationships/hyperlink" Target="https://podminky.urs.cz/item/CS_URS_2022_02/762341270" TargetMode="External"/><Relationship Id="rId96" Type="http://schemas.openxmlformats.org/officeDocument/2006/relationships/hyperlink" Target="https://podminky.urs.cz/item/CS_URS_2022_02/762511277" TargetMode="External"/><Relationship Id="rId140" Type="http://schemas.openxmlformats.org/officeDocument/2006/relationships/hyperlink" Target="https://podminky.urs.cz/item/CS_URS_2022_02/765115352" TargetMode="External"/><Relationship Id="rId145" Type="http://schemas.openxmlformats.org/officeDocument/2006/relationships/hyperlink" Target="https://podminky.urs.cz/item/CS_URS_2022_02/765191045" TargetMode="External"/><Relationship Id="rId161" Type="http://schemas.openxmlformats.org/officeDocument/2006/relationships/hyperlink" Target="https://podminky.urs.cz/item/CS_URS_2022_02/767649191" TargetMode="External"/><Relationship Id="rId166" Type="http://schemas.openxmlformats.org/officeDocument/2006/relationships/hyperlink" Target="https://podminky.urs.cz/item/CS_URS_2022_02/771111012" TargetMode="External"/><Relationship Id="rId182" Type="http://schemas.openxmlformats.org/officeDocument/2006/relationships/hyperlink" Target="https://podminky.urs.cz/item/CS_URS_2022_02/998771203" TargetMode="External"/><Relationship Id="rId187" Type="http://schemas.openxmlformats.org/officeDocument/2006/relationships/hyperlink" Target="https://podminky.urs.cz/item/CS_URS_2022_02/776411111" TargetMode="External"/><Relationship Id="rId1" Type="http://schemas.openxmlformats.org/officeDocument/2006/relationships/hyperlink" Target="https://podminky.urs.cz/item/CS_URS_2022_02/181912112" TargetMode="External"/><Relationship Id="rId6" Type="http://schemas.openxmlformats.org/officeDocument/2006/relationships/hyperlink" Target="https://podminky.urs.cz/item/CS_URS_2022_02/274321411" TargetMode="External"/><Relationship Id="rId212" Type="http://schemas.openxmlformats.org/officeDocument/2006/relationships/hyperlink" Target="https://podminky.urs.cz/item/CS_URS_2022_02/786623111" TargetMode="External"/><Relationship Id="rId23" Type="http://schemas.openxmlformats.org/officeDocument/2006/relationships/hyperlink" Target="https://podminky.urs.cz/item/CS_URS_2022_02/417361821" TargetMode="External"/><Relationship Id="rId28" Type="http://schemas.openxmlformats.org/officeDocument/2006/relationships/hyperlink" Target="https://podminky.urs.cz/item/CS_URS_2022_02/564760001" TargetMode="External"/><Relationship Id="rId49" Type="http://schemas.openxmlformats.org/officeDocument/2006/relationships/hyperlink" Target="https://podminky.urs.cz/item/CS_URS_2022_02/631319011" TargetMode="External"/><Relationship Id="rId114" Type="http://schemas.openxmlformats.org/officeDocument/2006/relationships/hyperlink" Target="https://podminky.urs.cz/item/CS_URS_2022_02/763264542" TargetMode="External"/><Relationship Id="rId119" Type="http://schemas.openxmlformats.org/officeDocument/2006/relationships/hyperlink" Target="https://podminky.urs.cz/item/CS_URS_2022_02/764131491" TargetMode="External"/><Relationship Id="rId44" Type="http://schemas.openxmlformats.org/officeDocument/2006/relationships/hyperlink" Target="https://podminky.urs.cz/item/CS_URS_2022_02/622326359" TargetMode="External"/><Relationship Id="rId60" Type="http://schemas.openxmlformats.org/officeDocument/2006/relationships/hyperlink" Target="https://podminky.urs.cz/item/CS_URS_2022_02/942322811" TargetMode="External"/><Relationship Id="rId65" Type="http://schemas.openxmlformats.org/officeDocument/2006/relationships/hyperlink" Target="https://podminky.urs.cz/item/CS_URS_2022_02/953961114" TargetMode="External"/><Relationship Id="rId81" Type="http://schemas.openxmlformats.org/officeDocument/2006/relationships/hyperlink" Target="https://podminky.urs.cz/item/CS_URS_2022_02/713191132" TargetMode="External"/><Relationship Id="rId86" Type="http://schemas.openxmlformats.org/officeDocument/2006/relationships/hyperlink" Target="https://podminky.urs.cz/item/CS_URS_2022_02/762332543" TargetMode="External"/><Relationship Id="rId130" Type="http://schemas.openxmlformats.org/officeDocument/2006/relationships/hyperlink" Target="https://podminky.urs.cz/item/CS_URS_2022_02/764538424" TargetMode="External"/><Relationship Id="rId135" Type="http://schemas.openxmlformats.org/officeDocument/2006/relationships/hyperlink" Target="https://podminky.urs.cz/item/CS_URS_2022_02/765111403" TargetMode="External"/><Relationship Id="rId151" Type="http://schemas.openxmlformats.org/officeDocument/2006/relationships/hyperlink" Target="https://podminky.urs.cz/item/CS_URS_2022_02/766671023" TargetMode="External"/><Relationship Id="rId156" Type="http://schemas.openxmlformats.org/officeDocument/2006/relationships/hyperlink" Target="https://podminky.urs.cz/item/CS_URS_2022_02/767610127" TargetMode="External"/><Relationship Id="rId177" Type="http://schemas.openxmlformats.org/officeDocument/2006/relationships/hyperlink" Target="https://podminky.urs.cz/item/CS_URS_2022_02/771591117" TargetMode="External"/><Relationship Id="rId198" Type="http://schemas.openxmlformats.org/officeDocument/2006/relationships/hyperlink" Target="https://podminky.urs.cz/item/CS_URS_2022_02/781474112" TargetMode="External"/><Relationship Id="rId172" Type="http://schemas.openxmlformats.org/officeDocument/2006/relationships/hyperlink" Target="https://podminky.urs.cz/item/CS_URS_2022_02/771474113" TargetMode="External"/><Relationship Id="rId193" Type="http://schemas.openxmlformats.org/officeDocument/2006/relationships/hyperlink" Target="https://podminky.urs.cz/item/CS_URS_2022_02/777611101" TargetMode="External"/><Relationship Id="rId202" Type="http://schemas.openxmlformats.org/officeDocument/2006/relationships/hyperlink" Target="https://podminky.urs.cz/item/CS_URS_2022_02/781495211" TargetMode="External"/><Relationship Id="rId207" Type="http://schemas.openxmlformats.org/officeDocument/2006/relationships/hyperlink" Target="https://podminky.urs.cz/item/CS_URS_2022_02/783301401" TargetMode="External"/><Relationship Id="rId13" Type="http://schemas.openxmlformats.org/officeDocument/2006/relationships/hyperlink" Target="https://podminky.urs.cz/item/CS_URS_2022_02/311238803" TargetMode="External"/><Relationship Id="rId18" Type="http://schemas.openxmlformats.org/officeDocument/2006/relationships/hyperlink" Target="https://podminky.urs.cz/item/CS_URS_2022_02/317998143" TargetMode="External"/><Relationship Id="rId39" Type="http://schemas.openxmlformats.org/officeDocument/2006/relationships/hyperlink" Target="https://podminky.urs.cz/item/CS_URS_2022_02/622151011" TargetMode="External"/><Relationship Id="rId109" Type="http://schemas.openxmlformats.org/officeDocument/2006/relationships/hyperlink" Target="https://podminky.urs.cz/item/CS_URS_2022_02/763158115" TargetMode="External"/><Relationship Id="rId34" Type="http://schemas.openxmlformats.org/officeDocument/2006/relationships/hyperlink" Target="https://podminky.urs.cz/item/CS_URS_2022_02/619996117" TargetMode="External"/><Relationship Id="rId50" Type="http://schemas.openxmlformats.org/officeDocument/2006/relationships/hyperlink" Target="https://podminky.urs.cz/item/CS_URS_2022_02/631319171" TargetMode="External"/><Relationship Id="rId55" Type="http://schemas.openxmlformats.org/officeDocument/2006/relationships/hyperlink" Target="https://podminky.urs.cz/item/CS_URS_2022_02/941211211" TargetMode="External"/><Relationship Id="rId76" Type="http://schemas.openxmlformats.org/officeDocument/2006/relationships/hyperlink" Target="https://podminky.urs.cz/item/CS_URS_2022_02/713121111" TargetMode="External"/><Relationship Id="rId97" Type="http://schemas.openxmlformats.org/officeDocument/2006/relationships/hyperlink" Target="https://podminky.urs.cz/item/CS_URS_2022_02/762511264" TargetMode="External"/><Relationship Id="rId104" Type="http://schemas.openxmlformats.org/officeDocument/2006/relationships/hyperlink" Target="https://podminky.urs.cz/item/CS_URS_2022_02/763121415" TargetMode="External"/><Relationship Id="rId120" Type="http://schemas.openxmlformats.org/officeDocument/2006/relationships/hyperlink" Target="https://podminky.urs.cz/item/CS_URS_2022_02/764231466" TargetMode="External"/><Relationship Id="rId125" Type="http://schemas.openxmlformats.org/officeDocument/2006/relationships/hyperlink" Target="https://podminky.urs.cz/item/CS_URS_2022_02/764246404" TargetMode="External"/><Relationship Id="rId141" Type="http://schemas.openxmlformats.org/officeDocument/2006/relationships/hyperlink" Target="https://podminky.urs.cz/item/CS_URS_2022_02/765115401" TargetMode="External"/><Relationship Id="rId146" Type="http://schemas.openxmlformats.org/officeDocument/2006/relationships/hyperlink" Target="https://podminky.urs.cz/item/CS_URS_2022_02/765191051" TargetMode="External"/><Relationship Id="rId167" Type="http://schemas.openxmlformats.org/officeDocument/2006/relationships/hyperlink" Target="https://podminky.urs.cz/item/CS_URS_2022_02/771121011" TargetMode="External"/><Relationship Id="rId188" Type="http://schemas.openxmlformats.org/officeDocument/2006/relationships/hyperlink" Target="https://podminky.urs.cz/item/CS_URS_2022_02/776991121" TargetMode="External"/><Relationship Id="rId7" Type="http://schemas.openxmlformats.org/officeDocument/2006/relationships/hyperlink" Target="https://podminky.urs.cz/item/CS_URS_2022_02/274351121" TargetMode="External"/><Relationship Id="rId71" Type="http://schemas.openxmlformats.org/officeDocument/2006/relationships/hyperlink" Target="https://podminky.urs.cz/item/CS_URS_2022_02/997013631" TargetMode="External"/><Relationship Id="rId92" Type="http://schemas.openxmlformats.org/officeDocument/2006/relationships/hyperlink" Target="https://podminky.urs.cz/item/CS_URS_2022_02/762342214" TargetMode="External"/><Relationship Id="rId162" Type="http://schemas.openxmlformats.org/officeDocument/2006/relationships/hyperlink" Target="https://podminky.urs.cz/item/CS_URS_2022_02/767995113" TargetMode="External"/><Relationship Id="rId183" Type="http://schemas.openxmlformats.org/officeDocument/2006/relationships/hyperlink" Target="https://podminky.urs.cz/item/CS_URS_2022_02/776111311" TargetMode="External"/><Relationship Id="rId213" Type="http://schemas.openxmlformats.org/officeDocument/2006/relationships/hyperlink" Target="https://podminky.urs.cz/item/CS_URS_2022_02/786626121" TargetMode="External"/><Relationship Id="rId2" Type="http://schemas.openxmlformats.org/officeDocument/2006/relationships/hyperlink" Target="https://podminky.urs.cz/item/CS_URS_2022_02/273321511" TargetMode="External"/><Relationship Id="rId29" Type="http://schemas.openxmlformats.org/officeDocument/2006/relationships/hyperlink" Target="https://podminky.urs.cz/item/CS_URS_2022_02/596211110" TargetMode="External"/><Relationship Id="rId24" Type="http://schemas.openxmlformats.org/officeDocument/2006/relationships/hyperlink" Target="https://podminky.urs.cz/item/CS_URS_2022_02/430321212" TargetMode="External"/><Relationship Id="rId40" Type="http://schemas.openxmlformats.org/officeDocument/2006/relationships/hyperlink" Target="https://podminky.urs.cz/item/CS_URS_2022_02/622221021" TargetMode="External"/><Relationship Id="rId45" Type="http://schemas.openxmlformats.org/officeDocument/2006/relationships/hyperlink" Target="https://podminky.urs.cz/item/CS_URS_2022_02/622521012" TargetMode="External"/><Relationship Id="rId66" Type="http://schemas.openxmlformats.org/officeDocument/2006/relationships/hyperlink" Target="https://podminky.urs.cz/item/CS_URS_2022_02/953965133" TargetMode="External"/><Relationship Id="rId87" Type="http://schemas.openxmlformats.org/officeDocument/2006/relationships/hyperlink" Target="https://podminky.urs.cz/item/CS_URS_2022_02/762332544" TargetMode="External"/><Relationship Id="rId110" Type="http://schemas.openxmlformats.org/officeDocument/2006/relationships/hyperlink" Target="https://podminky.urs.cz/item/CS_URS_2022_02/763158118" TargetMode="External"/><Relationship Id="rId115" Type="http://schemas.openxmlformats.org/officeDocument/2006/relationships/hyperlink" Target="https://podminky.urs.cz/item/CS_URS_2022_02/763782213" TargetMode="External"/><Relationship Id="rId131" Type="http://schemas.openxmlformats.org/officeDocument/2006/relationships/hyperlink" Target="https://podminky.urs.cz/item/CS_URS_2022_02/998764203" TargetMode="External"/><Relationship Id="rId136" Type="http://schemas.openxmlformats.org/officeDocument/2006/relationships/hyperlink" Target="https://podminky.urs.cz/item/CS_URS_2022_02/765111404" TargetMode="External"/><Relationship Id="rId157" Type="http://schemas.openxmlformats.org/officeDocument/2006/relationships/hyperlink" Target="https://podminky.urs.cz/item/CS_URS_2022_02/767610128" TargetMode="External"/><Relationship Id="rId178" Type="http://schemas.openxmlformats.org/officeDocument/2006/relationships/hyperlink" Target="https://podminky.urs.cz/item/CS_URS_2022_02/771591241" TargetMode="External"/><Relationship Id="rId61" Type="http://schemas.openxmlformats.org/officeDocument/2006/relationships/hyperlink" Target="https://podminky.urs.cz/item/CS_URS_2022_02/945421112" TargetMode="External"/><Relationship Id="rId82" Type="http://schemas.openxmlformats.org/officeDocument/2006/relationships/hyperlink" Target="https://podminky.urs.cz/item/CS_URS_2022_02/998713203" TargetMode="External"/><Relationship Id="rId152" Type="http://schemas.openxmlformats.org/officeDocument/2006/relationships/hyperlink" Target="https://podminky.urs.cz/item/CS_URS_2022_02/766671026" TargetMode="External"/><Relationship Id="rId173" Type="http://schemas.openxmlformats.org/officeDocument/2006/relationships/hyperlink" Target="https://podminky.urs.cz/item/CS_URS_2022_02/771474133" TargetMode="External"/><Relationship Id="rId194" Type="http://schemas.openxmlformats.org/officeDocument/2006/relationships/hyperlink" Target="https://podminky.urs.cz/item/CS_URS_2022_02/777911113" TargetMode="External"/><Relationship Id="rId199" Type="http://schemas.openxmlformats.org/officeDocument/2006/relationships/hyperlink" Target="https://podminky.urs.cz/item/CS_URS_2022_02/781477111" TargetMode="External"/><Relationship Id="rId203" Type="http://schemas.openxmlformats.org/officeDocument/2006/relationships/hyperlink" Target="https://podminky.urs.cz/item/CS_URS_2022_02/998781203" TargetMode="External"/><Relationship Id="rId208" Type="http://schemas.openxmlformats.org/officeDocument/2006/relationships/hyperlink" Target="https://podminky.urs.cz/item/CS_URS_2022_02/783314203" TargetMode="External"/><Relationship Id="rId19" Type="http://schemas.openxmlformats.org/officeDocument/2006/relationships/hyperlink" Target="https://podminky.urs.cz/item/CS_URS_2022_02/411121232" TargetMode="External"/><Relationship Id="rId14" Type="http://schemas.openxmlformats.org/officeDocument/2006/relationships/hyperlink" Target="https://podminky.urs.cz/item/CS_URS_2022_02/317168052" TargetMode="External"/><Relationship Id="rId30" Type="http://schemas.openxmlformats.org/officeDocument/2006/relationships/hyperlink" Target="https://podminky.urs.cz/item/CS_URS_2022_02/612131121" TargetMode="External"/><Relationship Id="rId35" Type="http://schemas.openxmlformats.org/officeDocument/2006/relationships/hyperlink" Target="https://podminky.urs.cz/item/CS_URS_2022_02/619996145" TargetMode="External"/><Relationship Id="rId56" Type="http://schemas.openxmlformats.org/officeDocument/2006/relationships/hyperlink" Target="https://podminky.urs.cz/item/CS_URS_2022_02/941211811" TargetMode="External"/><Relationship Id="rId77" Type="http://schemas.openxmlformats.org/officeDocument/2006/relationships/hyperlink" Target="https://podminky.urs.cz/item/CS_URS_2022_02/713121121" TargetMode="External"/><Relationship Id="rId100" Type="http://schemas.openxmlformats.org/officeDocument/2006/relationships/hyperlink" Target="https://podminky.urs.cz/item/CS_URS_2022_02/998762203" TargetMode="External"/><Relationship Id="rId105" Type="http://schemas.openxmlformats.org/officeDocument/2006/relationships/hyperlink" Target="https://podminky.urs.cz/item/CS_URS_2022_02/763121422" TargetMode="External"/><Relationship Id="rId126" Type="http://schemas.openxmlformats.org/officeDocument/2006/relationships/hyperlink" Target="https://podminky.urs.cz/item/CS_URS_2022_02/764331413" TargetMode="External"/><Relationship Id="rId147" Type="http://schemas.openxmlformats.org/officeDocument/2006/relationships/hyperlink" Target="https://podminky.urs.cz/item/CS_URS_2022_02/765191071" TargetMode="External"/><Relationship Id="rId168" Type="http://schemas.openxmlformats.org/officeDocument/2006/relationships/hyperlink" Target="https://podminky.urs.cz/item/CS_URS_2022_02/771151012" TargetMode="External"/><Relationship Id="rId8" Type="http://schemas.openxmlformats.org/officeDocument/2006/relationships/hyperlink" Target="https://podminky.urs.cz/item/CS_URS_2022_02/274351122" TargetMode="External"/><Relationship Id="rId51" Type="http://schemas.openxmlformats.org/officeDocument/2006/relationships/hyperlink" Target="https://podminky.urs.cz/item/CS_URS_2022_02/631362021" TargetMode="External"/><Relationship Id="rId72" Type="http://schemas.openxmlformats.org/officeDocument/2006/relationships/hyperlink" Target="https://podminky.urs.cz/item/CS_URS_2022_02/998017003" TargetMode="External"/><Relationship Id="rId93" Type="http://schemas.openxmlformats.org/officeDocument/2006/relationships/hyperlink" Target="https://podminky.urs.cz/item/CS_URS_2022_02/762342511" TargetMode="External"/><Relationship Id="rId98" Type="http://schemas.openxmlformats.org/officeDocument/2006/relationships/hyperlink" Target="https://podminky.urs.cz/item/CS_URS_2022_02/762512261" TargetMode="External"/><Relationship Id="rId121" Type="http://schemas.openxmlformats.org/officeDocument/2006/relationships/hyperlink" Target="https://podminky.urs.cz/item/CS_URS_2022_02/764232403" TargetMode="External"/><Relationship Id="rId142" Type="http://schemas.openxmlformats.org/officeDocument/2006/relationships/hyperlink" Target="https://podminky.urs.cz/item/CS_URS_2022_02/765115421" TargetMode="External"/><Relationship Id="rId163" Type="http://schemas.openxmlformats.org/officeDocument/2006/relationships/hyperlink" Target="https://podminky.urs.cz/item/CS_URS_2022_02/767995114" TargetMode="External"/><Relationship Id="rId184" Type="http://schemas.openxmlformats.org/officeDocument/2006/relationships/hyperlink" Target="https://podminky.urs.cz/item/CS_URS_2022_02/776121112" TargetMode="External"/><Relationship Id="rId189" Type="http://schemas.openxmlformats.org/officeDocument/2006/relationships/hyperlink" Target="https://podminky.urs.cz/item/CS_URS_2022_02/998776203" TargetMode="External"/><Relationship Id="rId3" Type="http://schemas.openxmlformats.org/officeDocument/2006/relationships/hyperlink" Target="https://podminky.urs.cz/item/CS_URS_2022_02/273351121" TargetMode="External"/><Relationship Id="rId214" Type="http://schemas.openxmlformats.org/officeDocument/2006/relationships/hyperlink" Target="https://podminky.urs.cz/item/CS_URS_2022_02/998786203" TargetMode="External"/><Relationship Id="rId25" Type="http://schemas.openxmlformats.org/officeDocument/2006/relationships/hyperlink" Target="https://podminky.urs.cz/item/CS_URS_2022_02/430361821" TargetMode="External"/><Relationship Id="rId46" Type="http://schemas.openxmlformats.org/officeDocument/2006/relationships/hyperlink" Target="https://podminky.urs.cz/item/CS_URS_2022_02/629991011" TargetMode="External"/><Relationship Id="rId67" Type="http://schemas.openxmlformats.org/officeDocument/2006/relationships/hyperlink" Target="https://podminky.urs.cz/item/CS_URS_2022_02/973031325" TargetMode="External"/><Relationship Id="rId116" Type="http://schemas.openxmlformats.org/officeDocument/2006/relationships/hyperlink" Target="https://podminky.urs.cz/item/CS_URS_2022_02/998763403" TargetMode="External"/><Relationship Id="rId137" Type="http://schemas.openxmlformats.org/officeDocument/2006/relationships/hyperlink" Target="https://podminky.urs.cz/item/CS_URS_2022_02/765111503" TargetMode="External"/><Relationship Id="rId158" Type="http://schemas.openxmlformats.org/officeDocument/2006/relationships/hyperlink" Target="https://podminky.urs.cz/item/CS_URS_2022_02/767627306" TargetMode="External"/><Relationship Id="rId20" Type="http://schemas.openxmlformats.org/officeDocument/2006/relationships/hyperlink" Target="https://podminky.urs.cz/item/CS_URS_2022_02/417321515" TargetMode="External"/><Relationship Id="rId41" Type="http://schemas.openxmlformats.org/officeDocument/2006/relationships/hyperlink" Target="https://podminky.urs.cz/item/CS_URS_2022_02/622212051" TargetMode="External"/><Relationship Id="rId62" Type="http://schemas.openxmlformats.org/officeDocument/2006/relationships/hyperlink" Target="https://podminky.urs.cz/item/CS_URS_2022_02/949101112" TargetMode="External"/><Relationship Id="rId83" Type="http://schemas.openxmlformats.org/officeDocument/2006/relationships/hyperlink" Target="https://podminky.urs.cz/item/CS_URS_2022_02/762081150" TargetMode="External"/><Relationship Id="rId88" Type="http://schemas.openxmlformats.org/officeDocument/2006/relationships/hyperlink" Target="https://podminky.urs.cz/item/CS_URS_2022_02/762332641" TargetMode="External"/><Relationship Id="rId111" Type="http://schemas.openxmlformats.org/officeDocument/2006/relationships/hyperlink" Target="https://podminky.urs.cz/item/CS_URS_2022_02/763161751" TargetMode="External"/><Relationship Id="rId132" Type="http://schemas.openxmlformats.org/officeDocument/2006/relationships/hyperlink" Target="https://podminky.urs.cz/item/CS_URS_2022_02/765111015" TargetMode="External"/><Relationship Id="rId153" Type="http://schemas.openxmlformats.org/officeDocument/2006/relationships/hyperlink" Target="https://podminky.urs.cz/item/CS_URS_2022_02/766694112" TargetMode="External"/><Relationship Id="rId174" Type="http://schemas.openxmlformats.org/officeDocument/2006/relationships/hyperlink" Target="https://podminky.urs.cz/item/CS_URS_2022_02/771574263" TargetMode="External"/><Relationship Id="rId179" Type="http://schemas.openxmlformats.org/officeDocument/2006/relationships/hyperlink" Target="https://podminky.urs.cz/item/CS_URS_2022_02/771591242" TargetMode="External"/><Relationship Id="rId195" Type="http://schemas.openxmlformats.org/officeDocument/2006/relationships/hyperlink" Target="https://podminky.urs.cz/item/CS_URS_2022_02/998777203" TargetMode="External"/><Relationship Id="rId209" Type="http://schemas.openxmlformats.org/officeDocument/2006/relationships/hyperlink" Target="https://podminky.urs.cz/item/CS_URS_2022_02/784111001" TargetMode="External"/><Relationship Id="rId190" Type="http://schemas.openxmlformats.org/officeDocument/2006/relationships/hyperlink" Target="https://podminky.urs.cz/item/CS_URS_2022_02/777111111" TargetMode="External"/><Relationship Id="rId204" Type="http://schemas.openxmlformats.org/officeDocument/2006/relationships/hyperlink" Target="https://podminky.urs.cz/item/CS_URS_2022_02/782132412" TargetMode="External"/><Relationship Id="rId15" Type="http://schemas.openxmlformats.org/officeDocument/2006/relationships/hyperlink" Target="https://podminky.urs.cz/item/CS_URS_2022_02/317168053" TargetMode="External"/><Relationship Id="rId36" Type="http://schemas.openxmlformats.org/officeDocument/2006/relationships/hyperlink" Target="https://podminky.urs.cz/item/CS_URS_2022_02/621211012" TargetMode="External"/><Relationship Id="rId57" Type="http://schemas.openxmlformats.org/officeDocument/2006/relationships/hyperlink" Target="https://podminky.urs.cz/item/CS_URS_2022_02/941211812" TargetMode="External"/><Relationship Id="rId106" Type="http://schemas.openxmlformats.org/officeDocument/2006/relationships/hyperlink" Target="https://podminky.urs.cz/item/CS_URS_2022_02/763131431" TargetMode="External"/><Relationship Id="rId127" Type="http://schemas.openxmlformats.org/officeDocument/2006/relationships/hyperlink" Target="https://podminky.urs.cz/item/CS_URS_2022_02/764531404" TargetMode="External"/><Relationship Id="rId10" Type="http://schemas.openxmlformats.org/officeDocument/2006/relationships/hyperlink" Target="https://podminky.urs.cz/item/CS_URS_2022_02/311234051" TargetMode="External"/><Relationship Id="rId31" Type="http://schemas.openxmlformats.org/officeDocument/2006/relationships/hyperlink" Target="https://podminky.urs.cz/item/CS_URS_2022_02/612321141" TargetMode="External"/><Relationship Id="rId52" Type="http://schemas.openxmlformats.org/officeDocument/2006/relationships/hyperlink" Target="https://podminky.urs.cz/item/CS_URS_2022_02/634112113" TargetMode="External"/><Relationship Id="rId73" Type="http://schemas.openxmlformats.org/officeDocument/2006/relationships/hyperlink" Target="https://podminky.urs.cz/item/CS_URS_2022_02/711111002" TargetMode="External"/><Relationship Id="rId78" Type="http://schemas.openxmlformats.org/officeDocument/2006/relationships/hyperlink" Target="https://podminky.urs.cz/item/CS_URS_2022_02/713121122" TargetMode="External"/><Relationship Id="rId94" Type="http://schemas.openxmlformats.org/officeDocument/2006/relationships/hyperlink" Target="https://podminky.urs.cz/item/CS_URS_2022_02/762395000" TargetMode="External"/><Relationship Id="rId99" Type="http://schemas.openxmlformats.org/officeDocument/2006/relationships/hyperlink" Target="https://podminky.urs.cz/item/CS_URS_2022_02/762595001" TargetMode="External"/><Relationship Id="rId101" Type="http://schemas.openxmlformats.org/officeDocument/2006/relationships/hyperlink" Target="https://podminky.urs.cz/item/CS_URS_2022_02/763111314" TargetMode="External"/><Relationship Id="rId122" Type="http://schemas.openxmlformats.org/officeDocument/2006/relationships/hyperlink" Target="https://podminky.urs.cz/item/CS_URS_2022_02/764232437" TargetMode="External"/><Relationship Id="rId143" Type="http://schemas.openxmlformats.org/officeDocument/2006/relationships/hyperlink" Target="https://podminky.urs.cz/item/CS_URS_2022_02/765191001" TargetMode="External"/><Relationship Id="rId148" Type="http://schemas.openxmlformats.org/officeDocument/2006/relationships/hyperlink" Target="https://podminky.urs.cz/item/CS_URS_2022_02/765191091" TargetMode="External"/><Relationship Id="rId164" Type="http://schemas.openxmlformats.org/officeDocument/2006/relationships/hyperlink" Target="https://podminky.urs.cz/item/CS_URS_2022_02/998767203" TargetMode="External"/><Relationship Id="rId169" Type="http://schemas.openxmlformats.org/officeDocument/2006/relationships/hyperlink" Target="https://podminky.urs.cz/item/CS_URS_2022_02/771161022" TargetMode="External"/><Relationship Id="rId185" Type="http://schemas.openxmlformats.org/officeDocument/2006/relationships/hyperlink" Target="https://podminky.urs.cz/item/CS_URS_2022_02/776141113" TargetMode="External"/><Relationship Id="rId4" Type="http://schemas.openxmlformats.org/officeDocument/2006/relationships/hyperlink" Target="https://podminky.urs.cz/item/CS_URS_2022_02/273351122" TargetMode="External"/><Relationship Id="rId9" Type="http://schemas.openxmlformats.org/officeDocument/2006/relationships/hyperlink" Target="https://podminky.urs.cz/item/CS_URS_2022_02/274361821" TargetMode="External"/><Relationship Id="rId180" Type="http://schemas.openxmlformats.org/officeDocument/2006/relationships/hyperlink" Target="https://podminky.urs.cz/item/CS_URS_2022_02/771591264" TargetMode="External"/><Relationship Id="rId210" Type="http://schemas.openxmlformats.org/officeDocument/2006/relationships/hyperlink" Target="https://podminky.urs.cz/item/CS_URS_2022_02/784181101" TargetMode="External"/><Relationship Id="rId215" Type="http://schemas.openxmlformats.org/officeDocument/2006/relationships/hyperlink" Target="https://podminky.urs.cz/item/CS_URS_2022_02/HZS1442" TargetMode="External"/><Relationship Id="rId26" Type="http://schemas.openxmlformats.org/officeDocument/2006/relationships/hyperlink" Target="https://podminky.urs.cz/item/CS_URS_2022_02/434351141" TargetMode="External"/><Relationship Id="rId47" Type="http://schemas.openxmlformats.org/officeDocument/2006/relationships/hyperlink" Target="https://podminky.urs.cz/item/CS_URS_2022_02/631311113" TargetMode="External"/><Relationship Id="rId68" Type="http://schemas.openxmlformats.org/officeDocument/2006/relationships/hyperlink" Target="https://podminky.urs.cz/item/CS_URS_2022_02/997013154" TargetMode="External"/><Relationship Id="rId89" Type="http://schemas.openxmlformats.org/officeDocument/2006/relationships/hyperlink" Target="https://podminky.urs.cz/item/CS_URS_2022_02/762332645" TargetMode="External"/><Relationship Id="rId112" Type="http://schemas.openxmlformats.org/officeDocument/2006/relationships/hyperlink" Target="https://podminky.urs.cz/item/CS_URS_2022_02/763181311" TargetMode="External"/><Relationship Id="rId133" Type="http://schemas.openxmlformats.org/officeDocument/2006/relationships/hyperlink" Target="https://podminky.urs.cz/item/CS_URS_2022_02/765111201" TargetMode="External"/><Relationship Id="rId154" Type="http://schemas.openxmlformats.org/officeDocument/2006/relationships/hyperlink" Target="https://podminky.urs.cz/item/CS_URS_2022_02/766694113" TargetMode="External"/><Relationship Id="rId175" Type="http://schemas.openxmlformats.org/officeDocument/2006/relationships/hyperlink" Target="https://podminky.urs.cz/item/CS_URS_2022_02/771591112" TargetMode="External"/><Relationship Id="rId196" Type="http://schemas.openxmlformats.org/officeDocument/2006/relationships/hyperlink" Target="https://podminky.urs.cz/item/CS_URS_2022_02/781111011" TargetMode="External"/><Relationship Id="rId200" Type="http://schemas.openxmlformats.org/officeDocument/2006/relationships/hyperlink" Target="https://podminky.urs.cz/item/CS_URS_2022_02/781494111" TargetMode="External"/><Relationship Id="rId16" Type="http://schemas.openxmlformats.org/officeDocument/2006/relationships/hyperlink" Target="https://podminky.urs.cz/item/CS_URS_2022_02/31716805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3284000" TargetMode="External"/><Relationship Id="rId13" Type="http://schemas.openxmlformats.org/officeDocument/2006/relationships/hyperlink" Target="https://podminky.urs.cz/item/CS_URS_2022_02/065002000" TargetMode="External"/><Relationship Id="rId3" Type="http://schemas.openxmlformats.org/officeDocument/2006/relationships/hyperlink" Target="https://podminky.urs.cz/item/CS_URS_2022_02/013124000" TargetMode="External"/><Relationship Id="rId7" Type="http://schemas.openxmlformats.org/officeDocument/2006/relationships/hyperlink" Target="https://podminky.urs.cz/item/CS_URS_2022_02/013274000" TargetMode="External"/><Relationship Id="rId12" Type="http://schemas.openxmlformats.org/officeDocument/2006/relationships/hyperlink" Target="https://podminky.urs.cz/item/CS_URS_2022_02/052103000" TargetMode="External"/><Relationship Id="rId2" Type="http://schemas.openxmlformats.org/officeDocument/2006/relationships/hyperlink" Target="https://podminky.urs.cz/item/CS_URS_2022_02/011503000" TargetMode="External"/><Relationship Id="rId1" Type="http://schemas.openxmlformats.org/officeDocument/2006/relationships/hyperlink" Target="https://podminky.urs.cz/item/CS_URS_2022_02/011434000" TargetMode="External"/><Relationship Id="rId6" Type="http://schemas.openxmlformats.org/officeDocument/2006/relationships/hyperlink" Target="https://podminky.urs.cz/item/CS_URS_2022_02/013254000" TargetMode="External"/><Relationship Id="rId11" Type="http://schemas.openxmlformats.org/officeDocument/2006/relationships/hyperlink" Target="https://podminky.urs.cz/item/CS_URS_2022_02/035002000" TargetMode="External"/><Relationship Id="rId5" Type="http://schemas.openxmlformats.org/officeDocument/2006/relationships/hyperlink" Target="https://podminky.urs.cz/item/CS_URS_2022_02/013244000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033002000" TargetMode="External"/><Relationship Id="rId4" Type="http://schemas.openxmlformats.org/officeDocument/2006/relationships/hyperlink" Target="https://podminky.urs.cz/item/CS_URS_2022_02/013194000" TargetMode="External"/><Relationship Id="rId9" Type="http://schemas.openxmlformats.org/officeDocument/2006/relationships/hyperlink" Target="https://podminky.urs.cz/item/CS_URS_2022_02/030001000" TargetMode="External"/><Relationship Id="rId14" Type="http://schemas.openxmlformats.org/officeDocument/2006/relationships/hyperlink" Target="https://podminky.urs.cz/item/CS_URS_2022_02/09410400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8" workbookViewId="0">
      <selection activeCell="BE44" sqref="BE4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575" t="s">
        <v>14</v>
      </c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R5" s="20"/>
      <c r="BE5" s="57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576" t="s">
        <v>17</v>
      </c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6"/>
      <c r="AK6" s="546"/>
      <c r="AL6" s="546"/>
      <c r="AM6" s="546"/>
      <c r="AN6" s="546"/>
      <c r="AO6" s="546"/>
      <c r="AR6" s="20"/>
      <c r="BE6" s="57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57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545">
        <v>45139</v>
      </c>
      <c r="AR8" s="20"/>
      <c r="BE8" s="573"/>
      <c r="BS8" s="17" t="s">
        <v>6</v>
      </c>
    </row>
    <row r="9" spans="1:74" ht="14.45" customHeight="1">
      <c r="B9" s="20"/>
      <c r="AR9" s="20"/>
      <c r="BE9" s="57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19</v>
      </c>
      <c r="AR10" s="20"/>
      <c r="BE10" s="573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19</v>
      </c>
      <c r="AR11" s="20"/>
      <c r="BE11" s="573"/>
      <c r="BS11" s="17" t="s">
        <v>6</v>
      </c>
    </row>
    <row r="12" spans="1:74" ht="6.95" customHeight="1">
      <c r="B12" s="20"/>
      <c r="AR12" s="20"/>
      <c r="BE12" s="573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573"/>
      <c r="BS13" s="17" t="s">
        <v>6</v>
      </c>
    </row>
    <row r="14" spans="1:74" ht="12.75">
      <c r="B14" s="20"/>
      <c r="E14" s="577" t="s">
        <v>29</v>
      </c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27" t="s">
        <v>27</v>
      </c>
      <c r="AN14" s="29" t="s">
        <v>29</v>
      </c>
      <c r="AR14" s="20"/>
      <c r="BE14" s="573"/>
      <c r="BS14" s="17" t="s">
        <v>6</v>
      </c>
    </row>
    <row r="15" spans="1:74" ht="6.95" customHeight="1">
      <c r="B15" s="20"/>
      <c r="AR15" s="20"/>
      <c r="BE15" s="573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31</v>
      </c>
      <c r="AR16" s="20"/>
      <c r="BE16" s="573"/>
      <c r="BS16" s="17" t="s">
        <v>4</v>
      </c>
    </row>
    <row r="17" spans="2:71" ht="18.399999999999999" customHeight="1">
      <c r="B17" s="20"/>
      <c r="E17" s="25" t="s">
        <v>32</v>
      </c>
      <c r="AK17" s="27" t="s">
        <v>27</v>
      </c>
      <c r="AN17" s="25" t="s">
        <v>19</v>
      </c>
      <c r="AR17" s="20"/>
      <c r="BE17" s="573"/>
      <c r="BS17" s="17" t="s">
        <v>33</v>
      </c>
    </row>
    <row r="18" spans="2:71" ht="6.95" customHeight="1">
      <c r="B18" s="20"/>
      <c r="AR18" s="20"/>
      <c r="BE18" s="573"/>
      <c r="BS18" s="17" t="s">
        <v>6</v>
      </c>
    </row>
    <row r="19" spans="2:71" ht="12" customHeight="1">
      <c r="B19" s="20"/>
      <c r="D19" s="27" t="s">
        <v>34</v>
      </c>
      <c r="AK19" s="27" t="s">
        <v>25</v>
      </c>
      <c r="AN19" s="25" t="s">
        <v>19</v>
      </c>
      <c r="AR19" s="20"/>
      <c r="BE19" s="573"/>
      <c r="BS19" s="17" t="s">
        <v>6</v>
      </c>
    </row>
    <row r="20" spans="2:71" ht="18.399999999999999" customHeight="1">
      <c r="B20" s="20"/>
      <c r="E20" s="25" t="s">
        <v>32</v>
      </c>
      <c r="AK20" s="27" t="s">
        <v>27</v>
      </c>
      <c r="AN20" s="25" t="s">
        <v>19</v>
      </c>
      <c r="AR20" s="20"/>
      <c r="BE20" s="573"/>
      <c r="BS20" s="17" t="s">
        <v>4</v>
      </c>
    </row>
    <row r="21" spans="2:71" ht="6.95" customHeight="1">
      <c r="B21" s="20"/>
      <c r="AR21" s="20"/>
      <c r="BE21" s="573"/>
    </row>
    <row r="22" spans="2:71" ht="12" customHeight="1">
      <c r="B22" s="20"/>
      <c r="D22" s="27" t="s">
        <v>35</v>
      </c>
      <c r="AR22" s="20"/>
      <c r="BE22" s="573"/>
    </row>
    <row r="23" spans="2:71" ht="47.25" customHeight="1">
      <c r="B23" s="20"/>
      <c r="E23" s="579" t="s">
        <v>36</v>
      </c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R23" s="20"/>
      <c r="BE23" s="573"/>
    </row>
    <row r="24" spans="2:71" ht="6.95" customHeight="1">
      <c r="B24" s="20"/>
      <c r="AR24" s="20"/>
      <c r="BE24" s="57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573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580">
        <f>ROUND(AG54,2)</f>
        <v>0</v>
      </c>
      <c r="AL26" s="581"/>
      <c r="AM26" s="581"/>
      <c r="AN26" s="581"/>
      <c r="AO26" s="581"/>
      <c r="AR26" s="32"/>
      <c r="BE26" s="573"/>
    </row>
    <row r="27" spans="2:71" s="1" customFormat="1" ht="6.95" customHeight="1">
      <c r="B27" s="32"/>
      <c r="AR27" s="32"/>
      <c r="BE27" s="573"/>
    </row>
    <row r="28" spans="2:71" s="1" customFormat="1" ht="12.75">
      <c r="B28" s="32"/>
      <c r="L28" s="582" t="s">
        <v>38</v>
      </c>
      <c r="M28" s="582"/>
      <c r="N28" s="582"/>
      <c r="O28" s="582"/>
      <c r="P28" s="582"/>
      <c r="W28" s="582" t="s">
        <v>39</v>
      </c>
      <c r="X28" s="582"/>
      <c r="Y28" s="582"/>
      <c r="Z28" s="582"/>
      <c r="AA28" s="582"/>
      <c r="AB28" s="582"/>
      <c r="AC28" s="582"/>
      <c r="AD28" s="582"/>
      <c r="AE28" s="582"/>
      <c r="AK28" s="582" t="s">
        <v>40</v>
      </c>
      <c r="AL28" s="582"/>
      <c r="AM28" s="582"/>
      <c r="AN28" s="582"/>
      <c r="AO28" s="582"/>
      <c r="AR28" s="32"/>
      <c r="BE28" s="573"/>
    </row>
    <row r="29" spans="2:71" s="2" customFormat="1" ht="14.45" customHeight="1">
      <c r="B29" s="35"/>
      <c r="D29" s="27" t="s">
        <v>41</v>
      </c>
      <c r="F29" s="27" t="s">
        <v>42</v>
      </c>
      <c r="L29" s="567">
        <v>0.21</v>
      </c>
      <c r="M29" s="566"/>
      <c r="N29" s="566"/>
      <c r="O29" s="566"/>
      <c r="P29" s="566"/>
      <c r="W29" s="565">
        <f>ROUND(AZ54, 2)</f>
        <v>0</v>
      </c>
      <c r="X29" s="566"/>
      <c r="Y29" s="566"/>
      <c r="Z29" s="566"/>
      <c r="AA29" s="566"/>
      <c r="AB29" s="566"/>
      <c r="AC29" s="566"/>
      <c r="AD29" s="566"/>
      <c r="AE29" s="566"/>
      <c r="AK29" s="565">
        <f>ROUND(AV54, 2)</f>
        <v>0</v>
      </c>
      <c r="AL29" s="566"/>
      <c r="AM29" s="566"/>
      <c r="AN29" s="566"/>
      <c r="AO29" s="566"/>
      <c r="AR29" s="35"/>
      <c r="BE29" s="574"/>
    </row>
    <row r="30" spans="2:71" s="2" customFormat="1" ht="14.45" customHeight="1">
      <c r="B30" s="35"/>
      <c r="F30" s="27" t="s">
        <v>43</v>
      </c>
      <c r="L30" s="567">
        <v>0.15</v>
      </c>
      <c r="M30" s="566"/>
      <c r="N30" s="566"/>
      <c r="O30" s="566"/>
      <c r="P30" s="566"/>
      <c r="W30" s="565">
        <f>ROUND(BA54, 2)</f>
        <v>0</v>
      </c>
      <c r="X30" s="566"/>
      <c r="Y30" s="566"/>
      <c r="Z30" s="566"/>
      <c r="AA30" s="566"/>
      <c r="AB30" s="566"/>
      <c r="AC30" s="566"/>
      <c r="AD30" s="566"/>
      <c r="AE30" s="566"/>
      <c r="AK30" s="565">
        <f>ROUND(AW54, 2)</f>
        <v>0</v>
      </c>
      <c r="AL30" s="566"/>
      <c r="AM30" s="566"/>
      <c r="AN30" s="566"/>
      <c r="AO30" s="566"/>
      <c r="AR30" s="35"/>
      <c r="BE30" s="574"/>
    </row>
    <row r="31" spans="2:71" s="2" customFormat="1" ht="14.45" hidden="1" customHeight="1">
      <c r="B31" s="35"/>
      <c r="F31" s="27" t="s">
        <v>44</v>
      </c>
      <c r="L31" s="567">
        <v>0.21</v>
      </c>
      <c r="M31" s="566"/>
      <c r="N31" s="566"/>
      <c r="O31" s="566"/>
      <c r="P31" s="566"/>
      <c r="W31" s="565">
        <f>ROUND(BB54, 2)</f>
        <v>0</v>
      </c>
      <c r="X31" s="566"/>
      <c r="Y31" s="566"/>
      <c r="Z31" s="566"/>
      <c r="AA31" s="566"/>
      <c r="AB31" s="566"/>
      <c r="AC31" s="566"/>
      <c r="AD31" s="566"/>
      <c r="AE31" s="566"/>
      <c r="AK31" s="565">
        <v>0</v>
      </c>
      <c r="AL31" s="566"/>
      <c r="AM31" s="566"/>
      <c r="AN31" s="566"/>
      <c r="AO31" s="566"/>
      <c r="AR31" s="35"/>
      <c r="BE31" s="574"/>
    </row>
    <row r="32" spans="2:71" s="2" customFormat="1" ht="14.45" hidden="1" customHeight="1">
      <c r="B32" s="35"/>
      <c r="F32" s="27" t="s">
        <v>45</v>
      </c>
      <c r="L32" s="567">
        <v>0.15</v>
      </c>
      <c r="M32" s="566"/>
      <c r="N32" s="566"/>
      <c r="O32" s="566"/>
      <c r="P32" s="566"/>
      <c r="W32" s="565">
        <f>ROUND(BC54, 2)</f>
        <v>0</v>
      </c>
      <c r="X32" s="566"/>
      <c r="Y32" s="566"/>
      <c r="Z32" s="566"/>
      <c r="AA32" s="566"/>
      <c r="AB32" s="566"/>
      <c r="AC32" s="566"/>
      <c r="AD32" s="566"/>
      <c r="AE32" s="566"/>
      <c r="AK32" s="565">
        <v>0</v>
      </c>
      <c r="AL32" s="566"/>
      <c r="AM32" s="566"/>
      <c r="AN32" s="566"/>
      <c r="AO32" s="566"/>
      <c r="AR32" s="35"/>
      <c r="BE32" s="574"/>
    </row>
    <row r="33" spans="2:44" s="2" customFormat="1" ht="14.45" hidden="1" customHeight="1">
      <c r="B33" s="35"/>
      <c r="F33" s="27" t="s">
        <v>46</v>
      </c>
      <c r="L33" s="567">
        <v>0</v>
      </c>
      <c r="M33" s="566"/>
      <c r="N33" s="566"/>
      <c r="O33" s="566"/>
      <c r="P33" s="566"/>
      <c r="W33" s="565">
        <f>ROUND(BD54, 2)</f>
        <v>0</v>
      </c>
      <c r="X33" s="566"/>
      <c r="Y33" s="566"/>
      <c r="Z33" s="566"/>
      <c r="AA33" s="566"/>
      <c r="AB33" s="566"/>
      <c r="AC33" s="566"/>
      <c r="AD33" s="566"/>
      <c r="AE33" s="566"/>
      <c r="AK33" s="565">
        <v>0</v>
      </c>
      <c r="AL33" s="566"/>
      <c r="AM33" s="566"/>
      <c r="AN33" s="566"/>
      <c r="AO33" s="566"/>
      <c r="AR33" s="35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568" t="s">
        <v>49</v>
      </c>
      <c r="Y35" s="569"/>
      <c r="Z35" s="569"/>
      <c r="AA35" s="569"/>
      <c r="AB35" s="569"/>
      <c r="AC35" s="38"/>
      <c r="AD35" s="38"/>
      <c r="AE35" s="38"/>
      <c r="AF35" s="38"/>
      <c r="AG35" s="38"/>
      <c r="AH35" s="38"/>
      <c r="AI35" s="38"/>
      <c r="AJ35" s="38"/>
      <c r="AK35" s="570">
        <f>SUM(AK26:AK33)</f>
        <v>0</v>
      </c>
      <c r="AL35" s="569"/>
      <c r="AM35" s="569"/>
      <c r="AN35" s="569"/>
      <c r="AO35" s="571"/>
      <c r="AP35" s="36"/>
      <c r="AQ35" s="36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4"/>
      <c r="C44" s="27" t="s">
        <v>13</v>
      </c>
      <c r="L44" s="3" t="str">
        <f>K5</f>
        <v>22/393</v>
      </c>
      <c r="AR44" s="44"/>
    </row>
    <row r="45" spans="2:44" s="4" customFormat="1" ht="36.950000000000003" customHeight="1">
      <c r="B45" s="45"/>
      <c r="C45" s="46" t="s">
        <v>16</v>
      </c>
      <c r="L45" s="556" t="str">
        <f>K6</f>
        <v>gymnáziu Hostivice - rekonstrukce gymnázia II.etapa</v>
      </c>
      <c r="M45" s="557"/>
      <c r="N45" s="557"/>
      <c r="O45" s="557"/>
      <c r="P45" s="557"/>
      <c r="Q45" s="557"/>
      <c r="R45" s="557"/>
      <c r="S45" s="557"/>
      <c r="T45" s="557"/>
      <c r="U45" s="557"/>
      <c r="V45" s="557"/>
      <c r="W45" s="557"/>
      <c r="X45" s="557"/>
      <c r="Y45" s="557"/>
      <c r="Z45" s="557"/>
      <c r="AA45" s="557"/>
      <c r="AB45" s="557"/>
      <c r="AC45" s="557"/>
      <c r="AD45" s="557"/>
      <c r="AE45" s="557"/>
      <c r="AF45" s="557"/>
      <c r="AG45" s="557"/>
      <c r="AH45" s="557"/>
      <c r="AI45" s="557"/>
      <c r="AJ45" s="557"/>
      <c r="AK45" s="557"/>
      <c r="AL45" s="557"/>
      <c r="AM45" s="557"/>
      <c r="AN45" s="557"/>
      <c r="AO45" s="557"/>
      <c r="AR45" s="45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7" t="str">
        <f>IF(K8="","",K8)</f>
        <v>Gymnázium Hostivice, Komenského 141</v>
      </c>
      <c r="AI47" s="27" t="s">
        <v>23</v>
      </c>
      <c r="AM47" s="558">
        <f>IF(AN8= "","",AN8)</f>
        <v>45139</v>
      </c>
      <c r="AN47" s="558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>Středočeský kraj, Zborovská 81/11, Praha 5</v>
      </c>
      <c r="AI49" s="27" t="s">
        <v>30</v>
      </c>
      <c r="AM49" s="559" t="str">
        <f>IF(E17="","",E17)</f>
        <v>Ing. Petr Petele</v>
      </c>
      <c r="AN49" s="560"/>
      <c r="AO49" s="560"/>
      <c r="AP49" s="560"/>
      <c r="AR49" s="32"/>
      <c r="AS49" s="561" t="s">
        <v>51</v>
      </c>
      <c r="AT49" s="562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34</v>
      </c>
      <c r="AM50" s="559" t="str">
        <f>IF(E20="","",E20)</f>
        <v>Ing. Petr Petele</v>
      </c>
      <c r="AN50" s="560"/>
      <c r="AO50" s="560"/>
      <c r="AP50" s="560"/>
      <c r="AR50" s="32"/>
      <c r="AS50" s="563"/>
      <c r="AT50" s="564"/>
      <c r="BD50" s="51"/>
    </row>
    <row r="51" spans="1:91" s="1" customFormat="1" ht="10.9" customHeight="1">
      <c r="B51" s="32"/>
      <c r="AR51" s="32"/>
      <c r="AS51" s="563"/>
      <c r="AT51" s="564"/>
      <c r="BD51" s="51"/>
    </row>
    <row r="52" spans="1:91" s="1" customFormat="1" ht="29.25" customHeight="1">
      <c r="B52" s="32"/>
      <c r="C52" s="550" t="s">
        <v>52</v>
      </c>
      <c r="D52" s="551"/>
      <c r="E52" s="551"/>
      <c r="F52" s="551"/>
      <c r="G52" s="551"/>
      <c r="H52" s="52"/>
      <c r="I52" s="552" t="s">
        <v>53</v>
      </c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1"/>
      <c r="Y52" s="551"/>
      <c r="Z52" s="551"/>
      <c r="AA52" s="551"/>
      <c r="AB52" s="551"/>
      <c r="AC52" s="551"/>
      <c r="AD52" s="551"/>
      <c r="AE52" s="551"/>
      <c r="AF52" s="551"/>
      <c r="AG52" s="553" t="s">
        <v>54</v>
      </c>
      <c r="AH52" s="551"/>
      <c r="AI52" s="551"/>
      <c r="AJ52" s="551"/>
      <c r="AK52" s="551"/>
      <c r="AL52" s="551"/>
      <c r="AM52" s="551"/>
      <c r="AN52" s="552" t="s">
        <v>55</v>
      </c>
      <c r="AO52" s="551"/>
      <c r="AP52" s="551"/>
      <c r="AQ52" s="53" t="s">
        <v>56</v>
      </c>
      <c r="AR52" s="32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9" customHeight="1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554">
        <f>ROUND(SUM(AG55:AG57),2)</f>
        <v>0</v>
      </c>
      <c r="AH54" s="554"/>
      <c r="AI54" s="554"/>
      <c r="AJ54" s="554"/>
      <c r="AK54" s="554"/>
      <c r="AL54" s="554"/>
      <c r="AM54" s="554"/>
      <c r="AN54" s="555">
        <f>SUM(AG54,AT54)</f>
        <v>0</v>
      </c>
      <c r="AO54" s="555"/>
      <c r="AP54" s="555"/>
      <c r="AQ54" s="62" t="s">
        <v>19</v>
      </c>
      <c r="AR54" s="58"/>
      <c r="AS54" s="63">
        <f>ROUND(SUM(AS55:AS57),2)</f>
        <v>0</v>
      </c>
      <c r="AT54" s="64">
        <f>ROUND(SUM(AV54:AW54),2)</f>
        <v>0</v>
      </c>
      <c r="AU54" s="65">
        <f>ROUND(SUM(AU55:AU57),5)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ROUND(SUM(AZ55:AZ57),2)</f>
        <v>0</v>
      </c>
      <c r="BA54" s="64">
        <f>ROUND(SUM(BA55:BA57),2)</f>
        <v>0</v>
      </c>
      <c r="BB54" s="64">
        <f>ROUND(SUM(BB55:BB57),2)</f>
        <v>0</v>
      </c>
      <c r="BC54" s="64">
        <f>ROUND(SUM(BC55:BC57),2)</f>
        <v>0</v>
      </c>
      <c r="BD54" s="66">
        <f>ROUND(SUM(BD55:BD57),2)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19</v>
      </c>
    </row>
    <row r="55" spans="1:91" s="6" customFormat="1" ht="16.5" customHeight="1">
      <c r="A55" s="69" t="s">
        <v>75</v>
      </c>
      <c r="B55" s="70"/>
      <c r="C55" s="71"/>
      <c r="D55" s="549" t="s">
        <v>76</v>
      </c>
      <c r="E55" s="549"/>
      <c r="F55" s="549"/>
      <c r="G55" s="549"/>
      <c r="H55" s="549"/>
      <c r="I55" s="72"/>
      <c r="J55" s="549" t="s">
        <v>77</v>
      </c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7">
        <f>'01 - Bourací práce'!J30</f>
        <v>0</v>
      </c>
      <c r="AH55" s="548"/>
      <c r="AI55" s="548"/>
      <c r="AJ55" s="548"/>
      <c r="AK55" s="548"/>
      <c r="AL55" s="548"/>
      <c r="AM55" s="548"/>
      <c r="AN55" s="547">
        <f>SUM(AG55,AT55)</f>
        <v>0</v>
      </c>
      <c r="AO55" s="548"/>
      <c r="AP55" s="548"/>
      <c r="AQ55" s="73" t="s">
        <v>78</v>
      </c>
      <c r="AR55" s="70"/>
      <c r="AS55" s="74">
        <v>0</v>
      </c>
      <c r="AT55" s="75">
        <f>ROUND(SUM(AV55:AW55),2)</f>
        <v>0</v>
      </c>
      <c r="AU55" s="76">
        <f>'01 - Bourací práce'!P96</f>
        <v>0</v>
      </c>
      <c r="AV55" s="75">
        <f>'01 - Bourací práce'!J33</f>
        <v>0</v>
      </c>
      <c r="AW55" s="75">
        <f>'01 - Bourací práce'!J34</f>
        <v>0</v>
      </c>
      <c r="AX55" s="75">
        <f>'01 - Bourací práce'!J35</f>
        <v>0</v>
      </c>
      <c r="AY55" s="75">
        <f>'01 - Bourací práce'!J36</f>
        <v>0</v>
      </c>
      <c r="AZ55" s="75">
        <f>'01 - Bourací práce'!F33</f>
        <v>0</v>
      </c>
      <c r="BA55" s="75">
        <f>'01 - Bourací práce'!F34</f>
        <v>0</v>
      </c>
      <c r="BB55" s="75">
        <f>'01 - Bourací práce'!F35</f>
        <v>0</v>
      </c>
      <c r="BC55" s="75">
        <f>'01 - Bourací práce'!F36</f>
        <v>0</v>
      </c>
      <c r="BD55" s="77">
        <f>'01 - Bourací práce'!F37</f>
        <v>0</v>
      </c>
      <c r="BT55" s="78" t="s">
        <v>79</v>
      </c>
      <c r="BV55" s="78" t="s">
        <v>73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6" customFormat="1" ht="16.5" customHeight="1">
      <c r="A56" s="69" t="s">
        <v>75</v>
      </c>
      <c r="B56" s="70"/>
      <c r="C56" s="71"/>
      <c r="D56" s="549" t="s">
        <v>82</v>
      </c>
      <c r="E56" s="549"/>
      <c r="F56" s="549"/>
      <c r="G56" s="549"/>
      <c r="H56" s="549"/>
      <c r="I56" s="72"/>
      <c r="J56" s="549" t="s">
        <v>83</v>
      </c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  <c r="AF56" s="549"/>
      <c r="AG56" s="547">
        <f>'02 - Nové konstrukce'!J30</f>
        <v>0</v>
      </c>
      <c r="AH56" s="548"/>
      <c r="AI56" s="548"/>
      <c r="AJ56" s="548"/>
      <c r="AK56" s="548"/>
      <c r="AL56" s="548"/>
      <c r="AM56" s="548"/>
      <c r="AN56" s="547">
        <f>SUM(AG56,AT56)</f>
        <v>0</v>
      </c>
      <c r="AO56" s="548"/>
      <c r="AP56" s="548"/>
      <c r="AQ56" s="73" t="s">
        <v>78</v>
      </c>
      <c r="AR56" s="70"/>
      <c r="AS56" s="74">
        <v>0</v>
      </c>
      <c r="AT56" s="75">
        <f>ROUND(SUM(AV56:AW56),2)</f>
        <v>0</v>
      </c>
      <c r="AU56" s="76">
        <f>'02 - Nové konstrukce'!P111</f>
        <v>0</v>
      </c>
      <c r="AV56" s="75">
        <f>'02 - Nové konstrukce'!J33</f>
        <v>0</v>
      </c>
      <c r="AW56" s="75">
        <f>'02 - Nové konstrukce'!J34</f>
        <v>0</v>
      </c>
      <c r="AX56" s="75">
        <f>'02 - Nové konstrukce'!J35</f>
        <v>0</v>
      </c>
      <c r="AY56" s="75">
        <f>'02 - Nové konstrukce'!J36</f>
        <v>0</v>
      </c>
      <c r="AZ56" s="75">
        <f>'02 - Nové konstrukce'!F33</f>
        <v>0</v>
      </c>
      <c r="BA56" s="75">
        <f>'02 - Nové konstrukce'!F34</f>
        <v>0</v>
      </c>
      <c r="BB56" s="75">
        <f>'02 - Nové konstrukce'!F35</f>
        <v>0</v>
      </c>
      <c r="BC56" s="75">
        <f>'02 - Nové konstrukce'!F36</f>
        <v>0</v>
      </c>
      <c r="BD56" s="77">
        <f>'02 - Nové konstrukce'!F37</f>
        <v>0</v>
      </c>
      <c r="BT56" s="78" t="s">
        <v>79</v>
      </c>
      <c r="BV56" s="78" t="s">
        <v>73</v>
      </c>
      <c r="BW56" s="78" t="s">
        <v>84</v>
      </c>
      <c r="BX56" s="78" t="s">
        <v>5</v>
      </c>
      <c r="CL56" s="78" t="s">
        <v>19</v>
      </c>
      <c r="CM56" s="78" t="s">
        <v>81</v>
      </c>
    </row>
    <row r="57" spans="1:91" s="6" customFormat="1" ht="16.5" customHeight="1">
      <c r="A57" s="69" t="s">
        <v>75</v>
      </c>
      <c r="B57" s="70"/>
      <c r="C57" s="71"/>
      <c r="D57" s="549" t="s">
        <v>85</v>
      </c>
      <c r="E57" s="549"/>
      <c r="F57" s="549"/>
      <c r="G57" s="549"/>
      <c r="H57" s="549"/>
      <c r="I57" s="72"/>
      <c r="J57" s="549" t="s">
        <v>86</v>
      </c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7">
        <f>'03 - Vedlejší rozpočtové ...'!J30</f>
        <v>0</v>
      </c>
      <c r="AH57" s="548"/>
      <c r="AI57" s="548"/>
      <c r="AJ57" s="548"/>
      <c r="AK57" s="548"/>
      <c r="AL57" s="548"/>
      <c r="AM57" s="548"/>
      <c r="AN57" s="547">
        <f>SUM(AG57,AT57)</f>
        <v>0</v>
      </c>
      <c r="AO57" s="548"/>
      <c r="AP57" s="548"/>
      <c r="AQ57" s="73" t="s">
        <v>78</v>
      </c>
      <c r="AR57" s="70"/>
      <c r="AS57" s="79">
        <v>0</v>
      </c>
      <c r="AT57" s="80">
        <f>ROUND(SUM(AV57:AW57),2)</f>
        <v>0</v>
      </c>
      <c r="AU57" s="81">
        <f>'03 - Vedlejší rozpočtové ...'!P85</f>
        <v>0</v>
      </c>
      <c r="AV57" s="80">
        <f>'03 - Vedlejší rozpočtové ...'!J33</f>
        <v>0</v>
      </c>
      <c r="AW57" s="80">
        <f>'03 - Vedlejší rozpočtové ...'!J34</f>
        <v>0</v>
      </c>
      <c r="AX57" s="80">
        <f>'03 - Vedlejší rozpočtové ...'!J35</f>
        <v>0</v>
      </c>
      <c r="AY57" s="80">
        <f>'03 - Vedlejší rozpočtové ...'!J36</f>
        <v>0</v>
      </c>
      <c r="AZ57" s="80">
        <f>'03 - Vedlejší rozpočtové ...'!F33</f>
        <v>0</v>
      </c>
      <c r="BA57" s="80">
        <f>'03 - Vedlejší rozpočtové ...'!F34</f>
        <v>0</v>
      </c>
      <c r="BB57" s="80">
        <f>'03 - Vedlejší rozpočtové ...'!F35</f>
        <v>0</v>
      </c>
      <c r="BC57" s="80">
        <f>'03 - Vedlejší rozpočtové ...'!F36</f>
        <v>0</v>
      </c>
      <c r="BD57" s="82">
        <f>'03 - Vedlejší rozpočtové ...'!F37</f>
        <v>0</v>
      </c>
      <c r="BT57" s="78" t="s">
        <v>79</v>
      </c>
      <c r="BV57" s="78" t="s">
        <v>73</v>
      </c>
      <c r="BW57" s="78" t="s">
        <v>87</v>
      </c>
      <c r="BX57" s="78" t="s">
        <v>5</v>
      </c>
      <c r="CL57" s="78" t="s">
        <v>19</v>
      </c>
      <c r="CM57" s="78" t="s">
        <v>81</v>
      </c>
    </row>
    <row r="58" spans="1:91" s="1" customFormat="1" ht="30" customHeight="1">
      <c r="B58" s="32"/>
      <c r="AR58" s="32"/>
    </row>
    <row r="59" spans="1:91" s="1" customFormat="1" ht="6.95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32"/>
    </row>
  </sheetData>
  <sheetProtection algorithmName="SHA-512" hashValue="CGLnPcFb7MZFFidC+GKwBQt0aVtMKAEst68hfbNN7DEMgYcK1CVfauF067P9yxpqmCsLKp7uQvx0uYSc82XZ6g==" saltValue="FOaafwmqHODCPqifFi+bHwM717VkOu/VVLeLOAVSsg/s909rSVAGUJ2zRHKILX5rVzeH9cNkFdSQLEOxdLaAl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1 - Bourací práce'!C2" display="/" xr:uid="{00000000-0004-0000-0000-000000000000}"/>
    <hyperlink ref="A56" location="'02 - Nové konstrukce'!C2" display="/" xr:uid="{00000000-0004-0000-0000-000001000000}"/>
    <hyperlink ref="A57" location="'03 - Vedlejší rozpočtové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AT2" s="17" t="s">
        <v>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88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584" t="str">
        <f>'Rekapitulace stavby'!K6</f>
        <v>gymnáziu Hostivice - rekonstrukce gymnázia II.etapa</v>
      </c>
      <c r="F7" s="585"/>
      <c r="G7" s="585"/>
      <c r="H7" s="585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556" t="s">
        <v>90</v>
      </c>
      <c r="F9" s="583"/>
      <c r="G9" s="583"/>
      <c r="H9" s="58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>
        <f>'Rekapitulace stavby'!AN8</f>
        <v>45139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586" t="str">
        <f>'Rekapitulace stavby'!E14</f>
        <v>Vyplň údaj</v>
      </c>
      <c r="F18" s="575"/>
      <c r="G18" s="575"/>
      <c r="H18" s="57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32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4"/>
      <c r="E27" s="579" t="s">
        <v>19</v>
      </c>
      <c r="F27" s="579"/>
      <c r="G27" s="579"/>
      <c r="H27" s="579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37</v>
      </c>
      <c r="J30" s="61">
        <f>ROUND(J96,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39</v>
      </c>
      <c r="I32" s="86" t="s">
        <v>38</v>
      </c>
      <c r="J32" s="86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ROUND((SUM(BE96:BE362)),  2)</f>
        <v>0</v>
      </c>
      <c r="I33" s="89">
        <v>0.21</v>
      </c>
      <c r="J33" s="88">
        <f>ROUND(((SUM(BE96:BE362))*I33),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ROUND((SUM(BF96:BF362)),  2)</f>
        <v>0</v>
      </c>
      <c r="I34" s="89">
        <v>0.15</v>
      </c>
      <c r="J34" s="88">
        <f>ROUND(((SUM(BF96:BF362))*I34),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ROUND((SUM(BG96:BG362)),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ROUND((SUM(BH96:BH362)),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ROUND((SUM(BI96:BI362)),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2"/>
      <c r="F39" s="52"/>
      <c r="G39" s="92" t="s">
        <v>48</v>
      </c>
      <c r="H39" s="93" t="s">
        <v>49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584" t="str">
        <f>E7</f>
        <v>gymnáziu Hostivice - rekonstrukce gymnázia II.etapa</v>
      </c>
      <c r="F48" s="585"/>
      <c r="G48" s="585"/>
      <c r="H48" s="585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556" t="str">
        <f>E9</f>
        <v>01 - Bourací práce</v>
      </c>
      <c r="F50" s="583"/>
      <c r="G50" s="583"/>
      <c r="H50" s="58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Gymnázium Hostivice, Komenského 141</v>
      </c>
      <c r="I52" s="27" t="s">
        <v>23</v>
      </c>
      <c r="J52" s="48">
        <f>IF(J12="","",J12)</f>
        <v>45139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 Zborovská 81/11, Praha 5</v>
      </c>
      <c r="I54" s="27" t="s">
        <v>30</v>
      </c>
      <c r="J54" s="30" t="str">
        <f>E21</f>
        <v>Ing. Petr Petele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34</v>
      </c>
      <c r="J55" s="30" t="str">
        <f>E24</f>
        <v>Ing. Petr Petele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1">
        <f>J96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95</v>
      </c>
      <c r="E60" s="101"/>
      <c r="F60" s="101"/>
      <c r="G60" s="101"/>
      <c r="H60" s="101"/>
      <c r="I60" s="101"/>
      <c r="J60" s="102">
        <f>J97</f>
        <v>0</v>
      </c>
      <c r="L60" s="99"/>
    </row>
    <row r="61" spans="2:47" s="9" customFormat="1" ht="19.899999999999999" customHeight="1">
      <c r="B61" s="103"/>
      <c r="D61" s="104" t="s">
        <v>96</v>
      </c>
      <c r="E61" s="105"/>
      <c r="F61" s="105"/>
      <c r="G61" s="105"/>
      <c r="H61" s="105"/>
      <c r="I61" s="105"/>
      <c r="J61" s="106">
        <f>J98</f>
        <v>0</v>
      </c>
      <c r="L61" s="103"/>
    </row>
    <row r="62" spans="2:47" s="9" customFormat="1" ht="19.899999999999999" customHeight="1">
      <c r="B62" s="103"/>
      <c r="D62" s="104" t="s">
        <v>97</v>
      </c>
      <c r="E62" s="105"/>
      <c r="F62" s="105"/>
      <c r="G62" s="105"/>
      <c r="H62" s="105"/>
      <c r="I62" s="105"/>
      <c r="J62" s="106">
        <f>J134</f>
        <v>0</v>
      </c>
      <c r="L62" s="103"/>
    </row>
    <row r="63" spans="2:47" s="9" customFormat="1" ht="19.899999999999999" customHeight="1">
      <c r="B63" s="103"/>
      <c r="D63" s="104" t="s">
        <v>98</v>
      </c>
      <c r="E63" s="105"/>
      <c r="F63" s="105"/>
      <c r="G63" s="105"/>
      <c r="H63" s="105"/>
      <c r="I63" s="105"/>
      <c r="J63" s="106">
        <f>J228</f>
        <v>0</v>
      </c>
      <c r="L63" s="103"/>
    </row>
    <row r="64" spans="2:47" s="8" customFormat="1" ht="24.95" customHeight="1">
      <c r="B64" s="99"/>
      <c r="D64" s="100" t="s">
        <v>99</v>
      </c>
      <c r="E64" s="101"/>
      <c r="F64" s="101"/>
      <c r="G64" s="101"/>
      <c r="H64" s="101"/>
      <c r="I64" s="101"/>
      <c r="J64" s="102">
        <f>J243</f>
        <v>0</v>
      </c>
      <c r="L64" s="99"/>
    </row>
    <row r="65" spans="2:12" s="9" customFormat="1" ht="19.899999999999999" customHeight="1">
      <c r="B65" s="103"/>
      <c r="D65" s="104" t="s">
        <v>100</v>
      </c>
      <c r="E65" s="105"/>
      <c r="F65" s="105"/>
      <c r="G65" s="105"/>
      <c r="H65" s="105"/>
      <c r="I65" s="105"/>
      <c r="J65" s="106">
        <f>J244</f>
        <v>0</v>
      </c>
      <c r="L65" s="103"/>
    </row>
    <row r="66" spans="2:12" s="9" customFormat="1" ht="19.899999999999999" customHeight="1">
      <c r="B66" s="103"/>
      <c r="D66" s="104" t="s">
        <v>101</v>
      </c>
      <c r="E66" s="105"/>
      <c r="F66" s="105"/>
      <c r="G66" s="105"/>
      <c r="H66" s="105"/>
      <c r="I66" s="105"/>
      <c r="J66" s="106">
        <f>J256</f>
        <v>0</v>
      </c>
      <c r="L66" s="103"/>
    </row>
    <row r="67" spans="2:12" s="9" customFormat="1" ht="19.899999999999999" customHeight="1">
      <c r="B67" s="103"/>
      <c r="D67" s="104" t="s">
        <v>102</v>
      </c>
      <c r="E67" s="105"/>
      <c r="F67" s="105"/>
      <c r="G67" s="105"/>
      <c r="H67" s="105"/>
      <c r="I67" s="105"/>
      <c r="J67" s="106">
        <f>J258</f>
        <v>0</v>
      </c>
      <c r="L67" s="103"/>
    </row>
    <row r="68" spans="2:12" s="9" customFormat="1" ht="19.899999999999999" customHeight="1">
      <c r="B68" s="103"/>
      <c r="D68" s="104" t="s">
        <v>103</v>
      </c>
      <c r="E68" s="105"/>
      <c r="F68" s="105"/>
      <c r="G68" s="105"/>
      <c r="H68" s="105"/>
      <c r="I68" s="105"/>
      <c r="J68" s="106">
        <f>J260</f>
        <v>0</v>
      </c>
      <c r="L68" s="103"/>
    </row>
    <row r="69" spans="2:12" s="9" customFormat="1" ht="19.899999999999999" customHeight="1">
      <c r="B69" s="103"/>
      <c r="D69" s="104" t="s">
        <v>104</v>
      </c>
      <c r="E69" s="105"/>
      <c r="F69" s="105"/>
      <c r="G69" s="105"/>
      <c r="H69" s="105"/>
      <c r="I69" s="105"/>
      <c r="J69" s="106">
        <f>J263</f>
        <v>0</v>
      </c>
      <c r="L69" s="103"/>
    </row>
    <row r="70" spans="2:12" s="9" customFormat="1" ht="19.899999999999999" customHeight="1">
      <c r="B70" s="103"/>
      <c r="D70" s="104" t="s">
        <v>105</v>
      </c>
      <c r="E70" s="105"/>
      <c r="F70" s="105"/>
      <c r="G70" s="105"/>
      <c r="H70" s="105"/>
      <c r="I70" s="105"/>
      <c r="J70" s="106">
        <f>J265</f>
        <v>0</v>
      </c>
      <c r="L70" s="103"/>
    </row>
    <row r="71" spans="2:12" s="9" customFormat="1" ht="19.899999999999999" customHeight="1">
      <c r="B71" s="103"/>
      <c r="D71" s="104" t="s">
        <v>106</v>
      </c>
      <c r="E71" s="105"/>
      <c r="F71" s="105"/>
      <c r="G71" s="105"/>
      <c r="H71" s="105"/>
      <c r="I71" s="105"/>
      <c r="J71" s="106">
        <f>J291</f>
        <v>0</v>
      </c>
      <c r="L71" s="103"/>
    </row>
    <row r="72" spans="2:12" s="9" customFormat="1" ht="19.899999999999999" customHeight="1">
      <c r="B72" s="103"/>
      <c r="D72" s="104" t="s">
        <v>107</v>
      </c>
      <c r="E72" s="105"/>
      <c r="F72" s="105"/>
      <c r="G72" s="105"/>
      <c r="H72" s="105"/>
      <c r="I72" s="105"/>
      <c r="J72" s="106">
        <f>J327</f>
        <v>0</v>
      </c>
      <c r="L72" s="103"/>
    </row>
    <row r="73" spans="2:12" s="9" customFormat="1" ht="19.899999999999999" customHeight="1">
      <c r="B73" s="103"/>
      <c r="D73" s="104" t="s">
        <v>108</v>
      </c>
      <c r="E73" s="105"/>
      <c r="F73" s="105"/>
      <c r="G73" s="105"/>
      <c r="H73" s="105"/>
      <c r="I73" s="105"/>
      <c r="J73" s="106">
        <f>J343</f>
        <v>0</v>
      </c>
      <c r="L73" s="103"/>
    </row>
    <row r="74" spans="2:12" s="9" customFormat="1" ht="19.899999999999999" customHeight="1">
      <c r="B74" s="103"/>
      <c r="D74" s="104" t="s">
        <v>109</v>
      </c>
      <c r="E74" s="105"/>
      <c r="F74" s="105"/>
      <c r="G74" s="105"/>
      <c r="H74" s="105"/>
      <c r="I74" s="105"/>
      <c r="J74" s="106">
        <f>J355</f>
        <v>0</v>
      </c>
      <c r="L74" s="103"/>
    </row>
    <row r="75" spans="2:12" s="8" customFormat="1" ht="24.95" customHeight="1">
      <c r="B75" s="99"/>
      <c r="D75" s="100" t="s">
        <v>110</v>
      </c>
      <c r="E75" s="101"/>
      <c r="F75" s="101"/>
      <c r="G75" s="101"/>
      <c r="H75" s="101"/>
      <c r="I75" s="101"/>
      <c r="J75" s="102">
        <f>J359</f>
        <v>0</v>
      </c>
      <c r="L75" s="99"/>
    </row>
    <row r="76" spans="2:12" s="9" customFormat="1" ht="19.899999999999999" customHeight="1">
      <c r="B76" s="103"/>
      <c r="D76" s="104" t="s">
        <v>111</v>
      </c>
      <c r="E76" s="105"/>
      <c r="F76" s="105"/>
      <c r="G76" s="105"/>
      <c r="H76" s="105"/>
      <c r="I76" s="105"/>
      <c r="J76" s="106">
        <f>J360</f>
        <v>0</v>
      </c>
      <c r="L76" s="103"/>
    </row>
    <row r="77" spans="2:12" s="1" customFormat="1" ht="21.75" customHeight="1">
      <c r="B77" s="32"/>
      <c r="L77" s="32"/>
    </row>
    <row r="78" spans="2:12" s="1" customFormat="1" ht="6.95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32"/>
    </row>
    <row r="82" spans="2:63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2"/>
    </row>
    <row r="83" spans="2:63" s="1" customFormat="1" ht="24.95" customHeight="1">
      <c r="B83" s="32"/>
      <c r="C83" s="21" t="s">
        <v>112</v>
      </c>
      <c r="L83" s="32"/>
    </row>
    <row r="84" spans="2:63" s="1" customFormat="1" ht="6.95" customHeight="1">
      <c r="B84" s="32"/>
      <c r="L84" s="32"/>
    </row>
    <row r="85" spans="2:63" s="1" customFormat="1" ht="12" customHeight="1">
      <c r="B85" s="32"/>
      <c r="C85" s="27" t="s">
        <v>16</v>
      </c>
      <c r="L85" s="32"/>
    </row>
    <row r="86" spans="2:63" s="1" customFormat="1" ht="16.5" customHeight="1">
      <c r="B86" s="32"/>
      <c r="E86" s="584" t="str">
        <f>E7</f>
        <v>gymnáziu Hostivice - rekonstrukce gymnázia II.etapa</v>
      </c>
      <c r="F86" s="585"/>
      <c r="G86" s="585"/>
      <c r="H86" s="585"/>
      <c r="L86" s="32"/>
    </row>
    <row r="87" spans="2:63" s="1" customFormat="1" ht="12" customHeight="1">
      <c r="B87" s="32"/>
      <c r="C87" s="27" t="s">
        <v>89</v>
      </c>
      <c r="L87" s="32"/>
    </row>
    <row r="88" spans="2:63" s="1" customFormat="1" ht="16.5" customHeight="1">
      <c r="B88" s="32"/>
      <c r="E88" s="556" t="str">
        <f>E9</f>
        <v>01 - Bourací práce</v>
      </c>
      <c r="F88" s="583"/>
      <c r="G88" s="583"/>
      <c r="H88" s="583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F12</f>
        <v>Gymnázium Hostivice, Komenského 141</v>
      </c>
      <c r="I90" s="27" t="s">
        <v>23</v>
      </c>
      <c r="J90" s="48">
        <f>IF(J12="","",J12)</f>
        <v>45139</v>
      </c>
      <c r="L90" s="32"/>
    </row>
    <row r="91" spans="2:63" s="1" customFormat="1" ht="6.95" customHeight="1">
      <c r="B91" s="32"/>
      <c r="L91" s="32"/>
    </row>
    <row r="92" spans="2:63" s="1" customFormat="1" ht="15.2" customHeight="1">
      <c r="B92" s="32"/>
      <c r="C92" s="27" t="s">
        <v>24</v>
      </c>
      <c r="F92" s="25" t="str">
        <f>E15</f>
        <v>Středočeský kraj, Zborovská 81/11, Praha 5</v>
      </c>
      <c r="I92" s="27" t="s">
        <v>30</v>
      </c>
      <c r="J92" s="30" t="str">
        <f>E21</f>
        <v>Ing. Petr Petele</v>
      </c>
      <c r="L92" s="32"/>
    </row>
    <row r="93" spans="2:63" s="1" customFormat="1" ht="15.2" customHeight="1">
      <c r="B93" s="32"/>
      <c r="C93" s="27" t="s">
        <v>28</v>
      </c>
      <c r="F93" s="25" t="str">
        <f>IF(E18="","",E18)</f>
        <v>Vyplň údaj</v>
      </c>
      <c r="I93" s="27" t="s">
        <v>34</v>
      </c>
      <c r="J93" s="30" t="str">
        <f>E24</f>
        <v>Ing. Petr Petele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07"/>
      <c r="C95" s="108" t="s">
        <v>113</v>
      </c>
      <c r="D95" s="109" t="s">
        <v>56</v>
      </c>
      <c r="E95" s="109" t="s">
        <v>52</v>
      </c>
      <c r="F95" s="109" t="s">
        <v>53</v>
      </c>
      <c r="G95" s="109" t="s">
        <v>114</v>
      </c>
      <c r="H95" s="109" t="s">
        <v>115</v>
      </c>
      <c r="I95" s="109" t="s">
        <v>116</v>
      </c>
      <c r="J95" s="109" t="s">
        <v>93</v>
      </c>
      <c r="K95" s="110" t="s">
        <v>117</v>
      </c>
      <c r="L95" s="107"/>
      <c r="M95" s="54" t="s">
        <v>19</v>
      </c>
      <c r="N95" s="55" t="s">
        <v>41</v>
      </c>
      <c r="O95" s="55" t="s">
        <v>118</v>
      </c>
      <c r="P95" s="55" t="s">
        <v>119</v>
      </c>
      <c r="Q95" s="55" t="s">
        <v>120</v>
      </c>
      <c r="R95" s="55" t="s">
        <v>121</v>
      </c>
      <c r="S95" s="55" t="s">
        <v>122</v>
      </c>
      <c r="T95" s="56" t="s">
        <v>123</v>
      </c>
    </row>
    <row r="96" spans="2:63" s="1" customFormat="1" ht="22.9" customHeight="1">
      <c r="B96" s="32"/>
      <c r="C96" s="59" t="s">
        <v>124</v>
      </c>
      <c r="J96" s="111">
        <f>BK96</f>
        <v>0</v>
      </c>
      <c r="L96" s="32"/>
      <c r="M96" s="57"/>
      <c r="N96" s="49"/>
      <c r="O96" s="49"/>
      <c r="P96" s="112">
        <f>P97+P243+P359</f>
        <v>0</v>
      </c>
      <c r="Q96" s="49"/>
      <c r="R96" s="112">
        <f>R97+R243+R359</f>
        <v>3.4332203999999997</v>
      </c>
      <c r="S96" s="49"/>
      <c r="T96" s="113">
        <f>T97+T243+T359</f>
        <v>397.56837457999995</v>
      </c>
      <c r="AT96" s="17" t="s">
        <v>70</v>
      </c>
      <c r="AU96" s="17" t="s">
        <v>94</v>
      </c>
      <c r="BK96" s="114">
        <f>BK97+BK243+BK359</f>
        <v>0</v>
      </c>
    </row>
    <row r="97" spans="2:65" s="11" customFormat="1" ht="25.9" customHeight="1">
      <c r="B97" s="115"/>
      <c r="D97" s="116" t="s">
        <v>70</v>
      </c>
      <c r="E97" s="117" t="s">
        <v>125</v>
      </c>
      <c r="F97" s="117" t="s">
        <v>126</v>
      </c>
      <c r="I97" s="118"/>
      <c r="J97" s="119">
        <f>BK97</f>
        <v>0</v>
      </c>
      <c r="L97" s="115"/>
      <c r="M97" s="120"/>
      <c r="P97" s="121">
        <f>P98+P134+P228</f>
        <v>0</v>
      </c>
      <c r="R97" s="121">
        <f>R98+R134+R228</f>
        <v>0</v>
      </c>
      <c r="T97" s="122">
        <f>T98+T134+T228</f>
        <v>286.54310199999998</v>
      </c>
      <c r="AR97" s="116" t="s">
        <v>79</v>
      </c>
      <c r="AT97" s="123" t="s">
        <v>70</v>
      </c>
      <c r="AU97" s="123" t="s">
        <v>71</v>
      </c>
      <c r="AY97" s="116" t="s">
        <v>127</v>
      </c>
      <c r="BK97" s="124">
        <f>BK98+BK134+BK228</f>
        <v>0</v>
      </c>
    </row>
    <row r="98" spans="2:65" s="11" customFormat="1" ht="22.9" customHeight="1">
      <c r="B98" s="115"/>
      <c r="D98" s="116" t="s">
        <v>70</v>
      </c>
      <c r="E98" s="125" t="s">
        <v>79</v>
      </c>
      <c r="F98" s="125" t="s">
        <v>128</v>
      </c>
      <c r="I98" s="118"/>
      <c r="J98" s="126">
        <f>BK98</f>
        <v>0</v>
      </c>
      <c r="L98" s="115"/>
      <c r="M98" s="120"/>
      <c r="P98" s="121">
        <f>SUM(P99:P133)</f>
        <v>0</v>
      </c>
      <c r="R98" s="121">
        <f>SUM(R99:R133)</f>
        <v>0</v>
      </c>
      <c r="T98" s="122">
        <f>SUM(T99:T133)</f>
        <v>11.9</v>
      </c>
      <c r="AR98" s="116" t="s">
        <v>79</v>
      </c>
      <c r="AT98" s="123" t="s">
        <v>70</v>
      </c>
      <c r="AU98" s="123" t="s">
        <v>79</v>
      </c>
      <c r="AY98" s="116" t="s">
        <v>127</v>
      </c>
      <c r="BK98" s="124">
        <f>SUM(BK99:BK133)</f>
        <v>0</v>
      </c>
    </row>
    <row r="99" spans="2:65" s="1" customFormat="1" ht="37.9" customHeight="1">
      <c r="B99" s="32"/>
      <c r="C99" s="127" t="s">
        <v>79</v>
      </c>
      <c r="D99" s="127" t="s">
        <v>129</v>
      </c>
      <c r="E99" s="128" t="s">
        <v>130</v>
      </c>
      <c r="F99" s="129" t="s">
        <v>131</v>
      </c>
      <c r="G99" s="130" t="s">
        <v>132</v>
      </c>
      <c r="H99" s="131">
        <v>17</v>
      </c>
      <c r="I99" s="132"/>
      <c r="J99" s="133">
        <f>ROUND(I99*H99,2)</f>
        <v>0</v>
      </c>
      <c r="K99" s="129" t="s">
        <v>133</v>
      </c>
      <c r="L99" s="32"/>
      <c r="M99" s="134" t="s">
        <v>19</v>
      </c>
      <c r="N99" s="135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0.26</v>
      </c>
      <c r="T99" s="137">
        <f>S99*H99</f>
        <v>4.42</v>
      </c>
      <c r="AR99" s="138" t="s">
        <v>134</v>
      </c>
      <c r="AT99" s="138" t="s">
        <v>129</v>
      </c>
      <c r="AU99" s="138" t="s">
        <v>81</v>
      </c>
      <c r="AY99" s="17" t="s">
        <v>127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79</v>
      </c>
      <c r="BK99" s="139">
        <f>ROUND(I99*H99,2)</f>
        <v>0</v>
      </c>
      <c r="BL99" s="17" t="s">
        <v>134</v>
      </c>
      <c r="BM99" s="138" t="s">
        <v>135</v>
      </c>
    </row>
    <row r="100" spans="2:65" s="1" customFormat="1">
      <c r="B100" s="32"/>
      <c r="D100" s="140" t="s">
        <v>136</v>
      </c>
      <c r="F100" s="141" t="s">
        <v>137</v>
      </c>
      <c r="I100" s="142"/>
      <c r="L100" s="32"/>
      <c r="M100" s="143"/>
      <c r="T100" s="51"/>
      <c r="AT100" s="17" t="s">
        <v>136</v>
      </c>
      <c r="AU100" s="17" t="s">
        <v>81</v>
      </c>
    </row>
    <row r="101" spans="2:65" s="12" customFormat="1">
      <c r="B101" s="144"/>
      <c r="D101" s="145" t="s">
        <v>138</v>
      </c>
      <c r="E101" s="146" t="s">
        <v>19</v>
      </c>
      <c r="F101" s="147" t="s">
        <v>139</v>
      </c>
      <c r="H101" s="148">
        <v>17</v>
      </c>
      <c r="I101" s="149"/>
      <c r="L101" s="144"/>
      <c r="M101" s="150"/>
      <c r="T101" s="151"/>
      <c r="AT101" s="146" t="s">
        <v>138</v>
      </c>
      <c r="AU101" s="146" t="s">
        <v>81</v>
      </c>
      <c r="AV101" s="12" t="s">
        <v>81</v>
      </c>
      <c r="AW101" s="12" t="s">
        <v>33</v>
      </c>
      <c r="AX101" s="12" t="s">
        <v>79</v>
      </c>
      <c r="AY101" s="146" t="s">
        <v>127</v>
      </c>
    </row>
    <row r="102" spans="2:65" s="1" customFormat="1" ht="33" customHeight="1">
      <c r="B102" s="32"/>
      <c r="C102" s="127" t="s">
        <v>81</v>
      </c>
      <c r="D102" s="127" t="s">
        <v>129</v>
      </c>
      <c r="E102" s="128" t="s">
        <v>140</v>
      </c>
      <c r="F102" s="129" t="s">
        <v>141</v>
      </c>
      <c r="G102" s="130" t="s">
        <v>132</v>
      </c>
      <c r="H102" s="131">
        <v>17</v>
      </c>
      <c r="I102" s="132"/>
      <c r="J102" s="133">
        <f>ROUND(I102*H102,2)</f>
        <v>0</v>
      </c>
      <c r="K102" s="129" t="s">
        <v>133</v>
      </c>
      <c r="L102" s="32"/>
      <c r="M102" s="134" t="s">
        <v>19</v>
      </c>
      <c r="N102" s="135" t="s">
        <v>42</v>
      </c>
      <c r="P102" s="136">
        <f>O102*H102</f>
        <v>0</v>
      </c>
      <c r="Q102" s="136">
        <v>0</v>
      </c>
      <c r="R102" s="136">
        <f>Q102*H102</f>
        <v>0</v>
      </c>
      <c r="S102" s="136">
        <v>0.44</v>
      </c>
      <c r="T102" s="137">
        <f>S102*H102</f>
        <v>7.48</v>
      </c>
      <c r="AR102" s="138" t="s">
        <v>134</v>
      </c>
      <c r="AT102" s="138" t="s">
        <v>129</v>
      </c>
      <c r="AU102" s="138" t="s">
        <v>81</v>
      </c>
      <c r="AY102" s="17" t="s">
        <v>127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79</v>
      </c>
      <c r="BK102" s="139">
        <f>ROUND(I102*H102,2)</f>
        <v>0</v>
      </c>
      <c r="BL102" s="17" t="s">
        <v>134</v>
      </c>
      <c r="BM102" s="138" t="s">
        <v>142</v>
      </c>
    </row>
    <row r="103" spans="2:65" s="1" customFormat="1">
      <c r="B103" s="32"/>
      <c r="D103" s="140" t="s">
        <v>136</v>
      </c>
      <c r="F103" s="141" t="s">
        <v>143</v>
      </c>
      <c r="I103" s="142"/>
      <c r="L103" s="32"/>
      <c r="M103" s="143"/>
      <c r="T103" s="51"/>
      <c r="AT103" s="17" t="s">
        <v>136</v>
      </c>
      <c r="AU103" s="17" t="s">
        <v>81</v>
      </c>
    </row>
    <row r="104" spans="2:65" s="12" customFormat="1">
      <c r="B104" s="144"/>
      <c r="D104" s="145" t="s">
        <v>138</v>
      </c>
      <c r="E104" s="146" t="s">
        <v>19</v>
      </c>
      <c r="F104" s="147" t="s">
        <v>139</v>
      </c>
      <c r="H104" s="148">
        <v>17</v>
      </c>
      <c r="I104" s="149"/>
      <c r="L104" s="144"/>
      <c r="M104" s="150"/>
      <c r="T104" s="151"/>
      <c r="AT104" s="146" t="s">
        <v>138</v>
      </c>
      <c r="AU104" s="146" t="s">
        <v>81</v>
      </c>
      <c r="AV104" s="12" t="s">
        <v>81</v>
      </c>
      <c r="AW104" s="12" t="s">
        <v>33</v>
      </c>
      <c r="AX104" s="12" t="s">
        <v>79</v>
      </c>
      <c r="AY104" s="146" t="s">
        <v>127</v>
      </c>
    </row>
    <row r="105" spans="2:65" s="1" customFormat="1" ht="24.2" customHeight="1">
      <c r="B105" s="32"/>
      <c r="C105" s="127" t="s">
        <v>144</v>
      </c>
      <c r="D105" s="127" t="s">
        <v>129</v>
      </c>
      <c r="E105" s="128" t="s">
        <v>145</v>
      </c>
      <c r="F105" s="129" t="s">
        <v>146</v>
      </c>
      <c r="G105" s="130" t="s">
        <v>147</v>
      </c>
      <c r="H105" s="131">
        <v>4.5119999999999996</v>
      </c>
      <c r="I105" s="132"/>
      <c r="J105" s="133">
        <f>ROUND(I105*H105,2)</f>
        <v>0</v>
      </c>
      <c r="K105" s="129" t="s">
        <v>133</v>
      </c>
      <c r="L105" s="32"/>
      <c r="M105" s="134" t="s">
        <v>19</v>
      </c>
      <c r="N105" s="135" t="s">
        <v>42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134</v>
      </c>
      <c r="AT105" s="138" t="s">
        <v>129</v>
      </c>
      <c r="AU105" s="138" t="s">
        <v>81</v>
      </c>
      <c r="AY105" s="17" t="s">
        <v>127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79</v>
      </c>
      <c r="BK105" s="139">
        <f>ROUND(I105*H105,2)</f>
        <v>0</v>
      </c>
      <c r="BL105" s="17" t="s">
        <v>134</v>
      </c>
      <c r="BM105" s="138" t="s">
        <v>148</v>
      </c>
    </row>
    <row r="106" spans="2:65" s="1" customFormat="1">
      <c r="B106" s="32"/>
      <c r="D106" s="140" t="s">
        <v>136</v>
      </c>
      <c r="F106" s="141" t="s">
        <v>149</v>
      </c>
      <c r="I106" s="142"/>
      <c r="L106" s="32"/>
      <c r="M106" s="143"/>
      <c r="T106" s="51"/>
      <c r="AT106" s="17" t="s">
        <v>136</v>
      </c>
      <c r="AU106" s="17" t="s">
        <v>81</v>
      </c>
    </row>
    <row r="107" spans="2:65" s="12" customFormat="1">
      <c r="B107" s="144"/>
      <c r="D107" s="145" t="s">
        <v>138</v>
      </c>
      <c r="E107" s="146" t="s">
        <v>19</v>
      </c>
      <c r="F107" s="147" t="s">
        <v>150</v>
      </c>
      <c r="H107" s="148">
        <v>4.2249999999999996</v>
      </c>
      <c r="I107" s="149"/>
      <c r="L107" s="144"/>
      <c r="M107" s="150"/>
      <c r="T107" s="151"/>
      <c r="AT107" s="146" t="s">
        <v>138</v>
      </c>
      <c r="AU107" s="146" t="s">
        <v>81</v>
      </c>
      <c r="AV107" s="12" t="s">
        <v>81</v>
      </c>
      <c r="AW107" s="12" t="s">
        <v>33</v>
      </c>
      <c r="AX107" s="12" t="s">
        <v>71</v>
      </c>
      <c r="AY107" s="146" t="s">
        <v>127</v>
      </c>
    </row>
    <row r="108" spans="2:65" s="12" customFormat="1">
      <c r="B108" s="144"/>
      <c r="D108" s="145" t="s">
        <v>138</v>
      </c>
      <c r="E108" s="146" t="s">
        <v>19</v>
      </c>
      <c r="F108" s="147" t="s">
        <v>151</v>
      </c>
      <c r="H108" s="148">
        <v>0.28699999999999998</v>
      </c>
      <c r="I108" s="149"/>
      <c r="L108" s="144"/>
      <c r="M108" s="150"/>
      <c r="T108" s="151"/>
      <c r="AT108" s="146" t="s">
        <v>138</v>
      </c>
      <c r="AU108" s="146" t="s">
        <v>81</v>
      </c>
      <c r="AV108" s="12" t="s">
        <v>81</v>
      </c>
      <c r="AW108" s="12" t="s">
        <v>33</v>
      </c>
      <c r="AX108" s="12" t="s">
        <v>71</v>
      </c>
      <c r="AY108" s="146" t="s">
        <v>127</v>
      </c>
    </row>
    <row r="109" spans="2:65" s="13" customFormat="1">
      <c r="B109" s="152"/>
      <c r="D109" s="145" t="s">
        <v>138</v>
      </c>
      <c r="E109" s="153" t="s">
        <v>19</v>
      </c>
      <c r="F109" s="154" t="s">
        <v>152</v>
      </c>
      <c r="H109" s="155">
        <v>4.5119999999999996</v>
      </c>
      <c r="I109" s="156"/>
      <c r="L109" s="152"/>
      <c r="M109" s="157"/>
      <c r="T109" s="158"/>
      <c r="AT109" s="153" t="s">
        <v>138</v>
      </c>
      <c r="AU109" s="153" t="s">
        <v>81</v>
      </c>
      <c r="AV109" s="13" t="s">
        <v>134</v>
      </c>
      <c r="AW109" s="13" t="s">
        <v>33</v>
      </c>
      <c r="AX109" s="13" t="s">
        <v>79</v>
      </c>
      <c r="AY109" s="153" t="s">
        <v>127</v>
      </c>
    </row>
    <row r="110" spans="2:65" s="1" customFormat="1" ht="37.9" customHeight="1">
      <c r="B110" s="32"/>
      <c r="C110" s="127" t="s">
        <v>134</v>
      </c>
      <c r="D110" s="127" t="s">
        <v>129</v>
      </c>
      <c r="E110" s="128" t="s">
        <v>153</v>
      </c>
      <c r="F110" s="129" t="s">
        <v>154</v>
      </c>
      <c r="G110" s="130" t="s">
        <v>147</v>
      </c>
      <c r="H110" s="131">
        <v>7.4989999999999997</v>
      </c>
      <c r="I110" s="132"/>
      <c r="J110" s="133">
        <f>ROUND(I110*H110,2)</f>
        <v>0</v>
      </c>
      <c r="K110" s="129" t="s">
        <v>133</v>
      </c>
      <c r="L110" s="32"/>
      <c r="M110" s="134" t="s">
        <v>19</v>
      </c>
      <c r="N110" s="135" t="s">
        <v>42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134</v>
      </c>
      <c r="AT110" s="138" t="s">
        <v>129</v>
      </c>
      <c r="AU110" s="138" t="s">
        <v>81</v>
      </c>
      <c r="AY110" s="17" t="s">
        <v>127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79</v>
      </c>
      <c r="BK110" s="139">
        <f>ROUND(I110*H110,2)</f>
        <v>0</v>
      </c>
      <c r="BL110" s="17" t="s">
        <v>134</v>
      </c>
      <c r="BM110" s="138" t="s">
        <v>155</v>
      </c>
    </row>
    <row r="111" spans="2:65" s="1" customFormat="1">
      <c r="B111" s="32"/>
      <c r="D111" s="140" t="s">
        <v>136</v>
      </c>
      <c r="F111" s="141" t="s">
        <v>156</v>
      </c>
      <c r="I111" s="142"/>
      <c r="L111" s="32"/>
      <c r="M111" s="143"/>
      <c r="T111" s="51"/>
      <c r="AT111" s="17" t="s">
        <v>136</v>
      </c>
      <c r="AU111" s="17" t="s">
        <v>81</v>
      </c>
    </row>
    <row r="112" spans="2:65" s="12" customFormat="1">
      <c r="B112" s="144"/>
      <c r="D112" s="145" t="s">
        <v>138</v>
      </c>
      <c r="E112" s="146" t="s">
        <v>19</v>
      </c>
      <c r="F112" s="147" t="s">
        <v>157</v>
      </c>
      <c r="H112" s="148">
        <v>5.0999999999999996</v>
      </c>
      <c r="I112" s="149"/>
      <c r="L112" s="144"/>
      <c r="M112" s="150"/>
      <c r="T112" s="151"/>
      <c r="AT112" s="146" t="s">
        <v>138</v>
      </c>
      <c r="AU112" s="146" t="s">
        <v>81</v>
      </c>
      <c r="AV112" s="12" t="s">
        <v>81</v>
      </c>
      <c r="AW112" s="12" t="s">
        <v>33</v>
      </c>
      <c r="AX112" s="12" t="s">
        <v>71</v>
      </c>
      <c r="AY112" s="146" t="s">
        <v>127</v>
      </c>
    </row>
    <row r="113" spans="2:65" s="12" customFormat="1">
      <c r="B113" s="144"/>
      <c r="D113" s="145" t="s">
        <v>138</v>
      </c>
      <c r="E113" s="146" t="s">
        <v>19</v>
      </c>
      <c r="F113" s="147" t="s">
        <v>158</v>
      </c>
      <c r="H113" s="148">
        <v>2.1120000000000001</v>
      </c>
      <c r="I113" s="149"/>
      <c r="L113" s="144"/>
      <c r="M113" s="150"/>
      <c r="T113" s="151"/>
      <c r="AT113" s="146" t="s">
        <v>138</v>
      </c>
      <c r="AU113" s="146" t="s">
        <v>81</v>
      </c>
      <c r="AV113" s="12" t="s">
        <v>81</v>
      </c>
      <c r="AW113" s="12" t="s">
        <v>33</v>
      </c>
      <c r="AX113" s="12" t="s">
        <v>71</v>
      </c>
      <c r="AY113" s="146" t="s">
        <v>127</v>
      </c>
    </row>
    <row r="114" spans="2:65" s="12" customFormat="1">
      <c r="B114" s="144"/>
      <c r="D114" s="145" t="s">
        <v>138</v>
      </c>
      <c r="E114" s="146" t="s">
        <v>19</v>
      </c>
      <c r="F114" s="147" t="s">
        <v>151</v>
      </c>
      <c r="H114" s="148">
        <v>0.28699999999999998</v>
      </c>
      <c r="I114" s="149"/>
      <c r="L114" s="144"/>
      <c r="M114" s="150"/>
      <c r="T114" s="151"/>
      <c r="AT114" s="146" t="s">
        <v>138</v>
      </c>
      <c r="AU114" s="146" t="s">
        <v>81</v>
      </c>
      <c r="AV114" s="12" t="s">
        <v>81</v>
      </c>
      <c r="AW114" s="12" t="s">
        <v>33</v>
      </c>
      <c r="AX114" s="12" t="s">
        <v>71</v>
      </c>
      <c r="AY114" s="146" t="s">
        <v>127</v>
      </c>
    </row>
    <row r="115" spans="2:65" s="13" customFormat="1">
      <c r="B115" s="152"/>
      <c r="D115" s="145" t="s">
        <v>138</v>
      </c>
      <c r="E115" s="153" t="s">
        <v>19</v>
      </c>
      <c r="F115" s="154" t="s">
        <v>152</v>
      </c>
      <c r="H115" s="155">
        <v>7.4989999999999997</v>
      </c>
      <c r="I115" s="156"/>
      <c r="L115" s="152"/>
      <c r="M115" s="157"/>
      <c r="T115" s="158"/>
      <c r="AT115" s="153" t="s">
        <v>138</v>
      </c>
      <c r="AU115" s="153" t="s">
        <v>81</v>
      </c>
      <c r="AV115" s="13" t="s">
        <v>134</v>
      </c>
      <c r="AW115" s="13" t="s">
        <v>33</v>
      </c>
      <c r="AX115" s="13" t="s">
        <v>79</v>
      </c>
      <c r="AY115" s="153" t="s">
        <v>127</v>
      </c>
    </row>
    <row r="116" spans="2:65" s="1" customFormat="1" ht="37.9" customHeight="1">
      <c r="B116" s="32"/>
      <c r="C116" s="127" t="s">
        <v>159</v>
      </c>
      <c r="D116" s="127" t="s">
        <v>129</v>
      </c>
      <c r="E116" s="128" t="s">
        <v>160</v>
      </c>
      <c r="F116" s="129" t="s">
        <v>161</v>
      </c>
      <c r="G116" s="130" t="s">
        <v>147</v>
      </c>
      <c r="H116" s="131">
        <v>74.989999999999995</v>
      </c>
      <c r="I116" s="132"/>
      <c r="J116" s="133">
        <f>ROUND(I116*H116,2)</f>
        <v>0</v>
      </c>
      <c r="K116" s="129" t="s">
        <v>133</v>
      </c>
      <c r="L116" s="32"/>
      <c r="M116" s="134" t="s">
        <v>19</v>
      </c>
      <c r="N116" s="135" t="s">
        <v>42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134</v>
      </c>
      <c r="AT116" s="138" t="s">
        <v>129</v>
      </c>
      <c r="AU116" s="138" t="s">
        <v>81</v>
      </c>
      <c r="AY116" s="17" t="s">
        <v>127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79</v>
      </c>
      <c r="BK116" s="139">
        <f>ROUND(I116*H116,2)</f>
        <v>0</v>
      </c>
      <c r="BL116" s="17" t="s">
        <v>134</v>
      </c>
      <c r="BM116" s="138" t="s">
        <v>162</v>
      </c>
    </row>
    <row r="117" spans="2:65" s="1" customFormat="1">
      <c r="B117" s="32"/>
      <c r="D117" s="140" t="s">
        <v>136</v>
      </c>
      <c r="F117" s="141" t="s">
        <v>163</v>
      </c>
      <c r="I117" s="142"/>
      <c r="L117" s="32"/>
      <c r="M117" s="143"/>
      <c r="T117" s="51"/>
      <c r="AT117" s="17" t="s">
        <v>136</v>
      </c>
      <c r="AU117" s="17" t="s">
        <v>81</v>
      </c>
    </row>
    <row r="118" spans="2:65" s="12" customFormat="1">
      <c r="B118" s="144"/>
      <c r="D118" s="145" t="s">
        <v>138</v>
      </c>
      <c r="F118" s="147" t="s">
        <v>164</v>
      </c>
      <c r="H118" s="148">
        <v>74.989999999999995</v>
      </c>
      <c r="I118" s="149"/>
      <c r="L118" s="144"/>
      <c r="M118" s="150"/>
      <c r="T118" s="151"/>
      <c r="AT118" s="146" t="s">
        <v>138</v>
      </c>
      <c r="AU118" s="146" t="s">
        <v>81</v>
      </c>
      <c r="AV118" s="12" t="s">
        <v>81</v>
      </c>
      <c r="AW118" s="12" t="s">
        <v>4</v>
      </c>
      <c r="AX118" s="12" t="s">
        <v>79</v>
      </c>
      <c r="AY118" s="146" t="s">
        <v>127</v>
      </c>
    </row>
    <row r="119" spans="2:65" s="1" customFormat="1" ht="24.2" customHeight="1">
      <c r="B119" s="32"/>
      <c r="C119" s="127" t="s">
        <v>165</v>
      </c>
      <c r="D119" s="127" t="s">
        <v>129</v>
      </c>
      <c r="E119" s="128" t="s">
        <v>166</v>
      </c>
      <c r="F119" s="129" t="s">
        <v>167</v>
      </c>
      <c r="G119" s="130" t="s">
        <v>147</v>
      </c>
      <c r="H119" s="131">
        <v>7.4989999999999997</v>
      </c>
      <c r="I119" s="132"/>
      <c r="J119" s="133">
        <f>ROUND(I119*H119,2)</f>
        <v>0</v>
      </c>
      <c r="K119" s="129" t="s">
        <v>133</v>
      </c>
      <c r="L119" s="32"/>
      <c r="M119" s="134" t="s">
        <v>19</v>
      </c>
      <c r="N119" s="135" t="s">
        <v>42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134</v>
      </c>
      <c r="AT119" s="138" t="s">
        <v>129</v>
      </c>
      <c r="AU119" s="138" t="s">
        <v>81</v>
      </c>
      <c r="AY119" s="17" t="s">
        <v>127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79</v>
      </c>
      <c r="BK119" s="139">
        <f>ROUND(I119*H119,2)</f>
        <v>0</v>
      </c>
      <c r="BL119" s="17" t="s">
        <v>134</v>
      </c>
      <c r="BM119" s="138" t="s">
        <v>168</v>
      </c>
    </row>
    <row r="120" spans="2:65" s="1" customFormat="1">
      <c r="B120" s="32"/>
      <c r="D120" s="140" t="s">
        <v>136</v>
      </c>
      <c r="F120" s="141" t="s">
        <v>169</v>
      </c>
      <c r="I120" s="142"/>
      <c r="L120" s="32"/>
      <c r="M120" s="143"/>
      <c r="T120" s="51"/>
      <c r="AT120" s="17" t="s">
        <v>136</v>
      </c>
      <c r="AU120" s="17" t="s">
        <v>81</v>
      </c>
    </row>
    <row r="121" spans="2:65" s="12" customFormat="1">
      <c r="B121" s="144"/>
      <c r="D121" s="145" t="s">
        <v>138</v>
      </c>
      <c r="E121" s="146" t="s">
        <v>19</v>
      </c>
      <c r="F121" s="147" t="s">
        <v>157</v>
      </c>
      <c r="H121" s="148">
        <v>5.0999999999999996</v>
      </c>
      <c r="I121" s="149"/>
      <c r="L121" s="144"/>
      <c r="M121" s="150"/>
      <c r="T121" s="151"/>
      <c r="AT121" s="146" t="s">
        <v>138</v>
      </c>
      <c r="AU121" s="146" t="s">
        <v>81</v>
      </c>
      <c r="AV121" s="12" t="s">
        <v>81</v>
      </c>
      <c r="AW121" s="12" t="s">
        <v>33</v>
      </c>
      <c r="AX121" s="12" t="s">
        <v>71</v>
      </c>
      <c r="AY121" s="146" t="s">
        <v>127</v>
      </c>
    </row>
    <row r="122" spans="2:65" s="12" customFormat="1">
      <c r="B122" s="144"/>
      <c r="D122" s="145" t="s">
        <v>138</v>
      </c>
      <c r="E122" s="146" t="s">
        <v>19</v>
      </c>
      <c r="F122" s="147" t="s">
        <v>158</v>
      </c>
      <c r="H122" s="148">
        <v>2.1120000000000001</v>
      </c>
      <c r="I122" s="149"/>
      <c r="L122" s="144"/>
      <c r="M122" s="150"/>
      <c r="T122" s="151"/>
      <c r="AT122" s="146" t="s">
        <v>138</v>
      </c>
      <c r="AU122" s="146" t="s">
        <v>81</v>
      </c>
      <c r="AV122" s="12" t="s">
        <v>81</v>
      </c>
      <c r="AW122" s="12" t="s">
        <v>33</v>
      </c>
      <c r="AX122" s="12" t="s">
        <v>71</v>
      </c>
      <c r="AY122" s="146" t="s">
        <v>127</v>
      </c>
    </row>
    <row r="123" spans="2:65" s="12" customFormat="1">
      <c r="B123" s="144"/>
      <c r="D123" s="145" t="s">
        <v>138</v>
      </c>
      <c r="E123" s="146" t="s">
        <v>19</v>
      </c>
      <c r="F123" s="147" t="s">
        <v>151</v>
      </c>
      <c r="H123" s="148">
        <v>0.28699999999999998</v>
      </c>
      <c r="I123" s="149"/>
      <c r="L123" s="144"/>
      <c r="M123" s="150"/>
      <c r="T123" s="151"/>
      <c r="AT123" s="146" t="s">
        <v>138</v>
      </c>
      <c r="AU123" s="146" t="s">
        <v>81</v>
      </c>
      <c r="AV123" s="12" t="s">
        <v>81</v>
      </c>
      <c r="AW123" s="12" t="s">
        <v>33</v>
      </c>
      <c r="AX123" s="12" t="s">
        <v>71</v>
      </c>
      <c r="AY123" s="146" t="s">
        <v>127</v>
      </c>
    </row>
    <row r="124" spans="2:65" s="13" customFormat="1">
      <c r="B124" s="152"/>
      <c r="D124" s="145" t="s">
        <v>138</v>
      </c>
      <c r="E124" s="153" t="s">
        <v>19</v>
      </c>
      <c r="F124" s="154" t="s">
        <v>152</v>
      </c>
      <c r="H124" s="155">
        <v>7.4989999999999997</v>
      </c>
      <c r="I124" s="156"/>
      <c r="L124" s="152"/>
      <c r="M124" s="157"/>
      <c r="T124" s="158"/>
      <c r="AT124" s="153" t="s">
        <v>138</v>
      </c>
      <c r="AU124" s="153" t="s">
        <v>81</v>
      </c>
      <c r="AV124" s="13" t="s">
        <v>134</v>
      </c>
      <c r="AW124" s="13" t="s">
        <v>33</v>
      </c>
      <c r="AX124" s="13" t="s">
        <v>79</v>
      </c>
      <c r="AY124" s="153" t="s">
        <v>127</v>
      </c>
    </row>
    <row r="125" spans="2:65" s="1" customFormat="1" ht="24.2" customHeight="1">
      <c r="B125" s="32"/>
      <c r="C125" s="127" t="s">
        <v>170</v>
      </c>
      <c r="D125" s="127" t="s">
        <v>129</v>
      </c>
      <c r="E125" s="128" t="s">
        <v>171</v>
      </c>
      <c r="F125" s="129" t="s">
        <v>172</v>
      </c>
      <c r="G125" s="130" t="s">
        <v>173</v>
      </c>
      <c r="H125" s="131">
        <v>14.250999999999999</v>
      </c>
      <c r="I125" s="132"/>
      <c r="J125" s="133">
        <f>ROUND(I125*H125,2)</f>
        <v>0</v>
      </c>
      <c r="K125" s="129" t="s">
        <v>133</v>
      </c>
      <c r="L125" s="32"/>
      <c r="M125" s="134" t="s">
        <v>19</v>
      </c>
      <c r="N125" s="135" t="s">
        <v>42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134</v>
      </c>
      <c r="AT125" s="138" t="s">
        <v>129</v>
      </c>
      <c r="AU125" s="138" t="s">
        <v>81</v>
      </c>
      <c r="AY125" s="17" t="s">
        <v>127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79</v>
      </c>
      <c r="BK125" s="139">
        <f>ROUND(I125*H125,2)</f>
        <v>0</v>
      </c>
      <c r="BL125" s="17" t="s">
        <v>134</v>
      </c>
      <c r="BM125" s="138" t="s">
        <v>174</v>
      </c>
    </row>
    <row r="126" spans="2:65" s="1" customFormat="1">
      <c r="B126" s="32"/>
      <c r="D126" s="140" t="s">
        <v>136</v>
      </c>
      <c r="F126" s="141" t="s">
        <v>175</v>
      </c>
      <c r="I126" s="142"/>
      <c r="L126" s="32"/>
      <c r="M126" s="143"/>
      <c r="T126" s="51"/>
      <c r="AT126" s="17" t="s">
        <v>136</v>
      </c>
      <c r="AU126" s="17" t="s">
        <v>81</v>
      </c>
    </row>
    <row r="127" spans="2:65" s="12" customFormat="1">
      <c r="B127" s="144"/>
      <c r="D127" s="145" t="s">
        <v>138</v>
      </c>
      <c r="F127" s="147" t="s">
        <v>176</v>
      </c>
      <c r="H127" s="148">
        <v>14.250999999999999</v>
      </c>
      <c r="I127" s="149"/>
      <c r="L127" s="144"/>
      <c r="M127" s="150"/>
      <c r="T127" s="151"/>
      <c r="AT127" s="146" t="s">
        <v>138</v>
      </c>
      <c r="AU127" s="146" t="s">
        <v>81</v>
      </c>
      <c r="AV127" s="12" t="s">
        <v>81</v>
      </c>
      <c r="AW127" s="12" t="s">
        <v>4</v>
      </c>
      <c r="AX127" s="12" t="s">
        <v>79</v>
      </c>
      <c r="AY127" s="146" t="s">
        <v>127</v>
      </c>
    </row>
    <row r="128" spans="2:65" s="1" customFormat="1" ht="24.2" customHeight="1">
      <c r="B128" s="32"/>
      <c r="C128" s="127" t="s">
        <v>177</v>
      </c>
      <c r="D128" s="127" t="s">
        <v>129</v>
      </c>
      <c r="E128" s="128" t="s">
        <v>178</v>
      </c>
      <c r="F128" s="129" t="s">
        <v>179</v>
      </c>
      <c r="G128" s="130" t="s">
        <v>147</v>
      </c>
      <c r="H128" s="131">
        <v>7.9169999999999998</v>
      </c>
      <c r="I128" s="132"/>
      <c r="J128" s="133">
        <f>ROUND(I128*H128,2)</f>
        <v>0</v>
      </c>
      <c r="K128" s="129" t="s">
        <v>133</v>
      </c>
      <c r="L128" s="32"/>
      <c r="M128" s="134" t="s">
        <v>19</v>
      </c>
      <c r="N128" s="135" t="s">
        <v>42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134</v>
      </c>
      <c r="AT128" s="138" t="s">
        <v>129</v>
      </c>
      <c r="AU128" s="138" t="s">
        <v>81</v>
      </c>
      <c r="AY128" s="17" t="s">
        <v>127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79</v>
      </c>
      <c r="BK128" s="139">
        <f>ROUND(I128*H128,2)</f>
        <v>0</v>
      </c>
      <c r="BL128" s="17" t="s">
        <v>134</v>
      </c>
      <c r="BM128" s="138" t="s">
        <v>180</v>
      </c>
    </row>
    <row r="129" spans="2:65" s="1" customFormat="1">
      <c r="B129" s="32"/>
      <c r="D129" s="140" t="s">
        <v>136</v>
      </c>
      <c r="F129" s="141" t="s">
        <v>181</v>
      </c>
      <c r="I129" s="142"/>
      <c r="L129" s="32"/>
      <c r="M129" s="143"/>
      <c r="T129" s="51"/>
      <c r="AT129" s="17" t="s">
        <v>136</v>
      </c>
      <c r="AU129" s="17" t="s">
        <v>81</v>
      </c>
    </row>
    <row r="130" spans="2:65" s="1" customFormat="1" ht="24.2" customHeight="1">
      <c r="B130" s="32"/>
      <c r="C130" s="127" t="s">
        <v>182</v>
      </c>
      <c r="D130" s="127" t="s">
        <v>129</v>
      </c>
      <c r="E130" s="128" t="s">
        <v>183</v>
      </c>
      <c r="F130" s="129" t="s">
        <v>184</v>
      </c>
      <c r="G130" s="130" t="s">
        <v>147</v>
      </c>
      <c r="H130" s="131">
        <v>2.1120000000000001</v>
      </c>
      <c r="I130" s="132"/>
      <c r="J130" s="133">
        <f>ROUND(I130*H130,2)</f>
        <v>0</v>
      </c>
      <c r="K130" s="129" t="s">
        <v>133</v>
      </c>
      <c r="L130" s="32"/>
      <c r="M130" s="134" t="s">
        <v>19</v>
      </c>
      <c r="N130" s="135" t="s">
        <v>42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134</v>
      </c>
      <c r="AT130" s="138" t="s">
        <v>129</v>
      </c>
      <c r="AU130" s="138" t="s">
        <v>81</v>
      </c>
      <c r="AY130" s="17" t="s">
        <v>127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79</v>
      </c>
      <c r="BK130" s="139">
        <f>ROUND(I130*H130,2)</f>
        <v>0</v>
      </c>
      <c r="BL130" s="17" t="s">
        <v>134</v>
      </c>
      <c r="BM130" s="138" t="s">
        <v>185</v>
      </c>
    </row>
    <row r="131" spans="2:65" s="1" customFormat="1">
      <c r="B131" s="32"/>
      <c r="D131" s="140" t="s">
        <v>136</v>
      </c>
      <c r="F131" s="141" t="s">
        <v>186</v>
      </c>
      <c r="I131" s="142"/>
      <c r="L131" s="32"/>
      <c r="M131" s="143"/>
      <c r="T131" s="51"/>
      <c r="AT131" s="17" t="s">
        <v>136</v>
      </c>
      <c r="AU131" s="17" t="s">
        <v>81</v>
      </c>
    </row>
    <row r="132" spans="2:65" s="12" customFormat="1">
      <c r="B132" s="144"/>
      <c r="D132" s="145" t="s">
        <v>138</v>
      </c>
      <c r="E132" s="146" t="s">
        <v>19</v>
      </c>
      <c r="F132" s="147" t="s">
        <v>187</v>
      </c>
      <c r="H132" s="148">
        <v>2.1120000000000001</v>
      </c>
      <c r="I132" s="149"/>
      <c r="L132" s="144"/>
      <c r="M132" s="150"/>
      <c r="T132" s="151"/>
      <c r="AT132" s="146" t="s">
        <v>138</v>
      </c>
      <c r="AU132" s="146" t="s">
        <v>81</v>
      </c>
      <c r="AV132" s="12" t="s">
        <v>81</v>
      </c>
      <c r="AW132" s="12" t="s">
        <v>33</v>
      </c>
      <c r="AX132" s="12" t="s">
        <v>79</v>
      </c>
      <c r="AY132" s="146" t="s">
        <v>127</v>
      </c>
    </row>
    <row r="133" spans="2:65" s="1" customFormat="1" ht="16.5" customHeight="1">
      <c r="B133" s="32"/>
      <c r="C133" s="127" t="s">
        <v>188</v>
      </c>
      <c r="D133" s="127" t="s">
        <v>129</v>
      </c>
      <c r="E133" s="128" t="s">
        <v>189</v>
      </c>
      <c r="F133" s="129" t="s">
        <v>190</v>
      </c>
      <c r="G133" s="130" t="s">
        <v>191</v>
      </c>
      <c r="H133" s="131">
        <v>1</v>
      </c>
      <c r="I133" s="132"/>
      <c r="J133" s="133">
        <f>ROUND(I133*H133,2)</f>
        <v>0</v>
      </c>
      <c r="K133" s="129" t="s">
        <v>19</v>
      </c>
      <c r="L133" s="32"/>
      <c r="M133" s="134" t="s">
        <v>19</v>
      </c>
      <c r="N133" s="135" t="s">
        <v>42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134</v>
      </c>
      <c r="AT133" s="138" t="s">
        <v>129</v>
      </c>
      <c r="AU133" s="138" t="s">
        <v>81</v>
      </c>
      <c r="AY133" s="17" t="s">
        <v>127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79</v>
      </c>
      <c r="BK133" s="139">
        <f>ROUND(I133*H133,2)</f>
        <v>0</v>
      </c>
      <c r="BL133" s="17" t="s">
        <v>134</v>
      </c>
      <c r="BM133" s="138" t="s">
        <v>192</v>
      </c>
    </row>
    <row r="134" spans="2:65" s="11" customFormat="1" ht="22.9" customHeight="1">
      <c r="B134" s="115"/>
      <c r="D134" s="116" t="s">
        <v>70</v>
      </c>
      <c r="E134" s="125" t="s">
        <v>188</v>
      </c>
      <c r="F134" s="125" t="s">
        <v>193</v>
      </c>
      <c r="I134" s="118"/>
      <c r="J134" s="126">
        <f>BK134</f>
        <v>0</v>
      </c>
      <c r="L134" s="115"/>
      <c r="M134" s="120"/>
      <c r="P134" s="121">
        <f>SUM(P135:P227)</f>
        <v>0</v>
      </c>
      <c r="R134" s="121">
        <f>SUM(R135:R227)</f>
        <v>0</v>
      </c>
      <c r="T134" s="122">
        <f>SUM(T135:T227)</f>
        <v>274.643102</v>
      </c>
      <c r="AR134" s="116" t="s">
        <v>79</v>
      </c>
      <c r="AT134" s="123" t="s">
        <v>70</v>
      </c>
      <c r="AU134" s="123" t="s">
        <v>79</v>
      </c>
      <c r="AY134" s="116" t="s">
        <v>127</v>
      </c>
      <c r="BK134" s="124">
        <f>SUM(BK135:BK227)</f>
        <v>0</v>
      </c>
    </row>
    <row r="135" spans="2:65" s="1" customFormat="1" ht="24.2" customHeight="1">
      <c r="B135" s="32"/>
      <c r="C135" s="127" t="s">
        <v>194</v>
      </c>
      <c r="D135" s="127" t="s">
        <v>129</v>
      </c>
      <c r="E135" s="128" t="s">
        <v>195</v>
      </c>
      <c r="F135" s="129" t="s">
        <v>196</v>
      </c>
      <c r="G135" s="130" t="s">
        <v>147</v>
      </c>
      <c r="H135" s="131">
        <v>236.46600000000001</v>
      </c>
      <c r="I135" s="132"/>
      <c r="J135" s="133">
        <f>ROUND(I135*H135,2)</f>
        <v>0</v>
      </c>
      <c r="K135" s="129" t="s">
        <v>133</v>
      </c>
      <c r="L135" s="32"/>
      <c r="M135" s="134" t="s">
        <v>19</v>
      </c>
      <c r="N135" s="135" t="s">
        <v>42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134</v>
      </c>
      <c r="AT135" s="138" t="s">
        <v>129</v>
      </c>
      <c r="AU135" s="138" t="s">
        <v>81</v>
      </c>
      <c r="AY135" s="17" t="s">
        <v>127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79</v>
      </c>
      <c r="BK135" s="139">
        <f>ROUND(I135*H135,2)</f>
        <v>0</v>
      </c>
      <c r="BL135" s="17" t="s">
        <v>134</v>
      </c>
      <c r="BM135" s="138" t="s">
        <v>197</v>
      </c>
    </row>
    <row r="136" spans="2:65" s="1" customFormat="1">
      <c r="B136" s="32"/>
      <c r="D136" s="140" t="s">
        <v>136</v>
      </c>
      <c r="F136" s="141" t="s">
        <v>198</v>
      </c>
      <c r="I136" s="142"/>
      <c r="L136" s="32"/>
      <c r="M136" s="143"/>
      <c r="T136" s="51"/>
      <c r="AT136" s="17" t="s">
        <v>136</v>
      </c>
      <c r="AU136" s="17" t="s">
        <v>81</v>
      </c>
    </row>
    <row r="137" spans="2:65" s="12" customFormat="1">
      <c r="B137" s="144"/>
      <c r="D137" s="145" t="s">
        <v>138</v>
      </c>
      <c r="E137" s="146" t="s">
        <v>19</v>
      </c>
      <c r="F137" s="147" t="s">
        <v>199</v>
      </c>
      <c r="H137" s="148">
        <v>236.46600000000001</v>
      </c>
      <c r="I137" s="149"/>
      <c r="L137" s="144"/>
      <c r="M137" s="150"/>
      <c r="T137" s="151"/>
      <c r="AT137" s="146" t="s">
        <v>138</v>
      </c>
      <c r="AU137" s="146" t="s">
        <v>81</v>
      </c>
      <c r="AV137" s="12" t="s">
        <v>81</v>
      </c>
      <c r="AW137" s="12" t="s">
        <v>33</v>
      </c>
      <c r="AX137" s="12" t="s">
        <v>79</v>
      </c>
      <c r="AY137" s="146" t="s">
        <v>127</v>
      </c>
    </row>
    <row r="138" spans="2:65" s="1" customFormat="1" ht="24.2" customHeight="1">
      <c r="B138" s="32"/>
      <c r="C138" s="127" t="s">
        <v>200</v>
      </c>
      <c r="D138" s="127" t="s">
        <v>129</v>
      </c>
      <c r="E138" s="128" t="s">
        <v>201</v>
      </c>
      <c r="F138" s="129" t="s">
        <v>202</v>
      </c>
      <c r="G138" s="130" t="s">
        <v>147</v>
      </c>
      <c r="H138" s="131">
        <v>14187.96</v>
      </c>
      <c r="I138" s="132"/>
      <c r="J138" s="133">
        <f>ROUND(I138*H138,2)</f>
        <v>0</v>
      </c>
      <c r="K138" s="129" t="s">
        <v>133</v>
      </c>
      <c r="L138" s="32"/>
      <c r="M138" s="134" t="s">
        <v>19</v>
      </c>
      <c r="N138" s="135" t="s">
        <v>42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134</v>
      </c>
      <c r="AT138" s="138" t="s">
        <v>129</v>
      </c>
      <c r="AU138" s="138" t="s">
        <v>81</v>
      </c>
      <c r="AY138" s="17" t="s">
        <v>127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79</v>
      </c>
      <c r="BK138" s="139">
        <f>ROUND(I138*H138,2)</f>
        <v>0</v>
      </c>
      <c r="BL138" s="17" t="s">
        <v>134</v>
      </c>
      <c r="BM138" s="138" t="s">
        <v>203</v>
      </c>
    </row>
    <row r="139" spans="2:65" s="1" customFormat="1">
      <c r="B139" s="32"/>
      <c r="D139" s="140" t="s">
        <v>136</v>
      </c>
      <c r="F139" s="141" t="s">
        <v>204</v>
      </c>
      <c r="I139" s="142"/>
      <c r="L139" s="32"/>
      <c r="M139" s="143"/>
      <c r="T139" s="51"/>
      <c r="AT139" s="17" t="s">
        <v>136</v>
      </c>
      <c r="AU139" s="17" t="s">
        <v>81</v>
      </c>
    </row>
    <row r="140" spans="2:65" s="12" customFormat="1">
      <c r="B140" s="144"/>
      <c r="D140" s="145" t="s">
        <v>138</v>
      </c>
      <c r="F140" s="147" t="s">
        <v>205</v>
      </c>
      <c r="H140" s="148">
        <v>14187.96</v>
      </c>
      <c r="I140" s="149"/>
      <c r="L140" s="144"/>
      <c r="M140" s="150"/>
      <c r="T140" s="151"/>
      <c r="AT140" s="146" t="s">
        <v>138</v>
      </c>
      <c r="AU140" s="146" t="s">
        <v>81</v>
      </c>
      <c r="AV140" s="12" t="s">
        <v>81</v>
      </c>
      <c r="AW140" s="12" t="s">
        <v>4</v>
      </c>
      <c r="AX140" s="12" t="s">
        <v>79</v>
      </c>
      <c r="AY140" s="146" t="s">
        <v>127</v>
      </c>
    </row>
    <row r="141" spans="2:65" s="1" customFormat="1" ht="24.2" customHeight="1">
      <c r="B141" s="32"/>
      <c r="C141" s="127" t="s">
        <v>206</v>
      </c>
      <c r="D141" s="127" t="s">
        <v>129</v>
      </c>
      <c r="E141" s="128" t="s">
        <v>207</v>
      </c>
      <c r="F141" s="129" t="s">
        <v>208</v>
      </c>
      <c r="G141" s="130" t="s">
        <v>147</v>
      </c>
      <c r="H141" s="131">
        <v>236.46600000000001</v>
      </c>
      <c r="I141" s="132"/>
      <c r="J141" s="133">
        <f>ROUND(I141*H141,2)</f>
        <v>0</v>
      </c>
      <c r="K141" s="129" t="s">
        <v>133</v>
      </c>
      <c r="L141" s="32"/>
      <c r="M141" s="134" t="s">
        <v>19</v>
      </c>
      <c r="N141" s="135" t="s">
        <v>42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134</v>
      </c>
      <c r="AT141" s="138" t="s">
        <v>129</v>
      </c>
      <c r="AU141" s="138" t="s">
        <v>81</v>
      </c>
      <c r="AY141" s="17" t="s">
        <v>127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79</v>
      </c>
      <c r="BK141" s="139">
        <f>ROUND(I141*H141,2)</f>
        <v>0</v>
      </c>
      <c r="BL141" s="17" t="s">
        <v>134</v>
      </c>
      <c r="BM141" s="138" t="s">
        <v>209</v>
      </c>
    </row>
    <row r="142" spans="2:65" s="1" customFormat="1">
      <c r="B142" s="32"/>
      <c r="D142" s="140" t="s">
        <v>136</v>
      </c>
      <c r="F142" s="141" t="s">
        <v>210</v>
      </c>
      <c r="I142" s="142"/>
      <c r="L142" s="32"/>
      <c r="M142" s="143"/>
      <c r="T142" s="51"/>
      <c r="AT142" s="17" t="s">
        <v>136</v>
      </c>
      <c r="AU142" s="17" t="s">
        <v>81</v>
      </c>
    </row>
    <row r="143" spans="2:65" s="1" customFormat="1" ht="24.2" customHeight="1">
      <c r="B143" s="32"/>
      <c r="C143" s="127" t="s">
        <v>211</v>
      </c>
      <c r="D143" s="127" t="s">
        <v>129</v>
      </c>
      <c r="E143" s="128" t="s">
        <v>212</v>
      </c>
      <c r="F143" s="129" t="s">
        <v>213</v>
      </c>
      <c r="G143" s="130" t="s">
        <v>132</v>
      </c>
      <c r="H143" s="131">
        <v>128.76</v>
      </c>
      <c r="I143" s="132"/>
      <c r="J143" s="133">
        <f>ROUND(I143*H143,2)</f>
        <v>0</v>
      </c>
      <c r="K143" s="129" t="s">
        <v>133</v>
      </c>
      <c r="L143" s="32"/>
      <c r="M143" s="134" t="s">
        <v>19</v>
      </c>
      <c r="N143" s="135" t="s">
        <v>42</v>
      </c>
      <c r="P143" s="136">
        <f>O143*H143</f>
        <v>0</v>
      </c>
      <c r="Q143" s="136">
        <v>0</v>
      </c>
      <c r="R143" s="136">
        <f>Q143*H143</f>
        <v>0</v>
      </c>
      <c r="S143" s="136">
        <v>0.26100000000000001</v>
      </c>
      <c r="T143" s="137">
        <f>S143*H143</f>
        <v>33.606360000000002</v>
      </c>
      <c r="AR143" s="138" t="s">
        <v>134</v>
      </c>
      <c r="AT143" s="138" t="s">
        <v>129</v>
      </c>
      <c r="AU143" s="138" t="s">
        <v>81</v>
      </c>
      <c r="AY143" s="17" t="s">
        <v>127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79</v>
      </c>
      <c r="BK143" s="139">
        <f>ROUND(I143*H143,2)</f>
        <v>0</v>
      </c>
      <c r="BL143" s="17" t="s">
        <v>134</v>
      </c>
      <c r="BM143" s="138" t="s">
        <v>214</v>
      </c>
    </row>
    <row r="144" spans="2:65" s="1" customFormat="1">
      <c r="B144" s="32"/>
      <c r="D144" s="140" t="s">
        <v>136</v>
      </c>
      <c r="F144" s="141" t="s">
        <v>215</v>
      </c>
      <c r="I144" s="142"/>
      <c r="L144" s="32"/>
      <c r="M144" s="143"/>
      <c r="T144" s="51"/>
      <c r="AT144" s="17" t="s">
        <v>136</v>
      </c>
      <c r="AU144" s="17" t="s">
        <v>81</v>
      </c>
    </row>
    <row r="145" spans="2:65" s="12" customFormat="1">
      <c r="B145" s="144"/>
      <c r="D145" s="145" t="s">
        <v>138</v>
      </c>
      <c r="E145" s="146" t="s">
        <v>19</v>
      </c>
      <c r="F145" s="147" t="s">
        <v>216</v>
      </c>
      <c r="H145" s="148">
        <v>128.76</v>
      </c>
      <c r="I145" s="149"/>
      <c r="L145" s="144"/>
      <c r="M145" s="150"/>
      <c r="T145" s="151"/>
      <c r="AT145" s="146" t="s">
        <v>138</v>
      </c>
      <c r="AU145" s="146" t="s">
        <v>81</v>
      </c>
      <c r="AV145" s="12" t="s">
        <v>81</v>
      </c>
      <c r="AW145" s="12" t="s">
        <v>33</v>
      </c>
      <c r="AX145" s="12" t="s">
        <v>79</v>
      </c>
      <c r="AY145" s="146" t="s">
        <v>127</v>
      </c>
    </row>
    <row r="146" spans="2:65" s="1" customFormat="1" ht="24.2" customHeight="1">
      <c r="B146" s="32"/>
      <c r="C146" s="127" t="s">
        <v>217</v>
      </c>
      <c r="D146" s="127" t="s">
        <v>129</v>
      </c>
      <c r="E146" s="128" t="s">
        <v>218</v>
      </c>
      <c r="F146" s="129" t="s">
        <v>219</v>
      </c>
      <c r="G146" s="130" t="s">
        <v>147</v>
      </c>
      <c r="H146" s="131">
        <v>39.476999999999997</v>
      </c>
      <c r="I146" s="132"/>
      <c r="J146" s="133">
        <f>ROUND(I146*H146,2)</f>
        <v>0</v>
      </c>
      <c r="K146" s="129" t="s">
        <v>133</v>
      </c>
      <c r="L146" s="32"/>
      <c r="M146" s="134" t="s">
        <v>19</v>
      </c>
      <c r="N146" s="135" t="s">
        <v>42</v>
      </c>
      <c r="P146" s="136">
        <f>O146*H146</f>
        <v>0</v>
      </c>
      <c r="Q146" s="136">
        <v>0</v>
      </c>
      <c r="R146" s="136">
        <f>Q146*H146</f>
        <v>0</v>
      </c>
      <c r="S146" s="136">
        <v>1.8</v>
      </c>
      <c r="T146" s="137">
        <f>S146*H146</f>
        <v>71.058599999999998</v>
      </c>
      <c r="AR146" s="138" t="s">
        <v>134</v>
      </c>
      <c r="AT146" s="138" t="s">
        <v>129</v>
      </c>
      <c r="AU146" s="138" t="s">
        <v>81</v>
      </c>
      <c r="AY146" s="17" t="s">
        <v>127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79</v>
      </c>
      <c r="BK146" s="139">
        <f>ROUND(I146*H146,2)</f>
        <v>0</v>
      </c>
      <c r="BL146" s="17" t="s">
        <v>134</v>
      </c>
      <c r="BM146" s="138" t="s">
        <v>220</v>
      </c>
    </row>
    <row r="147" spans="2:65" s="1" customFormat="1">
      <c r="B147" s="32"/>
      <c r="D147" s="140" t="s">
        <v>136</v>
      </c>
      <c r="F147" s="141" t="s">
        <v>221</v>
      </c>
      <c r="I147" s="142"/>
      <c r="L147" s="32"/>
      <c r="M147" s="143"/>
      <c r="T147" s="51"/>
      <c r="AT147" s="17" t="s">
        <v>136</v>
      </c>
      <c r="AU147" s="17" t="s">
        <v>81</v>
      </c>
    </row>
    <row r="148" spans="2:65" s="12" customFormat="1">
      <c r="B148" s="144"/>
      <c r="D148" s="145" t="s">
        <v>138</v>
      </c>
      <c r="E148" s="146" t="s">
        <v>19</v>
      </c>
      <c r="F148" s="147" t="s">
        <v>222</v>
      </c>
      <c r="H148" s="148">
        <v>12.156000000000001</v>
      </c>
      <c r="I148" s="149"/>
      <c r="L148" s="144"/>
      <c r="M148" s="150"/>
      <c r="T148" s="151"/>
      <c r="AT148" s="146" t="s">
        <v>138</v>
      </c>
      <c r="AU148" s="146" t="s">
        <v>81</v>
      </c>
      <c r="AV148" s="12" t="s">
        <v>81</v>
      </c>
      <c r="AW148" s="12" t="s">
        <v>33</v>
      </c>
      <c r="AX148" s="12" t="s">
        <v>71</v>
      </c>
      <c r="AY148" s="146" t="s">
        <v>127</v>
      </c>
    </row>
    <row r="149" spans="2:65" s="12" customFormat="1">
      <c r="B149" s="144"/>
      <c r="D149" s="145" t="s">
        <v>138</v>
      </c>
      <c r="E149" s="146" t="s">
        <v>19</v>
      </c>
      <c r="F149" s="147" t="s">
        <v>223</v>
      </c>
      <c r="H149" s="148">
        <v>27.321000000000002</v>
      </c>
      <c r="I149" s="149"/>
      <c r="L149" s="144"/>
      <c r="M149" s="150"/>
      <c r="T149" s="151"/>
      <c r="AT149" s="146" t="s">
        <v>138</v>
      </c>
      <c r="AU149" s="146" t="s">
        <v>81</v>
      </c>
      <c r="AV149" s="12" t="s">
        <v>81</v>
      </c>
      <c r="AW149" s="12" t="s">
        <v>33</v>
      </c>
      <c r="AX149" s="12" t="s">
        <v>71</v>
      </c>
      <c r="AY149" s="146" t="s">
        <v>127</v>
      </c>
    </row>
    <row r="150" spans="2:65" s="13" customFormat="1">
      <c r="B150" s="152"/>
      <c r="D150" s="145" t="s">
        <v>138</v>
      </c>
      <c r="E150" s="153" t="s">
        <v>19</v>
      </c>
      <c r="F150" s="154" t="s">
        <v>152</v>
      </c>
      <c r="H150" s="155">
        <v>39.476999999999997</v>
      </c>
      <c r="I150" s="156"/>
      <c r="L150" s="152"/>
      <c r="M150" s="157"/>
      <c r="T150" s="158"/>
      <c r="AT150" s="153" t="s">
        <v>138</v>
      </c>
      <c r="AU150" s="153" t="s">
        <v>81</v>
      </c>
      <c r="AV150" s="13" t="s">
        <v>134</v>
      </c>
      <c r="AW150" s="13" t="s">
        <v>33</v>
      </c>
      <c r="AX150" s="13" t="s">
        <v>79</v>
      </c>
      <c r="AY150" s="153" t="s">
        <v>127</v>
      </c>
    </row>
    <row r="151" spans="2:65" s="1" customFormat="1" ht="24.2" customHeight="1">
      <c r="B151" s="32"/>
      <c r="C151" s="127" t="s">
        <v>8</v>
      </c>
      <c r="D151" s="127" t="s">
        <v>129</v>
      </c>
      <c r="E151" s="128" t="s">
        <v>224</v>
      </c>
      <c r="F151" s="129" t="s">
        <v>225</v>
      </c>
      <c r="G151" s="130" t="s">
        <v>147</v>
      </c>
      <c r="H151" s="131">
        <v>8.0630000000000006</v>
      </c>
      <c r="I151" s="132"/>
      <c r="J151" s="133">
        <f>ROUND(I151*H151,2)</f>
        <v>0</v>
      </c>
      <c r="K151" s="129" t="s">
        <v>133</v>
      </c>
      <c r="L151" s="32"/>
      <c r="M151" s="134" t="s">
        <v>19</v>
      </c>
      <c r="N151" s="135" t="s">
        <v>42</v>
      </c>
      <c r="P151" s="136">
        <f>O151*H151</f>
        <v>0</v>
      </c>
      <c r="Q151" s="136">
        <v>0</v>
      </c>
      <c r="R151" s="136">
        <f>Q151*H151</f>
        <v>0</v>
      </c>
      <c r="S151" s="136">
        <v>1.5940000000000001</v>
      </c>
      <c r="T151" s="137">
        <f>S151*H151</f>
        <v>12.852422000000002</v>
      </c>
      <c r="AR151" s="138" t="s">
        <v>134</v>
      </c>
      <c r="AT151" s="138" t="s">
        <v>129</v>
      </c>
      <c r="AU151" s="138" t="s">
        <v>81</v>
      </c>
      <c r="AY151" s="17" t="s">
        <v>127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79</v>
      </c>
      <c r="BK151" s="139">
        <f>ROUND(I151*H151,2)</f>
        <v>0</v>
      </c>
      <c r="BL151" s="17" t="s">
        <v>134</v>
      </c>
      <c r="BM151" s="138" t="s">
        <v>226</v>
      </c>
    </row>
    <row r="152" spans="2:65" s="1" customFormat="1">
      <c r="B152" s="32"/>
      <c r="D152" s="140" t="s">
        <v>136</v>
      </c>
      <c r="F152" s="141" t="s">
        <v>227</v>
      </c>
      <c r="I152" s="142"/>
      <c r="L152" s="32"/>
      <c r="M152" s="143"/>
      <c r="T152" s="51"/>
      <c r="AT152" s="17" t="s">
        <v>136</v>
      </c>
      <c r="AU152" s="17" t="s">
        <v>81</v>
      </c>
    </row>
    <row r="153" spans="2:65" s="12" customFormat="1">
      <c r="B153" s="144"/>
      <c r="D153" s="145" t="s">
        <v>138</v>
      </c>
      <c r="E153" s="146" t="s">
        <v>19</v>
      </c>
      <c r="F153" s="147" t="s">
        <v>228</v>
      </c>
      <c r="H153" s="148">
        <v>8.0630000000000006</v>
      </c>
      <c r="I153" s="149"/>
      <c r="L153" s="144"/>
      <c r="M153" s="150"/>
      <c r="T153" s="151"/>
      <c r="AT153" s="146" t="s">
        <v>138</v>
      </c>
      <c r="AU153" s="146" t="s">
        <v>81</v>
      </c>
      <c r="AV153" s="12" t="s">
        <v>81</v>
      </c>
      <c r="AW153" s="12" t="s">
        <v>33</v>
      </c>
      <c r="AX153" s="12" t="s">
        <v>79</v>
      </c>
      <c r="AY153" s="146" t="s">
        <v>127</v>
      </c>
    </row>
    <row r="154" spans="2:65" s="1" customFormat="1" ht="21.75" customHeight="1">
      <c r="B154" s="32"/>
      <c r="C154" s="127" t="s">
        <v>229</v>
      </c>
      <c r="D154" s="127" t="s">
        <v>129</v>
      </c>
      <c r="E154" s="128" t="s">
        <v>230</v>
      </c>
      <c r="F154" s="129" t="s">
        <v>231</v>
      </c>
      <c r="G154" s="130" t="s">
        <v>147</v>
      </c>
      <c r="H154" s="131">
        <v>0.33300000000000002</v>
      </c>
      <c r="I154" s="132"/>
      <c r="J154" s="133">
        <f>ROUND(I154*H154,2)</f>
        <v>0</v>
      </c>
      <c r="K154" s="129" t="s">
        <v>133</v>
      </c>
      <c r="L154" s="32"/>
      <c r="M154" s="134" t="s">
        <v>19</v>
      </c>
      <c r="N154" s="135" t="s">
        <v>42</v>
      </c>
      <c r="P154" s="136">
        <f>O154*H154</f>
        <v>0</v>
      </c>
      <c r="Q154" s="136">
        <v>0</v>
      </c>
      <c r="R154" s="136">
        <f>Q154*H154</f>
        <v>0</v>
      </c>
      <c r="S154" s="136">
        <v>2.4</v>
      </c>
      <c r="T154" s="137">
        <f>S154*H154</f>
        <v>0.79920000000000002</v>
      </c>
      <c r="AR154" s="138" t="s">
        <v>134</v>
      </c>
      <c r="AT154" s="138" t="s">
        <v>129</v>
      </c>
      <c r="AU154" s="138" t="s">
        <v>81</v>
      </c>
      <c r="AY154" s="17" t="s">
        <v>127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79</v>
      </c>
      <c r="BK154" s="139">
        <f>ROUND(I154*H154,2)</f>
        <v>0</v>
      </c>
      <c r="BL154" s="17" t="s">
        <v>134</v>
      </c>
      <c r="BM154" s="138" t="s">
        <v>232</v>
      </c>
    </row>
    <row r="155" spans="2:65" s="1" customFormat="1">
      <c r="B155" s="32"/>
      <c r="D155" s="140" t="s">
        <v>136</v>
      </c>
      <c r="F155" s="141" t="s">
        <v>233</v>
      </c>
      <c r="I155" s="142"/>
      <c r="L155" s="32"/>
      <c r="M155" s="143"/>
      <c r="T155" s="51"/>
      <c r="AT155" s="17" t="s">
        <v>136</v>
      </c>
      <c r="AU155" s="17" t="s">
        <v>81</v>
      </c>
    </row>
    <row r="156" spans="2:65" s="12" customFormat="1">
      <c r="B156" s="144"/>
      <c r="D156" s="145" t="s">
        <v>138</v>
      </c>
      <c r="E156" s="146" t="s">
        <v>19</v>
      </c>
      <c r="F156" s="147" t="s">
        <v>234</v>
      </c>
      <c r="H156" s="148">
        <v>0.33300000000000002</v>
      </c>
      <c r="I156" s="149"/>
      <c r="L156" s="144"/>
      <c r="M156" s="150"/>
      <c r="T156" s="151"/>
      <c r="AT156" s="146" t="s">
        <v>138</v>
      </c>
      <c r="AU156" s="146" t="s">
        <v>81</v>
      </c>
      <c r="AV156" s="12" t="s">
        <v>81</v>
      </c>
      <c r="AW156" s="12" t="s">
        <v>33</v>
      </c>
      <c r="AX156" s="12" t="s">
        <v>79</v>
      </c>
      <c r="AY156" s="146" t="s">
        <v>127</v>
      </c>
    </row>
    <row r="157" spans="2:65" s="1" customFormat="1" ht="16.5" customHeight="1">
      <c r="B157" s="32"/>
      <c r="C157" s="127" t="s">
        <v>235</v>
      </c>
      <c r="D157" s="127" t="s">
        <v>129</v>
      </c>
      <c r="E157" s="128" t="s">
        <v>236</v>
      </c>
      <c r="F157" s="129" t="s">
        <v>237</v>
      </c>
      <c r="G157" s="130" t="s">
        <v>147</v>
      </c>
      <c r="H157" s="131">
        <v>13.606</v>
      </c>
      <c r="I157" s="132"/>
      <c r="J157" s="133">
        <f>ROUND(I157*H157,2)</f>
        <v>0</v>
      </c>
      <c r="K157" s="129" t="s">
        <v>133</v>
      </c>
      <c r="L157" s="32"/>
      <c r="M157" s="134" t="s">
        <v>19</v>
      </c>
      <c r="N157" s="135" t="s">
        <v>42</v>
      </c>
      <c r="P157" s="136">
        <f>O157*H157</f>
        <v>0</v>
      </c>
      <c r="Q157" s="136">
        <v>0</v>
      </c>
      <c r="R157" s="136">
        <f>Q157*H157</f>
        <v>0</v>
      </c>
      <c r="S157" s="136">
        <v>1.6</v>
      </c>
      <c r="T157" s="137">
        <f>S157*H157</f>
        <v>21.769600000000001</v>
      </c>
      <c r="AR157" s="138" t="s">
        <v>134</v>
      </c>
      <c r="AT157" s="138" t="s">
        <v>129</v>
      </c>
      <c r="AU157" s="138" t="s">
        <v>81</v>
      </c>
      <c r="AY157" s="17" t="s">
        <v>127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79</v>
      </c>
      <c r="BK157" s="139">
        <f>ROUND(I157*H157,2)</f>
        <v>0</v>
      </c>
      <c r="BL157" s="17" t="s">
        <v>134</v>
      </c>
      <c r="BM157" s="138" t="s">
        <v>238</v>
      </c>
    </row>
    <row r="158" spans="2:65" s="1" customFormat="1">
      <c r="B158" s="32"/>
      <c r="D158" s="140" t="s">
        <v>136</v>
      </c>
      <c r="F158" s="141" t="s">
        <v>239</v>
      </c>
      <c r="I158" s="142"/>
      <c r="L158" s="32"/>
      <c r="M158" s="143"/>
      <c r="T158" s="51"/>
      <c r="AT158" s="17" t="s">
        <v>136</v>
      </c>
      <c r="AU158" s="17" t="s">
        <v>81</v>
      </c>
    </row>
    <row r="159" spans="2:65" s="12" customFormat="1">
      <c r="B159" s="144"/>
      <c r="D159" s="145" t="s">
        <v>138</v>
      </c>
      <c r="E159" s="146" t="s">
        <v>19</v>
      </c>
      <c r="F159" s="147" t="s">
        <v>240</v>
      </c>
      <c r="H159" s="148">
        <v>13.606</v>
      </c>
      <c r="I159" s="149"/>
      <c r="L159" s="144"/>
      <c r="M159" s="150"/>
      <c r="T159" s="151"/>
      <c r="AT159" s="146" t="s">
        <v>138</v>
      </c>
      <c r="AU159" s="146" t="s">
        <v>81</v>
      </c>
      <c r="AV159" s="12" t="s">
        <v>81</v>
      </c>
      <c r="AW159" s="12" t="s">
        <v>33</v>
      </c>
      <c r="AX159" s="12" t="s">
        <v>79</v>
      </c>
      <c r="AY159" s="146" t="s">
        <v>127</v>
      </c>
    </row>
    <row r="160" spans="2:65" s="1" customFormat="1" ht="24.2" customHeight="1">
      <c r="B160" s="32"/>
      <c r="C160" s="127" t="s">
        <v>241</v>
      </c>
      <c r="D160" s="127" t="s">
        <v>129</v>
      </c>
      <c r="E160" s="128" t="s">
        <v>242</v>
      </c>
      <c r="F160" s="129" t="s">
        <v>243</v>
      </c>
      <c r="G160" s="130" t="s">
        <v>132</v>
      </c>
      <c r="H160" s="131">
        <v>516.75</v>
      </c>
      <c r="I160" s="132"/>
      <c r="J160" s="133">
        <f>ROUND(I160*H160,2)</f>
        <v>0</v>
      </c>
      <c r="K160" s="129" t="s">
        <v>133</v>
      </c>
      <c r="L160" s="32"/>
      <c r="M160" s="134" t="s">
        <v>19</v>
      </c>
      <c r="N160" s="135" t="s">
        <v>42</v>
      </c>
      <c r="P160" s="136">
        <f>O160*H160</f>
        <v>0</v>
      </c>
      <c r="Q160" s="136">
        <v>0</v>
      </c>
      <c r="R160" s="136">
        <f>Q160*H160</f>
        <v>0</v>
      </c>
      <c r="S160" s="136">
        <v>4.4999999999999998E-2</v>
      </c>
      <c r="T160" s="137">
        <f>S160*H160</f>
        <v>23.25375</v>
      </c>
      <c r="AR160" s="138" t="s">
        <v>134</v>
      </c>
      <c r="AT160" s="138" t="s">
        <v>129</v>
      </c>
      <c r="AU160" s="138" t="s">
        <v>81</v>
      </c>
      <c r="AY160" s="17" t="s">
        <v>127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79</v>
      </c>
      <c r="BK160" s="139">
        <f>ROUND(I160*H160,2)</f>
        <v>0</v>
      </c>
      <c r="BL160" s="17" t="s">
        <v>134</v>
      </c>
      <c r="BM160" s="138" t="s">
        <v>244</v>
      </c>
    </row>
    <row r="161" spans="2:65" s="1" customFormat="1">
      <c r="B161" s="32"/>
      <c r="D161" s="140" t="s">
        <v>136</v>
      </c>
      <c r="F161" s="141" t="s">
        <v>245</v>
      </c>
      <c r="I161" s="142"/>
      <c r="L161" s="32"/>
      <c r="M161" s="143"/>
      <c r="T161" s="51"/>
      <c r="AT161" s="17" t="s">
        <v>136</v>
      </c>
      <c r="AU161" s="17" t="s">
        <v>81</v>
      </c>
    </row>
    <row r="162" spans="2:65" s="12" customFormat="1">
      <c r="B162" s="144"/>
      <c r="D162" s="145" t="s">
        <v>138</v>
      </c>
      <c r="E162" s="146" t="s">
        <v>19</v>
      </c>
      <c r="F162" s="147" t="s">
        <v>246</v>
      </c>
      <c r="H162" s="148">
        <v>544.25</v>
      </c>
      <c r="I162" s="149"/>
      <c r="L162" s="144"/>
      <c r="M162" s="150"/>
      <c r="T162" s="151"/>
      <c r="AT162" s="146" t="s">
        <v>138</v>
      </c>
      <c r="AU162" s="146" t="s">
        <v>81</v>
      </c>
      <c r="AV162" s="12" t="s">
        <v>81</v>
      </c>
      <c r="AW162" s="12" t="s">
        <v>33</v>
      </c>
      <c r="AX162" s="12" t="s">
        <v>71</v>
      </c>
      <c r="AY162" s="146" t="s">
        <v>127</v>
      </c>
    </row>
    <row r="163" spans="2:65" s="12" customFormat="1">
      <c r="B163" s="144"/>
      <c r="D163" s="145" t="s">
        <v>138</v>
      </c>
      <c r="E163" s="146" t="s">
        <v>19</v>
      </c>
      <c r="F163" s="147" t="s">
        <v>247</v>
      </c>
      <c r="H163" s="148">
        <v>-27.5</v>
      </c>
      <c r="I163" s="149"/>
      <c r="L163" s="144"/>
      <c r="M163" s="150"/>
      <c r="T163" s="151"/>
      <c r="AT163" s="146" t="s">
        <v>138</v>
      </c>
      <c r="AU163" s="146" t="s">
        <v>81</v>
      </c>
      <c r="AV163" s="12" t="s">
        <v>81</v>
      </c>
      <c r="AW163" s="12" t="s">
        <v>33</v>
      </c>
      <c r="AX163" s="12" t="s">
        <v>71</v>
      </c>
      <c r="AY163" s="146" t="s">
        <v>127</v>
      </c>
    </row>
    <row r="164" spans="2:65" s="13" customFormat="1">
      <c r="B164" s="152"/>
      <c r="D164" s="145" t="s">
        <v>138</v>
      </c>
      <c r="E164" s="153" t="s">
        <v>19</v>
      </c>
      <c r="F164" s="154" t="s">
        <v>152</v>
      </c>
      <c r="H164" s="155">
        <v>516.75</v>
      </c>
      <c r="I164" s="156"/>
      <c r="L164" s="152"/>
      <c r="M164" s="157"/>
      <c r="T164" s="158"/>
      <c r="AT164" s="153" t="s">
        <v>138</v>
      </c>
      <c r="AU164" s="153" t="s">
        <v>81</v>
      </c>
      <c r="AV164" s="13" t="s">
        <v>134</v>
      </c>
      <c r="AW164" s="13" t="s">
        <v>33</v>
      </c>
      <c r="AX164" s="13" t="s">
        <v>79</v>
      </c>
      <c r="AY164" s="153" t="s">
        <v>127</v>
      </c>
    </row>
    <row r="165" spans="2:65" s="1" customFormat="1" ht="21.75" customHeight="1">
      <c r="B165" s="32"/>
      <c r="C165" s="127" t="s">
        <v>248</v>
      </c>
      <c r="D165" s="127" t="s">
        <v>129</v>
      </c>
      <c r="E165" s="128" t="s">
        <v>249</v>
      </c>
      <c r="F165" s="129" t="s">
        <v>250</v>
      </c>
      <c r="G165" s="130" t="s">
        <v>147</v>
      </c>
      <c r="H165" s="131">
        <v>38.097999999999999</v>
      </c>
      <c r="I165" s="132"/>
      <c r="J165" s="133">
        <f>ROUND(I165*H165,2)</f>
        <v>0</v>
      </c>
      <c r="K165" s="129" t="s">
        <v>133</v>
      </c>
      <c r="L165" s="32"/>
      <c r="M165" s="134" t="s">
        <v>19</v>
      </c>
      <c r="N165" s="135" t="s">
        <v>42</v>
      </c>
      <c r="P165" s="136">
        <f>O165*H165</f>
        <v>0</v>
      </c>
      <c r="Q165" s="136">
        <v>0</v>
      </c>
      <c r="R165" s="136">
        <f>Q165*H165</f>
        <v>0</v>
      </c>
      <c r="S165" s="136">
        <v>1.4</v>
      </c>
      <c r="T165" s="137">
        <f>S165*H165</f>
        <v>53.337199999999996</v>
      </c>
      <c r="AR165" s="138" t="s">
        <v>134</v>
      </c>
      <c r="AT165" s="138" t="s">
        <v>129</v>
      </c>
      <c r="AU165" s="138" t="s">
        <v>81</v>
      </c>
      <c r="AY165" s="17" t="s">
        <v>127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79</v>
      </c>
      <c r="BK165" s="139">
        <f>ROUND(I165*H165,2)</f>
        <v>0</v>
      </c>
      <c r="BL165" s="17" t="s">
        <v>134</v>
      </c>
      <c r="BM165" s="138" t="s">
        <v>251</v>
      </c>
    </row>
    <row r="166" spans="2:65" s="1" customFormat="1">
      <c r="B166" s="32"/>
      <c r="D166" s="140" t="s">
        <v>136</v>
      </c>
      <c r="F166" s="141" t="s">
        <v>252</v>
      </c>
      <c r="I166" s="142"/>
      <c r="L166" s="32"/>
      <c r="M166" s="143"/>
      <c r="T166" s="51"/>
      <c r="AT166" s="17" t="s">
        <v>136</v>
      </c>
      <c r="AU166" s="17" t="s">
        <v>81</v>
      </c>
    </row>
    <row r="167" spans="2:65" s="12" customFormat="1">
      <c r="B167" s="144"/>
      <c r="D167" s="145" t="s">
        <v>138</v>
      </c>
      <c r="E167" s="146" t="s">
        <v>19</v>
      </c>
      <c r="F167" s="147" t="s">
        <v>253</v>
      </c>
      <c r="H167" s="148">
        <v>38.097999999999999</v>
      </c>
      <c r="I167" s="149"/>
      <c r="L167" s="144"/>
      <c r="M167" s="150"/>
      <c r="T167" s="151"/>
      <c r="AT167" s="146" t="s">
        <v>138</v>
      </c>
      <c r="AU167" s="146" t="s">
        <v>81</v>
      </c>
      <c r="AV167" s="12" t="s">
        <v>81</v>
      </c>
      <c r="AW167" s="12" t="s">
        <v>33</v>
      </c>
      <c r="AX167" s="12" t="s">
        <v>79</v>
      </c>
      <c r="AY167" s="146" t="s">
        <v>127</v>
      </c>
    </row>
    <row r="168" spans="2:65" s="1" customFormat="1" ht="16.5" customHeight="1">
      <c r="B168" s="32"/>
      <c r="C168" s="127" t="s">
        <v>254</v>
      </c>
      <c r="D168" s="127" t="s">
        <v>129</v>
      </c>
      <c r="E168" s="128" t="s">
        <v>255</v>
      </c>
      <c r="F168" s="129" t="s">
        <v>256</v>
      </c>
      <c r="G168" s="130" t="s">
        <v>257</v>
      </c>
      <c r="H168" s="131">
        <v>13.638</v>
      </c>
      <c r="I168" s="132"/>
      <c r="J168" s="133">
        <f>ROUND(I168*H168,2)</f>
        <v>0</v>
      </c>
      <c r="K168" s="129" t="s">
        <v>133</v>
      </c>
      <c r="L168" s="32"/>
      <c r="M168" s="134" t="s">
        <v>19</v>
      </c>
      <c r="N168" s="135" t="s">
        <v>42</v>
      </c>
      <c r="P168" s="136">
        <f>O168*H168</f>
        <v>0</v>
      </c>
      <c r="Q168" s="136">
        <v>0</v>
      </c>
      <c r="R168" s="136">
        <f>Q168*H168</f>
        <v>0</v>
      </c>
      <c r="S168" s="136">
        <v>8.2000000000000003E-2</v>
      </c>
      <c r="T168" s="137">
        <f>S168*H168</f>
        <v>1.1183160000000001</v>
      </c>
      <c r="AR168" s="138" t="s">
        <v>134</v>
      </c>
      <c r="AT168" s="138" t="s">
        <v>129</v>
      </c>
      <c r="AU168" s="138" t="s">
        <v>81</v>
      </c>
      <c r="AY168" s="17" t="s">
        <v>127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79</v>
      </c>
      <c r="BK168" s="139">
        <f>ROUND(I168*H168,2)</f>
        <v>0</v>
      </c>
      <c r="BL168" s="17" t="s">
        <v>134</v>
      </c>
      <c r="BM168" s="138" t="s">
        <v>258</v>
      </c>
    </row>
    <row r="169" spans="2:65" s="1" customFormat="1">
      <c r="B169" s="32"/>
      <c r="D169" s="140" t="s">
        <v>136</v>
      </c>
      <c r="F169" s="141" t="s">
        <v>259</v>
      </c>
      <c r="I169" s="142"/>
      <c r="L169" s="32"/>
      <c r="M169" s="143"/>
      <c r="T169" s="51"/>
      <c r="AT169" s="17" t="s">
        <v>136</v>
      </c>
      <c r="AU169" s="17" t="s">
        <v>81</v>
      </c>
    </row>
    <row r="170" spans="2:65" s="12" customFormat="1">
      <c r="B170" s="144"/>
      <c r="D170" s="145" t="s">
        <v>138</v>
      </c>
      <c r="E170" s="146" t="s">
        <v>19</v>
      </c>
      <c r="F170" s="147" t="s">
        <v>260</v>
      </c>
      <c r="H170" s="148">
        <v>13.638</v>
      </c>
      <c r="I170" s="149"/>
      <c r="L170" s="144"/>
      <c r="M170" s="150"/>
      <c r="T170" s="151"/>
      <c r="AT170" s="146" t="s">
        <v>138</v>
      </c>
      <c r="AU170" s="146" t="s">
        <v>81</v>
      </c>
      <c r="AV170" s="12" t="s">
        <v>81</v>
      </c>
      <c r="AW170" s="12" t="s">
        <v>33</v>
      </c>
      <c r="AX170" s="12" t="s">
        <v>79</v>
      </c>
      <c r="AY170" s="146" t="s">
        <v>127</v>
      </c>
    </row>
    <row r="171" spans="2:65" s="1" customFormat="1" ht="16.5" customHeight="1">
      <c r="B171" s="32"/>
      <c r="C171" s="127" t="s">
        <v>7</v>
      </c>
      <c r="D171" s="127" t="s">
        <v>129</v>
      </c>
      <c r="E171" s="128" t="s">
        <v>261</v>
      </c>
      <c r="F171" s="129" t="s">
        <v>262</v>
      </c>
      <c r="G171" s="130" t="s">
        <v>257</v>
      </c>
      <c r="H171" s="131">
        <v>27.276</v>
      </c>
      <c r="I171" s="132"/>
      <c r="J171" s="133">
        <f>ROUND(I171*H171,2)</f>
        <v>0</v>
      </c>
      <c r="K171" s="129" t="s">
        <v>133</v>
      </c>
      <c r="L171" s="32"/>
      <c r="M171" s="134" t="s">
        <v>19</v>
      </c>
      <c r="N171" s="135" t="s">
        <v>42</v>
      </c>
      <c r="P171" s="136">
        <f>O171*H171</f>
        <v>0</v>
      </c>
      <c r="Q171" s="136">
        <v>0</v>
      </c>
      <c r="R171" s="136">
        <f>Q171*H171</f>
        <v>0</v>
      </c>
      <c r="S171" s="136">
        <v>0.11</v>
      </c>
      <c r="T171" s="137">
        <f>S171*H171</f>
        <v>3.0003600000000001</v>
      </c>
      <c r="AR171" s="138" t="s">
        <v>134</v>
      </c>
      <c r="AT171" s="138" t="s">
        <v>129</v>
      </c>
      <c r="AU171" s="138" t="s">
        <v>81</v>
      </c>
      <c r="AY171" s="17" t="s">
        <v>127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79</v>
      </c>
      <c r="BK171" s="139">
        <f>ROUND(I171*H171,2)</f>
        <v>0</v>
      </c>
      <c r="BL171" s="17" t="s">
        <v>134</v>
      </c>
      <c r="BM171" s="138" t="s">
        <v>263</v>
      </c>
    </row>
    <row r="172" spans="2:65" s="1" customFormat="1">
      <c r="B172" s="32"/>
      <c r="D172" s="140" t="s">
        <v>136</v>
      </c>
      <c r="F172" s="141" t="s">
        <v>264</v>
      </c>
      <c r="I172" s="142"/>
      <c r="L172" s="32"/>
      <c r="M172" s="143"/>
      <c r="T172" s="51"/>
      <c r="AT172" s="17" t="s">
        <v>136</v>
      </c>
      <c r="AU172" s="17" t="s">
        <v>81</v>
      </c>
    </row>
    <row r="173" spans="2:65" s="12" customFormat="1">
      <c r="B173" s="144"/>
      <c r="D173" s="145" t="s">
        <v>138</v>
      </c>
      <c r="E173" s="146" t="s">
        <v>19</v>
      </c>
      <c r="F173" s="147" t="s">
        <v>265</v>
      </c>
      <c r="H173" s="148">
        <v>13.638</v>
      </c>
      <c r="I173" s="149"/>
      <c r="L173" s="144"/>
      <c r="M173" s="150"/>
      <c r="T173" s="151"/>
      <c r="AT173" s="146" t="s">
        <v>138</v>
      </c>
      <c r="AU173" s="146" t="s">
        <v>81</v>
      </c>
      <c r="AV173" s="12" t="s">
        <v>81</v>
      </c>
      <c r="AW173" s="12" t="s">
        <v>33</v>
      </c>
      <c r="AX173" s="12" t="s">
        <v>71</v>
      </c>
      <c r="AY173" s="146" t="s">
        <v>127</v>
      </c>
    </row>
    <row r="174" spans="2:65" s="12" customFormat="1">
      <c r="B174" s="144"/>
      <c r="D174" s="145" t="s">
        <v>138</v>
      </c>
      <c r="E174" s="146" t="s">
        <v>19</v>
      </c>
      <c r="F174" s="147" t="s">
        <v>266</v>
      </c>
      <c r="H174" s="148">
        <v>13.638</v>
      </c>
      <c r="I174" s="149"/>
      <c r="L174" s="144"/>
      <c r="M174" s="150"/>
      <c r="T174" s="151"/>
      <c r="AT174" s="146" t="s">
        <v>138</v>
      </c>
      <c r="AU174" s="146" t="s">
        <v>81</v>
      </c>
      <c r="AV174" s="12" t="s">
        <v>81</v>
      </c>
      <c r="AW174" s="12" t="s">
        <v>33</v>
      </c>
      <c r="AX174" s="12" t="s">
        <v>71</v>
      </c>
      <c r="AY174" s="146" t="s">
        <v>127</v>
      </c>
    </row>
    <row r="175" spans="2:65" s="13" customFormat="1">
      <c r="B175" s="152"/>
      <c r="D175" s="145" t="s">
        <v>138</v>
      </c>
      <c r="E175" s="153" t="s">
        <v>19</v>
      </c>
      <c r="F175" s="154" t="s">
        <v>152</v>
      </c>
      <c r="H175" s="155">
        <v>27.276</v>
      </c>
      <c r="I175" s="156"/>
      <c r="L175" s="152"/>
      <c r="M175" s="157"/>
      <c r="T175" s="158"/>
      <c r="AT175" s="153" t="s">
        <v>138</v>
      </c>
      <c r="AU175" s="153" t="s">
        <v>81</v>
      </c>
      <c r="AV175" s="13" t="s">
        <v>134</v>
      </c>
      <c r="AW175" s="13" t="s">
        <v>33</v>
      </c>
      <c r="AX175" s="13" t="s">
        <v>79</v>
      </c>
      <c r="AY175" s="153" t="s">
        <v>127</v>
      </c>
    </row>
    <row r="176" spans="2:65" s="1" customFormat="1" ht="16.5" customHeight="1">
      <c r="B176" s="32"/>
      <c r="C176" s="127" t="s">
        <v>267</v>
      </c>
      <c r="D176" s="127" t="s">
        <v>129</v>
      </c>
      <c r="E176" s="128" t="s">
        <v>268</v>
      </c>
      <c r="F176" s="129" t="s">
        <v>269</v>
      </c>
      <c r="G176" s="130" t="s">
        <v>132</v>
      </c>
      <c r="H176" s="131">
        <v>12.419</v>
      </c>
      <c r="I176" s="132"/>
      <c r="J176" s="133">
        <f>ROUND(I176*H176,2)</f>
        <v>0</v>
      </c>
      <c r="K176" s="129" t="s">
        <v>133</v>
      </c>
      <c r="L176" s="32"/>
      <c r="M176" s="134" t="s">
        <v>19</v>
      </c>
      <c r="N176" s="135" t="s">
        <v>42</v>
      </c>
      <c r="P176" s="136">
        <f>O176*H176</f>
        <v>0</v>
      </c>
      <c r="Q176" s="136">
        <v>0</v>
      </c>
      <c r="R176" s="136">
        <f>Q176*H176</f>
        <v>0</v>
      </c>
      <c r="S176" s="136">
        <v>0.25</v>
      </c>
      <c r="T176" s="137">
        <f>S176*H176</f>
        <v>3.1047500000000001</v>
      </c>
      <c r="AR176" s="138" t="s">
        <v>134</v>
      </c>
      <c r="AT176" s="138" t="s">
        <v>129</v>
      </c>
      <c r="AU176" s="138" t="s">
        <v>81</v>
      </c>
      <c r="AY176" s="17" t="s">
        <v>127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79</v>
      </c>
      <c r="BK176" s="139">
        <f>ROUND(I176*H176,2)</f>
        <v>0</v>
      </c>
      <c r="BL176" s="17" t="s">
        <v>134</v>
      </c>
      <c r="BM176" s="138" t="s">
        <v>270</v>
      </c>
    </row>
    <row r="177" spans="2:65" s="1" customFormat="1">
      <c r="B177" s="32"/>
      <c r="D177" s="140" t="s">
        <v>136</v>
      </c>
      <c r="F177" s="141" t="s">
        <v>271</v>
      </c>
      <c r="I177" s="142"/>
      <c r="L177" s="32"/>
      <c r="M177" s="143"/>
      <c r="T177" s="51"/>
      <c r="AT177" s="17" t="s">
        <v>136</v>
      </c>
      <c r="AU177" s="17" t="s">
        <v>81</v>
      </c>
    </row>
    <row r="178" spans="2:65" s="12" customFormat="1">
      <c r="B178" s="144"/>
      <c r="D178" s="145" t="s">
        <v>138</v>
      </c>
      <c r="E178" s="146" t="s">
        <v>19</v>
      </c>
      <c r="F178" s="147" t="s">
        <v>272</v>
      </c>
      <c r="H178" s="148">
        <v>12.419</v>
      </c>
      <c r="I178" s="149"/>
      <c r="L178" s="144"/>
      <c r="M178" s="150"/>
      <c r="T178" s="151"/>
      <c r="AT178" s="146" t="s">
        <v>138</v>
      </c>
      <c r="AU178" s="146" t="s">
        <v>81</v>
      </c>
      <c r="AV178" s="12" t="s">
        <v>81</v>
      </c>
      <c r="AW178" s="12" t="s">
        <v>33</v>
      </c>
      <c r="AX178" s="12" t="s">
        <v>79</v>
      </c>
      <c r="AY178" s="146" t="s">
        <v>127</v>
      </c>
    </row>
    <row r="179" spans="2:65" s="1" customFormat="1" ht="24.2" customHeight="1">
      <c r="B179" s="32"/>
      <c r="C179" s="127" t="s">
        <v>273</v>
      </c>
      <c r="D179" s="127" t="s">
        <v>129</v>
      </c>
      <c r="E179" s="128" t="s">
        <v>274</v>
      </c>
      <c r="F179" s="129" t="s">
        <v>275</v>
      </c>
      <c r="G179" s="130" t="s">
        <v>132</v>
      </c>
      <c r="H179" s="131">
        <v>2.67</v>
      </c>
      <c r="I179" s="132"/>
      <c r="J179" s="133">
        <f>ROUND(I179*H179,2)</f>
        <v>0</v>
      </c>
      <c r="K179" s="129" t="s">
        <v>133</v>
      </c>
      <c r="L179" s="32"/>
      <c r="M179" s="134" t="s">
        <v>19</v>
      </c>
      <c r="N179" s="135" t="s">
        <v>42</v>
      </c>
      <c r="P179" s="136">
        <f>O179*H179</f>
        <v>0</v>
      </c>
      <c r="Q179" s="136">
        <v>0</v>
      </c>
      <c r="R179" s="136">
        <f>Q179*H179</f>
        <v>0</v>
      </c>
      <c r="S179" s="136">
        <v>2.7E-2</v>
      </c>
      <c r="T179" s="137">
        <f>S179*H179</f>
        <v>7.2090000000000001E-2</v>
      </c>
      <c r="AR179" s="138" t="s">
        <v>134</v>
      </c>
      <c r="AT179" s="138" t="s">
        <v>129</v>
      </c>
      <c r="AU179" s="138" t="s">
        <v>81</v>
      </c>
      <c r="AY179" s="17" t="s">
        <v>127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79</v>
      </c>
      <c r="BK179" s="139">
        <f>ROUND(I179*H179,2)</f>
        <v>0</v>
      </c>
      <c r="BL179" s="17" t="s">
        <v>134</v>
      </c>
      <c r="BM179" s="138" t="s">
        <v>276</v>
      </c>
    </row>
    <row r="180" spans="2:65" s="1" customFormat="1">
      <c r="B180" s="32"/>
      <c r="D180" s="140" t="s">
        <v>136</v>
      </c>
      <c r="F180" s="141" t="s">
        <v>277</v>
      </c>
      <c r="I180" s="142"/>
      <c r="L180" s="32"/>
      <c r="M180" s="143"/>
      <c r="T180" s="51"/>
      <c r="AT180" s="17" t="s">
        <v>136</v>
      </c>
      <c r="AU180" s="17" t="s">
        <v>81</v>
      </c>
    </row>
    <row r="181" spans="2:65" s="12" customFormat="1">
      <c r="B181" s="144"/>
      <c r="D181" s="145" t="s">
        <v>138</v>
      </c>
      <c r="E181" s="146" t="s">
        <v>19</v>
      </c>
      <c r="F181" s="147" t="s">
        <v>278</v>
      </c>
      <c r="H181" s="148">
        <v>1.829</v>
      </c>
      <c r="I181" s="149"/>
      <c r="L181" s="144"/>
      <c r="M181" s="150"/>
      <c r="T181" s="151"/>
      <c r="AT181" s="146" t="s">
        <v>138</v>
      </c>
      <c r="AU181" s="146" t="s">
        <v>81</v>
      </c>
      <c r="AV181" s="12" t="s">
        <v>81</v>
      </c>
      <c r="AW181" s="12" t="s">
        <v>33</v>
      </c>
      <c r="AX181" s="12" t="s">
        <v>71</v>
      </c>
      <c r="AY181" s="146" t="s">
        <v>127</v>
      </c>
    </row>
    <row r="182" spans="2:65" s="12" customFormat="1">
      <c r="B182" s="144"/>
      <c r="D182" s="145" t="s">
        <v>138</v>
      </c>
      <c r="E182" s="146" t="s">
        <v>19</v>
      </c>
      <c r="F182" s="147" t="s">
        <v>279</v>
      </c>
      <c r="H182" s="148">
        <v>0.40899999999999997</v>
      </c>
      <c r="I182" s="149"/>
      <c r="L182" s="144"/>
      <c r="M182" s="150"/>
      <c r="T182" s="151"/>
      <c r="AT182" s="146" t="s">
        <v>138</v>
      </c>
      <c r="AU182" s="146" t="s">
        <v>81</v>
      </c>
      <c r="AV182" s="12" t="s">
        <v>81</v>
      </c>
      <c r="AW182" s="12" t="s">
        <v>33</v>
      </c>
      <c r="AX182" s="12" t="s">
        <v>71</v>
      </c>
      <c r="AY182" s="146" t="s">
        <v>127</v>
      </c>
    </row>
    <row r="183" spans="2:65" s="12" customFormat="1">
      <c r="B183" s="144"/>
      <c r="D183" s="145" t="s">
        <v>138</v>
      </c>
      <c r="E183" s="146" t="s">
        <v>19</v>
      </c>
      <c r="F183" s="147" t="s">
        <v>280</v>
      </c>
      <c r="H183" s="148">
        <v>0.432</v>
      </c>
      <c r="I183" s="149"/>
      <c r="L183" s="144"/>
      <c r="M183" s="150"/>
      <c r="T183" s="151"/>
      <c r="AT183" s="146" t="s">
        <v>138</v>
      </c>
      <c r="AU183" s="146" t="s">
        <v>81</v>
      </c>
      <c r="AV183" s="12" t="s">
        <v>81</v>
      </c>
      <c r="AW183" s="12" t="s">
        <v>33</v>
      </c>
      <c r="AX183" s="12" t="s">
        <v>71</v>
      </c>
      <c r="AY183" s="146" t="s">
        <v>127</v>
      </c>
    </row>
    <row r="184" spans="2:65" s="13" customFormat="1">
      <c r="B184" s="152"/>
      <c r="D184" s="145" t="s">
        <v>138</v>
      </c>
      <c r="E184" s="153" t="s">
        <v>19</v>
      </c>
      <c r="F184" s="154" t="s">
        <v>152</v>
      </c>
      <c r="H184" s="155">
        <v>2.67</v>
      </c>
      <c r="I184" s="156"/>
      <c r="L184" s="152"/>
      <c r="M184" s="157"/>
      <c r="T184" s="158"/>
      <c r="AT184" s="153" t="s">
        <v>138</v>
      </c>
      <c r="AU184" s="153" t="s">
        <v>81</v>
      </c>
      <c r="AV184" s="13" t="s">
        <v>134</v>
      </c>
      <c r="AW184" s="13" t="s">
        <v>33</v>
      </c>
      <c r="AX184" s="13" t="s">
        <v>79</v>
      </c>
      <c r="AY184" s="153" t="s">
        <v>127</v>
      </c>
    </row>
    <row r="185" spans="2:65" s="1" customFormat="1" ht="24.2" customHeight="1">
      <c r="B185" s="32"/>
      <c r="C185" s="127" t="s">
        <v>281</v>
      </c>
      <c r="D185" s="127" t="s">
        <v>129</v>
      </c>
      <c r="E185" s="128" t="s">
        <v>282</v>
      </c>
      <c r="F185" s="129" t="s">
        <v>283</v>
      </c>
      <c r="G185" s="130" t="s">
        <v>132</v>
      </c>
      <c r="H185" s="131">
        <v>4.827</v>
      </c>
      <c r="I185" s="132"/>
      <c r="J185" s="133">
        <f>ROUND(I185*H185,2)</f>
        <v>0</v>
      </c>
      <c r="K185" s="129" t="s">
        <v>133</v>
      </c>
      <c r="L185" s="32"/>
      <c r="M185" s="134" t="s">
        <v>19</v>
      </c>
      <c r="N185" s="135" t="s">
        <v>42</v>
      </c>
      <c r="P185" s="136">
        <f>O185*H185</f>
        <v>0</v>
      </c>
      <c r="Q185" s="136">
        <v>0</v>
      </c>
      <c r="R185" s="136">
        <f>Q185*H185</f>
        <v>0</v>
      </c>
      <c r="S185" s="136">
        <v>7.5999999999999998E-2</v>
      </c>
      <c r="T185" s="137">
        <f>S185*H185</f>
        <v>0.36685200000000001</v>
      </c>
      <c r="AR185" s="138" t="s">
        <v>134</v>
      </c>
      <c r="AT185" s="138" t="s">
        <v>129</v>
      </c>
      <c r="AU185" s="138" t="s">
        <v>81</v>
      </c>
      <c r="AY185" s="17" t="s">
        <v>127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79</v>
      </c>
      <c r="BK185" s="139">
        <f>ROUND(I185*H185,2)</f>
        <v>0</v>
      </c>
      <c r="BL185" s="17" t="s">
        <v>134</v>
      </c>
      <c r="BM185" s="138" t="s">
        <v>284</v>
      </c>
    </row>
    <row r="186" spans="2:65" s="1" customFormat="1">
      <c r="B186" s="32"/>
      <c r="D186" s="140" t="s">
        <v>136</v>
      </c>
      <c r="F186" s="141" t="s">
        <v>285</v>
      </c>
      <c r="I186" s="142"/>
      <c r="L186" s="32"/>
      <c r="M186" s="143"/>
      <c r="T186" s="51"/>
      <c r="AT186" s="17" t="s">
        <v>136</v>
      </c>
      <c r="AU186" s="17" t="s">
        <v>81</v>
      </c>
    </row>
    <row r="187" spans="2:65" s="12" customFormat="1">
      <c r="B187" s="144"/>
      <c r="D187" s="145" t="s">
        <v>138</v>
      </c>
      <c r="E187" s="146" t="s">
        <v>19</v>
      </c>
      <c r="F187" s="147" t="s">
        <v>286</v>
      </c>
      <c r="H187" s="148">
        <v>4.827</v>
      </c>
      <c r="I187" s="149"/>
      <c r="L187" s="144"/>
      <c r="M187" s="150"/>
      <c r="T187" s="151"/>
      <c r="AT187" s="146" t="s">
        <v>138</v>
      </c>
      <c r="AU187" s="146" t="s">
        <v>81</v>
      </c>
      <c r="AV187" s="12" t="s">
        <v>81</v>
      </c>
      <c r="AW187" s="12" t="s">
        <v>33</v>
      </c>
      <c r="AX187" s="12" t="s">
        <v>79</v>
      </c>
      <c r="AY187" s="146" t="s">
        <v>127</v>
      </c>
    </row>
    <row r="188" spans="2:65" s="1" customFormat="1" ht="24.2" customHeight="1">
      <c r="B188" s="32"/>
      <c r="C188" s="127" t="s">
        <v>287</v>
      </c>
      <c r="D188" s="127" t="s">
        <v>129</v>
      </c>
      <c r="E188" s="128" t="s">
        <v>288</v>
      </c>
      <c r="F188" s="129" t="s">
        <v>289</v>
      </c>
      <c r="G188" s="130" t="s">
        <v>132</v>
      </c>
      <c r="H188" s="131">
        <v>5.2549999999999999</v>
      </c>
      <c r="I188" s="132"/>
      <c r="J188" s="133">
        <f>ROUND(I188*H188,2)</f>
        <v>0</v>
      </c>
      <c r="K188" s="129" t="s">
        <v>133</v>
      </c>
      <c r="L188" s="32"/>
      <c r="M188" s="134" t="s">
        <v>19</v>
      </c>
      <c r="N188" s="135" t="s">
        <v>42</v>
      </c>
      <c r="P188" s="136">
        <f>O188*H188</f>
        <v>0</v>
      </c>
      <c r="Q188" s="136">
        <v>0</v>
      </c>
      <c r="R188" s="136">
        <f>Q188*H188</f>
        <v>0</v>
      </c>
      <c r="S188" s="136">
        <v>6.3E-2</v>
      </c>
      <c r="T188" s="137">
        <f>S188*H188</f>
        <v>0.331065</v>
      </c>
      <c r="AR188" s="138" t="s">
        <v>134</v>
      </c>
      <c r="AT188" s="138" t="s">
        <v>129</v>
      </c>
      <c r="AU188" s="138" t="s">
        <v>81</v>
      </c>
      <c r="AY188" s="17" t="s">
        <v>127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79</v>
      </c>
      <c r="BK188" s="139">
        <f>ROUND(I188*H188,2)</f>
        <v>0</v>
      </c>
      <c r="BL188" s="17" t="s">
        <v>134</v>
      </c>
      <c r="BM188" s="138" t="s">
        <v>290</v>
      </c>
    </row>
    <row r="189" spans="2:65" s="1" customFormat="1">
      <c r="B189" s="32"/>
      <c r="D189" s="140" t="s">
        <v>136</v>
      </c>
      <c r="F189" s="141" t="s">
        <v>291</v>
      </c>
      <c r="I189" s="142"/>
      <c r="L189" s="32"/>
      <c r="M189" s="143"/>
      <c r="T189" s="51"/>
      <c r="AT189" s="17" t="s">
        <v>136</v>
      </c>
      <c r="AU189" s="17" t="s">
        <v>81</v>
      </c>
    </row>
    <row r="190" spans="2:65" s="12" customFormat="1">
      <c r="B190" s="144"/>
      <c r="D190" s="145" t="s">
        <v>138</v>
      </c>
      <c r="E190" s="146" t="s">
        <v>19</v>
      </c>
      <c r="F190" s="147" t="s">
        <v>292</v>
      </c>
      <c r="H190" s="148">
        <v>5.2549999999999999</v>
      </c>
      <c r="I190" s="149"/>
      <c r="L190" s="144"/>
      <c r="M190" s="150"/>
      <c r="T190" s="151"/>
      <c r="AT190" s="146" t="s">
        <v>138</v>
      </c>
      <c r="AU190" s="146" t="s">
        <v>81</v>
      </c>
      <c r="AV190" s="12" t="s">
        <v>81</v>
      </c>
      <c r="AW190" s="12" t="s">
        <v>33</v>
      </c>
      <c r="AX190" s="12" t="s">
        <v>79</v>
      </c>
      <c r="AY190" s="146" t="s">
        <v>127</v>
      </c>
    </row>
    <row r="191" spans="2:65" s="1" customFormat="1" ht="24.2" customHeight="1">
      <c r="B191" s="32"/>
      <c r="C191" s="127" t="s">
        <v>293</v>
      </c>
      <c r="D191" s="127" t="s">
        <v>129</v>
      </c>
      <c r="E191" s="128" t="s">
        <v>294</v>
      </c>
      <c r="F191" s="129" t="s">
        <v>295</v>
      </c>
      <c r="G191" s="130" t="s">
        <v>147</v>
      </c>
      <c r="H191" s="131">
        <v>11.427</v>
      </c>
      <c r="I191" s="132"/>
      <c r="J191" s="133">
        <f>ROUND(I191*H191,2)</f>
        <v>0</v>
      </c>
      <c r="K191" s="129" t="s">
        <v>133</v>
      </c>
      <c r="L191" s="32"/>
      <c r="M191" s="134" t="s">
        <v>19</v>
      </c>
      <c r="N191" s="135" t="s">
        <v>42</v>
      </c>
      <c r="P191" s="136">
        <f>O191*H191</f>
        <v>0</v>
      </c>
      <c r="Q191" s="136">
        <v>0</v>
      </c>
      <c r="R191" s="136">
        <f>Q191*H191</f>
        <v>0</v>
      </c>
      <c r="S191" s="136">
        <v>1.8</v>
      </c>
      <c r="T191" s="137">
        <f>S191*H191</f>
        <v>20.5686</v>
      </c>
      <c r="AR191" s="138" t="s">
        <v>134</v>
      </c>
      <c r="AT191" s="138" t="s">
        <v>129</v>
      </c>
      <c r="AU191" s="138" t="s">
        <v>81</v>
      </c>
      <c r="AY191" s="17" t="s">
        <v>127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79</v>
      </c>
      <c r="BK191" s="139">
        <f>ROUND(I191*H191,2)</f>
        <v>0</v>
      </c>
      <c r="BL191" s="17" t="s">
        <v>134</v>
      </c>
      <c r="BM191" s="138" t="s">
        <v>296</v>
      </c>
    </row>
    <row r="192" spans="2:65" s="1" customFormat="1">
      <c r="B192" s="32"/>
      <c r="D192" s="140" t="s">
        <v>136</v>
      </c>
      <c r="F192" s="141" t="s">
        <v>297</v>
      </c>
      <c r="I192" s="142"/>
      <c r="L192" s="32"/>
      <c r="M192" s="143"/>
      <c r="T192" s="51"/>
      <c r="AT192" s="17" t="s">
        <v>136</v>
      </c>
      <c r="AU192" s="17" t="s">
        <v>81</v>
      </c>
    </row>
    <row r="193" spans="2:65" s="12" customFormat="1">
      <c r="B193" s="144"/>
      <c r="D193" s="145" t="s">
        <v>138</v>
      </c>
      <c r="E193" s="146" t="s">
        <v>19</v>
      </c>
      <c r="F193" s="147" t="s">
        <v>298</v>
      </c>
      <c r="H193" s="148">
        <v>7.35</v>
      </c>
      <c r="I193" s="149"/>
      <c r="L193" s="144"/>
      <c r="M193" s="150"/>
      <c r="T193" s="151"/>
      <c r="AT193" s="146" t="s">
        <v>138</v>
      </c>
      <c r="AU193" s="146" t="s">
        <v>81</v>
      </c>
      <c r="AV193" s="12" t="s">
        <v>81</v>
      </c>
      <c r="AW193" s="12" t="s">
        <v>33</v>
      </c>
      <c r="AX193" s="12" t="s">
        <v>71</v>
      </c>
      <c r="AY193" s="146" t="s">
        <v>127</v>
      </c>
    </row>
    <row r="194" spans="2:65" s="12" customFormat="1">
      <c r="B194" s="144"/>
      <c r="D194" s="145" t="s">
        <v>138</v>
      </c>
      <c r="E194" s="146" t="s">
        <v>19</v>
      </c>
      <c r="F194" s="147" t="s">
        <v>299</v>
      </c>
      <c r="H194" s="148">
        <v>2.327</v>
      </c>
      <c r="I194" s="149"/>
      <c r="L194" s="144"/>
      <c r="M194" s="150"/>
      <c r="T194" s="151"/>
      <c r="AT194" s="146" t="s">
        <v>138</v>
      </c>
      <c r="AU194" s="146" t="s">
        <v>81</v>
      </c>
      <c r="AV194" s="12" t="s">
        <v>81</v>
      </c>
      <c r="AW194" s="12" t="s">
        <v>33</v>
      </c>
      <c r="AX194" s="12" t="s">
        <v>71</v>
      </c>
      <c r="AY194" s="146" t="s">
        <v>127</v>
      </c>
    </row>
    <row r="195" spans="2:65" s="12" customFormat="1">
      <c r="B195" s="144"/>
      <c r="D195" s="145" t="s">
        <v>138</v>
      </c>
      <c r="E195" s="146" t="s">
        <v>19</v>
      </c>
      <c r="F195" s="147" t="s">
        <v>300</v>
      </c>
      <c r="H195" s="148">
        <v>1.75</v>
      </c>
      <c r="I195" s="149"/>
      <c r="L195" s="144"/>
      <c r="M195" s="150"/>
      <c r="T195" s="151"/>
      <c r="AT195" s="146" t="s">
        <v>138</v>
      </c>
      <c r="AU195" s="146" t="s">
        <v>81</v>
      </c>
      <c r="AV195" s="12" t="s">
        <v>81</v>
      </c>
      <c r="AW195" s="12" t="s">
        <v>33</v>
      </c>
      <c r="AX195" s="12" t="s">
        <v>71</v>
      </c>
      <c r="AY195" s="146" t="s">
        <v>127</v>
      </c>
    </row>
    <row r="196" spans="2:65" s="13" customFormat="1">
      <c r="B196" s="152"/>
      <c r="D196" s="145" t="s">
        <v>138</v>
      </c>
      <c r="E196" s="153" t="s">
        <v>19</v>
      </c>
      <c r="F196" s="154" t="s">
        <v>152</v>
      </c>
      <c r="H196" s="155">
        <v>11.427</v>
      </c>
      <c r="I196" s="156"/>
      <c r="L196" s="152"/>
      <c r="M196" s="157"/>
      <c r="T196" s="158"/>
      <c r="AT196" s="153" t="s">
        <v>138</v>
      </c>
      <c r="AU196" s="153" t="s">
        <v>81</v>
      </c>
      <c r="AV196" s="13" t="s">
        <v>134</v>
      </c>
      <c r="AW196" s="13" t="s">
        <v>33</v>
      </c>
      <c r="AX196" s="13" t="s">
        <v>79</v>
      </c>
      <c r="AY196" s="153" t="s">
        <v>127</v>
      </c>
    </row>
    <row r="197" spans="2:65" s="1" customFormat="1" ht="24.2" customHeight="1">
      <c r="B197" s="32"/>
      <c r="C197" s="127" t="s">
        <v>301</v>
      </c>
      <c r="D197" s="127" t="s">
        <v>129</v>
      </c>
      <c r="E197" s="128" t="s">
        <v>302</v>
      </c>
      <c r="F197" s="129" t="s">
        <v>303</v>
      </c>
      <c r="G197" s="130" t="s">
        <v>304</v>
      </c>
      <c r="H197" s="131">
        <v>20.303999999999998</v>
      </c>
      <c r="I197" s="132"/>
      <c r="J197" s="133">
        <f>ROUND(I197*H197,2)</f>
        <v>0</v>
      </c>
      <c r="K197" s="129" t="s">
        <v>133</v>
      </c>
      <c r="L197" s="32"/>
      <c r="M197" s="134" t="s">
        <v>19</v>
      </c>
      <c r="N197" s="135" t="s">
        <v>42</v>
      </c>
      <c r="P197" s="136">
        <f>O197*H197</f>
        <v>0</v>
      </c>
      <c r="Q197" s="136">
        <v>0</v>
      </c>
      <c r="R197" s="136">
        <f>Q197*H197</f>
        <v>0</v>
      </c>
      <c r="S197" s="136">
        <v>6.2E-2</v>
      </c>
      <c r="T197" s="137">
        <f>S197*H197</f>
        <v>1.258848</v>
      </c>
      <c r="AR197" s="138" t="s">
        <v>134</v>
      </c>
      <c r="AT197" s="138" t="s">
        <v>129</v>
      </c>
      <c r="AU197" s="138" t="s">
        <v>81</v>
      </c>
      <c r="AY197" s="17" t="s">
        <v>127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79</v>
      </c>
      <c r="BK197" s="139">
        <f>ROUND(I197*H197,2)</f>
        <v>0</v>
      </c>
      <c r="BL197" s="17" t="s">
        <v>134</v>
      </c>
      <c r="BM197" s="138" t="s">
        <v>305</v>
      </c>
    </row>
    <row r="198" spans="2:65" s="1" customFormat="1">
      <c r="B198" s="32"/>
      <c r="D198" s="140" t="s">
        <v>136</v>
      </c>
      <c r="F198" s="141" t="s">
        <v>306</v>
      </c>
      <c r="I198" s="142"/>
      <c r="L198" s="32"/>
      <c r="M198" s="143"/>
      <c r="T198" s="51"/>
      <c r="AT198" s="17" t="s">
        <v>136</v>
      </c>
      <c r="AU198" s="17" t="s">
        <v>81</v>
      </c>
    </row>
    <row r="199" spans="2:65" s="12" customFormat="1">
      <c r="B199" s="144"/>
      <c r="D199" s="145" t="s">
        <v>138</v>
      </c>
      <c r="E199" s="146" t="s">
        <v>19</v>
      </c>
      <c r="F199" s="147" t="s">
        <v>307</v>
      </c>
      <c r="H199" s="148">
        <v>14</v>
      </c>
      <c r="I199" s="149"/>
      <c r="L199" s="144"/>
      <c r="M199" s="150"/>
      <c r="T199" s="151"/>
      <c r="AT199" s="146" t="s">
        <v>138</v>
      </c>
      <c r="AU199" s="146" t="s">
        <v>81</v>
      </c>
      <c r="AV199" s="12" t="s">
        <v>81</v>
      </c>
      <c r="AW199" s="12" t="s">
        <v>33</v>
      </c>
      <c r="AX199" s="12" t="s">
        <v>71</v>
      </c>
      <c r="AY199" s="146" t="s">
        <v>127</v>
      </c>
    </row>
    <row r="200" spans="2:65" s="12" customFormat="1">
      <c r="B200" s="144"/>
      <c r="D200" s="145" t="s">
        <v>138</v>
      </c>
      <c r="E200" s="146" t="s">
        <v>19</v>
      </c>
      <c r="F200" s="147" t="s">
        <v>308</v>
      </c>
      <c r="H200" s="148">
        <v>6</v>
      </c>
      <c r="I200" s="149"/>
      <c r="L200" s="144"/>
      <c r="M200" s="150"/>
      <c r="T200" s="151"/>
      <c r="AT200" s="146" t="s">
        <v>138</v>
      </c>
      <c r="AU200" s="146" t="s">
        <v>81</v>
      </c>
      <c r="AV200" s="12" t="s">
        <v>81</v>
      </c>
      <c r="AW200" s="12" t="s">
        <v>33</v>
      </c>
      <c r="AX200" s="12" t="s">
        <v>71</v>
      </c>
      <c r="AY200" s="146" t="s">
        <v>127</v>
      </c>
    </row>
    <row r="201" spans="2:65" s="12" customFormat="1">
      <c r="B201" s="144"/>
      <c r="D201" s="145" t="s">
        <v>138</v>
      </c>
      <c r="E201" s="146" t="s">
        <v>19</v>
      </c>
      <c r="F201" s="147" t="s">
        <v>309</v>
      </c>
      <c r="H201" s="148">
        <v>0.30399999999999999</v>
      </c>
      <c r="I201" s="149"/>
      <c r="L201" s="144"/>
      <c r="M201" s="150"/>
      <c r="T201" s="151"/>
      <c r="AT201" s="146" t="s">
        <v>138</v>
      </c>
      <c r="AU201" s="146" t="s">
        <v>81</v>
      </c>
      <c r="AV201" s="12" t="s">
        <v>81</v>
      </c>
      <c r="AW201" s="12" t="s">
        <v>33</v>
      </c>
      <c r="AX201" s="12" t="s">
        <v>71</v>
      </c>
      <c r="AY201" s="146" t="s">
        <v>127</v>
      </c>
    </row>
    <row r="202" spans="2:65" s="13" customFormat="1">
      <c r="B202" s="152"/>
      <c r="D202" s="145" t="s">
        <v>138</v>
      </c>
      <c r="E202" s="153" t="s">
        <v>19</v>
      </c>
      <c r="F202" s="154" t="s">
        <v>152</v>
      </c>
      <c r="H202" s="155">
        <v>20.303999999999998</v>
      </c>
      <c r="I202" s="156"/>
      <c r="L202" s="152"/>
      <c r="M202" s="157"/>
      <c r="T202" s="158"/>
      <c r="AT202" s="153" t="s">
        <v>138</v>
      </c>
      <c r="AU202" s="153" t="s">
        <v>81</v>
      </c>
      <c r="AV202" s="13" t="s">
        <v>134</v>
      </c>
      <c r="AW202" s="13" t="s">
        <v>33</v>
      </c>
      <c r="AX202" s="13" t="s">
        <v>79</v>
      </c>
      <c r="AY202" s="153" t="s">
        <v>127</v>
      </c>
    </row>
    <row r="203" spans="2:65" s="1" customFormat="1" ht="24.2" customHeight="1">
      <c r="B203" s="32"/>
      <c r="C203" s="127" t="s">
        <v>310</v>
      </c>
      <c r="D203" s="127" t="s">
        <v>129</v>
      </c>
      <c r="E203" s="128" t="s">
        <v>311</v>
      </c>
      <c r="F203" s="129" t="s">
        <v>312</v>
      </c>
      <c r="G203" s="130" t="s">
        <v>257</v>
      </c>
      <c r="H203" s="131">
        <v>44.808</v>
      </c>
      <c r="I203" s="132"/>
      <c r="J203" s="133">
        <f>ROUND(I203*H203,2)</f>
        <v>0</v>
      </c>
      <c r="K203" s="129" t="s">
        <v>133</v>
      </c>
      <c r="L203" s="32"/>
      <c r="M203" s="134" t="s">
        <v>19</v>
      </c>
      <c r="N203" s="135" t="s">
        <v>42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134</v>
      </c>
      <c r="AT203" s="138" t="s">
        <v>129</v>
      </c>
      <c r="AU203" s="138" t="s">
        <v>81</v>
      </c>
      <c r="AY203" s="17" t="s">
        <v>127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79</v>
      </c>
      <c r="BK203" s="139">
        <f>ROUND(I203*H203,2)</f>
        <v>0</v>
      </c>
      <c r="BL203" s="17" t="s">
        <v>134</v>
      </c>
      <c r="BM203" s="138" t="s">
        <v>313</v>
      </c>
    </row>
    <row r="204" spans="2:65" s="1" customFormat="1">
      <c r="B204" s="32"/>
      <c r="D204" s="140" t="s">
        <v>136</v>
      </c>
      <c r="F204" s="141" t="s">
        <v>314</v>
      </c>
      <c r="I204" s="142"/>
      <c r="L204" s="32"/>
      <c r="M204" s="143"/>
      <c r="T204" s="51"/>
      <c r="AT204" s="17" t="s">
        <v>136</v>
      </c>
      <c r="AU204" s="17" t="s">
        <v>81</v>
      </c>
    </row>
    <row r="205" spans="2:65" s="12" customFormat="1">
      <c r="B205" s="144"/>
      <c r="D205" s="145" t="s">
        <v>138</v>
      </c>
      <c r="E205" s="146" t="s">
        <v>19</v>
      </c>
      <c r="F205" s="147" t="s">
        <v>315</v>
      </c>
      <c r="H205" s="148">
        <v>44.808</v>
      </c>
      <c r="I205" s="149"/>
      <c r="L205" s="144"/>
      <c r="M205" s="150"/>
      <c r="T205" s="151"/>
      <c r="AT205" s="146" t="s">
        <v>138</v>
      </c>
      <c r="AU205" s="146" t="s">
        <v>81</v>
      </c>
      <c r="AV205" s="12" t="s">
        <v>81</v>
      </c>
      <c r="AW205" s="12" t="s">
        <v>33</v>
      </c>
      <c r="AX205" s="12" t="s">
        <v>79</v>
      </c>
      <c r="AY205" s="146" t="s">
        <v>127</v>
      </c>
    </row>
    <row r="206" spans="2:65" s="1" customFormat="1" ht="24.2" customHeight="1">
      <c r="B206" s="32"/>
      <c r="C206" s="127" t="s">
        <v>316</v>
      </c>
      <c r="D206" s="127" t="s">
        <v>129</v>
      </c>
      <c r="E206" s="128" t="s">
        <v>317</v>
      </c>
      <c r="F206" s="129" t="s">
        <v>318</v>
      </c>
      <c r="G206" s="130" t="s">
        <v>257</v>
      </c>
      <c r="H206" s="131">
        <v>1344.24</v>
      </c>
      <c r="I206" s="132"/>
      <c r="J206" s="133">
        <f>ROUND(I206*H206,2)</f>
        <v>0</v>
      </c>
      <c r="K206" s="129" t="s">
        <v>133</v>
      </c>
      <c r="L206" s="32"/>
      <c r="M206" s="134" t="s">
        <v>19</v>
      </c>
      <c r="N206" s="135" t="s">
        <v>42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134</v>
      </c>
      <c r="AT206" s="138" t="s">
        <v>129</v>
      </c>
      <c r="AU206" s="138" t="s">
        <v>81</v>
      </c>
      <c r="AY206" s="17" t="s">
        <v>127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79</v>
      </c>
      <c r="BK206" s="139">
        <f>ROUND(I206*H206,2)</f>
        <v>0</v>
      </c>
      <c r="BL206" s="17" t="s">
        <v>134</v>
      </c>
      <c r="BM206" s="138" t="s">
        <v>319</v>
      </c>
    </row>
    <row r="207" spans="2:65" s="1" customFormat="1">
      <c r="B207" s="32"/>
      <c r="D207" s="140" t="s">
        <v>136</v>
      </c>
      <c r="F207" s="141" t="s">
        <v>320</v>
      </c>
      <c r="I207" s="142"/>
      <c r="L207" s="32"/>
      <c r="M207" s="143"/>
      <c r="T207" s="51"/>
      <c r="AT207" s="17" t="s">
        <v>136</v>
      </c>
      <c r="AU207" s="17" t="s">
        <v>81</v>
      </c>
    </row>
    <row r="208" spans="2:65" s="12" customFormat="1">
      <c r="B208" s="144"/>
      <c r="D208" s="145" t="s">
        <v>138</v>
      </c>
      <c r="F208" s="147" t="s">
        <v>321</v>
      </c>
      <c r="H208" s="148">
        <v>1344.24</v>
      </c>
      <c r="I208" s="149"/>
      <c r="L208" s="144"/>
      <c r="M208" s="150"/>
      <c r="T208" s="151"/>
      <c r="AT208" s="146" t="s">
        <v>138</v>
      </c>
      <c r="AU208" s="146" t="s">
        <v>81</v>
      </c>
      <c r="AV208" s="12" t="s">
        <v>81</v>
      </c>
      <c r="AW208" s="12" t="s">
        <v>4</v>
      </c>
      <c r="AX208" s="12" t="s">
        <v>79</v>
      </c>
      <c r="AY208" s="146" t="s">
        <v>127</v>
      </c>
    </row>
    <row r="209" spans="2:65" s="1" customFormat="1" ht="24.2" customHeight="1">
      <c r="B209" s="32"/>
      <c r="C209" s="127" t="s">
        <v>322</v>
      </c>
      <c r="D209" s="127" t="s">
        <v>129</v>
      </c>
      <c r="E209" s="128" t="s">
        <v>323</v>
      </c>
      <c r="F209" s="129" t="s">
        <v>324</v>
      </c>
      <c r="G209" s="130" t="s">
        <v>257</v>
      </c>
      <c r="H209" s="131">
        <v>44.808</v>
      </c>
      <c r="I209" s="132"/>
      <c r="J209" s="133">
        <f>ROUND(I209*H209,2)</f>
        <v>0</v>
      </c>
      <c r="K209" s="129" t="s">
        <v>133</v>
      </c>
      <c r="L209" s="32"/>
      <c r="M209" s="134" t="s">
        <v>19</v>
      </c>
      <c r="N209" s="135" t="s">
        <v>42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134</v>
      </c>
      <c r="AT209" s="138" t="s">
        <v>129</v>
      </c>
      <c r="AU209" s="138" t="s">
        <v>81</v>
      </c>
      <c r="AY209" s="17" t="s">
        <v>127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79</v>
      </c>
      <c r="BK209" s="139">
        <f>ROUND(I209*H209,2)</f>
        <v>0</v>
      </c>
      <c r="BL209" s="17" t="s">
        <v>134</v>
      </c>
      <c r="BM209" s="138" t="s">
        <v>325</v>
      </c>
    </row>
    <row r="210" spans="2:65" s="1" customFormat="1">
      <c r="B210" s="32"/>
      <c r="D210" s="140" t="s">
        <v>136</v>
      </c>
      <c r="F210" s="141" t="s">
        <v>326</v>
      </c>
      <c r="I210" s="142"/>
      <c r="L210" s="32"/>
      <c r="M210" s="143"/>
      <c r="T210" s="51"/>
      <c r="AT210" s="17" t="s">
        <v>136</v>
      </c>
      <c r="AU210" s="17" t="s">
        <v>81</v>
      </c>
    </row>
    <row r="211" spans="2:65" s="1" customFormat="1" ht="24.2" customHeight="1">
      <c r="B211" s="32"/>
      <c r="C211" s="127" t="s">
        <v>327</v>
      </c>
      <c r="D211" s="127" t="s">
        <v>129</v>
      </c>
      <c r="E211" s="128" t="s">
        <v>328</v>
      </c>
      <c r="F211" s="129" t="s">
        <v>329</v>
      </c>
      <c r="G211" s="130" t="s">
        <v>257</v>
      </c>
      <c r="H211" s="131">
        <v>21.474</v>
      </c>
      <c r="I211" s="132"/>
      <c r="J211" s="133">
        <f>ROUND(I211*H211,2)</f>
        <v>0</v>
      </c>
      <c r="K211" s="129" t="s">
        <v>133</v>
      </c>
      <c r="L211" s="32"/>
      <c r="M211" s="134" t="s">
        <v>19</v>
      </c>
      <c r="N211" s="135" t="s">
        <v>42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134</v>
      </c>
      <c r="AT211" s="138" t="s">
        <v>129</v>
      </c>
      <c r="AU211" s="138" t="s">
        <v>81</v>
      </c>
      <c r="AY211" s="17" t="s">
        <v>127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79</v>
      </c>
      <c r="BK211" s="139">
        <f>ROUND(I211*H211,2)</f>
        <v>0</v>
      </c>
      <c r="BL211" s="17" t="s">
        <v>134</v>
      </c>
      <c r="BM211" s="138" t="s">
        <v>330</v>
      </c>
    </row>
    <row r="212" spans="2:65" s="1" customFormat="1">
      <c r="B212" s="32"/>
      <c r="D212" s="140" t="s">
        <v>136</v>
      </c>
      <c r="F212" s="141" t="s">
        <v>331</v>
      </c>
      <c r="I212" s="142"/>
      <c r="L212" s="32"/>
      <c r="M212" s="143"/>
      <c r="T212" s="51"/>
      <c r="AT212" s="17" t="s">
        <v>136</v>
      </c>
      <c r="AU212" s="17" t="s">
        <v>81</v>
      </c>
    </row>
    <row r="213" spans="2:65" s="12" customFormat="1">
      <c r="B213" s="144"/>
      <c r="D213" s="145" t="s">
        <v>138</v>
      </c>
      <c r="E213" s="146" t="s">
        <v>19</v>
      </c>
      <c r="F213" s="147" t="s">
        <v>332</v>
      </c>
      <c r="H213" s="148">
        <v>21.474</v>
      </c>
      <c r="I213" s="149"/>
      <c r="L213" s="144"/>
      <c r="M213" s="150"/>
      <c r="T213" s="151"/>
      <c r="AT213" s="146" t="s">
        <v>138</v>
      </c>
      <c r="AU213" s="146" t="s">
        <v>81</v>
      </c>
      <c r="AV213" s="12" t="s">
        <v>81</v>
      </c>
      <c r="AW213" s="12" t="s">
        <v>33</v>
      </c>
      <c r="AX213" s="12" t="s">
        <v>79</v>
      </c>
      <c r="AY213" s="146" t="s">
        <v>127</v>
      </c>
    </row>
    <row r="214" spans="2:65" s="1" customFormat="1" ht="24.2" customHeight="1">
      <c r="B214" s="32"/>
      <c r="C214" s="127" t="s">
        <v>333</v>
      </c>
      <c r="D214" s="127" t="s">
        <v>129</v>
      </c>
      <c r="E214" s="128" t="s">
        <v>334</v>
      </c>
      <c r="F214" s="129" t="s">
        <v>335</v>
      </c>
      <c r="G214" s="130" t="s">
        <v>257</v>
      </c>
      <c r="H214" s="131">
        <v>644.22</v>
      </c>
      <c r="I214" s="132"/>
      <c r="J214" s="133">
        <f>ROUND(I214*H214,2)</f>
        <v>0</v>
      </c>
      <c r="K214" s="129" t="s">
        <v>133</v>
      </c>
      <c r="L214" s="32"/>
      <c r="M214" s="134" t="s">
        <v>19</v>
      </c>
      <c r="N214" s="135" t="s">
        <v>42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134</v>
      </c>
      <c r="AT214" s="138" t="s">
        <v>129</v>
      </c>
      <c r="AU214" s="138" t="s">
        <v>81</v>
      </c>
      <c r="AY214" s="17" t="s">
        <v>127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79</v>
      </c>
      <c r="BK214" s="139">
        <f>ROUND(I214*H214,2)</f>
        <v>0</v>
      </c>
      <c r="BL214" s="17" t="s">
        <v>134</v>
      </c>
      <c r="BM214" s="138" t="s">
        <v>336</v>
      </c>
    </row>
    <row r="215" spans="2:65" s="1" customFormat="1">
      <c r="B215" s="32"/>
      <c r="D215" s="140" t="s">
        <v>136</v>
      </c>
      <c r="F215" s="141" t="s">
        <v>337</v>
      </c>
      <c r="I215" s="142"/>
      <c r="L215" s="32"/>
      <c r="M215" s="143"/>
      <c r="T215" s="51"/>
      <c r="AT215" s="17" t="s">
        <v>136</v>
      </c>
      <c r="AU215" s="17" t="s">
        <v>81</v>
      </c>
    </row>
    <row r="216" spans="2:65" s="12" customFormat="1">
      <c r="B216" s="144"/>
      <c r="D216" s="145" t="s">
        <v>138</v>
      </c>
      <c r="F216" s="147" t="s">
        <v>338</v>
      </c>
      <c r="H216" s="148">
        <v>644.22</v>
      </c>
      <c r="I216" s="149"/>
      <c r="L216" s="144"/>
      <c r="M216" s="150"/>
      <c r="T216" s="151"/>
      <c r="AT216" s="146" t="s">
        <v>138</v>
      </c>
      <c r="AU216" s="146" t="s">
        <v>81</v>
      </c>
      <c r="AV216" s="12" t="s">
        <v>81</v>
      </c>
      <c r="AW216" s="12" t="s">
        <v>4</v>
      </c>
      <c r="AX216" s="12" t="s">
        <v>79</v>
      </c>
      <c r="AY216" s="146" t="s">
        <v>127</v>
      </c>
    </row>
    <row r="217" spans="2:65" s="1" customFormat="1" ht="24.2" customHeight="1">
      <c r="B217" s="32"/>
      <c r="C217" s="127" t="s">
        <v>339</v>
      </c>
      <c r="D217" s="127" t="s">
        <v>129</v>
      </c>
      <c r="E217" s="128" t="s">
        <v>340</v>
      </c>
      <c r="F217" s="129" t="s">
        <v>341</v>
      </c>
      <c r="G217" s="130" t="s">
        <v>257</v>
      </c>
      <c r="H217" s="131">
        <v>21.474</v>
      </c>
      <c r="I217" s="132"/>
      <c r="J217" s="133">
        <f>ROUND(I217*H217,2)</f>
        <v>0</v>
      </c>
      <c r="K217" s="129" t="s">
        <v>133</v>
      </c>
      <c r="L217" s="32"/>
      <c r="M217" s="134" t="s">
        <v>19</v>
      </c>
      <c r="N217" s="135" t="s">
        <v>42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134</v>
      </c>
      <c r="AT217" s="138" t="s">
        <v>129</v>
      </c>
      <c r="AU217" s="138" t="s">
        <v>81</v>
      </c>
      <c r="AY217" s="17" t="s">
        <v>127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79</v>
      </c>
      <c r="BK217" s="139">
        <f>ROUND(I217*H217,2)</f>
        <v>0</v>
      </c>
      <c r="BL217" s="17" t="s">
        <v>134</v>
      </c>
      <c r="BM217" s="138" t="s">
        <v>342</v>
      </c>
    </row>
    <row r="218" spans="2:65" s="1" customFormat="1">
      <c r="B218" s="32"/>
      <c r="D218" s="140" t="s">
        <v>136</v>
      </c>
      <c r="F218" s="141" t="s">
        <v>343</v>
      </c>
      <c r="I218" s="142"/>
      <c r="L218" s="32"/>
      <c r="M218" s="143"/>
      <c r="T218" s="51"/>
      <c r="AT218" s="17" t="s">
        <v>136</v>
      </c>
      <c r="AU218" s="17" t="s">
        <v>81</v>
      </c>
    </row>
    <row r="219" spans="2:65" s="1" customFormat="1" ht="24.2" customHeight="1">
      <c r="B219" s="32"/>
      <c r="C219" s="127" t="s">
        <v>344</v>
      </c>
      <c r="D219" s="127" t="s">
        <v>129</v>
      </c>
      <c r="E219" s="128" t="s">
        <v>345</v>
      </c>
      <c r="F219" s="129" t="s">
        <v>346</v>
      </c>
      <c r="G219" s="130" t="s">
        <v>132</v>
      </c>
      <c r="H219" s="131">
        <v>157</v>
      </c>
      <c r="I219" s="132"/>
      <c r="J219" s="133">
        <f>ROUND(I219*H219,2)</f>
        <v>0</v>
      </c>
      <c r="K219" s="129" t="s">
        <v>133</v>
      </c>
      <c r="L219" s="32"/>
      <c r="M219" s="134" t="s">
        <v>19</v>
      </c>
      <c r="N219" s="135" t="s">
        <v>42</v>
      </c>
      <c r="P219" s="136">
        <f>O219*H219</f>
        <v>0</v>
      </c>
      <c r="Q219" s="136">
        <v>0</v>
      </c>
      <c r="R219" s="136">
        <f>Q219*H219</f>
        <v>0</v>
      </c>
      <c r="S219" s="136">
        <v>0.05</v>
      </c>
      <c r="T219" s="137">
        <f>S219*H219</f>
        <v>7.8500000000000005</v>
      </c>
      <c r="AR219" s="138" t="s">
        <v>134</v>
      </c>
      <c r="AT219" s="138" t="s">
        <v>129</v>
      </c>
      <c r="AU219" s="138" t="s">
        <v>81</v>
      </c>
      <c r="AY219" s="17" t="s">
        <v>127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79</v>
      </c>
      <c r="BK219" s="139">
        <f>ROUND(I219*H219,2)</f>
        <v>0</v>
      </c>
      <c r="BL219" s="17" t="s">
        <v>134</v>
      </c>
      <c r="BM219" s="138" t="s">
        <v>347</v>
      </c>
    </row>
    <row r="220" spans="2:65" s="1" customFormat="1">
      <c r="B220" s="32"/>
      <c r="D220" s="140" t="s">
        <v>136</v>
      </c>
      <c r="F220" s="141" t="s">
        <v>348</v>
      </c>
      <c r="I220" s="142"/>
      <c r="L220" s="32"/>
      <c r="M220" s="143"/>
      <c r="T220" s="51"/>
      <c r="AT220" s="17" t="s">
        <v>136</v>
      </c>
      <c r="AU220" s="17" t="s">
        <v>81</v>
      </c>
    </row>
    <row r="221" spans="2:65" s="12" customFormat="1">
      <c r="B221" s="144"/>
      <c r="D221" s="145" t="s">
        <v>138</v>
      </c>
      <c r="E221" s="146" t="s">
        <v>19</v>
      </c>
      <c r="F221" s="147" t="s">
        <v>349</v>
      </c>
      <c r="H221" s="148">
        <v>157</v>
      </c>
      <c r="I221" s="149"/>
      <c r="L221" s="144"/>
      <c r="M221" s="150"/>
      <c r="T221" s="151"/>
      <c r="AT221" s="146" t="s">
        <v>138</v>
      </c>
      <c r="AU221" s="146" t="s">
        <v>81</v>
      </c>
      <c r="AV221" s="12" t="s">
        <v>81</v>
      </c>
      <c r="AW221" s="12" t="s">
        <v>33</v>
      </c>
      <c r="AX221" s="12" t="s">
        <v>79</v>
      </c>
      <c r="AY221" s="146" t="s">
        <v>127</v>
      </c>
    </row>
    <row r="222" spans="2:65" s="1" customFormat="1" ht="24.2" customHeight="1">
      <c r="B222" s="32"/>
      <c r="C222" s="127" t="s">
        <v>350</v>
      </c>
      <c r="D222" s="127" t="s">
        <v>129</v>
      </c>
      <c r="E222" s="128" t="s">
        <v>351</v>
      </c>
      <c r="F222" s="129" t="s">
        <v>352</v>
      </c>
      <c r="G222" s="130" t="s">
        <v>132</v>
      </c>
      <c r="H222" s="131">
        <v>158.24</v>
      </c>
      <c r="I222" s="132"/>
      <c r="J222" s="133">
        <f>ROUND(I222*H222,2)</f>
        <v>0</v>
      </c>
      <c r="K222" s="129" t="s">
        <v>133</v>
      </c>
      <c r="L222" s="32"/>
      <c r="M222" s="134" t="s">
        <v>19</v>
      </c>
      <c r="N222" s="135" t="s">
        <v>42</v>
      </c>
      <c r="P222" s="136">
        <f>O222*H222</f>
        <v>0</v>
      </c>
      <c r="Q222" s="136">
        <v>0</v>
      </c>
      <c r="R222" s="136">
        <f>Q222*H222</f>
        <v>0</v>
      </c>
      <c r="S222" s="136">
        <v>4.5999999999999999E-2</v>
      </c>
      <c r="T222" s="137">
        <f>S222*H222</f>
        <v>7.2790400000000002</v>
      </c>
      <c r="AR222" s="138" t="s">
        <v>134</v>
      </c>
      <c r="AT222" s="138" t="s">
        <v>129</v>
      </c>
      <c r="AU222" s="138" t="s">
        <v>81</v>
      </c>
      <c r="AY222" s="17" t="s">
        <v>127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79</v>
      </c>
      <c r="BK222" s="139">
        <f>ROUND(I222*H222,2)</f>
        <v>0</v>
      </c>
      <c r="BL222" s="17" t="s">
        <v>134</v>
      </c>
      <c r="BM222" s="138" t="s">
        <v>353</v>
      </c>
    </row>
    <row r="223" spans="2:65" s="1" customFormat="1">
      <c r="B223" s="32"/>
      <c r="D223" s="140" t="s">
        <v>136</v>
      </c>
      <c r="F223" s="141" t="s">
        <v>354</v>
      </c>
      <c r="I223" s="142"/>
      <c r="L223" s="32"/>
      <c r="M223" s="143"/>
      <c r="T223" s="51"/>
      <c r="AT223" s="17" t="s">
        <v>136</v>
      </c>
      <c r="AU223" s="17" t="s">
        <v>81</v>
      </c>
    </row>
    <row r="224" spans="2:65" s="12" customFormat="1">
      <c r="B224" s="144"/>
      <c r="D224" s="145" t="s">
        <v>138</v>
      </c>
      <c r="E224" s="146" t="s">
        <v>19</v>
      </c>
      <c r="F224" s="147" t="s">
        <v>355</v>
      </c>
      <c r="H224" s="148">
        <v>158.24</v>
      </c>
      <c r="I224" s="149"/>
      <c r="L224" s="144"/>
      <c r="M224" s="150"/>
      <c r="T224" s="151"/>
      <c r="AT224" s="146" t="s">
        <v>138</v>
      </c>
      <c r="AU224" s="146" t="s">
        <v>81</v>
      </c>
      <c r="AV224" s="12" t="s">
        <v>81</v>
      </c>
      <c r="AW224" s="12" t="s">
        <v>33</v>
      </c>
      <c r="AX224" s="12" t="s">
        <v>79</v>
      </c>
      <c r="AY224" s="146" t="s">
        <v>127</v>
      </c>
    </row>
    <row r="225" spans="2:65" s="1" customFormat="1" ht="24.2" customHeight="1">
      <c r="B225" s="32"/>
      <c r="C225" s="127" t="s">
        <v>356</v>
      </c>
      <c r="D225" s="127" t="s">
        <v>129</v>
      </c>
      <c r="E225" s="128" t="s">
        <v>357</v>
      </c>
      <c r="F225" s="129" t="s">
        <v>358</v>
      </c>
      <c r="G225" s="130" t="s">
        <v>132</v>
      </c>
      <c r="H225" s="131">
        <v>220.61099999999999</v>
      </c>
      <c r="I225" s="132"/>
      <c r="J225" s="133">
        <f>ROUND(I225*H225,2)</f>
        <v>0</v>
      </c>
      <c r="K225" s="129" t="s">
        <v>133</v>
      </c>
      <c r="L225" s="32"/>
      <c r="M225" s="134" t="s">
        <v>19</v>
      </c>
      <c r="N225" s="135" t="s">
        <v>42</v>
      </c>
      <c r="P225" s="136">
        <f>O225*H225</f>
        <v>0</v>
      </c>
      <c r="Q225" s="136">
        <v>0</v>
      </c>
      <c r="R225" s="136">
        <f>Q225*H225</f>
        <v>0</v>
      </c>
      <c r="S225" s="136">
        <v>5.8999999999999997E-2</v>
      </c>
      <c r="T225" s="137">
        <f>S225*H225</f>
        <v>13.016048999999999</v>
      </c>
      <c r="AR225" s="138" t="s">
        <v>134</v>
      </c>
      <c r="AT225" s="138" t="s">
        <v>129</v>
      </c>
      <c r="AU225" s="138" t="s">
        <v>81</v>
      </c>
      <c r="AY225" s="17" t="s">
        <v>127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79</v>
      </c>
      <c r="BK225" s="139">
        <f>ROUND(I225*H225,2)</f>
        <v>0</v>
      </c>
      <c r="BL225" s="17" t="s">
        <v>134</v>
      </c>
      <c r="BM225" s="138" t="s">
        <v>359</v>
      </c>
    </row>
    <row r="226" spans="2:65" s="1" customFormat="1">
      <c r="B226" s="32"/>
      <c r="D226" s="140" t="s">
        <v>136</v>
      </c>
      <c r="F226" s="141" t="s">
        <v>360</v>
      </c>
      <c r="I226" s="142"/>
      <c r="L226" s="32"/>
      <c r="M226" s="143"/>
      <c r="T226" s="51"/>
      <c r="AT226" s="17" t="s">
        <v>136</v>
      </c>
      <c r="AU226" s="17" t="s">
        <v>81</v>
      </c>
    </row>
    <row r="227" spans="2:65" s="12" customFormat="1">
      <c r="B227" s="144"/>
      <c r="D227" s="145" t="s">
        <v>138</v>
      </c>
      <c r="E227" s="146" t="s">
        <v>19</v>
      </c>
      <c r="F227" s="147" t="s">
        <v>361</v>
      </c>
      <c r="H227" s="148">
        <v>220.61099999999999</v>
      </c>
      <c r="I227" s="149"/>
      <c r="L227" s="144"/>
      <c r="M227" s="150"/>
      <c r="T227" s="151"/>
      <c r="AT227" s="146" t="s">
        <v>138</v>
      </c>
      <c r="AU227" s="146" t="s">
        <v>81</v>
      </c>
      <c r="AV227" s="12" t="s">
        <v>81</v>
      </c>
      <c r="AW227" s="12" t="s">
        <v>33</v>
      </c>
      <c r="AX227" s="12" t="s">
        <v>79</v>
      </c>
      <c r="AY227" s="146" t="s">
        <v>127</v>
      </c>
    </row>
    <row r="228" spans="2:65" s="11" customFormat="1" ht="22.9" customHeight="1">
      <c r="B228" s="115"/>
      <c r="D228" s="116" t="s">
        <v>70</v>
      </c>
      <c r="E228" s="125" t="s">
        <v>362</v>
      </c>
      <c r="F228" s="125" t="s">
        <v>363</v>
      </c>
      <c r="I228" s="118"/>
      <c r="J228" s="126">
        <f>BK228</f>
        <v>0</v>
      </c>
      <c r="L228" s="115"/>
      <c r="M228" s="120"/>
      <c r="P228" s="121">
        <f>SUM(P229:P242)</f>
        <v>0</v>
      </c>
      <c r="R228" s="121">
        <f>SUM(R229:R242)</f>
        <v>0</v>
      </c>
      <c r="T228" s="122">
        <f>SUM(T229:T242)</f>
        <v>0</v>
      </c>
      <c r="AR228" s="116" t="s">
        <v>79</v>
      </c>
      <c r="AT228" s="123" t="s">
        <v>70</v>
      </c>
      <c r="AU228" s="123" t="s">
        <v>79</v>
      </c>
      <c r="AY228" s="116" t="s">
        <v>127</v>
      </c>
      <c r="BK228" s="124">
        <f>SUM(BK229:BK242)</f>
        <v>0</v>
      </c>
    </row>
    <row r="229" spans="2:65" s="1" customFormat="1" ht="24.2" customHeight="1">
      <c r="B229" s="32"/>
      <c r="C229" s="127" t="s">
        <v>364</v>
      </c>
      <c r="D229" s="127" t="s">
        <v>129</v>
      </c>
      <c r="E229" s="128" t="s">
        <v>365</v>
      </c>
      <c r="F229" s="129" t="s">
        <v>366</v>
      </c>
      <c r="G229" s="130" t="s">
        <v>173</v>
      </c>
      <c r="H229" s="131">
        <v>397.56799999999998</v>
      </c>
      <c r="I229" s="132"/>
      <c r="J229" s="133">
        <f>ROUND(I229*H229,2)</f>
        <v>0</v>
      </c>
      <c r="K229" s="129" t="s">
        <v>133</v>
      </c>
      <c r="L229" s="32"/>
      <c r="M229" s="134" t="s">
        <v>19</v>
      </c>
      <c r="N229" s="135" t="s">
        <v>42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134</v>
      </c>
      <c r="AT229" s="138" t="s">
        <v>129</v>
      </c>
      <c r="AU229" s="138" t="s">
        <v>81</v>
      </c>
      <c r="AY229" s="17" t="s">
        <v>127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79</v>
      </c>
      <c r="BK229" s="139">
        <f>ROUND(I229*H229,2)</f>
        <v>0</v>
      </c>
      <c r="BL229" s="17" t="s">
        <v>134</v>
      </c>
      <c r="BM229" s="138" t="s">
        <v>367</v>
      </c>
    </row>
    <row r="230" spans="2:65" s="1" customFormat="1">
      <c r="B230" s="32"/>
      <c r="D230" s="140" t="s">
        <v>136</v>
      </c>
      <c r="F230" s="141" t="s">
        <v>368</v>
      </c>
      <c r="I230" s="142"/>
      <c r="L230" s="32"/>
      <c r="M230" s="143"/>
      <c r="T230" s="51"/>
      <c r="AT230" s="17" t="s">
        <v>136</v>
      </c>
      <c r="AU230" s="17" t="s">
        <v>81</v>
      </c>
    </row>
    <row r="231" spans="2:65" s="1" customFormat="1" ht="16.5" customHeight="1">
      <c r="B231" s="32"/>
      <c r="C231" s="127" t="s">
        <v>369</v>
      </c>
      <c r="D231" s="127" t="s">
        <v>129</v>
      </c>
      <c r="E231" s="128" t="s">
        <v>370</v>
      </c>
      <c r="F231" s="129" t="s">
        <v>371</v>
      </c>
      <c r="G231" s="130" t="s">
        <v>257</v>
      </c>
      <c r="H231" s="131">
        <v>17</v>
      </c>
      <c r="I231" s="132"/>
      <c r="J231" s="133">
        <f>ROUND(I231*H231,2)</f>
        <v>0</v>
      </c>
      <c r="K231" s="129" t="s">
        <v>133</v>
      </c>
      <c r="L231" s="32"/>
      <c r="M231" s="134" t="s">
        <v>19</v>
      </c>
      <c r="N231" s="135" t="s">
        <v>42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134</v>
      </c>
      <c r="AT231" s="138" t="s">
        <v>129</v>
      </c>
      <c r="AU231" s="138" t="s">
        <v>81</v>
      </c>
      <c r="AY231" s="17" t="s">
        <v>127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79</v>
      </c>
      <c r="BK231" s="139">
        <f>ROUND(I231*H231,2)</f>
        <v>0</v>
      </c>
      <c r="BL231" s="17" t="s">
        <v>134</v>
      </c>
      <c r="BM231" s="138" t="s">
        <v>372</v>
      </c>
    </row>
    <row r="232" spans="2:65" s="1" customFormat="1">
      <c r="B232" s="32"/>
      <c r="D232" s="140" t="s">
        <v>136</v>
      </c>
      <c r="F232" s="141" t="s">
        <v>373</v>
      </c>
      <c r="I232" s="142"/>
      <c r="L232" s="32"/>
      <c r="M232" s="143"/>
      <c r="T232" s="51"/>
      <c r="AT232" s="17" t="s">
        <v>136</v>
      </c>
      <c r="AU232" s="17" t="s">
        <v>81</v>
      </c>
    </row>
    <row r="233" spans="2:65" s="1" customFormat="1" ht="24.2" customHeight="1">
      <c r="B233" s="32"/>
      <c r="C233" s="127" t="s">
        <v>374</v>
      </c>
      <c r="D233" s="127" t="s">
        <v>129</v>
      </c>
      <c r="E233" s="128" t="s">
        <v>375</v>
      </c>
      <c r="F233" s="129" t="s">
        <v>376</v>
      </c>
      <c r="G233" s="130" t="s">
        <v>257</v>
      </c>
      <c r="H233" s="131">
        <v>1530</v>
      </c>
      <c r="I233" s="132"/>
      <c r="J233" s="133">
        <f>ROUND(I233*H233,2)</f>
        <v>0</v>
      </c>
      <c r="K233" s="129" t="s">
        <v>133</v>
      </c>
      <c r="L233" s="32"/>
      <c r="M233" s="134" t="s">
        <v>19</v>
      </c>
      <c r="N233" s="135" t="s">
        <v>42</v>
      </c>
      <c r="P233" s="136">
        <f>O233*H233</f>
        <v>0</v>
      </c>
      <c r="Q233" s="136">
        <v>0</v>
      </c>
      <c r="R233" s="136">
        <f>Q233*H233</f>
        <v>0</v>
      </c>
      <c r="S233" s="136">
        <v>0</v>
      </c>
      <c r="T233" s="137">
        <f>S233*H233</f>
        <v>0</v>
      </c>
      <c r="AR233" s="138" t="s">
        <v>134</v>
      </c>
      <c r="AT233" s="138" t="s">
        <v>129</v>
      </c>
      <c r="AU233" s="138" t="s">
        <v>81</v>
      </c>
      <c r="AY233" s="17" t="s">
        <v>127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79</v>
      </c>
      <c r="BK233" s="139">
        <f>ROUND(I233*H233,2)</f>
        <v>0</v>
      </c>
      <c r="BL233" s="17" t="s">
        <v>134</v>
      </c>
      <c r="BM233" s="138" t="s">
        <v>377</v>
      </c>
    </row>
    <row r="234" spans="2:65" s="1" customFormat="1">
      <c r="B234" s="32"/>
      <c r="D234" s="140" t="s">
        <v>136</v>
      </c>
      <c r="F234" s="141" t="s">
        <v>378</v>
      </c>
      <c r="I234" s="142"/>
      <c r="L234" s="32"/>
      <c r="M234" s="143"/>
      <c r="T234" s="51"/>
      <c r="AT234" s="17" t="s">
        <v>136</v>
      </c>
      <c r="AU234" s="17" t="s">
        <v>81</v>
      </c>
    </row>
    <row r="235" spans="2:65" s="12" customFormat="1">
      <c r="B235" s="144"/>
      <c r="D235" s="145" t="s">
        <v>138</v>
      </c>
      <c r="F235" s="147" t="s">
        <v>379</v>
      </c>
      <c r="H235" s="148">
        <v>1530</v>
      </c>
      <c r="I235" s="149"/>
      <c r="L235" s="144"/>
      <c r="M235" s="150"/>
      <c r="T235" s="151"/>
      <c r="AT235" s="146" t="s">
        <v>138</v>
      </c>
      <c r="AU235" s="146" t="s">
        <v>81</v>
      </c>
      <c r="AV235" s="12" t="s">
        <v>81</v>
      </c>
      <c r="AW235" s="12" t="s">
        <v>4</v>
      </c>
      <c r="AX235" s="12" t="s">
        <v>79</v>
      </c>
      <c r="AY235" s="146" t="s">
        <v>127</v>
      </c>
    </row>
    <row r="236" spans="2:65" s="1" customFormat="1" ht="21.75" customHeight="1">
      <c r="B236" s="32"/>
      <c r="C236" s="127" t="s">
        <v>380</v>
      </c>
      <c r="D236" s="127" t="s">
        <v>129</v>
      </c>
      <c r="E236" s="128" t="s">
        <v>381</v>
      </c>
      <c r="F236" s="129" t="s">
        <v>382</v>
      </c>
      <c r="G236" s="130" t="s">
        <v>173</v>
      </c>
      <c r="H236" s="131">
        <v>397.56799999999998</v>
      </c>
      <c r="I236" s="132"/>
      <c r="J236" s="133">
        <f>ROUND(I236*H236,2)</f>
        <v>0</v>
      </c>
      <c r="K236" s="129" t="s">
        <v>133</v>
      </c>
      <c r="L236" s="32"/>
      <c r="M236" s="134" t="s">
        <v>19</v>
      </c>
      <c r="N236" s="135" t="s">
        <v>42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134</v>
      </c>
      <c r="AT236" s="138" t="s">
        <v>129</v>
      </c>
      <c r="AU236" s="138" t="s">
        <v>81</v>
      </c>
      <c r="AY236" s="17" t="s">
        <v>127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79</v>
      </c>
      <c r="BK236" s="139">
        <f>ROUND(I236*H236,2)</f>
        <v>0</v>
      </c>
      <c r="BL236" s="17" t="s">
        <v>134</v>
      </c>
      <c r="BM236" s="138" t="s">
        <v>383</v>
      </c>
    </row>
    <row r="237" spans="2:65" s="1" customFormat="1">
      <c r="B237" s="32"/>
      <c r="D237" s="140" t="s">
        <v>136</v>
      </c>
      <c r="F237" s="141" t="s">
        <v>384</v>
      </c>
      <c r="I237" s="142"/>
      <c r="L237" s="32"/>
      <c r="M237" s="143"/>
      <c r="T237" s="51"/>
      <c r="AT237" s="17" t="s">
        <v>136</v>
      </c>
      <c r="AU237" s="17" t="s">
        <v>81</v>
      </c>
    </row>
    <row r="238" spans="2:65" s="1" customFormat="1" ht="24.2" customHeight="1">
      <c r="B238" s="32"/>
      <c r="C238" s="127" t="s">
        <v>385</v>
      </c>
      <c r="D238" s="127" t="s">
        <v>129</v>
      </c>
      <c r="E238" s="128" t="s">
        <v>386</v>
      </c>
      <c r="F238" s="129" t="s">
        <v>387</v>
      </c>
      <c r="G238" s="130" t="s">
        <v>173</v>
      </c>
      <c r="H238" s="131">
        <v>7553.7920000000004</v>
      </c>
      <c r="I238" s="132"/>
      <c r="J238" s="133">
        <f>ROUND(I238*H238,2)</f>
        <v>0</v>
      </c>
      <c r="K238" s="129" t="s">
        <v>133</v>
      </c>
      <c r="L238" s="32"/>
      <c r="M238" s="134" t="s">
        <v>19</v>
      </c>
      <c r="N238" s="135" t="s">
        <v>42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134</v>
      </c>
      <c r="AT238" s="138" t="s">
        <v>129</v>
      </c>
      <c r="AU238" s="138" t="s">
        <v>81</v>
      </c>
      <c r="AY238" s="17" t="s">
        <v>127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79</v>
      </c>
      <c r="BK238" s="139">
        <f>ROUND(I238*H238,2)</f>
        <v>0</v>
      </c>
      <c r="BL238" s="17" t="s">
        <v>134</v>
      </c>
      <c r="BM238" s="138" t="s">
        <v>388</v>
      </c>
    </row>
    <row r="239" spans="2:65" s="1" customFormat="1">
      <c r="B239" s="32"/>
      <c r="D239" s="140" t="s">
        <v>136</v>
      </c>
      <c r="F239" s="141" t="s">
        <v>389</v>
      </c>
      <c r="I239" s="142"/>
      <c r="L239" s="32"/>
      <c r="M239" s="143"/>
      <c r="T239" s="51"/>
      <c r="AT239" s="17" t="s">
        <v>136</v>
      </c>
      <c r="AU239" s="17" t="s">
        <v>81</v>
      </c>
    </row>
    <row r="240" spans="2:65" s="12" customFormat="1">
      <c r="B240" s="144"/>
      <c r="D240" s="145" t="s">
        <v>138</v>
      </c>
      <c r="F240" s="147" t="s">
        <v>390</v>
      </c>
      <c r="H240" s="148">
        <v>7553.7920000000004</v>
      </c>
      <c r="I240" s="149"/>
      <c r="L240" s="144"/>
      <c r="M240" s="150"/>
      <c r="T240" s="151"/>
      <c r="AT240" s="146" t="s">
        <v>138</v>
      </c>
      <c r="AU240" s="146" t="s">
        <v>81</v>
      </c>
      <c r="AV240" s="12" t="s">
        <v>81</v>
      </c>
      <c r="AW240" s="12" t="s">
        <v>4</v>
      </c>
      <c r="AX240" s="12" t="s">
        <v>79</v>
      </c>
      <c r="AY240" s="146" t="s">
        <v>127</v>
      </c>
    </row>
    <row r="241" spans="2:65" s="1" customFormat="1" ht="24.2" customHeight="1">
      <c r="B241" s="32"/>
      <c r="C241" s="127" t="s">
        <v>391</v>
      </c>
      <c r="D241" s="127" t="s">
        <v>129</v>
      </c>
      <c r="E241" s="128" t="s">
        <v>392</v>
      </c>
      <c r="F241" s="129" t="s">
        <v>393</v>
      </c>
      <c r="G241" s="130" t="s">
        <v>173</v>
      </c>
      <c r="H241" s="131">
        <v>397.56799999999998</v>
      </c>
      <c r="I241" s="132"/>
      <c r="J241" s="133">
        <f>ROUND(I241*H241,2)</f>
        <v>0</v>
      </c>
      <c r="K241" s="129" t="s">
        <v>133</v>
      </c>
      <c r="L241" s="32"/>
      <c r="M241" s="134" t="s">
        <v>19</v>
      </c>
      <c r="N241" s="135" t="s">
        <v>42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134</v>
      </c>
      <c r="AT241" s="138" t="s">
        <v>129</v>
      </c>
      <c r="AU241" s="138" t="s">
        <v>81</v>
      </c>
      <c r="AY241" s="17" t="s">
        <v>127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79</v>
      </c>
      <c r="BK241" s="139">
        <f>ROUND(I241*H241,2)</f>
        <v>0</v>
      </c>
      <c r="BL241" s="17" t="s">
        <v>134</v>
      </c>
      <c r="BM241" s="138" t="s">
        <v>394</v>
      </c>
    </row>
    <row r="242" spans="2:65" s="1" customFormat="1">
      <c r="B242" s="32"/>
      <c r="D242" s="140" t="s">
        <v>136</v>
      </c>
      <c r="F242" s="141" t="s">
        <v>395</v>
      </c>
      <c r="I242" s="142"/>
      <c r="L242" s="32"/>
      <c r="M242" s="143"/>
      <c r="T242" s="51"/>
      <c r="AT242" s="17" t="s">
        <v>136</v>
      </c>
      <c r="AU242" s="17" t="s">
        <v>81</v>
      </c>
    </row>
    <row r="243" spans="2:65" s="11" customFormat="1" ht="25.9" customHeight="1">
      <c r="B243" s="115"/>
      <c r="D243" s="116" t="s">
        <v>70</v>
      </c>
      <c r="E243" s="117" t="s">
        <v>396</v>
      </c>
      <c r="F243" s="117" t="s">
        <v>397</v>
      </c>
      <c r="I243" s="118"/>
      <c r="J243" s="119">
        <f>BK243</f>
        <v>0</v>
      </c>
      <c r="L243" s="115"/>
      <c r="M243" s="120"/>
      <c r="P243" s="121">
        <f>P244+P256+P258+P260+P263+P265+P291+P327+P343+P355</f>
        <v>0</v>
      </c>
      <c r="R243" s="121">
        <f>R244+R256+R258+R260+R263+R265+R291+R327+R343+R355</f>
        <v>3.4332203999999997</v>
      </c>
      <c r="T243" s="122">
        <f>T244+T256+T258+T260+T263+T265+T291+T327+T343+T355</f>
        <v>111.02527258000001</v>
      </c>
      <c r="AR243" s="116" t="s">
        <v>81</v>
      </c>
      <c r="AT243" s="123" t="s">
        <v>70</v>
      </c>
      <c r="AU243" s="123" t="s">
        <v>71</v>
      </c>
      <c r="AY243" s="116" t="s">
        <v>127</v>
      </c>
      <c r="BK243" s="124">
        <f>BK244+BK256+BK258+BK260+BK263+BK265+BK291+BK327+BK343+BK355</f>
        <v>0</v>
      </c>
    </row>
    <row r="244" spans="2:65" s="11" customFormat="1" ht="22.9" customHeight="1">
      <c r="B244" s="115"/>
      <c r="D244" s="116" t="s">
        <v>70</v>
      </c>
      <c r="E244" s="125" t="s">
        <v>398</v>
      </c>
      <c r="F244" s="125" t="s">
        <v>399</v>
      </c>
      <c r="I244" s="118"/>
      <c r="J244" s="126">
        <f>BK244</f>
        <v>0</v>
      </c>
      <c r="L244" s="115"/>
      <c r="M244" s="120"/>
      <c r="P244" s="121">
        <f>SUM(P245:P255)</f>
        <v>0</v>
      </c>
      <c r="R244" s="121">
        <f>SUM(R245:R255)</f>
        <v>3.2406803999999996</v>
      </c>
      <c r="T244" s="122">
        <f>SUM(T245:T255)</f>
        <v>0.47850000000000004</v>
      </c>
      <c r="AR244" s="116" t="s">
        <v>81</v>
      </c>
      <c r="AT244" s="123" t="s">
        <v>70</v>
      </c>
      <c r="AU244" s="123" t="s">
        <v>79</v>
      </c>
      <c r="AY244" s="116" t="s">
        <v>127</v>
      </c>
      <c r="BK244" s="124">
        <f>SUM(BK245:BK255)</f>
        <v>0</v>
      </c>
    </row>
    <row r="245" spans="2:65" s="1" customFormat="1" ht="21.75" customHeight="1">
      <c r="B245" s="32"/>
      <c r="C245" s="127" t="s">
        <v>400</v>
      </c>
      <c r="D245" s="127" t="s">
        <v>129</v>
      </c>
      <c r="E245" s="128" t="s">
        <v>401</v>
      </c>
      <c r="F245" s="129" t="s">
        <v>402</v>
      </c>
      <c r="G245" s="130" t="s">
        <v>132</v>
      </c>
      <c r="H245" s="131">
        <v>29</v>
      </c>
      <c r="I245" s="132"/>
      <c r="J245" s="133">
        <f>ROUND(I245*H245,2)</f>
        <v>0</v>
      </c>
      <c r="K245" s="129" t="s">
        <v>133</v>
      </c>
      <c r="L245" s="32"/>
      <c r="M245" s="134" t="s">
        <v>19</v>
      </c>
      <c r="N245" s="135" t="s">
        <v>42</v>
      </c>
      <c r="P245" s="136">
        <f>O245*H245</f>
        <v>0</v>
      </c>
      <c r="Q245" s="136">
        <v>0</v>
      </c>
      <c r="R245" s="136">
        <f>Q245*H245</f>
        <v>0</v>
      </c>
      <c r="S245" s="136">
        <v>1.6500000000000001E-2</v>
      </c>
      <c r="T245" s="137">
        <f>S245*H245</f>
        <v>0.47850000000000004</v>
      </c>
      <c r="AR245" s="138" t="s">
        <v>229</v>
      </c>
      <c r="AT245" s="138" t="s">
        <v>129</v>
      </c>
      <c r="AU245" s="138" t="s">
        <v>81</v>
      </c>
      <c r="AY245" s="17" t="s">
        <v>127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79</v>
      </c>
      <c r="BK245" s="139">
        <f>ROUND(I245*H245,2)</f>
        <v>0</v>
      </c>
      <c r="BL245" s="17" t="s">
        <v>229</v>
      </c>
      <c r="BM245" s="138" t="s">
        <v>403</v>
      </c>
    </row>
    <row r="246" spans="2:65" s="1" customFormat="1">
      <c r="B246" s="32"/>
      <c r="D246" s="140" t="s">
        <v>136</v>
      </c>
      <c r="F246" s="141" t="s">
        <v>404</v>
      </c>
      <c r="I246" s="142"/>
      <c r="L246" s="32"/>
      <c r="M246" s="143"/>
      <c r="T246" s="51"/>
      <c r="AT246" s="17" t="s">
        <v>136</v>
      </c>
      <c r="AU246" s="17" t="s">
        <v>81</v>
      </c>
    </row>
    <row r="247" spans="2:65" s="12" customFormat="1">
      <c r="B247" s="144"/>
      <c r="D247" s="145" t="s">
        <v>138</v>
      </c>
      <c r="E247" s="146" t="s">
        <v>19</v>
      </c>
      <c r="F247" s="147" t="s">
        <v>405</v>
      </c>
      <c r="H247" s="148">
        <v>29</v>
      </c>
      <c r="I247" s="149"/>
      <c r="L247" s="144"/>
      <c r="M247" s="150"/>
      <c r="T247" s="151"/>
      <c r="AT247" s="146" t="s">
        <v>138</v>
      </c>
      <c r="AU247" s="146" t="s">
        <v>81</v>
      </c>
      <c r="AV247" s="12" t="s">
        <v>81</v>
      </c>
      <c r="AW247" s="12" t="s">
        <v>33</v>
      </c>
      <c r="AX247" s="12" t="s">
        <v>79</v>
      </c>
      <c r="AY247" s="146" t="s">
        <v>127</v>
      </c>
    </row>
    <row r="248" spans="2:65" s="1" customFormat="1" ht="16.5" customHeight="1">
      <c r="B248" s="32"/>
      <c r="C248" s="127" t="s">
        <v>406</v>
      </c>
      <c r="D248" s="127" t="s">
        <v>129</v>
      </c>
      <c r="E248" s="128" t="s">
        <v>407</v>
      </c>
      <c r="F248" s="129" t="s">
        <v>408</v>
      </c>
      <c r="G248" s="130" t="s">
        <v>132</v>
      </c>
      <c r="H248" s="131">
        <v>544.25</v>
      </c>
      <c r="I248" s="132"/>
      <c r="J248" s="133">
        <f>ROUND(I248*H248,2)</f>
        <v>0</v>
      </c>
      <c r="K248" s="129" t="s">
        <v>133</v>
      </c>
      <c r="L248" s="32"/>
      <c r="M248" s="134" t="s">
        <v>19</v>
      </c>
      <c r="N248" s="135" t="s">
        <v>42</v>
      </c>
      <c r="P248" s="136">
        <f>O248*H248</f>
        <v>0</v>
      </c>
      <c r="Q248" s="136">
        <v>3.6000000000000002E-4</v>
      </c>
      <c r="R248" s="136">
        <f>Q248*H248</f>
        <v>0.19593000000000002</v>
      </c>
      <c r="S248" s="136">
        <v>0</v>
      </c>
      <c r="T248" s="137">
        <f>S248*H248</f>
        <v>0</v>
      </c>
      <c r="AR248" s="138" t="s">
        <v>229</v>
      </c>
      <c r="AT248" s="138" t="s">
        <v>129</v>
      </c>
      <c r="AU248" s="138" t="s">
        <v>81</v>
      </c>
      <c r="AY248" s="17" t="s">
        <v>127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79</v>
      </c>
      <c r="BK248" s="139">
        <f>ROUND(I248*H248,2)</f>
        <v>0</v>
      </c>
      <c r="BL248" s="17" t="s">
        <v>229</v>
      </c>
      <c r="BM248" s="138" t="s">
        <v>409</v>
      </c>
    </row>
    <row r="249" spans="2:65" s="1" customFormat="1">
      <c r="B249" s="32"/>
      <c r="D249" s="140" t="s">
        <v>136</v>
      </c>
      <c r="F249" s="141" t="s">
        <v>410</v>
      </c>
      <c r="I249" s="142"/>
      <c r="L249" s="32"/>
      <c r="M249" s="143"/>
      <c r="T249" s="51"/>
      <c r="AT249" s="17" t="s">
        <v>136</v>
      </c>
      <c r="AU249" s="17" t="s">
        <v>81</v>
      </c>
    </row>
    <row r="250" spans="2:65" s="12" customFormat="1">
      <c r="B250" s="144"/>
      <c r="D250" s="145" t="s">
        <v>138</v>
      </c>
      <c r="E250" s="146" t="s">
        <v>19</v>
      </c>
      <c r="F250" s="147" t="s">
        <v>411</v>
      </c>
      <c r="H250" s="148">
        <v>544.25</v>
      </c>
      <c r="I250" s="149"/>
      <c r="L250" s="144"/>
      <c r="M250" s="150"/>
      <c r="T250" s="151"/>
      <c r="AT250" s="146" t="s">
        <v>138</v>
      </c>
      <c r="AU250" s="146" t="s">
        <v>81</v>
      </c>
      <c r="AV250" s="12" t="s">
        <v>81</v>
      </c>
      <c r="AW250" s="12" t="s">
        <v>33</v>
      </c>
      <c r="AX250" s="12" t="s">
        <v>79</v>
      </c>
      <c r="AY250" s="146" t="s">
        <v>127</v>
      </c>
    </row>
    <row r="251" spans="2:65" s="1" customFormat="1" ht="24.2" customHeight="1">
      <c r="B251" s="32"/>
      <c r="C251" s="159" t="s">
        <v>412</v>
      </c>
      <c r="D251" s="159" t="s">
        <v>413</v>
      </c>
      <c r="E251" s="160" t="s">
        <v>414</v>
      </c>
      <c r="F251" s="161" t="s">
        <v>415</v>
      </c>
      <c r="G251" s="162" t="s">
        <v>132</v>
      </c>
      <c r="H251" s="163">
        <v>634.32299999999998</v>
      </c>
      <c r="I251" s="164"/>
      <c r="J251" s="165">
        <f>ROUND(I251*H251,2)</f>
        <v>0</v>
      </c>
      <c r="K251" s="161" t="s">
        <v>133</v>
      </c>
      <c r="L251" s="166"/>
      <c r="M251" s="167" t="s">
        <v>19</v>
      </c>
      <c r="N251" s="168" t="s">
        <v>42</v>
      </c>
      <c r="P251" s="136">
        <f>O251*H251</f>
        <v>0</v>
      </c>
      <c r="Q251" s="136">
        <v>4.7999999999999996E-3</v>
      </c>
      <c r="R251" s="136">
        <f>Q251*H251</f>
        <v>3.0447503999999994</v>
      </c>
      <c r="S251" s="136">
        <v>0</v>
      </c>
      <c r="T251" s="137">
        <f>S251*H251</f>
        <v>0</v>
      </c>
      <c r="AR251" s="138" t="s">
        <v>333</v>
      </c>
      <c r="AT251" s="138" t="s">
        <v>413</v>
      </c>
      <c r="AU251" s="138" t="s">
        <v>81</v>
      </c>
      <c r="AY251" s="17" t="s">
        <v>127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79</v>
      </c>
      <c r="BK251" s="139">
        <f>ROUND(I251*H251,2)</f>
        <v>0</v>
      </c>
      <c r="BL251" s="17" t="s">
        <v>229</v>
      </c>
      <c r="BM251" s="138" t="s">
        <v>416</v>
      </c>
    </row>
    <row r="252" spans="2:65" s="12" customFormat="1">
      <c r="B252" s="144"/>
      <c r="D252" s="145" t="s">
        <v>138</v>
      </c>
      <c r="F252" s="147" t="s">
        <v>417</v>
      </c>
      <c r="H252" s="148">
        <v>634.32299999999998</v>
      </c>
      <c r="I252" s="149"/>
      <c r="L252" s="144"/>
      <c r="M252" s="150"/>
      <c r="T252" s="151"/>
      <c r="AT252" s="146" t="s">
        <v>138</v>
      </c>
      <c r="AU252" s="146" t="s">
        <v>81</v>
      </c>
      <c r="AV252" s="12" t="s">
        <v>81</v>
      </c>
      <c r="AW252" s="12" t="s">
        <v>4</v>
      </c>
      <c r="AX252" s="12" t="s">
        <v>79</v>
      </c>
      <c r="AY252" s="146" t="s">
        <v>127</v>
      </c>
    </row>
    <row r="253" spans="2:65" s="1" customFormat="1" ht="16.5" customHeight="1">
      <c r="B253" s="32"/>
      <c r="C253" s="127" t="s">
        <v>418</v>
      </c>
      <c r="D253" s="127" t="s">
        <v>129</v>
      </c>
      <c r="E253" s="128" t="s">
        <v>419</v>
      </c>
      <c r="F253" s="129" t="s">
        <v>420</v>
      </c>
      <c r="G253" s="130" t="s">
        <v>191</v>
      </c>
      <c r="H253" s="131">
        <v>1</v>
      </c>
      <c r="I253" s="132"/>
      <c r="J253" s="133">
        <f>ROUND(I253*H253,2)</f>
        <v>0</v>
      </c>
      <c r="K253" s="129" t="s">
        <v>19</v>
      </c>
      <c r="L253" s="32"/>
      <c r="M253" s="134" t="s">
        <v>19</v>
      </c>
      <c r="N253" s="135" t="s">
        <v>42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229</v>
      </c>
      <c r="AT253" s="138" t="s">
        <v>129</v>
      </c>
      <c r="AU253" s="138" t="s">
        <v>81</v>
      </c>
      <c r="AY253" s="17" t="s">
        <v>127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79</v>
      </c>
      <c r="BK253" s="139">
        <f>ROUND(I253*H253,2)</f>
        <v>0</v>
      </c>
      <c r="BL253" s="17" t="s">
        <v>229</v>
      </c>
      <c r="BM253" s="138" t="s">
        <v>421</v>
      </c>
    </row>
    <row r="254" spans="2:65" s="1" customFormat="1" ht="24.2" customHeight="1">
      <c r="B254" s="32"/>
      <c r="C254" s="127" t="s">
        <v>422</v>
      </c>
      <c r="D254" s="127" t="s">
        <v>129</v>
      </c>
      <c r="E254" s="128" t="s">
        <v>423</v>
      </c>
      <c r="F254" s="129" t="s">
        <v>424</v>
      </c>
      <c r="G254" s="130" t="s">
        <v>425</v>
      </c>
      <c r="H254" s="169"/>
      <c r="I254" s="132"/>
      <c r="J254" s="133">
        <f>ROUND(I254*H254,2)</f>
        <v>0</v>
      </c>
      <c r="K254" s="129" t="s">
        <v>133</v>
      </c>
      <c r="L254" s="32"/>
      <c r="M254" s="134" t="s">
        <v>19</v>
      </c>
      <c r="N254" s="135" t="s">
        <v>42</v>
      </c>
      <c r="P254" s="136">
        <f>O254*H254</f>
        <v>0</v>
      </c>
      <c r="Q254" s="136">
        <v>0</v>
      </c>
      <c r="R254" s="136">
        <f>Q254*H254</f>
        <v>0</v>
      </c>
      <c r="S254" s="136">
        <v>0</v>
      </c>
      <c r="T254" s="137">
        <f>S254*H254</f>
        <v>0</v>
      </c>
      <c r="AR254" s="138" t="s">
        <v>229</v>
      </c>
      <c r="AT254" s="138" t="s">
        <v>129</v>
      </c>
      <c r="AU254" s="138" t="s">
        <v>81</v>
      </c>
      <c r="AY254" s="17" t="s">
        <v>127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79</v>
      </c>
      <c r="BK254" s="139">
        <f>ROUND(I254*H254,2)</f>
        <v>0</v>
      </c>
      <c r="BL254" s="17" t="s">
        <v>229</v>
      </c>
      <c r="BM254" s="138" t="s">
        <v>426</v>
      </c>
    </row>
    <row r="255" spans="2:65" s="1" customFormat="1">
      <c r="B255" s="32"/>
      <c r="D255" s="140" t="s">
        <v>136</v>
      </c>
      <c r="F255" s="141" t="s">
        <v>427</v>
      </c>
      <c r="I255" s="142"/>
      <c r="L255" s="32"/>
      <c r="M255" s="143"/>
      <c r="T255" s="51"/>
      <c r="AT255" s="17" t="s">
        <v>136</v>
      </c>
      <c r="AU255" s="17" t="s">
        <v>81</v>
      </c>
    </row>
    <row r="256" spans="2:65" s="11" customFormat="1" ht="22.9" customHeight="1">
      <c r="B256" s="115"/>
      <c r="D256" s="116" t="s">
        <v>70</v>
      </c>
      <c r="E256" s="125" t="s">
        <v>428</v>
      </c>
      <c r="F256" s="125" t="s">
        <v>429</v>
      </c>
      <c r="I256" s="118"/>
      <c r="J256" s="126">
        <f>BK256</f>
        <v>0</v>
      </c>
      <c r="L256" s="115"/>
      <c r="M256" s="120"/>
      <c r="P256" s="121">
        <f>P257</f>
        <v>0</v>
      </c>
      <c r="R256" s="121">
        <f>R257</f>
        <v>0</v>
      </c>
      <c r="T256" s="122">
        <f>T257</f>
        <v>0</v>
      </c>
      <c r="AR256" s="116" t="s">
        <v>81</v>
      </c>
      <c r="AT256" s="123" t="s">
        <v>70</v>
      </c>
      <c r="AU256" s="123" t="s">
        <v>79</v>
      </c>
      <c r="AY256" s="116" t="s">
        <v>127</v>
      </c>
      <c r="BK256" s="124">
        <f>BK257</f>
        <v>0</v>
      </c>
    </row>
    <row r="257" spans="2:65" s="1" customFormat="1" ht="16.5" customHeight="1">
      <c r="B257" s="32"/>
      <c r="C257" s="127" t="s">
        <v>430</v>
      </c>
      <c r="D257" s="127" t="s">
        <v>129</v>
      </c>
      <c r="E257" s="128" t="s">
        <v>431</v>
      </c>
      <c r="F257" s="129" t="s">
        <v>432</v>
      </c>
      <c r="G257" s="130" t="s">
        <v>191</v>
      </c>
      <c r="H257" s="131">
        <v>1</v>
      </c>
      <c r="I257" s="132"/>
      <c r="J257" s="133">
        <f>ROUND(I257*H257,2)</f>
        <v>0</v>
      </c>
      <c r="K257" s="129" t="s">
        <v>19</v>
      </c>
      <c r="L257" s="32"/>
      <c r="M257" s="134" t="s">
        <v>19</v>
      </c>
      <c r="N257" s="135" t="s">
        <v>42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229</v>
      </c>
      <c r="AT257" s="138" t="s">
        <v>129</v>
      </c>
      <c r="AU257" s="138" t="s">
        <v>81</v>
      </c>
      <c r="AY257" s="17" t="s">
        <v>127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79</v>
      </c>
      <c r="BK257" s="139">
        <f>ROUND(I257*H257,2)</f>
        <v>0</v>
      </c>
      <c r="BL257" s="17" t="s">
        <v>229</v>
      </c>
      <c r="BM257" s="138" t="s">
        <v>433</v>
      </c>
    </row>
    <row r="258" spans="2:65" s="11" customFormat="1" ht="22.9" customHeight="1">
      <c r="B258" s="115"/>
      <c r="D258" s="116" t="s">
        <v>70</v>
      </c>
      <c r="E258" s="125" t="s">
        <v>434</v>
      </c>
      <c r="F258" s="125" t="s">
        <v>435</v>
      </c>
      <c r="I258" s="118"/>
      <c r="J258" s="126">
        <f>BK258</f>
        <v>0</v>
      </c>
      <c r="L258" s="115"/>
      <c r="M258" s="120"/>
      <c r="P258" s="121">
        <f>P259</f>
        <v>0</v>
      </c>
      <c r="R258" s="121">
        <f>R259</f>
        <v>0</v>
      </c>
      <c r="T258" s="122">
        <f>T259</f>
        <v>0</v>
      </c>
      <c r="AR258" s="116" t="s">
        <v>81</v>
      </c>
      <c r="AT258" s="123" t="s">
        <v>70</v>
      </c>
      <c r="AU258" s="123" t="s">
        <v>79</v>
      </c>
      <c r="AY258" s="116" t="s">
        <v>127</v>
      </c>
      <c r="BK258" s="124">
        <f>BK259</f>
        <v>0</v>
      </c>
    </row>
    <row r="259" spans="2:65" s="1" customFormat="1" ht="16.5" customHeight="1">
      <c r="B259" s="32"/>
      <c r="C259" s="127" t="s">
        <v>436</v>
      </c>
      <c r="D259" s="127" t="s">
        <v>129</v>
      </c>
      <c r="E259" s="128" t="s">
        <v>437</v>
      </c>
      <c r="F259" s="129" t="s">
        <v>438</v>
      </c>
      <c r="G259" s="130" t="s">
        <v>191</v>
      </c>
      <c r="H259" s="131">
        <v>1</v>
      </c>
      <c r="I259" s="132"/>
      <c r="J259" s="133">
        <f>ROUND(I259*H259,2)</f>
        <v>0</v>
      </c>
      <c r="K259" s="129" t="s">
        <v>19</v>
      </c>
      <c r="L259" s="32"/>
      <c r="M259" s="134" t="s">
        <v>19</v>
      </c>
      <c r="N259" s="135" t="s">
        <v>42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229</v>
      </c>
      <c r="AT259" s="138" t="s">
        <v>129</v>
      </c>
      <c r="AU259" s="138" t="s">
        <v>81</v>
      </c>
      <c r="AY259" s="17" t="s">
        <v>127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79</v>
      </c>
      <c r="BK259" s="139">
        <f>ROUND(I259*H259,2)</f>
        <v>0</v>
      </c>
      <c r="BL259" s="17" t="s">
        <v>229</v>
      </c>
      <c r="BM259" s="138" t="s">
        <v>439</v>
      </c>
    </row>
    <row r="260" spans="2:65" s="11" customFormat="1" ht="22.9" customHeight="1">
      <c r="B260" s="115"/>
      <c r="D260" s="116" t="s">
        <v>70</v>
      </c>
      <c r="E260" s="125" t="s">
        <v>440</v>
      </c>
      <c r="F260" s="125" t="s">
        <v>441</v>
      </c>
      <c r="I260" s="118"/>
      <c r="J260" s="126">
        <f>BK260</f>
        <v>0</v>
      </c>
      <c r="L260" s="115"/>
      <c r="M260" s="120"/>
      <c r="P260" s="121">
        <f>SUM(P261:P262)</f>
        <v>0</v>
      </c>
      <c r="R260" s="121">
        <f>SUM(R261:R262)</f>
        <v>0</v>
      </c>
      <c r="T260" s="122">
        <f>SUM(T261:T262)</f>
        <v>0</v>
      </c>
      <c r="AR260" s="116" t="s">
        <v>81</v>
      </c>
      <c r="AT260" s="123" t="s">
        <v>70</v>
      </c>
      <c r="AU260" s="123" t="s">
        <v>79</v>
      </c>
      <c r="AY260" s="116" t="s">
        <v>127</v>
      </c>
      <c r="BK260" s="124">
        <f>SUM(BK261:BK262)</f>
        <v>0</v>
      </c>
    </row>
    <row r="261" spans="2:65" s="1" customFormat="1" ht="16.5" customHeight="1">
      <c r="B261" s="32"/>
      <c r="C261" s="127" t="s">
        <v>442</v>
      </c>
      <c r="D261" s="127" t="s">
        <v>129</v>
      </c>
      <c r="E261" s="128" t="s">
        <v>443</v>
      </c>
      <c r="F261" s="129" t="s">
        <v>444</v>
      </c>
      <c r="G261" s="130" t="s">
        <v>191</v>
      </c>
      <c r="H261" s="131">
        <v>1</v>
      </c>
      <c r="I261" s="132"/>
      <c r="J261" s="133">
        <f>ROUND(I261*H261,2)</f>
        <v>0</v>
      </c>
      <c r="K261" s="129" t="s">
        <v>19</v>
      </c>
      <c r="L261" s="32"/>
      <c r="M261" s="134" t="s">
        <v>19</v>
      </c>
      <c r="N261" s="135" t="s">
        <v>42</v>
      </c>
      <c r="P261" s="136">
        <f>O261*H261</f>
        <v>0</v>
      </c>
      <c r="Q261" s="136">
        <v>0</v>
      </c>
      <c r="R261" s="136">
        <f>Q261*H261</f>
        <v>0</v>
      </c>
      <c r="S261" s="136">
        <v>0</v>
      </c>
      <c r="T261" s="137">
        <f>S261*H261</f>
        <v>0</v>
      </c>
      <c r="AR261" s="138" t="s">
        <v>229</v>
      </c>
      <c r="AT261" s="138" t="s">
        <v>129</v>
      </c>
      <c r="AU261" s="138" t="s">
        <v>81</v>
      </c>
      <c r="AY261" s="17" t="s">
        <v>127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79</v>
      </c>
      <c r="BK261" s="139">
        <f>ROUND(I261*H261,2)</f>
        <v>0</v>
      </c>
      <c r="BL261" s="17" t="s">
        <v>229</v>
      </c>
      <c r="BM261" s="138" t="s">
        <v>445</v>
      </c>
    </row>
    <row r="262" spans="2:65" s="1" customFormat="1" ht="16.5" customHeight="1">
      <c r="B262" s="32"/>
      <c r="C262" s="127" t="s">
        <v>446</v>
      </c>
      <c r="D262" s="127" t="s">
        <v>129</v>
      </c>
      <c r="E262" s="128" t="s">
        <v>447</v>
      </c>
      <c r="F262" s="129" t="s">
        <v>448</v>
      </c>
      <c r="G262" s="130" t="s">
        <v>191</v>
      </c>
      <c r="H262" s="131">
        <v>1</v>
      </c>
      <c r="I262" s="132"/>
      <c r="J262" s="133">
        <f>ROUND(I262*H262,2)</f>
        <v>0</v>
      </c>
      <c r="K262" s="129" t="s">
        <v>19</v>
      </c>
      <c r="L262" s="32"/>
      <c r="M262" s="134" t="s">
        <v>19</v>
      </c>
      <c r="N262" s="135" t="s">
        <v>42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229</v>
      </c>
      <c r="AT262" s="138" t="s">
        <v>129</v>
      </c>
      <c r="AU262" s="138" t="s">
        <v>81</v>
      </c>
      <c r="AY262" s="17" t="s">
        <v>127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79</v>
      </c>
      <c r="BK262" s="139">
        <f>ROUND(I262*H262,2)</f>
        <v>0</v>
      </c>
      <c r="BL262" s="17" t="s">
        <v>229</v>
      </c>
      <c r="BM262" s="138" t="s">
        <v>449</v>
      </c>
    </row>
    <row r="263" spans="2:65" s="11" customFormat="1" ht="22.9" customHeight="1">
      <c r="B263" s="115"/>
      <c r="D263" s="116" t="s">
        <v>70</v>
      </c>
      <c r="E263" s="125" t="s">
        <v>450</v>
      </c>
      <c r="F263" s="125" t="s">
        <v>451</v>
      </c>
      <c r="I263" s="118"/>
      <c r="J263" s="126">
        <f>BK263</f>
        <v>0</v>
      </c>
      <c r="L263" s="115"/>
      <c r="M263" s="120"/>
      <c r="P263" s="121">
        <f>P264</f>
        <v>0</v>
      </c>
      <c r="R263" s="121">
        <f>R264</f>
        <v>0</v>
      </c>
      <c r="T263" s="122">
        <f>T264</f>
        <v>0</v>
      </c>
      <c r="AR263" s="116" t="s">
        <v>81</v>
      </c>
      <c r="AT263" s="123" t="s">
        <v>70</v>
      </c>
      <c r="AU263" s="123" t="s">
        <v>79</v>
      </c>
      <c r="AY263" s="116" t="s">
        <v>127</v>
      </c>
      <c r="BK263" s="124">
        <f>BK264</f>
        <v>0</v>
      </c>
    </row>
    <row r="264" spans="2:65" s="1" customFormat="1" ht="16.5" customHeight="1">
      <c r="B264" s="32"/>
      <c r="C264" s="127" t="s">
        <v>452</v>
      </c>
      <c r="D264" s="127" t="s">
        <v>129</v>
      </c>
      <c r="E264" s="128" t="s">
        <v>453</v>
      </c>
      <c r="F264" s="129" t="s">
        <v>454</v>
      </c>
      <c r="G264" s="130" t="s">
        <v>191</v>
      </c>
      <c r="H264" s="131">
        <v>1</v>
      </c>
      <c r="I264" s="132"/>
      <c r="J264" s="133">
        <f>ROUND(I264*H264,2)</f>
        <v>0</v>
      </c>
      <c r="K264" s="129" t="s">
        <v>19</v>
      </c>
      <c r="L264" s="32"/>
      <c r="M264" s="134" t="s">
        <v>19</v>
      </c>
      <c r="N264" s="135" t="s">
        <v>42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229</v>
      </c>
      <c r="AT264" s="138" t="s">
        <v>129</v>
      </c>
      <c r="AU264" s="138" t="s">
        <v>81</v>
      </c>
      <c r="AY264" s="17" t="s">
        <v>127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79</v>
      </c>
      <c r="BK264" s="139">
        <f>ROUND(I264*H264,2)</f>
        <v>0</v>
      </c>
      <c r="BL264" s="17" t="s">
        <v>229</v>
      </c>
      <c r="BM264" s="138" t="s">
        <v>455</v>
      </c>
    </row>
    <row r="265" spans="2:65" s="11" customFormat="1" ht="22.9" customHeight="1">
      <c r="B265" s="115"/>
      <c r="D265" s="116" t="s">
        <v>70</v>
      </c>
      <c r="E265" s="125" t="s">
        <v>456</v>
      </c>
      <c r="F265" s="125" t="s">
        <v>457</v>
      </c>
      <c r="I265" s="118"/>
      <c r="J265" s="126">
        <f>BK265</f>
        <v>0</v>
      </c>
      <c r="L265" s="115"/>
      <c r="M265" s="120"/>
      <c r="P265" s="121">
        <f>SUM(P266:P290)</f>
        <v>0</v>
      </c>
      <c r="R265" s="121">
        <f>SUM(R266:R290)</f>
        <v>0</v>
      </c>
      <c r="T265" s="122">
        <f>SUM(T266:T290)</f>
        <v>70.913120000000006</v>
      </c>
      <c r="AR265" s="116" t="s">
        <v>81</v>
      </c>
      <c r="AT265" s="123" t="s">
        <v>70</v>
      </c>
      <c r="AU265" s="123" t="s">
        <v>79</v>
      </c>
      <c r="AY265" s="116" t="s">
        <v>127</v>
      </c>
      <c r="BK265" s="124">
        <f>SUM(BK266:BK290)</f>
        <v>0</v>
      </c>
    </row>
    <row r="266" spans="2:65" s="1" customFormat="1" ht="24.2" customHeight="1">
      <c r="B266" s="32"/>
      <c r="C266" s="127" t="s">
        <v>458</v>
      </c>
      <c r="D266" s="127" t="s">
        <v>129</v>
      </c>
      <c r="E266" s="128" t="s">
        <v>459</v>
      </c>
      <c r="F266" s="129" t="s">
        <v>460</v>
      </c>
      <c r="G266" s="130" t="s">
        <v>257</v>
      </c>
      <c r="H266" s="131">
        <v>1321.13</v>
      </c>
      <c r="I266" s="132"/>
      <c r="J266" s="133">
        <f>ROUND(I266*H266,2)</f>
        <v>0</v>
      </c>
      <c r="K266" s="129" t="s">
        <v>133</v>
      </c>
      <c r="L266" s="32"/>
      <c r="M266" s="134" t="s">
        <v>19</v>
      </c>
      <c r="N266" s="135" t="s">
        <v>42</v>
      </c>
      <c r="P266" s="136">
        <f>O266*H266</f>
        <v>0</v>
      </c>
      <c r="Q266" s="136">
        <v>0</v>
      </c>
      <c r="R266" s="136">
        <f>Q266*H266</f>
        <v>0</v>
      </c>
      <c r="S266" s="136">
        <v>2.4E-2</v>
      </c>
      <c r="T266" s="137">
        <f>S266*H266</f>
        <v>31.707120000000003</v>
      </c>
      <c r="AR266" s="138" t="s">
        <v>229</v>
      </c>
      <c r="AT266" s="138" t="s">
        <v>129</v>
      </c>
      <c r="AU266" s="138" t="s">
        <v>81</v>
      </c>
      <c r="AY266" s="17" t="s">
        <v>127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79</v>
      </c>
      <c r="BK266" s="139">
        <f>ROUND(I266*H266,2)</f>
        <v>0</v>
      </c>
      <c r="BL266" s="17" t="s">
        <v>229</v>
      </c>
      <c r="BM266" s="138" t="s">
        <v>461</v>
      </c>
    </row>
    <row r="267" spans="2:65" s="1" customFormat="1">
      <c r="B267" s="32"/>
      <c r="D267" s="140" t="s">
        <v>136</v>
      </c>
      <c r="F267" s="141" t="s">
        <v>462</v>
      </c>
      <c r="I267" s="142"/>
      <c r="L267" s="32"/>
      <c r="M267" s="143"/>
      <c r="T267" s="51"/>
      <c r="AT267" s="17" t="s">
        <v>136</v>
      </c>
      <c r="AU267" s="17" t="s">
        <v>81</v>
      </c>
    </row>
    <row r="268" spans="2:65" s="12" customFormat="1" ht="22.5">
      <c r="B268" s="144"/>
      <c r="D268" s="145" t="s">
        <v>138</v>
      </c>
      <c r="E268" s="146" t="s">
        <v>19</v>
      </c>
      <c r="F268" s="147" t="s">
        <v>463</v>
      </c>
      <c r="H268" s="148">
        <v>1161.0999999999999</v>
      </c>
      <c r="I268" s="149"/>
      <c r="L268" s="144"/>
      <c r="M268" s="150"/>
      <c r="T268" s="151"/>
      <c r="AT268" s="146" t="s">
        <v>138</v>
      </c>
      <c r="AU268" s="146" t="s">
        <v>81</v>
      </c>
      <c r="AV268" s="12" t="s">
        <v>81</v>
      </c>
      <c r="AW268" s="12" t="s">
        <v>33</v>
      </c>
      <c r="AX268" s="12" t="s">
        <v>71</v>
      </c>
      <c r="AY268" s="146" t="s">
        <v>127</v>
      </c>
    </row>
    <row r="269" spans="2:65" s="12" customFormat="1">
      <c r="B269" s="144"/>
      <c r="D269" s="145" t="s">
        <v>138</v>
      </c>
      <c r="E269" s="146" t="s">
        <v>19</v>
      </c>
      <c r="F269" s="147" t="s">
        <v>464</v>
      </c>
      <c r="H269" s="148">
        <v>160.03</v>
      </c>
      <c r="I269" s="149"/>
      <c r="L269" s="144"/>
      <c r="M269" s="150"/>
      <c r="T269" s="151"/>
      <c r="AT269" s="146" t="s">
        <v>138</v>
      </c>
      <c r="AU269" s="146" t="s">
        <v>81</v>
      </c>
      <c r="AV269" s="12" t="s">
        <v>81</v>
      </c>
      <c r="AW269" s="12" t="s">
        <v>33</v>
      </c>
      <c r="AX269" s="12" t="s">
        <v>71</v>
      </c>
      <c r="AY269" s="146" t="s">
        <v>127</v>
      </c>
    </row>
    <row r="270" spans="2:65" s="13" customFormat="1">
      <c r="B270" s="152"/>
      <c r="D270" s="145" t="s">
        <v>138</v>
      </c>
      <c r="E270" s="153" t="s">
        <v>19</v>
      </c>
      <c r="F270" s="154" t="s">
        <v>152</v>
      </c>
      <c r="H270" s="155">
        <v>1321.13</v>
      </c>
      <c r="I270" s="156"/>
      <c r="L270" s="152"/>
      <c r="M270" s="157"/>
      <c r="T270" s="158"/>
      <c r="AT270" s="153" t="s">
        <v>138</v>
      </c>
      <c r="AU270" s="153" t="s">
        <v>81</v>
      </c>
      <c r="AV270" s="13" t="s">
        <v>134</v>
      </c>
      <c r="AW270" s="13" t="s">
        <v>33</v>
      </c>
      <c r="AX270" s="13" t="s">
        <v>79</v>
      </c>
      <c r="AY270" s="153" t="s">
        <v>127</v>
      </c>
    </row>
    <row r="271" spans="2:65" s="1" customFormat="1" ht="24.2" customHeight="1">
      <c r="B271" s="32"/>
      <c r="C271" s="127" t="s">
        <v>465</v>
      </c>
      <c r="D271" s="127" t="s">
        <v>129</v>
      </c>
      <c r="E271" s="128" t="s">
        <v>466</v>
      </c>
      <c r="F271" s="129" t="s">
        <v>467</v>
      </c>
      <c r="G271" s="130" t="s">
        <v>257</v>
      </c>
      <c r="H271" s="131">
        <v>48</v>
      </c>
      <c r="I271" s="132"/>
      <c r="J271" s="133">
        <f>ROUND(I271*H271,2)</f>
        <v>0</v>
      </c>
      <c r="K271" s="129" t="s">
        <v>133</v>
      </c>
      <c r="L271" s="32"/>
      <c r="M271" s="134" t="s">
        <v>19</v>
      </c>
      <c r="N271" s="135" t="s">
        <v>42</v>
      </c>
      <c r="P271" s="136">
        <f>O271*H271</f>
        <v>0</v>
      </c>
      <c r="Q271" s="136">
        <v>0</v>
      </c>
      <c r="R271" s="136">
        <f>Q271*H271</f>
        <v>0</v>
      </c>
      <c r="S271" s="136">
        <v>3.2000000000000001E-2</v>
      </c>
      <c r="T271" s="137">
        <f>S271*H271</f>
        <v>1.536</v>
      </c>
      <c r="AR271" s="138" t="s">
        <v>229</v>
      </c>
      <c r="AT271" s="138" t="s">
        <v>129</v>
      </c>
      <c r="AU271" s="138" t="s">
        <v>81</v>
      </c>
      <c r="AY271" s="17" t="s">
        <v>127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79</v>
      </c>
      <c r="BK271" s="139">
        <f>ROUND(I271*H271,2)</f>
        <v>0</v>
      </c>
      <c r="BL271" s="17" t="s">
        <v>229</v>
      </c>
      <c r="BM271" s="138" t="s">
        <v>468</v>
      </c>
    </row>
    <row r="272" spans="2:65" s="1" customFormat="1">
      <c r="B272" s="32"/>
      <c r="D272" s="140" t="s">
        <v>136</v>
      </c>
      <c r="F272" s="141" t="s">
        <v>469</v>
      </c>
      <c r="I272" s="142"/>
      <c r="L272" s="32"/>
      <c r="M272" s="143"/>
      <c r="T272" s="51"/>
      <c r="AT272" s="17" t="s">
        <v>136</v>
      </c>
      <c r="AU272" s="17" t="s">
        <v>81</v>
      </c>
    </row>
    <row r="273" spans="2:65" s="12" customFormat="1">
      <c r="B273" s="144"/>
      <c r="D273" s="145" t="s">
        <v>138</v>
      </c>
      <c r="E273" s="146" t="s">
        <v>19</v>
      </c>
      <c r="F273" s="147" t="s">
        <v>470</v>
      </c>
      <c r="H273" s="148">
        <v>48</v>
      </c>
      <c r="I273" s="149"/>
      <c r="L273" s="144"/>
      <c r="M273" s="150"/>
      <c r="T273" s="151"/>
      <c r="AT273" s="146" t="s">
        <v>138</v>
      </c>
      <c r="AU273" s="146" t="s">
        <v>81</v>
      </c>
      <c r="AV273" s="12" t="s">
        <v>81</v>
      </c>
      <c r="AW273" s="12" t="s">
        <v>33</v>
      </c>
      <c r="AX273" s="12" t="s">
        <v>79</v>
      </c>
      <c r="AY273" s="146" t="s">
        <v>127</v>
      </c>
    </row>
    <row r="274" spans="2:65" s="1" customFormat="1" ht="24.2" customHeight="1">
      <c r="B274" s="32"/>
      <c r="C274" s="127" t="s">
        <v>471</v>
      </c>
      <c r="D274" s="127" t="s">
        <v>129</v>
      </c>
      <c r="E274" s="128" t="s">
        <v>472</v>
      </c>
      <c r="F274" s="129" t="s">
        <v>473</v>
      </c>
      <c r="G274" s="130" t="s">
        <v>132</v>
      </c>
      <c r="H274" s="131">
        <v>29</v>
      </c>
      <c r="I274" s="132"/>
      <c r="J274" s="133">
        <f>ROUND(I274*H274,2)</f>
        <v>0</v>
      </c>
      <c r="K274" s="129" t="s">
        <v>133</v>
      </c>
      <c r="L274" s="32"/>
      <c r="M274" s="134" t="s">
        <v>19</v>
      </c>
      <c r="N274" s="135" t="s">
        <v>42</v>
      </c>
      <c r="P274" s="136">
        <f>O274*H274</f>
        <v>0</v>
      </c>
      <c r="Q274" s="136">
        <v>0</v>
      </c>
      <c r="R274" s="136">
        <f>Q274*H274</f>
        <v>0</v>
      </c>
      <c r="S274" s="136">
        <v>3.1E-2</v>
      </c>
      <c r="T274" s="137">
        <f>S274*H274</f>
        <v>0.89900000000000002</v>
      </c>
      <c r="AR274" s="138" t="s">
        <v>229</v>
      </c>
      <c r="AT274" s="138" t="s">
        <v>129</v>
      </c>
      <c r="AU274" s="138" t="s">
        <v>81</v>
      </c>
      <c r="AY274" s="17" t="s">
        <v>127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79</v>
      </c>
      <c r="BK274" s="139">
        <f>ROUND(I274*H274,2)</f>
        <v>0</v>
      </c>
      <c r="BL274" s="17" t="s">
        <v>229</v>
      </c>
      <c r="BM274" s="138" t="s">
        <v>474</v>
      </c>
    </row>
    <row r="275" spans="2:65" s="1" customFormat="1">
      <c r="B275" s="32"/>
      <c r="D275" s="140" t="s">
        <v>136</v>
      </c>
      <c r="F275" s="141" t="s">
        <v>475</v>
      </c>
      <c r="I275" s="142"/>
      <c r="L275" s="32"/>
      <c r="M275" s="143"/>
      <c r="T275" s="51"/>
      <c r="AT275" s="17" t="s">
        <v>136</v>
      </c>
      <c r="AU275" s="17" t="s">
        <v>81</v>
      </c>
    </row>
    <row r="276" spans="2:65" s="12" customFormat="1">
      <c r="B276" s="144"/>
      <c r="D276" s="145" t="s">
        <v>138</v>
      </c>
      <c r="E276" s="146" t="s">
        <v>19</v>
      </c>
      <c r="F276" s="147" t="s">
        <v>405</v>
      </c>
      <c r="H276" s="148">
        <v>29</v>
      </c>
      <c r="I276" s="149"/>
      <c r="L276" s="144"/>
      <c r="M276" s="150"/>
      <c r="T276" s="151"/>
      <c r="AT276" s="146" t="s">
        <v>138</v>
      </c>
      <c r="AU276" s="146" t="s">
        <v>81</v>
      </c>
      <c r="AV276" s="12" t="s">
        <v>81</v>
      </c>
      <c r="AW276" s="12" t="s">
        <v>33</v>
      </c>
      <c r="AX276" s="12" t="s">
        <v>79</v>
      </c>
      <c r="AY276" s="146" t="s">
        <v>127</v>
      </c>
    </row>
    <row r="277" spans="2:65" s="1" customFormat="1" ht="24.2" customHeight="1">
      <c r="B277" s="32"/>
      <c r="C277" s="127" t="s">
        <v>476</v>
      </c>
      <c r="D277" s="127" t="s">
        <v>129</v>
      </c>
      <c r="E277" s="128" t="s">
        <v>477</v>
      </c>
      <c r="F277" s="129" t="s">
        <v>478</v>
      </c>
      <c r="G277" s="130" t="s">
        <v>132</v>
      </c>
      <c r="H277" s="131">
        <v>819</v>
      </c>
      <c r="I277" s="132"/>
      <c r="J277" s="133">
        <f>ROUND(I277*H277,2)</f>
        <v>0</v>
      </c>
      <c r="K277" s="129" t="s">
        <v>133</v>
      </c>
      <c r="L277" s="32"/>
      <c r="M277" s="134" t="s">
        <v>19</v>
      </c>
      <c r="N277" s="135" t="s">
        <v>42</v>
      </c>
      <c r="P277" s="136">
        <f>O277*H277</f>
        <v>0</v>
      </c>
      <c r="Q277" s="136">
        <v>0</v>
      </c>
      <c r="R277" s="136">
        <f>Q277*H277</f>
        <v>0</v>
      </c>
      <c r="S277" s="136">
        <v>5.0000000000000001E-3</v>
      </c>
      <c r="T277" s="137">
        <f>S277*H277</f>
        <v>4.0949999999999998</v>
      </c>
      <c r="AR277" s="138" t="s">
        <v>229</v>
      </c>
      <c r="AT277" s="138" t="s">
        <v>129</v>
      </c>
      <c r="AU277" s="138" t="s">
        <v>81</v>
      </c>
      <c r="AY277" s="17" t="s">
        <v>127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79</v>
      </c>
      <c r="BK277" s="139">
        <f>ROUND(I277*H277,2)</f>
        <v>0</v>
      </c>
      <c r="BL277" s="17" t="s">
        <v>229</v>
      </c>
      <c r="BM277" s="138" t="s">
        <v>479</v>
      </c>
    </row>
    <row r="278" spans="2:65" s="1" customFormat="1">
      <c r="B278" s="32"/>
      <c r="D278" s="140" t="s">
        <v>136</v>
      </c>
      <c r="F278" s="141" t="s">
        <v>480</v>
      </c>
      <c r="I278" s="142"/>
      <c r="L278" s="32"/>
      <c r="M278" s="143"/>
      <c r="T278" s="51"/>
      <c r="AT278" s="17" t="s">
        <v>136</v>
      </c>
      <c r="AU278" s="17" t="s">
        <v>81</v>
      </c>
    </row>
    <row r="279" spans="2:65" s="12" customFormat="1">
      <c r="B279" s="144"/>
      <c r="D279" s="145" t="s">
        <v>138</v>
      </c>
      <c r="E279" s="146" t="s">
        <v>19</v>
      </c>
      <c r="F279" s="147" t="s">
        <v>481</v>
      </c>
      <c r="H279" s="148">
        <v>790</v>
      </c>
      <c r="I279" s="149"/>
      <c r="L279" s="144"/>
      <c r="M279" s="150"/>
      <c r="T279" s="151"/>
      <c r="AT279" s="146" t="s">
        <v>138</v>
      </c>
      <c r="AU279" s="146" t="s">
        <v>81</v>
      </c>
      <c r="AV279" s="12" t="s">
        <v>81</v>
      </c>
      <c r="AW279" s="12" t="s">
        <v>33</v>
      </c>
      <c r="AX279" s="12" t="s">
        <v>71</v>
      </c>
      <c r="AY279" s="146" t="s">
        <v>127</v>
      </c>
    </row>
    <row r="280" spans="2:65" s="12" customFormat="1">
      <c r="B280" s="144"/>
      <c r="D280" s="145" t="s">
        <v>138</v>
      </c>
      <c r="E280" s="146" t="s">
        <v>19</v>
      </c>
      <c r="F280" s="147" t="s">
        <v>405</v>
      </c>
      <c r="H280" s="148">
        <v>29</v>
      </c>
      <c r="I280" s="149"/>
      <c r="L280" s="144"/>
      <c r="M280" s="150"/>
      <c r="T280" s="151"/>
      <c r="AT280" s="146" t="s">
        <v>138</v>
      </c>
      <c r="AU280" s="146" t="s">
        <v>81</v>
      </c>
      <c r="AV280" s="12" t="s">
        <v>81</v>
      </c>
      <c r="AW280" s="12" t="s">
        <v>33</v>
      </c>
      <c r="AX280" s="12" t="s">
        <v>71</v>
      </c>
      <c r="AY280" s="146" t="s">
        <v>127</v>
      </c>
    </row>
    <row r="281" spans="2:65" s="13" customFormat="1">
      <c r="B281" s="152"/>
      <c r="D281" s="145" t="s">
        <v>138</v>
      </c>
      <c r="E281" s="153" t="s">
        <v>19</v>
      </c>
      <c r="F281" s="154" t="s">
        <v>152</v>
      </c>
      <c r="H281" s="155">
        <v>819</v>
      </c>
      <c r="I281" s="156"/>
      <c r="L281" s="152"/>
      <c r="M281" s="157"/>
      <c r="T281" s="158"/>
      <c r="AT281" s="153" t="s">
        <v>138</v>
      </c>
      <c r="AU281" s="153" t="s">
        <v>81</v>
      </c>
      <c r="AV281" s="13" t="s">
        <v>134</v>
      </c>
      <c r="AW281" s="13" t="s">
        <v>33</v>
      </c>
      <c r="AX281" s="13" t="s">
        <v>79</v>
      </c>
      <c r="AY281" s="153" t="s">
        <v>127</v>
      </c>
    </row>
    <row r="282" spans="2:65" s="1" customFormat="1" ht="16.5" customHeight="1">
      <c r="B282" s="32"/>
      <c r="C282" s="127" t="s">
        <v>482</v>
      </c>
      <c r="D282" s="127" t="s">
        <v>129</v>
      </c>
      <c r="E282" s="128" t="s">
        <v>483</v>
      </c>
      <c r="F282" s="129" t="s">
        <v>484</v>
      </c>
      <c r="G282" s="130" t="s">
        <v>132</v>
      </c>
      <c r="H282" s="131">
        <v>544.25</v>
      </c>
      <c r="I282" s="132"/>
      <c r="J282" s="133">
        <f>ROUND(I282*H282,2)</f>
        <v>0</v>
      </c>
      <c r="K282" s="129" t="s">
        <v>133</v>
      </c>
      <c r="L282" s="32"/>
      <c r="M282" s="134" t="s">
        <v>19</v>
      </c>
      <c r="N282" s="135" t="s">
        <v>42</v>
      </c>
      <c r="P282" s="136">
        <f>O282*H282</f>
        <v>0</v>
      </c>
      <c r="Q282" s="136">
        <v>0</v>
      </c>
      <c r="R282" s="136">
        <f>Q282*H282</f>
        <v>0</v>
      </c>
      <c r="S282" s="136">
        <v>1.6E-2</v>
      </c>
      <c r="T282" s="137">
        <f>S282*H282</f>
        <v>8.7080000000000002</v>
      </c>
      <c r="AR282" s="138" t="s">
        <v>229</v>
      </c>
      <c r="AT282" s="138" t="s">
        <v>129</v>
      </c>
      <c r="AU282" s="138" t="s">
        <v>81</v>
      </c>
      <c r="AY282" s="17" t="s">
        <v>127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7" t="s">
        <v>79</v>
      </c>
      <c r="BK282" s="139">
        <f>ROUND(I282*H282,2)</f>
        <v>0</v>
      </c>
      <c r="BL282" s="17" t="s">
        <v>229</v>
      </c>
      <c r="BM282" s="138" t="s">
        <v>485</v>
      </c>
    </row>
    <row r="283" spans="2:65" s="1" customFormat="1">
      <c r="B283" s="32"/>
      <c r="D283" s="140" t="s">
        <v>136</v>
      </c>
      <c r="F283" s="141" t="s">
        <v>486</v>
      </c>
      <c r="I283" s="142"/>
      <c r="L283" s="32"/>
      <c r="M283" s="143"/>
      <c r="T283" s="51"/>
      <c r="AT283" s="17" t="s">
        <v>136</v>
      </c>
      <c r="AU283" s="17" t="s">
        <v>81</v>
      </c>
    </row>
    <row r="284" spans="2:65" s="12" customFormat="1">
      <c r="B284" s="144"/>
      <c r="D284" s="145" t="s">
        <v>138</v>
      </c>
      <c r="E284" s="146" t="s">
        <v>19</v>
      </c>
      <c r="F284" s="147" t="s">
        <v>487</v>
      </c>
      <c r="H284" s="148">
        <v>544.25</v>
      </c>
      <c r="I284" s="149"/>
      <c r="L284" s="144"/>
      <c r="M284" s="150"/>
      <c r="T284" s="151"/>
      <c r="AT284" s="146" t="s">
        <v>138</v>
      </c>
      <c r="AU284" s="146" t="s">
        <v>81</v>
      </c>
      <c r="AV284" s="12" t="s">
        <v>81</v>
      </c>
      <c r="AW284" s="12" t="s">
        <v>33</v>
      </c>
      <c r="AX284" s="12" t="s">
        <v>79</v>
      </c>
      <c r="AY284" s="146" t="s">
        <v>127</v>
      </c>
    </row>
    <row r="285" spans="2:65" s="1" customFormat="1" ht="21.75" customHeight="1">
      <c r="B285" s="32"/>
      <c r="C285" s="127" t="s">
        <v>488</v>
      </c>
      <c r="D285" s="127" t="s">
        <v>129</v>
      </c>
      <c r="E285" s="128" t="s">
        <v>489</v>
      </c>
      <c r="F285" s="129" t="s">
        <v>490</v>
      </c>
      <c r="G285" s="130" t="s">
        <v>132</v>
      </c>
      <c r="H285" s="131">
        <v>157</v>
      </c>
      <c r="I285" s="132"/>
      <c r="J285" s="133">
        <f>ROUND(I285*H285,2)</f>
        <v>0</v>
      </c>
      <c r="K285" s="129" t="s">
        <v>133</v>
      </c>
      <c r="L285" s="32"/>
      <c r="M285" s="134" t="s">
        <v>19</v>
      </c>
      <c r="N285" s="135" t="s">
        <v>42</v>
      </c>
      <c r="P285" s="136">
        <f>O285*H285</f>
        <v>0</v>
      </c>
      <c r="Q285" s="136">
        <v>0</v>
      </c>
      <c r="R285" s="136">
        <f>Q285*H285</f>
        <v>0</v>
      </c>
      <c r="S285" s="136">
        <v>1.4E-2</v>
      </c>
      <c r="T285" s="137">
        <f>S285*H285</f>
        <v>2.198</v>
      </c>
      <c r="AR285" s="138" t="s">
        <v>229</v>
      </c>
      <c r="AT285" s="138" t="s">
        <v>129</v>
      </c>
      <c r="AU285" s="138" t="s">
        <v>81</v>
      </c>
      <c r="AY285" s="17" t="s">
        <v>127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79</v>
      </c>
      <c r="BK285" s="139">
        <f>ROUND(I285*H285,2)</f>
        <v>0</v>
      </c>
      <c r="BL285" s="17" t="s">
        <v>229</v>
      </c>
      <c r="BM285" s="138" t="s">
        <v>491</v>
      </c>
    </row>
    <row r="286" spans="2:65" s="1" customFormat="1">
      <c r="B286" s="32"/>
      <c r="D286" s="140" t="s">
        <v>136</v>
      </c>
      <c r="F286" s="141" t="s">
        <v>492</v>
      </c>
      <c r="I286" s="142"/>
      <c r="L286" s="32"/>
      <c r="M286" s="143"/>
      <c r="T286" s="51"/>
      <c r="AT286" s="17" t="s">
        <v>136</v>
      </c>
      <c r="AU286" s="17" t="s">
        <v>81</v>
      </c>
    </row>
    <row r="287" spans="2:65" s="12" customFormat="1">
      <c r="B287" s="144"/>
      <c r="D287" s="145" t="s">
        <v>138</v>
      </c>
      <c r="E287" s="146" t="s">
        <v>19</v>
      </c>
      <c r="F287" s="147" t="s">
        <v>349</v>
      </c>
      <c r="H287" s="148">
        <v>157</v>
      </c>
      <c r="I287" s="149"/>
      <c r="L287" s="144"/>
      <c r="M287" s="150"/>
      <c r="T287" s="151"/>
      <c r="AT287" s="146" t="s">
        <v>138</v>
      </c>
      <c r="AU287" s="146" t="s">
        <v>81</v>
      </c>
      <c r="AV287" s="12" t="s">
        <v>81</v>
      </c>
      <c r="AW287" s="12" t="s">
        <v>33</v>
      </c>
      <c r="AX287" s="12" t="s">
        <v>79</v>
      </c>
      <c r="AY287" s="146" t="s">
        <v>127</v>
      </c>
    </row>
    <row r="288" spans="2:65" s="1" customFormat="1" ht="21.75" customHeight="1">
      <c r="B288" s="32"/>
      <c r="C288" s="127" t="s">
        <v>493</v>
      </c>
      <c r="D288" s="127" t="s">
        <v>129</v>
      </c>
      <c r="E288" s="128" t="s">
        <v>494</v>
      </c>
      <c r="F288" s="129" t="s">
        <v>495</v>
      </c>
      <c r="G288" s="130" t="s">
        <v>132</v>
      </c>
      <c r="H288" s="131">
        <v>544.25</v>
      </c>
      <c r="I288" s="132"/>
      <c r="J288" s="133">
        <f>ROUND(I288*H288,2)</f>
        <v>0</v>
      </c>
      <c r="K288" s="129" t="s">
        <v>133</v>
      </c>
      <c r="L288" s="32"/>
      <c r="M288" s="134" t="s">
        <v>19</v>
      </c>
      <c r="N288" s="135" t="s">
        <v>42</v>
      </c>
      <c r="P288" s="136">
        <f>O288*H288</f>
        <v>0</v>
      </c>
      <c r="Q288" s="136">
        <v>0</v>
      </c>
      <c r="R288" s="136">
        <f>Q288*H288</f>
        <v>0</v>
      </c>
      <c r="S288" s="136">
        <v>0.04</v>
      </c>
      <c r="T288" s="137">
        <f>S288*H288</f>
        <v>21.77</v>
      </c>
      <c r="AR288" s="138" t="s">
        <v>229</v>
      </c>
      <c r="AT288" s="138" t="s">
        <v>129</v>
      </c>
      <c r="AU288" s="138" t="s">
        <v>81</v>
      </c>
      <c r="AY288" s="17" t="s">
        <v>127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79</v>
      </c>
      <c r="BK288" s="139">
        <f>ROUND(I288*H288,2)</f>
        <v>0</v>
      </c>
      <c r="BL288" s="17" t="s">
        <v>229</v>
      </c>
      <c r="BM288" s="138" t="s">
        <v>496</v>
      </c>
    </row>
    <row r="289" spans="2:65" s="1" customFormat="1">
      <c r="B289" s="32"/>
      <c r="D289" s="140" t="s">
        <v>136</v>
      </c>
      <c r="F289" s="141" t="s">
        <v>497</v>
      </c>
      <c r="I289" s="142"/>
      <c r="L289" s="32"/>
      <c r="M289" s="143"/>
      <c r="T289" s="51"/>
      <c r="AT289" s="17" t="s">
        <v>136</v>
      </c>
      <c r="AU289" s="17" t="s">
        <v>81</v>
      </c>
    </row>
    <row r="290" spans="2:65" s="12" customFormat="1">
      <c r="B290" s="144"/>
      <c r="D290" s="145" t="s">
        <v>138</v>
      </c>
      <c r="E290" s="146" t="s">
        <v>19</v>
      </c>
      <c r="F290" s="147" t="s">
        <v>498</v>
      </c>
      <c r="H290" s="148">
        <v>544.25</v>
      </c>
      <c r="I290" s="149"/>
      <c r="L290" s="144"/>
      <c r="M290" s="150"/>
      <c r="T290" s="151"/>
      <c r="AT290" s="146" t="s">
        <v>138</v>
      </c>
      <c r="AU290" s="146" t="s">
        <v>81</v>
      </c>
      <c r="AV290" s="12" t="s">
        <v>81</v>
      </c>
      <c r="AW290" s="12" t="s">
        <v>33</v>
      </c>
      <c r="AX290" s="12" t="s">
        <v>79</v>
      </c>
      <c r="AY290" s="146" t="s">
        <v>127</v>
      </c>
    </row>
    <row r="291" spans="2:65" s="11" customFormat="1" ht="22.9" customHeight="1">
      <c r="B291" s="115"/>
      <c r="D291" s="116" t="s">
        <v>70</v>
      </c>
      <c r="E291" s="125" t="s">
        <v>499</v>
      </c>
      <c r="F291" s="125" t="s">
        <v>500</v>
      </c>
      <c r="I291" s="118"/>
      <c r="J291" s="126">
        <f>BK291</f>
        <v>0</v>
      </c>
      <c r="L291" s="115"/>
      <c r="M291" s="120"/>
      <c r="P291" s="121">
        <f>SUM(P292:P326)</f>
        <v>0</v>
      </c>
      <c r="R291" s="121">
        <f>SUM(R292:R326)</f>
        <v>7.7880000000000005E-2</v>
      </c>
      <c r="T291" s="122">
        <f>SUM(T292:T326)</f>
        <v>1.33881418</v>
      </c>
      <c r="AR291" s="116" t="s">
        <v>81</v>
      </c>
      <c r="AT291" s="123" t="s">
        <v>70</v>
      </c>
      <c r="AU291" s="123" t="s">
        <v>79</v>
      </c>
      <c r="AY291" s="116" t="s">
        <v>127</v>
      </c>
      <c r="BK291" s="124">
        <f>SUM(BK292:BK326)</f>
        <v>0</v>
      </c>
    </row>
    <row r="292" spans="2:65" s="1" customFormat="1" ht="16.5" customHeight="1">
      <c r="B292" s="32"/>
      <c r="C292" s="127" t="s">
        <v>501</v>
      </c>
      <c r="D292" s="127" t="s">
        <v>129</v>
      </c>
      <c r="E292" s="128" t="s">
        <v>502</v>
      </c>
      <c r="F292" s="129" t="s">
        <v>503</v>
      </c>
      <c r="G292" s="130" t="s">
        <v>257</v>
      </c>
      <c r="H292" s="131">
        <v>51</v>
      </c>
      <c r="I292" s="132"/>
      <c r="J292" s="133">
        <f>ROUND(I292*H292,2)</f>
        <v>0</v>
      </c>
      <c r="K292" s="129" t="s">
        <v>133</v>
      </c>
      <c r="L292" s="32"/>
      <c r="M292" s="134" t="s">
        <v>19</v>
      </c>
      <c r="N292" s="135" t="s">
        <v>42</v>
      </c>
      <c r="P292" s="136">
        <f>O292*H292</f>
        <v>0</v>
      </c>
      <c r="Q292" s="136">
        <v>0</v>
      </c>
      <c r="R292" s="136">
        <f>Q292*H292</f>
        <v>0</v>
      </c>
      <c r="S292" s="136">
        <v>3.48E-3</v>
      </c>
      <c r="T292" s="137">
        <f>S292*H292</f>
        <v>0.17748</v>
      </c>
      <c r="AR292" s="138" t="s">
        <v>229</v>
      </c>
      <c r="AT292" s="138" t="s">
        <v>129</v>
      </c>
      <c r="AU292" s="138" t="s">
        <v>81</v>
      </c>
      <c r="AY292" s="17" t="s">
        <v>127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79</v>
      </c>
      <c r="BK292" s="139">
        <f>ROUND(I292*H292,2)</f>
        <v>0</v>
      </c>
      <c r="BL292" s="17" t="s">
        <v>229</v>
      </c>
      <c r="BM292" s="138" t="s">
        <v>504</v>
      </c>
    </row>
    <row r="293" spans="2:65" s="1" customFormat="1">
      <c r="B293" s="32"/>
      <c r="D293" s="140" t="s">
        <v>136</v>
      </c>
      <c r="F293" s="141" t="s">
        <v>505</v>
      </c>
      <c r="I293" s="142"/>
      <c r="L293" s="32"/>
      <c r="M293" s="143"/>
      <c r="T293" s="51"/>
      <c r="AT293" s="17" t="s">
        <v>136</v>
      </c>
      <c r="AU293" s="17" t="s">
        <v>81</v>
      </c>
    </row>
    <row r="294" spans="2:65" s="12" customFormat="1">
      <c r="B294" s="144"/>
      <c r="D294" s="145" t="s">
        <v>138</v>
      </c>
      <c r="E294" s="146" t="s">
        <v>19</v>
      </c>
      <c r="F294" s="147" t="s">
        <v>506</v>
      </c>
      <c r="H294" s="148">
        <v>51</v>
      </c>
      <c r="I294" s="149"/>
      <c r="L294" s="144"/>
      <c r="M294" s="150"/>
      <c r="T294" s="151"/>
      <c r="AT294" s="146" t="s">
        <v>138</v>
      </c>
      <c r="AU294" s="146" t="s">
        <v>81</v>
      </c>
      <c r="AV294" s="12" t="s">
        <v>81</v>
      </c>
      <c r="AW294" s="12" t="s">
        <v>33</v>
      </c>
      <c r="AX294" s="12" t="s">
        <v>79</v>
      </c>
      <c r="AY294" s="146" t="s">
        <v>127</v>
      </c>
    </row>
    <row r="295" spans="2:65" s="1" customFormat="1" ht="16.5" customHeight="1">
      <c r="B295" s="32"/>
      <c r="C295" s="127" t="s">
        <v>507</v>
      </c>
      <c r="D295" s="127" t="s">
        <v>129</v>
      </c>
      <c r="E295" s="128" t="s">
        <v>508</v>
      </c>
      <c r="F295" s="129" t="s">
        <v>509</v>
      </c>
      <c r="G295" s="130" t="s">
        <v>257</v>
      </c>
      <c r="H295" s="131">
        <v>14</v>
      </c>
      <c r="I295" s="132"/>
      <c r="J295" s="133">
        <f>ROUND(I295*H295,2)</f>
        <v>0</v>
      </c>
      <c r="K295" s="129" t="s">
        <v>133</v>
      </c>
      <c r="L295" s="32"/>
      <c r="M295" s="134" t="s">
        <v>19</v>
      </c>
      <c r="N295" s="135" t="s">
        <v>42</v>
      </c>
      <c r="P295" s="136">
        <f>O295*H295</f>
        <v>0</v>
      </c>
      <c r="Q295" s="136">
        <v>0</v>
      </c>
      <c r="R295" s="136">
        <f>Q295*H295</f>
        <v>0</v>
      </c>
      <c r="S295" s="136">
        <v>1.91E-3</v>
      </c>
      <c r="T295" s="137">
        <f>S295*H295</f>
        <v>2.674E-2</v>
      </c>
      <c r="AR295" s="138" t="s">
        <v>229</v>
      </c>
      <c r="AT295" s="138" t="s">
        <v>129</v>
      </c>
      <c r="AU295" s="138" t="s">
        <v>81</v>
      </c>
      <c r="AY295" s="17" t="s">
        <v>127</v>
      </c>
      <c r="BE295" s="139">
        <f>IF(N295="základní",J295,0)</f>
        <v>0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7" t="s">
        <v>79</v>
      </c>
      <c r="BK295" s="139">
        <f>ROUND(I295*H295,2)</f>
        <v>0</v>
      </c>
      <c r="BL295" s="17" t="s">
        <v>229</v>
      </c>
      <c r="BM295" s="138" t="s">
        <v>510</v>
      </c>
    </row>
    <row r="296" spans="2:65" s="1" customFormat="1">
      <c r="B296" s="32"/>
      <c r="D296" s="140" t="s">
        <v>136</v>
      </c>
      <c r="F296" s="141" t="s">
        <v>511</v>
      </c>
      <c r="I296" s="142"/>
      <c r="L296" s="32"/>
      <c r="M296" s="143"/>
      <c r="T296" s="51"/>
      <c r="AT296" s="17" t="s">
        <v>136</v>
      </c>
      <c r="AU296" s="17" t="s">
        <v>81</v>
      </c>
    </row>
    <row r="297" spans="2:65" s="12" customFormat="1">
      <c r="B297" s="144"/>
      <c r="D297" s="145" t="s">
        <v>138</v>
      </c>
      <c r="E297" s="146" t="s">
        <v>19</v>
      </c>
      <c r="F297" s="147" t="s">
        <v>512</v>
      </c>
      <c r="H297" s="148">
        <v>14</v>
      </c>
      <c r="I297" s="149"/>
      <c r="L297" s="144"/>
      <c r="M297" s="150"/>
      <c r="T297" s="151"/>
      <c r="AT297" s="146" t="s">
        <v>138</v>
      </c>
      <c r="AU297" s="146" t="s">
        <v>81</v>
      </c>
      <c r="AV297" s="12" t="s">
        <v>81</v>
      </c>
      <c r="AW297" s="12" t="s">
        <v>33</v>
      </c>
      <c r="AX297" s="12" t="s">
        <v>79</v>
      </c>
      <c r="AY297" s="146" t="s">
        <v>127</v>
      </c>
    </row>
    <row r="298" spans="2:65" s="1" customFormat="1" ht="16.5" customHeight="1">
      <c r="B298" s="32"/>
      <c r="C298" s="127" t="s">
        <v>513</v>
      </c>
      <c r="D298" s="127" t="s">
        <v>129</v>
      </c>
      <c r="E298" s="128" t="s">
        <v>514</v>
      </c>
      <c r="F298" s="129" t="s">
        <v>515</v>
      </c>
      <c r="G298" s="130" t="s">
        <v>257</v>
      </c>
      <c r="H298" s="131">
        <v>3.16</v>
      </c>
      <c r="I298" s="132"/>
      <c r="J298" s="133">
        <f>ROUND(I298*H298,2)</f>
        <v>0</v>
      </c>
      <c r="K298" s="129" t="s">
        <v>133</v>
      </c>
      <c r="L298" s="32"/>
      <c r="M298" s="134" t="s">
        <v>19</v>
      </c>
      <c r="N298" s="135" t="s">
        <v>42</v>
      </c>
      <c r="P298" s="136">
        <f>O298*H298</f>
        <v>0</v>
      </c>
      <c r="Q298" s="136">
        <v>0</v>
      </c>
      <c r="R298" s="136">
        <f>Q298*H298</f>
        <v>0</v>
      </c>
      <c r="S298" s="136">
        <v>1.67E-3</v>
      </c>
      <c r="T298" s="137">
        <f>S298*H298</f>
        <v>5.2772000000000001E-3</v>
      </c>
      <c r="AR298" s="138" t="s">
        <v>229</v>
      </c>
      <c r="AT298" s="138" t="s">
        <v>129</v>
      </c>
      <c r="AU298" s="138" t="s">
        <v>81</v>
      </c>
      <c r="AY298" s="17" t="s">
        <v>127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79</v>
      </c>
      <c r="BK298" s="139">
        <f>ROUND(I298*H298,2)</f>
        <v>0</v>
      </c>
      <c r="BL298" s="17" t="s">
        <v>229</v>
      </c>
      <c r="BM298" s="138" t="s">
        <v>516</v>
      </c>
    </row>
    <row r="299" spans="2:65" s="1" customFormat="1">
      <c r="B299" s="32"/>
      <c r="D299" s="140" t="s">
        <v>136</v>
      </c>
      <c r="F299" s="141" t="s">
        <v>517</v>
      </c>
      <c r="I299" s="142"/>
      <c r="L299" s="32"/>
      <c r="M299" s="143"/>
      <c r="T299" s="51"/>
      <c r="AT299" s="17" t="s">
        <v>136</v>
      </c>
      <c r="AU299" s="17" t="s">
        <v>81</v>
      </c>
    </row>
    <row r="300" spans="2:65" s="12" customFormat="1">
      <c r="B300" s="144"/>
      <c r="D300" s="145" t="s">
        <v>138</v>
      </c>
      <c r="E300" s="146" t="s">
        <v>19</v>
      </c>
      <c r="F300" s="147" t="s">
        <v>518</v>
      </c>
      <c r="H300" s="148">
        <v>1.27</v>
      </c>
      <c r="I300" s="149"/>
      <c r="L300" s="144"/>
      <c r="M300" s="150"/>
      <c r="T300" s="151"/>
      <c r="AT300" s="146" t="s">
        <v>138</v>
      </c>
      <c r="AU300" s="146" t="s">
        <v>81</v>
      </c>
      <c r="AV300" s="12" t="s">
        <v>81</v>
      </c>
      <c r="AW300" s="12" t="s">
        <v>33</v>
      </c>
      <c r="AX300" s="12" t="s">
        <v>71</v>
      </c>
      <c r="AY300" s="146" t="s">
        <v>127</v>
      </c>
    </row>
    <row r="301" spans="2:65" s="12" customFormat="1">
      <c r="B301" s="144"/>
      <c r="D301" s="145" t="s">
        <v>138</v>
      </c>
      <c r="E301" s="146" t="s">
        <v>19</v>
      </c>
      <c r="F301" s="147" t="s">
        <v>519</v>
      </c>
      <c r="H301" s="148">
        <v>0.95</v>
      </c>
      <c r="I301" s="149"/>
      <c r="L301" s="144"/>
      <c r="M301" s="150"/>
      <c r="T301" s="151"/>
      <c r="AT301" s="146" t="s">
        <v>138</v>
      </c>
      <c r="AU301" s="146" t="s">
        <v>81</v>
      </c>
      <c r="AV301" s="12" t="s">
        <v>81</v>
      </c>
      <c r="AW301" s="12" t="s">
        <v>33</v>
      </c>
      <c r="AX301" s="12" t="s">
        <v>71</v>
      </c>
      <c r="AY301" s="146" t="s">
        <v>127</v>
      </c>
    </row>
    <row r="302" spans="2:65" s="12" customFormat="1">
      <c r="B302" s="144"/>
      <c r="D302" s="145" t="s">
        <v>138</v>
      </c>
      <c r="E302" s="146" t="s">
        <v>19</v>
      </c>
      <c r="F302" s="147" t="s">
        <v>520</v>
      </c>
      <c r="H302" s="148">
        <v>0.94</v>
      </c>
      <c r="I302" s="149"/>
      <c r="L302" s="144"/>
      <c r="M302" s="150"/>
      <c r="T302" s="151"/>
      <c r="AT302" s="146" t="s">
        <v>138</v>
      </c>
      <c r="AU302" s="146" t="s">
        <v>81</v>
      </c>
      <c r="AV302" s="12" t="s">
        <v>81</v>
      </c>
      <c r="AW302" s="12" t="s">
        <v>33</v>
      </c>
      <c r="AX302" s="12" t="s">
        <v>71</v>
      </c>
      <c r="AY302" s="146" t="s">
        <v>127</v>
      </c>
    </row>
    <row r="303" spans="2:65" s="13" customFormat="1">
      <c r="B303" s="152"/>
      <c r="D303" s="145" t="s">
        <v>138</v>
      </c>
      <c r="E303" s="153" t="s">
        <v>19</v>
      </c>
      <c r="F303" s="154" t="s">
        <v>152</v>
      </c>
      <c r="H303" s="155">
        <v>3.16</v>
      </c>
      <c r="I303" s="156"/>
      <c r="L303" s="152"/>
      <c r="M303" s="157"/>
      <c r="T303" s="158"/>
      <c r="AT303" s="153" t="s">
        <v>138</v>
      </c>
      <c r="AU303" s="153" t="s">
        <v>81</v>
      </c>
      <c r="AV303" s="13" t="s">
        <v>134</v>
      </c>
      <c r="AW303" s="13" t="s">
        <v>33</v>
      </c>
      <c r="AX303" s="13" t="s">
        <v>79</v>
      </c>
      <c r="AY303" s="153" t="s">
        <v>127</v>
      </c>
    </row>
    <row r="304" spans="2:65" s="1" customFormat="1" ht="16.5" customHeight="1">
      <c r="B304" s="32"/>
      <c r="C304" s="127" t="s">
        <v>521</v>
      </c>
      <c r="D304" s="127" t="s">
        <v>129</v>
      </c>
      <c r="E304" s="128" t="s">
        <v>522</v>
      </c>
      <c r="F304" s="129" t="s">
        <v>523</v>
      </c>
      <c r="G304" s="130" t="s">
        <v>257</v>
      </c>
      <c r="H304" s="131">
        <v>159.92599999999999</v>
      </c>
      <c r="I304" s="132"/>
      <c r="J304" s="133">
        <f>ROUND(I304*H304,2)</f>
        <v>0</v>
      </c>
      <c r="K304" s="129" t="s">
        <v>133</v>
      </c>
      <c r="L304" s="32"/>
      <c r="M304" s="134" t="s">
        <v>19</v>
      </c>
      <c r="N304" s="135" t="s">
        <v>42</v>
      </c>
      <c r="P304" s="136">
        <f>O304*H304</f>
        <v>0</v>
      </c>
      <c r="Q304" s="136">
        <v>0</v>
      </c>
      <c r="R304" s="136">
        <f>Q304*H304</f>
        <v>0</v>
      </c>
      <c r="S304" s="136">
        <v>2.2300000000000002E-3</v>
      </c>
      <c r="T304" s="137">
        <f>S304*H304</f>
        <v>0.35663497999999999</v>
      </c>
      <c r="AR304" s="138" t="s">
        <v>134</v>
      </c>
      <c r="AT304" s="138" t="s">
        <v>129</v>
      </c>
      <c r="AU304" s="138" t="s">
        <v>81</v>
      </c>
      <c r="AY304" s="17" t="s">
        <v>127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7" t="s">
        <v>79</v>
      </c>
      <c r="BK304" s="139">
        <f>ROUND(I304*H304,2)</f>
        <v>0</v>
      </c>
      <c r="BL304" s="17" t="s">
        <v>134</v>
      </c>
      <c r="BM304" s="138" t="s">
        <v>524</v>
      </c>
    </row>
    <row r="305" spans="2:65" s="1" customFormat="1">
      <c r="B305" s="32"/>
      <c r="D305" s="140" t="s">
        <v>136</v>
      </c>
      <c r="F305" s="141" t="s">
        <v>525</v>
      </c>
      <c r="I305" s="142"/>
      <c r="L305" s="32"/>
      <c r="M305" s="143"/>
      <c r="T305" s="51"/>
      <c r="AT305" s="17" t="s">
        <v>136</v>
      </c>
      <c r="AU305" s="17" t="s">
        <v>81</v>
      </c>
    </row>
    <row r="306" spans="2:65" s="12" customFormat="1">
      <c r="B306" s="144"/>
      <c r="D306" s="145" t="s">
        <v>138</v>
      </c>
      <c r="E306" s="146" t="s">
        <v>19</v>
      </c>
      <c r="F306" s="147" t="s">
        <v>526</v>
      </c>
      <c r="H306" s="148">
        <v>132.65</v>
      </c>
      <c r="I306" s="149"/>
      <c r="L306" s="144"/>
      <c r="M306" s="150"/>
      <c r="T306" s="151"/>
      <c r="AT306" s="146" t="s">
        <v>138</v>
      </c>
      <c r="AU306" s="146" t="s">
        <v>81</v>
      </c>
      <c r="AV306" s="12" t="s">
        <v>81</v>
      </c>
      <c r="AW306" s="12" t="s">
        <v>33</v>
      </c>
      <c r="AX306" s="12" t="s">
        <v>71</v>
      </c>
      <c r="AY306" s="146" t="s">
        <v>127</v>
      </c>
    </row>
    <row r="307" spans="2:65" s="12" customFormat="1">
      <c r="B307" s="144"/>
      <c r="D307" s="145" t="s">
        <v>138</v>
      </c>
      <c r="E307" s="146" t="s">
        <v>19</v>
      </c>
      <c r="F307" s="147" t="s">
        <v>265</v>
      </c>
      <c r="H307" s="148">
        <v>13.638</v>
      </c>
      <c r="I307" s="149"/>
      <c r="L307" s="144"/>
      <c r="M307" s="150"/>
      <c r="T307" s="151"/>
      <c r="AT307" s="146" t="s">
        <v>138</v>
      </c>
      <c r="AU307" s="146" t="s">
        <v>81</v>
      </c>
      <c r="AV307" s="12" t="s">
        <v>81</v>
      </c>
      <c r="AW307" s="12" t="s">
        <v>33</v>
      </c>
      <c r="AX307" s="12" t="s">
        <v>71</v>
      </c>
      <c r="AY307" s="146" t="s">
        <v>127</v>
      </c>
    </row>
    <row r="308" spans="2:65" s="12" customFormat="1">
      <c r="B308" s="144"/>
      <c r="D308" s="145" t="s">
        <v>138</v>
      </c>
      <c r="E308" s="146" t="s">
        <v>19</v>
      </c>
      <c r="F308" s="147" t="s">
        <v>266</v>
      </c>
      <c r="H308" s="148">
        <v>13.638</v>
      </c>
      <c r="I308" s="149"/>
      <c r="L308" s="144"/>
      <c r="M308" s="150"/>
      <c r="T308" s="151"/>
      <c r="AT308" s="146" t="s">
        <v>138</v>
      </c>
      <c r="AU308" s="146" t="s">
        <v>81</v>
      </c>
      <c r="AV308" s="12" t="s">
        <v>81</v>
      </c>
      <c r="AW308" s="12" t="s">
        <v>33</v>
      </c>
      <c r="AX308" s="12" t="s">
        <v>71</v>
      </c>
      <c r="AY308" s="146" t="s">
        <v>127</v>
      </c>
    </row>
    <row r="309" spans="2:65" s="13" customFormat="1">
      <c r="B309" s="152"/>
      <c r="D309" s="145" t="s">
        <v>138</v>
      </c>
      <c r="E309" s="153" t="s">
        <v>19</v>
      </c>
      <c r="F309" s="154" t="s">
        <v>152</v>
      </c>
      <c r="H309" s="155">
        <v>159.92599999999999</v>
      </c>
      <c r="I309" s="156"/>
      <c r="L309" s="152"/>
      <c r="M309" s="157"/>
      <c r="T309" s="158"/>
      <c r="AT309" s="153" t="s">
        <v>138</v>
      </c>
      <c r="AU309" s="153" t="s">
        <v>81</v>
      </c>
      <c r="AV309" s="13" t="s">
        <v>134</v>
      </c>
      <c r="AW309" s="13" t="s">
        <v>33</v>
      </c>
      <c r="AX309" s="13" t="s">
        <v>79</v>
      </c>
      <c r="AY309" s="153" t="s">
        <v>127</v>
      </c>
    </row>
    <row r="310" spans="2:65" s="1" customFormat="1" ht="16.5" customHeight="1">
      <c r="B310" s="32"/>
      <c r="C310" s="127" t="s">
        <v>527</v>
      </c>
      <c r="D310" s="127" t="s">
        <v>129</v>
      </c>
      <c r="E310" s="128" t="s">
        <v>528</v>
      </c>
      <c r="F310" s="129" t="s">
        <v>529</v>
      </c>
      <c r="G310" s="130" t="s">
        <v>257</v>
      </c>
      <c r="H310" s="131">
        <v>34.752000000000002</v>
      </c>
      <c r="I310" s="132"/>
      <c r="J310" s="133">
        <f>ROUND(I310*H310,2)</f>
        <v>0</v>
      </c>
      <c r="K310" s="129" t="s">
        <v>133</v>
      </c>
      <c r="L310" s="32"/>
      <c r="M310" s="134" t="s">
        <v>19</v>
      </c>
      <c r="N310" s="135" t="s">
        <v>42</v>
      </c>
      <c r="P310" s="136">
        <f>O310*H310</f>
        <v>0</v>
      </c>
      <c r="Q310" s="136">
        <v>0</v>
      </c>
      <c r="R310" s="136">
        <f>Q310*H310</f>
        <v>0</v>
      </c>
      <c r="S310" s="136">
        <v>1.75E-3</v>
      </c>
      <c r="T310" s="137">
        <f>S310*H310</f>
        <v>6.0816000000000009E-2</v>
      </c>
      <c r="AR310" s="138" t="s">
        <v>229</v>
      </c>
      <c r="AT310" s="138" t="s">
        <v>129</v>
      </c>
      <c r="AU310" s="138" t="s">
        <v>81</v>
      </c>
      <c r="AY310" s="17" t="s">
        <v>127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79</v>
      </c>
      <c r="BK310" s="139">
        <f>ROUND(I310*H310,2)</f>
        <v>0</v>
      </c>
      <c r="BL310" s="17" t="s">
        <v>229</v>
      </c>
      <c r="BM310" s="138" t="s">
        <v>530</v>
      </c>
    </row>
    <row r="311" spans="2:65" s="1" customFormat="1">
      <c r="B311" s="32"/>
      <c r="D311" s="140" t="s">
        <v>136</v>
      </c>
      <c r="F311" s="141" t="s">
        <v>531</v>
      </c>
      <c r="I311" s="142"/>
      <c r="L311" s="32"/>
      <c r="M311" s="143"/>
      <c r="T311" s="51"/>
      <c r="AT311" s="17" t="s">
        <v>136</v>
      </c>
      <c r="AU311" s="17" t="s">
        <v>81</v>
      </c>
    </row>
    <row r="312" spans="2:65" s="12" customFormat="1">
      <c r="B312" s="144"/>
      <c r="D312" s="145" t="s">
        <v>138</v>
      </c>
      <c r="E312" s="146" t="s">
        <v>19</v>
      </c>
      <c r="F312" s="147" t="s">
        <v>532</v>
      </c>
      <c r="H312" s="148">
        <v>34.752000000000002</v>
      </c>
      <c r="I312" s="149"/>
      <c r="L312" s="144"/>
      <c r="M312" s="150"/>
      <c r="T312" s="151"/>
      <c r="AT312" s="146" t="s">
        <v>138</v>
      </c>
      <c r="AU312" s="146" t="s">
        <v>81</v>
      </c>
      <c r="AV312" s="12" t="s">
        <v>81</v>
      </c>
      <c r="AW312" s="12" t="s">
        <v>33</v>
      </c>
      <c r="AX312" s="12" t="s">
        <v>79</v>
      </c>
      <c r="AY312" s="146" t="s">
        <v>127</v>
      </c>
    </row>
    <row r="313" spans="2:65" s="1" customFormat="1" ht="16.5" customHeight="1">
      <c r="B313" s="32"/>
      <c r="C313" s="127" t="s">
        <v>533</v>
      </c>
      <c r="D313" s="127" t="s">
        <v>129</v>
      </c>
      <c r="E313" s="128" t="s">
        <v>534</v>
      </c>
      <c r="F313" s="129" t="s">
        <v>535</v>
      </c>
      <c r="G313" s="130" t="s">
        <v>257</v>
      </c>
      <c r="H313" s="131">
        <v>137.41</v>
      </c>
      <c r="I313" s="132"/>
      <c r="J313" s="133">
        <f>ROUND(I313*H313,2)</f>
        <v>0</v>
      </c>
      <c r="K313" s="129" t="s">
        <v>133</v>
      </c>
      <c r="L313" s="32"/>
      <c r="M313" s="134" t="s">
        <v>19</v>
      </c>
      <c r="N313" s="135" t="s">
        <v>42</v>
      </c>
      <c r="P313" s="136">
        <f>O313*H313</f>
        <v>0</v>
      </c>
      <c r="Q313" s="136">
        <v>0</v>
      </c>
      <c r="R313" s="136">
        <f>Q313*H313</f>
        <v>0</v>
      </c>
      <c r="S313" s="136">
        <v>2.5999999999999999E-3</v>
      </c>
      <c r="T313" s="137">
        <f>S313*H313</f>
        <v>0.35726599999999997</v>
      </c>
      <c r="AR313" s="138" t="s">
        <v>229</v>
      </c>
      <c r="AT313" s="138" t="s">
        <v>129</v>
      </c>
      <c r="AU313" s="138" t="s">
        <v>81</v>
      </c>
      <c r="AY313" s="17" t="s">
        <v>127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7" t="s">
        <v>79</v>
      </c>
      <c r="BK313" s="139">
        <f>ROUND(I313*H313,2)</f>
        <v>0</v>
      </c>
      <c r="BL313" s="17" t="s">
        <v>229</v>
      </c>
      <c r="BM313" s="138" t="s">
        <v>536</v>
      </c>
    </row>
    <row r="314" spans="2:65" s="1" customFormat="1">
      <c r="B314" s="32"/>
      <c r="D314" s="140" t="s">
        <v>136</v>
      </c>
      <c r="F314" s="141" t="s">
        <v>537</v>
      </c>
      <c r="I314" s="142"/>
      <c r="L314" s="32"/>
      <c r="M314" s="143"/>
      <c r="T314" s="51"/>
      <c r="AT314" s="17" t="s">
        <v>136</v>
      </c>
      <c r="AU314" s="17" t="s">
        <v>81</v>
      </c>
    </row>
    <row r="315" spans="2:65" s="12" customFormat="1">
      <c r="B315" s="144"/>
      <c r="D315" s="145" t="s">
        <v>138</v>
      </c>
      <c r="E315" s="146" t="s">
        <v>19</v>
      </c>
      <c r="F315" s="147" t="s">
        <v>538</v>
      </c>
      <c r="H315" s="148">
        <v>137.41</v>
      </c>
      <c r="I315" s="149"/>
      <c r="L315" s="144"/>
      <c r="M315" s="150"/>
      <c r="T315" s="151"/>
      <c r="AT315" s="146" t="s">
        <v>138</v>
      </c>
      <c r="AU315" s="146" t="s">
        <v>81</v>
      </c>
      <c r="AV315" s="12" t="s">
        <v>81</v>
      </c>
      <c r="AW315" s="12" t="s">
        <v>33</v>
      </c>
      <c r="AX315" s="12" t="s">
        <v>79</v>
      </c>
      <c r="AY315" s="146" t="s">
        <v>127</v>
      </c>
    </row>
    <row r="316" spans="2:65" s="1" customFormat="1" ht="16.5" customHeight="1">
      <c r="B316" s="32"/>
      <c r="C316" s="127" t="s">
        <v>539</v>
      </c>
      <c r="D316" s="127" t="s">
        <v>129</v>
      </c>
      <c r="E316" s="128" t="s">
        <v>540</v>
      </c>
      <c r="F316" s="129" t="s">
        <v>541</v>
      </c>
      <c r="G316" s="130" t="s">
        <v>257</v>
      </c>
      <c r="H316" s="131">
        <v>15</v>
      </c>
      <c r="I316" s="132"/>
      <c r="J316" s="133">
        <f>ROUND(I316*H316,2)</f>
        <v>0</v>
      </c>
      <c r="K316" s="129" t="s">
        <v>133</v>
      </c>
      <c r="L316" s="32"/>
      <c r="M316" s="134" t="s">
        <v>19</v>
      </c>
      <c r="N316" s="135" t="s">
        <v>42</v>
      </c>
      <c r="P316" s="136">
        <f>O316*H316</f>
        <v>0</v>
      </c>
      <c r="Q316" s="136">
        <v>0</v>
      </c>
      <c r="R316" s="136">
        <f>Q316*H316</f>
        <v>0</v>
      </c>
      <c r="S316" s="136">
        <v>3.9399999999999999E-3</v>
      </c>
      <c r="T316" s="137">
        <f>S316*H316</f>
        <v>5.91E-2</v>
      </c>
      <c r="AR316" s="138" t="s">
        <v>229</v>
      </c>
      <c r="AT316" s="138" t="s">
        <v>129</v>
      </c>
      <c r="AU316" s="138" t="s">
        <v>81</v>
      </c>
      <c r="AY316" s="17" t="s">
        <v>127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79</v>
      </c>
      <c r="BK316" s="139">
        <f>ROUND(I316*H316,2)</f>
        <v>0</v>
      </c>
      <c r="BL316" s="17" t="s">
        <v>229</v>
      </c>
      <c r="BM316" s="138" t="s">
        <v>542</v>
      </c>
    </row>
    <row r="317" spans="2:65" s="1" customFormat="1">
      <c r="B317" s="32"/>
      <c r="D317" s="140" t="s">
        <v>136</v>
      </c>
      <c r="F317" s="141" t="s">
        <v>543</v>
      </c>
      <c r="I317" s="142"/>
      <c r="L317" s="32"/>
      <c r="M317" s="143"/>
      <c r="T317" s="51"/>
      <c r="AT317" s="17" t="s">
        <v>136</v>
      </c>
      <c r="AU317" s="17" t="s">
        <v>81</v>
      </c>
    </row>
    <row r="318" spans="2:65" s="12" customFormat="1">
      <c r="B318" s="144"/>
      <c r="D318" s="145" t="s">
        <v>138</v>
      </c>
      <c r="E318" s="146" t="s">
        <v>19</v>
      </c>
      <c r="F318" s="147" t="s">
        <v>544</v>
      </c>
      <c r="H318" s="148">
        <v>15</v>
      </c>
      <c r="I318" s="149"/>
      <c r="L318" s="144"/>
      <c r="M318" s="150"/>
      <c r="T318" s="151"/>
      <c r="AT318" s="146" t="s">
        <v>138</v>
      </c>
      <c r="AU318" s="146" t="s">
        <v>81</v>
      </c>
      <c r="AV318" s="12" t="s">
        <v>81</v>
      </c>
      <c r="AW318" s="12" t="s">
        <v>33</v>
      </c>
      <c r="AX318" s="12" t="s">
        <v>79</v>
      </c>
      <c r="AY318" s="146" t="s">
        <v>127</v>
      </c>
    </row>
    <row r="319" spans="2:65" s="1" customFormat="1" ht="16.5" customHeight="1">
      <c r="B319" s="32"/>
      <c r="C319" s="127" t="s">
        <v>545</v>
      </c>
      <c r="D319" s="127" t="s">
        <v>129</v>
      </c>
      <c r="E319" s="128" t="s">
        <v>546</v>
      </c>
      <c r="F319" s="129" t="s">
        <v>547</v>
      </c>
      <c r="G319" s="130" t="s">
        <v>257</v>
      </c>
      <c r="H319" s="131">
        <v>75</v>
      </c>
      <c r="I319" s="132"/>
      <c r="J319" s="133">
        <f>ROUND(I319*H319,2)</f>
        <v>0</v>
      </c>
      <c r="K319" s="129" t="s">
        <v>133</v>
      </c>
      <c r="L319" s="32"/>
      <c r="M319" s="134" t="s">
        <v>19</v>
      </c>
      <c r="N319" s="135" t="s">
        <v>42</v>
      </c>
      <c r="P319" s="136">
        <f>O319*H319</f>
        <v>0</v>
      </c>
      <c r="Q319" s="136">
        <v>0</v>
      </c>
      <c r="R319" s="136">
        <f>Q319*H319</f>
        <v>0</v>
      </c>
      <c r="S319" s="136">
        <v>3.9399999999999999E-3</v>
      </c>
      <c r="T319" s="137">
        <f>S319*H319</f>
        <v>0.29549999999999998</v>
      </c>
      <c r="AR319" s="138" t="s">
        <v>229</v>
      </c>
      <c r="AT319" s="138" t="s">
        <v>129</v>
      </c>
      <c r="AU319" s="138" t="s">
        <v>81</v>
      </c>
      <c r="AY319" s="17" t="s">
        <v>127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79</v>
      </c>
      <c r="BK319" s="139">
        <f>ROUND(I319*H319,2)</f>
        <v>0</v>
      </c>
      <c r="BL319" s="17" t="s">
        <v>229</v>
      </c>
      <c r="BM319" s="138" t="s">
        <v>548</v>
      </c>
    </row>
    <row r="320" spans="2:65" s="1" customFormat="1">
      <c r="B320" s="32"/>
      <c r="D320" s="140" t="s">
        <v>136</v>
      </c>
      <c r="F320" s="141" t="s">
        <v>549</v>
      </c>
      <c r="I320" s="142"/>
      <c r="L320" s="32"/>
      <c r="M320" s="143"/>
      <c r="T320" s="51"/>
      <c r="AT320" s="17" t="s">
        <v>136</v>
      </c>
      <c r="AU320" s="17" t="s">
        <v>81</v>
      </c>
    </row>
    <row r="321" spans="2:65" s="12" customFormat="1">
      <c r="B321" s="144"/>
      <c r="D321" s="145" t="s">
        <v>138</v>
      </c>
      <c r="E321" s="146" t="s">
        <v>19</v>
      </c>
      <c r="F321" s="147" t="s">
        <v>550</v>
      </c>
      <c r="H321" s="148">
        <v>75</v>
      </c>
      <c r="I321" s="149"/>
      <c r="L321" s="144"/>
      <c r="M321" s="150"/>
      <c r="T321" s="151"/>
      <c r="AT321" s="146" t="s">
        <v>138</v>
      </c>
      <c r="AU321" s="146" t="s">
        <v>81</v>
      </c>
      <c r="AV321" s="12" t="s">
        <v>81</v>
      </c>
      <c r="AW321" s="12" t="s">
        <v>33</v>
      </c>
      <c r="AX321" s="12" t="s">
        <v>79</v>
      </c>
      <c r="AY321" s="146" t="s">
        <v>127</v>
      </c>
    </row>
    <row r="322" spans="2:65" s="1" customFormat="1" ht="16.5" customHeight="1">
      <c r="B322" s="32"/>
      <c r="C322" s="127" t="s">
        <v>551</v>
      </c>
      <c r="D322" s="127" t="s">
        <v>129</v>
      </c>
      <c r="E322" s="128" t="s">
        <v>552</v>
      </c>
      <c r="F322" s="129" t="s">
        <v>553</v>
      </c>
      <c r="G322" s="130" t="s">
        <v>257</v>
      </c>
      <c r="H322" s="131">
        <v>120</v>
      </c>
      <c r="I322" s="132"/>
      <c r="J322" s="133">
        <f>ROUND(I322*H322,2)</f>
        <v>0</v>
      </c>
      <c r="K322" s="129" t="s">
        <v>133</v>
      </c>
      <c r="L322" s="32"/>
      <c r="M322" s="134" t="s">
        <v>19</v>
      </c>
      <c r="N322" s="135" t="s">
        <v>42</v>
      </c>
      <c r="P322" s="136">
        <f>O322*H322</f>
        <v>0</v>
      </c>
      <c r="Q322" s="136">
        <v>0</v>
      </c>
      <c r="R322" s="136">
        <f>Q322*H322</f>
        <v>0</v>
      </c>
      <c r="S322" s="136">
        <v>0</v>
      </c>
      <c r="T322" s="137">
        <f>S322*H322</f>
        <v>0</v>
      </c>
      <c r="AR322" s="138" t="s">
        <v>134</v>
      </c>
      <c r="AT322" s="138" t="s">
        <v>129</v>
      </c>
      <c r="AU322" s="138" t="s">
        <v>81</v>
      </c>
      <c r="AY322" s="17" t="s">
        <v>127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79</v>
      </c>
      <c r="BK322" s="139">
        <f>ROUND(I322*H322,2)</f>
        <v>0</v>
      </c>
      <c r="BL322" s="17" t="s">
        <v>134</v>
      </c>
      <c r="BM322" s="138" t="s">
        <v>554</v>
      </c>
    </row>
    <row r="323" spans="2:65" s="1" customFormat="1">
      <c r="B323" s="32"/>
      <c r="D323" s="140" t="s">
        <v>136</v>
      </c>
      <c r="F323" s="141" t="s">
        <v>555</v>
      </c>
      <c r="I323" s="142"/>
      <c r="L323" s="32"/>
      <c r="M323" s="143"/>
      <c r="T323" s="51"/>
      <c r="AT323" s="17" t="s">
        <v>136</v>
      </c>
      <c r="AU323" s="17" t="s">
        <v>81</v>
      </c>
    </row>
    <row r="324" spans="2:65" s="12" customFormat="1">
      <c r="B324" s="144"/>
      <c r="D324" s="145" t="s">
        <v>138</v>
      </c>
      <c r="E324" s="146" t="s">
        <v>19</v>
      </c>
      <c r="F324" s="147" t="s">
        <v>556</v>
      </c>
      <c r="H324" s="148">
        <v>120</v>
      </c>
      <c r="I324" s="149"/>
      <c r="L324" s="144"/>
      <c r="M324" s="150"/>
      <c r="T324" s="151"/>
      <c r="AT324" s="146" t="s">
        <v>138</v>
      </c>
      <c r="AU324" s="146" t="s">
        <v>81</v>
      </c>
      <c r="AV324" s="12" t="s">
        <v>81</v>
      </c>
      <c r="AW324" s="12" t="s">
        <v>33</v>
      </c>
      <c r="AX324" s="12" t="s">
        <v>79</v>
      </c>
      <c r="AY324" s="146" t="s">
        <v>127</v>
      </c>
    </row>
    <row r="325" spans="2:65" s="1" customFormat="1" ht="16.5" customHeight="1">
      <c r="B325" s="32"/>
      <c r="C325" s="159" t="s">
        <v>557</v>
      </c>
      <c r="D325" s="159" t="s">
        <v>413</v>
      </c>
      <c r="E325" s="160" t="s">
        <v>558</v>
      </c>
      <c r="F325" s="161" t="s">
        <v>559</v>
      </c>
      <c r="G325" s="162" t="s">
        <v>257</v>
      </c>
      <c r="H325" s="163">
        <v>132</v>
      </c>
      <c r="I325" s="164"/>
      <c r="J325" s="165">
        <f>ROUND(I325*H325,2)</f>
        <v>0</v>
      </c>
      <c r="K325" s="161" t="s">
        <v>133</v>
      </c>
      <c r="L325" s="166"/>
      <c r="M325" s="167" t="s">
        <v>19</v>
      </c>
      <c r="N325" s="168" t="s">
        <v>42</v>
      </c>
      <c r="P325" s="136">
        <f>O325*H325</f>
        <v>0</v>
      </c>
      <c r="Q325" s="136">
        <v>5.9000000000000003E-4</v>
      </c>
      <c r="R325" s="136">
        <f>Q325*H325</f>
        <v>7.7880000000000005E-2</v>
      </c>
      <c r="S325" s="136">
        <v>0</v>
      </c>
      <c r="T325" s="137">
        <f>S325*H325</f>
        <v>0</v>
      </c>
      <c r="AR325" s="138" t="s">
        <v>177</v>
      </c>
      <c r="AT325" s="138" t="s">
        <v>413</v>
      </c>
      <c r="AU325" s="138" t="s">
        <v>81</v>
      </c>
      <c r="AY325" s="17" t="s">
        <v>127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7" t="s">
        <v>79</v>
      </c>
      <c r="BK325" s="139">
        <f>ROUND(I325*H325,2)</f>
        <v>0</v>
      </c>
      <c r="BL325" s="17" t="s">
        <v>134</v>
      </c>
      <c r="BM325" s="138" t="s">
        <v>560</v>
      </c>
    </row>
    <row r="326" spans="2:65" s="12" customFormat="1">
      <c r="B326" s="144"/>
      <c r="D326" s="145" t="s">
        <v>138</v>
      </c>
      <c r="F326" s="147" t="s">
        <v>561</v>
      </c>
      <c r="H326" s="148">
        <v>132</v>
      </c>
      <c r="I326" s="149"/>
      <c r="L326" s="144"/>
      <c r="M326" s="150"/>
      <c r="T326" s="151"/>
      <c r="AT326" s="146" t="s">
        <v>138</v>
      </c>
      <c r="AU326" s="146" t="s">
        <v>81</v>
      </c>
      <c r="AV326" s="12" t="s">
        <v>81</v>
      </c>
      <c r="AW326" s="12" t="s">
        <v>4</v>
      </c>
      <c r="AX326" s="12" t="s">
        <v>79</v>
      </c>
      <c r="AY326" s="146" t="s">
        <v>127</v>
      </c>
    </row>
    <row r="327" spans="2:65" s="11" customFormat="1" ht="22.9" customHeight="1">
      <c r="B327" s="115"/>
      <c r="D327" s="116" t="s">
        <v>70</v>
      </c>
      <c r="E327" s="125" t="s">
        <v>562</v>
      </c>
      <c r="F327" s="125" t="s">
        <v>563</v>
      </c>
      <c r="I327" s="118"/>
      <c r="J327" s="126">
        <f>BK327</f>
        <v>0</v>
      </c>
      <c r="L327" s="115"/>
      <c r="M327" s="120"/>
      <c r="P327" s="121">
        <f>SUM(P328:P342)</f>
        <v>0</v>
      </c>
      <c r="R327" s="121">
        <f>SUM(R328:R342)</f>
        <v>0.11465999999999998</v>
      </c>
      <c r="T327" s="122">
        <f>SUM(T328:T342)</f>
        <v>36.642888400000004</v>
      </c>
      <c r="AR327" s="116" t="s">
        <v>81</v>
      </c>
      <c r="AT327" s="123" t="s">
        <v>70</v>
      </c>
      <c r="AU327" s="123" t="s">
        <v>79</v>
      </c>
      <c r="AY327" s="116" t="s">
        <v>127</v>
      </c>
      <c r="BK327" s="124">
        <f>SUM(BK328:BK342)</f>
        <v>0</v>
      </c>
    </row>
    <row r="328" spans="2:65" s="1" customFormat="1" ht="16.5" customHeight="1">
      <c r="B328" s="32"/>
      <c r="C328" s="127" t="s">
        <v>564</v>
      </c>
      <c r="D328" s="127" t="s">
        <v>129</v>
      </c>
      <c r="E328" s="128" t="s">
        <v>565</v>
      </c>
      <c r="F328" s="129" t="s">
        <v>566</v>
      </c>
      <c r="G328" s="130" t="s">
        <v>132</v>
      </c>
      <c r="H328" s="131">
        <v>790</v>
      </c>
      <c r="I328" s="132"/>
      <c r="J328" s="133">
        <f>ROUND(I328*H328,2)</f>
        <v>0</v>
      </c>
      <c r="K328" s="129" t="s">
        <v>133</v>
      </c>
      <c r="L328" s="32"/>
      <c r="M328" s="134" t="s">
        <v>19</v>
      </c>
      <c r="N328" s="135" t="s">
        <v>42</v>
      </c>
      <c r="P328" s="136">
        <f>O328*H328</f>
        <v>0</v>
      </c>
      <c r="Q328" s="136">
        <v>0</v>
      </c>
      <c r="R328" s="136">
        <f>Q328*H328</f>
        <v>0</v>
      </c>
      <c r="S328" s="136">
        <v>4.4499999999999998E-2</v>
      </c>
      <c r="T328" s="137">
        <f>S328*H328</f>
        <v>35.155000000000001</v>
      </c>
      <c r="AR328" s="138" t="s">
        <v>229</v>
      </c>
      <c r="AT328" s="138" t="s">
        <v>129</v>
      </c>
      <c r="AU328" s="138" t="s">
        <v>81</v>
      </c>
      <c r="AY328" s="17" t="s">
        <v>127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7" t="s">
        <v>79</v>
      </c>
      <c r="BK328" s="139">
        <f>ROUND(I328*H328,2)</f>
        <v>0</v>
      </c>
      <c r="BL328" s="17" t="s">
        <v>229</v>
      </c>
      <c r="BM328" s="138" t="s">
        <v>567</v>
      </c>
    </row>
    <row r="329" spans="2:65" s="1" customFormat="1">
      <c r="B329" s="32"/>
      <c r="D329" s="140" t="s">
        <v>136</v>
      </c>
      <c r="F329" s="141" t="s">
        <v>568</v>
      </c>
      <c r="I329" s="142"/>
      <c r="L329" s="32"/>
      <c r="M329" s="143"/>
      <c r="T329" s="51"/>
      <c r="AT329" s="17" t="s">
        <v>136</v>
      </c>
      <c r="AU329" s="17" t="s">
        <v>81</v>
      </c>
    </row>
    <row r="330" spans="2:65" s="12" customFormat="1">
      <c r="B330" s="144"/>
      <c r="D330" s="145" t="s">
        <v>138</v>
      </c>
      <c r="E330" s="146" t="s">
        <v>19</v>
      </c>
      <c r="F330" s="147" t="s">
        <v>481</v>
      </c>
      <c r="H330" s="148">
        <v>790</v>
      </c>
      <c r="I330" s="149"/>
      <c r="L330" s="144"/>
      <c r="M330" s="150"/>
      <c r="T330" s="151"/>
      <c r="AT330" s="146" t="s">
        <v>138</v>
      </c>
      <c r="AU330" s="146" t="s">
        <v>81</v>
      </c>
      <c r="AV330" s="12" t="s">
        <v>81</v>
      </c>
      <c r="AW330" s="12" t="s">
        <v>33</v>
      </c>
      <c r="AX330" s="12" t="s">
        <v>79</v>
      </c>
      <c r="AY330" s="146" t="s">
        <v>127</v>
      </c>
    </row>
    <row r="331" spans="2:65" s="1" customFormat="1" ht="16.5" customHeight="1">
      <c r="B331" s="32"/>
      <c r="C331" s="127" t="s">
        <v>569</v>
      </c>
      <c r="D331" s="127" t="s">
        <v>129</v>
      </c>
      <c r="E331" s="128" t="s">
        <v>570</v>
      </c>
      <c r="F331" s="129" t="s">
        <v>571</v>
      </c>
      <c r="G331" s="130" t="s">
        <v>132</v>
      </c>
      <c r="H331" s="131">
        <v>790</v>
      </c>
      <c r="I331" s="132"/>
      <c r="J331" s="133">
        <f>ROUND(I331*H331,2)</f>
        <v>0</v>
      </c>
      <c r="K331" s="129" t="s">
        <v>133</v>
      </c>
      <c r="L331" s="32"/>
      <c r="M331" s="134" t="s">
        <v>19</v>
      </c>
      <c r="N331" s="135" t="s">
        <v>42</v>
      </c>
      <c r="P331" s="136">
        <f>O331*H331</f>
        <v>0</v>
      </c>
      <c r="Q331" s="136">
        <v>0</v>
      </c>
      <c r="R331" s="136">
        <f>Q331*H331</f>
        <v>0</v>
      </c>
      <c r="S331" s="136">
        <v>0</v>
      </c>
      <c r="T331" s="137">
        <f>S331*H331</f>
        <v>0</v>
      </c>
      <c r="AR331" s="138" t="s">
        <v>229</v>
      </c>
      <c r="AT331" s="138" t="s">
        <v>129</v>
      </c>
      <c r="AU331" s="138" t="s">
        <v>81</v>
      </c>
      <c r="AY331" s="17" t="s">
        <v>127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79</v>
      </c>
      <c r="BK331" s="139">
        <f>ROUND(I331*H331,2)</f>
        <v>0</v>
      </c>
      <c r="BL331" s="17" t="s">
        <v>229</v>
      </c>
      <c r="BM331" s="138" t="s">
        <v>572</v>
      </c>
    </row>
    <row r="332" spans="2:65" s="1" customFormat="1">
      <c r="B332" s="32"/>
      <c r="D332" s="140" t="s">
        <v>136</v>
      </c>
      <c r="F332" s="141" t="s">
        <v>573</v>
      </c>
      <c r="I332" s="142"/>
      <c r="L332" s="32"/>
      <c r="M332" s="143"/>
      <c r="T332" s="51"/>
      <c r="AT332" s="17" t="s">
        <v>136</v>
      </c>
      <c r="AU332" s="17" t="s">
        <v>81</v>
      </c>
    </row>
    <row r="333" spans="2:65" s="1" customFormat="1" ht="16.5" customHeight="1">
      <c r="B333" s="32"/>
      <c r="C333" s="127" t="s">
        <v>574</v>
      </c>
      <c r="D333" s="127" t="s">
        <v>129</v>
      </c>
      <c r="E333" s="128" t="s">
        <v>575</v>
      </c>
      <c r="F333" s="129" t="s">
        <v>576</v>
      </c>
      <c r="G333" s="130" t="s">
        <v>257</v>
      </c>
      <c r="H333" s="131">
        <v>129.72</v>
      </c>
      <c r="I333" s="132"/>
      <c r="J333" s="133">
        <f>ROUND(I333*H333,2)</f>
        <v>0</v>
      </c>
      <c r="K333" s="129" t="s">
        <v>133</v>
      </c>
      <c r="L333" s="32"/>
      <c r="M333" s="134" t="s">
        <v>19</v>
      </c>
      <c r="N333" s="135" t="s">
        <v>42</v>
      </c>
      <c r="P333" s="136">
        <f>O333*H333</f>
        <v>0</v>
      </c>
      <c r="Q333" s="136">
        <v>0</v>
      </c>
      <c r="R333" s="136">
        <f>Q333*H333</f>
        <v>0</v>
      </c>
      <c r="S333" s="136">
        <v>1.1469999999999999E-2</v>
      </c>
      <c r="T333" s="137">
        <f>S333*H333</f>
        <v>1.4878883999999999</v>
      </c>
      <c r="AR333" s="138" t="s">
        <v>229</v>
      </c>
      <c r="AT333" s="138" t="s">
        <v>129</v>
      </c>
      <c r="AU333" s="138" t="s">
        <v>81</v>
      </c>
      <c r="AY333" s="17" t="s">
        <v>127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79</v>
      </c>
      <c r="BK333" s="139">
        <f>ROUND(I333*H333,2)</f>
        <v>0</v>
      </c>
      <c r="BL333" s="17" t="s">
        <v>229</v>
      </c>
      <c r="BM333" s="138" t="s">
        <v>577</v>
      </c>
    </row>
    <row r="334" spans="2:65" s="1" customFormat="1">
      <c r="B334" s="32"/>
      <c r="D334" s="140" t="s">
        <v>136</v>
      </c>
      <c r="F334" s="141" t="s">
        <v>578</v>
      </c>
      <c r="I334" s="142"/>
      <c r="L334" s="32"/>
      <c r="M334" s="143"/>
      <c r="T334" s="51"/>
      <c r="AT334" s="17" t="s">
        <v>136</v>
      </c>
      <c r="AU334" s="17" t="s">
        <v>81</v>
      </c>
    </row>
    <row r="335" spans="2:65" s="12" customFormat="1">
      <c r="B335" s="144"/>
      <c r="D335" s="145" t="s">
        <v>138</v>
      </c>
      <c r="E335" s="146" t="s">
        <v>19</v>
      </c>
      <c r="F335" s="147" t="s">
        <v>579</v>
      </c>
      <c r="H335" s="148">
        <v>129.72</v>
      </c>
      <c r="I335" s="149"/>
      <c r="L335" s="144"/>
      <c r="M335" s="150"/>
      <c r="T335" s="151"/>
      <c r="AT335" s="146" t="s">
        <v>138</v>
      </c>
      <c r="AU335" s="146" t="s">
        <v>81</v>
      </c>
      <c r="AV335" s="12" t="s">
        <v>81</v>
      </c>
      <c r="AW335" s="12" t="s">
        <v>33</v>
      </c>
      <c r="AX335" s="12" t="s">
        <v>79</v>
      </c>
      <c r="AY335" s="146" t="s">
        <v>127</v>
      </c>
    </row>
    <row r="336" spans="2:65" s="1" customFormat="1" ht="16.5" customHeight="1">
      <c r="B336" s="32"/>
      <c r="C336" s="127" t="s">
        <v>580</v>
      </c>
      <c r="D336" s="127" t="s">
        <v>129</v>
      </c>
      <c r="E336" s="128" t="s">
        <v>581</v>
      </c>
      <c r="F336" s="129" t="s">
        <v>571</v>
      </c>
      <c r="G336" s="130" t="s">
        <v>257</v>
      </c>
      <c r="H336" s="131">
        <v>129.72</v>
      </c>
      <c r="I336" s="132"/>
      <c r="J336" s="133">
        <f>ROUND(I336*H336,2)</f>
        <v>0</v>
      </c>
      <c r="K336" s="129" t="s">
        <v>133</v>
      </c>
      <c r="L336" s="32"/>
      <c r="M336" s="134" t="s">
        <v>19</v>
      </c>
      <c r="N336" s="135" t="s">
        <v>42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229</v>
      </c>
      <c r="AT336" s="138" t="s">
        <v>129</v>
      </c>
      <c r="AU336" s="138" t="s">
        <v>81</v>
      </c>
      <c r="AY336" s="17" t="s">
        <v>127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79</v>
      </c>
      <c r="BK336" s="139">
        <f>ROUND(I336*H336,2)</f>
        <v>0</v>
      </c>
      <c r="BL336" s="17" t="s">
        <v>229</v>
      </c>
      <c r="BM336" s="138" t="s">
        <v>582</v>
      </c>
    </row>
    <row r="337" spans="2:65" s="1" customFormat="1">
      <c r="B337" s="32"/>
      <c r="D337" s="140" t="s">
        <v>136</v>
      </c>
      <c r="F337" s="141" t="s">
        <v>583</v>
      </c>
      <c r="I337" s="142"/>
      <c r="L337" s="32"/>
      <c r="M337" s="143"/>
      <c r="T337" s="51"/>
      <c r="AT337" s="17" t="s">
        <v>136</v>
      </c>
      <c r="AU337" s="17" t="s">
        <v>81</v>
      </c>
    </row>
    <row r="338" spans="2:65" s="1" customFormat="1" ht="16.5" customHeight="1">
      <c r="B338" s="32"/>
      <c r="C338" s="127" t="s">
        <v>584</v>
      </c>
      <c r="D338" s="127" t="s">
        <v>129</v>
      </c>
      <c r="E338" s="128" t="s">
        <v>585</v>
      </c>
      <c r="F338" s="129" t="s">
        <v>586</v>
      </c>
      <c r="G338" s="130" t="s">
        <v>132</v>
      </c>
      <c r="H338" s="131">
        <v>819</v>
      </c>
      <c r="I338" s="132"/>
      <c r="J338" s="133">
        <f>ROUND(I338*H338,2)</f>
        <v>0</v>
      </c>
      <c r="K338" s="129" t="s">
        <v>133</v>
      </c>
      <c r="L338" s="32"/>
      <c r="M338" s="134" t="s">
        <v>19</v>
      </c>
      <c r="N338" s="135" t="s">
        <v>42</v>
      </c>
      <c r="P338" s="136">
        <f>O338*H338</f>
        <v>0</v>
      </c>
      <c r="Q338" s="136">
        <v>1.3999999999999999E-4</v>
      </c>
      <c r="R338" s="136">
        <f>Q338*H338</f>
        <v>0.11465999999999998</v>
      </c>
      <c r="S338" s="136">
        <v>0</v>
      </c>
      <c r="T338" s="137">
        <f>S338*H338</f>
        <v>0</v>
      </c>
      <c r="AR338" s="138" t="s">
        <v>229</v>
      </c>
      <c r="AT338" s="138" t="s">
        <v>129</v>
      </c>
      <c r="AU338" s="138" t="s">
        <v>81</v>
      </c>
      <c r="AY338" s="17" t="s">
        <v>127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7" t="s">
        <v>79</v>
      </c>
      <c r="BK338" s="139">
        <f>ROUND(I338*H338,2)</f>
        <v>0</v>
      </c>
      <c r="BL338" s="17" t="s">
        <v>229</v>
      </c>
      <c r="BM338" s="138" t="s">
        <v>587</v>
      </c>
    </row>
    <row r="339" spans="2:65" s="1" customFormat="1">
      <c r="B339" s="32"/>
      <c r="D339" s="140" t="s">
        <v>136</v>
      </c>
      <c r="F339" s="141" t="s">
        <v>588</v>
      </c>
      <c r="I339" s="142"/>
      <c r="L339" s="32"/>
      <c r="M339" s="143"/>
      <c r="T339" s="51"/>
      <c r="AT339" s="17" t="s">
        <v>136</v>
      </c>
      <c r="AU339" s="17" t="s">
        <v>81</v>
      </c>
    </row>
    <row r="340" spans="2:65" s="12" customFormat="1">
      <c r="B340" s="144"/>
      <c r="D340" s="145" t="s">
        <v>138</v>
      </c>
      <c r="E340" s="146" t="s">
        <v>19</v>
      </c>
      <c r="F340" s="147" t="s">
        <v>481</v>
      </c>
      <c r="H340" s="148">
        <v>790</v>
      </c>
      <c r="I340" s="149"/>
      <c r="L340" s="144"/>
      <c r="M340" s="150"/>
      <c r="T340" s="151"/>
      <c r="AT340" s="146" t="s">
        <v>138</v>
      </c>
      <c r="AU340" s="146" t="s">
        <v>81</v>
      </c>
      <c r="AV340" s="12" t="s">
        <v>81</v>
      </c>
      <c r="AW340" s="12" t="s">
        <v>33</v>
      </c>
      <c r="AX340" s="12" t="s">
        <v>71</v>
      </c>
      <c r="AY340" s="146" t="s">
        <v>127</v>
      </c>
    </row>
    <row r="341" spans="2:65" s="12" customFormat="1">
      <c r="B341" s="144"/>
      <c r="D341" s="145" t="s">
        <v>138</v>
      </c>
      <c r="E341" s="146" t="s">
        <v>19</v>
      </c>
      <c r="F341" s="147" t="s">
        <v>405</v>
      </c>
      <c r="H341" s="148">
        <v>29</v>
      </c>
      <c r="I341" s="149"/>
      <c r="L341" s="144"/>
      <c r="M341" s="150"/>
      <c r="T341" s="151"/>
      <c r="AT341" s="146" t="s">
        <v>138</v>
      </c>
      <c r="AU341" s="146" t="s">
        <v>81</v>
      </c>
      <c r="AV341" s="12" t="s">
        <v>81</v>
      </c>
      <c r="AW341" s="12" t="s">
        <v>33</v>
      </c>
      <c r="AX341" s="12" t="s">
        <v>71</v>
      </c>
      <c r="AY341" s="146" t="s">
        <v>127</v>
      </c>
    </row>
    <row r="342" spans="2:65" s="13" customFormat="1">
      <c r="B342" s="152"/>
      <c r="D342" s="145" t="s">
        <v>138</v>
      </c>
      <c r="E342" s="153" t="s">
        <v>19</v>
      </c>
      <c r="F342" s="154" t="s">
        <v>152</v>
      </c>
      <c r="H342" s="155">
        <v>819</v>
      </c>
      <c r="I342" s="156"/>
      <c r="L342" s="152"/>
      <c r="M342" s="157"/>
      <c r="T342" s="158"/>
      <c r="AT342" s="153" t="s">
        <v>138</v>
      </c>
      <c r="AU342" s="153" t="s">
        <v>81</v>
      </c>
      <c r="AV342" s="13" t="s">
        <v>134</v>
      </c>
      <c r="AW342" s="13" t="s">
        <v>33</v>
      </c>
      <c r="AX342" s="13" t="s">
        <v>79</v>
      </c>
      <c r="AY342" s="153" t="s">
        <v>127</v>
      </c>
    </row>
    <row r="343" spans="2:65" s="11" customFormat="1" ht="22.9" customHeight="1">
      <c r="B343" s="115"/>
      <c r="D343" s="116" t="s">
        <v>70</v>
      </c>
      <c r="E343" s="125" t="s">
        <v>589</v>
      </c>
      <c r="F343" s="125" t="s">
        <v>590</v>
      </c>
      <c r="I343" s="118"/>
      <c r="J343" s="126">
        <f>BK343</f>
        <v>0</v>
      </c>
      <c r="L343" s="115"/>
      <c r="M343" s="120"/>
      <c r="P343" s="121">
        <f>SUM(P344:P354)</f>
        <v>0</v>
      </c>
      <c r="R343" s="121">
        <f>SUM(R344:R354)</f>
        <v>0</v>
      </c>
      <c r="T343" s="122">
        <f>SUM(T344:T354)</f>
        <v>0.68120000000000003</v>
      </c>
      <c r="AR343" s="116" t="s">
        <v>81</v>
      </c>
      <c r="AT343" s="123" t="s">
        <v>70</v>
      </c>
      <c r="AU343" s="123" t="s">
        <v>79</v>
      </c>
      <c r="AY343" s="116" t="s">
        <v>127</v>
      </c>
      <c r="BK343" s="124">
        <f>SUM(BK344:BK354)</f>
        <v>0</v>
      </c>
    </row>
    <row r="344" spans="2:65" s="1" customFormat="1" ht="16.5" customHeight="1">
      <c r="B344" s="32"/>
      <c r="C344" s="127" t="s">
        <v>591</v>
      </c>
      <c r="D344" s="127" t="s">
        <v>129</v>
      </c>
      <c r="E344" s="128" t="s">
        <v>592</v>
      </c>
      <c r="F344" s="129" t="s">
        <v>593</v>
      </c>
      <c r="G344" s="130" t="s">
        <v>304</v>
      </c>
      <c r="H344" s="131">
        <v>2</v>
      </c>
      <c r="I344" s="132"/>
      <c r="J344" s="133">
        <f>ROUND(I344*H344,2)</f>
        <v>0</v>
      </c>
      <c r="K344" s="129" t="s">
        <v>133</v>
      </c>
      <c r="L344" s="32"/>
      <c r="M344" s="134" t="s">
        <v>19</v>
      </c>
      <c r="N344" s="135" t="s">
        <v>42</v>
      </c>
      <c r="P344" s="136">
        <f>O344*H344</f>
        <v>0</v>
      </c>
      <c r="Q344" s="136">
        <v>0</v>
      </c>
      <c r="R344" s="136">
        <f>Q344*H344</f>
        <v>0</v>
      </c>
      <c r="S344" s="136">
        <v>4.0000000000000001E-3</v>
      </c>
      <c r="T344" s="137">
        <f>S344*H344</f>
        <v>8.0000000000000002E-3</v>
      </c>
      <c r="AR344" s="138" t="s">
        <v>229</v>
      </c>
      <c r="AT344" s="138" t="s">
        <v>129</v>
      </c>
      <c r="AU344" s="138" t="s">
        <v>81</v>
      </c>
      <c r="AY344" s="17" t="s">
        <v>127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7" t="s">
        <v>79</v>
      </c>
      <c r="BK344" s="139">
        <f>ROUND(I344*H344,2)</f>
        <v>0</v>
      </c>
      <c r="BL344" s="17" t="s">
        <v>229</v>
      </c>
      <c r="BM344" s="138" t="s">
        <v>594</v>
      </c>
    </row>
    <row r="345" spans="2:65" s="1" customFormat="1">
      <c r="B345" s="32"/>
      <c r="D345" s="140" t="s">
        <v>136</v>
      </c>
      <c r="F345" s="141" t="s">
        <v>595</v>
      </c>
      <c r="I345" s="142"/>
      <c r="L345" s="32"/>
      <c r="M345" s="143"/>
      <c r="T345" s="51"/>
      <c r="AT345" s="17" t="s">
        <v>136</v>
      </c>
      <c r="AU345" s="17" t="s">
        <v>81</v>
      </c>
    </row>
    <row r="346" spans="2:65" s="12" customFormat="1">
      <c r="B346" s="144"/>
      <c r="D346" s="145" t="s">
        <v>138</v>
      </c>
      <c r="E346" s="146" t="s">
        <v>19</v>
      </c>
      <c r="F346" s="147" t="s">
        <v>596</v>
      </c>
      <c r="H346" s="148">
        <v>1</v>
      </c>
      <c r="I346" s="149"/>
      <c r="L346" s="144"/>
      <c r="M346" s="150"/>
      <c r="T346" s="151"/>
      <c r="AT346" s="146" t="s">
        <v>138</v>
      </c>
      <c r="AU346" s="146" t="s">
        <v>81</v>
      </c>
      <c r="AV346" s="12" t="s">
        <v>81</v>
      </c>
      <c r="AW346" s="12" t="s">
        <v>33</v>
      </c>
      <c r="AX346" s="12" t="s">
        <v>71</v>
      </c>
      <c r="AY346" s="146" t="s">
        <v>127</v>
      </c>
    </row>
    <row r="347" spans="2:65" s="12" customFormat="1">
      <c r="B347" s="144"/>
      <c r="D347" s="145" t="s">
        <v>138</v>
      </c>
      <c r="E347" s="146" t="s">
        <v>19</v>
      </c>
      <c r="F347" s="147" t="s">
        <v>597</v>
      </c>
      <c r="H347" s="148">
        <v>1</v>
      </c>
      <c r="I347" s="149"/>
      <c r="L347" s="144"/>
      <c r="M347" s="150"/>
      <c r="T347" s="151"/>
      <c r="AT347" s="146" t="s">
        <v>138</v>
      </c>
      <c r="AU347" s="146" t="s">
        <v>81</v>
      </c>
      <c r="AV347" s="12" t="s">
        <v>81</v>
      </c>
      <c r="AW347" s="12" t="s">
        <v>33</v>
      </c>
      <c r="AX347" s="12" t="s">
        <v>71</v>
      </c>
      <c r="AY347" s="146" t="s">
        <v>127</v>
      </c>
    </row>
    <row r="348" spans="2:65" s="13" customFormat="1">
      <c r="B348" s="152"/>
      <c r="D348" s="145" t="s">
        <v>138</v>
      </c>
      <c r="E348" s="153" t="s">
        <v>19</v>
      </c>
      <c r="F348" s="154" t="s">
        <v>152</v>
      </c>
      <c r="H348" s="155">
        <v>2</v>
      </c>
      <c r="I348" s="156"/>
      <c r="L348" s="152"/>
      <c r="M348" s="157"/>
      <c r="T348" s="158"/>
      <c r="AT348" s="153" t="s">
        <v>138</v>
      </c>
      <c r="AU348" s="153" t="s">
        <v>81</v>
      </c>
      <c r="AV348" s="13" t="s">
        <v>134</v>
      </c>
      <c r="AW348" s="13" t="s">
        <v>33</v>
      </c>
      <c r="AX348" s="13" t="s">
        <v>79</v>
      </c>
      <c r="AY348" s="153" t="s">
        <v>127</v>
      </c>
    </row>
    <row r="349" spans="2:65" s="1" customFormat="1" ht="21.75" customHeight="1">
      <c r="B349" s="32"/>
      <c r="C349" s="127" t="s">
        <v>598</v>
      </c>
      <c r="D349" s="127" t="s">
        <v>129</v>
      </c>
      <c r="E349" s="128" t="s">
        <v>599</v>
      </c>
      <c r="F349" s="129" t="s">
        <v>600</v>
      </c>
      <c r="G349" s="130" t="s">
        <v>304</v>
      </c>
      <c r="H349" s="131">
        <v>1</v>
      </c>
      <c r="I349" s="132"/>
      <c r="J349" s="133">
        <f>ROUND(I349*H349,2)</f>
        <v>0</v>
      </c>
      <c r="K349" s="129" t="s">
        <v>133</v>
      </c>
      <c r="L349" s="32"/>
      <c r="M349" s="134" t="s">
        <v>19</v>
      </c>
      <c r="N349" s="135" t="s">
        <v>42</v>
      </c>
      <c r="P349" s="136">
        <f>O349*H349</f>
        <v>0</v>
      </c>
      <c r="Q349" s="136">
        <v>0</v>
      </c>
      <c r="R349" s="136">
        <f>Q349*H349</f>
        <v>0</v>
      </c>
      <c r="S349" s="136">
        <v>6.0000000000000001E-3</v>
      </c>
      <c r="T349" s="137">
        <f>S349*H349</f>
        <v>6.0000000000000001E-3</v>
      </c>
      <c r="AR349" s="138" t="s">
        <v>229</v>
      </c>
      <c r="AT349" s="138" t="s">
        <v>129</v>
      </c>
      <c r="AU349" s="138" t="s">
        <v>81</v>
      </c>
      <c r="AY349" s="17" t="s">
        <v>127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7" t="s">
        <v>79</v>
      </c>
      <c r="BK349" s="139">
        <f>ROUND(I349*H349,2)</f>
        <v>0</v>
      </c>
      <c r="BL349" s="17" t="s">
        <v>229</v>
      </c>
      <c r="BM349" s="138" t="s">
        <v>601</v>
      </c>
    </row>
    <row r="350" spans="2:65" s="1" customFormat="1">
      <c r="B350" s="32"/>
      <c r="D350" s="140" t="s">
        <v>136</v>
      </c>
      <c r="F350" s="141" t="s">
        <v>602</v>
      </c>
      <c r="I350" s="142"/>
      <c r="L350" s="32"/>
      <c r="M350" s="143"/>
      <c r="T350" s="51"/>
      <c r="AT350" s="17" t="s">
        <v>136</v>
      </c>
      <c r="AU350" s="17" t="s">
        <v>81</v>
      </c>
    </row>
    <row r="351" spans="2:65" s="12" customFormat="1">
      <c r="B351" s="144"/>
      <c r="D351" s="145" t="s">
        <v>138</v>
      </c>
      <c r="E351" s="146" t="s">
        <v>19</v>
      </c>
      <c r="F351" s="147" t="s">
        <v>603</v>
      </c>
      <c r="H351" s="148">
        <v>1</v>
      </c>
      <c r="I351" s="149"/>
      <c r="L351" s="144"/>
      <c r="M351" s="150"/>
      <c r="T351" s="151"/>
      <c r="AT351" s="146" t="s">
        <v>138</v>
      </c>
      <c r="AU351" s="146" t="s">
        <v>81</v>
      </c>
      <c r="AV351" s="12" t="s">
        <v>81</v>
      </c>
      <c r="AW351" s="12" t="s">
        <v>33</v>
      </c>
      <c r="AX351" s="12" t="s">
        <v>79</v>
      </c>
      <c r="AY351" s="146" t="s">
        <v>127</v>
      </c>
    </row>
    <row r="352" spans="2:65" s="1" customFormat="1" ht="16.5" customHeight="1">
      <c r="B352" s="32"/>
      <c r="C352" s="127" t="s">
        <v>604</v>
      </c>
      <c r="D352" s="127" t="s">
        <v>129</v>
      </c>
      <c r="E352" s="128" t="s">
        <v>605</v>
      </c>
      <c r="F352" s="129" t="s">
        <v>606</v>
      </c>
      <c r="G352" s="130" t="s">
        <v>304</v>
      </c>
      <c r="H352" s="131">
        <v>16</v>
      </c>
      <c r="I352" s="132"/>
      <c r="J352" s="133">
        <f>ROUND(I352*H352,2)</f>
        <v>0</v>
      </c>
      <c r="K352" s="129" t="s">
        <v>133</v>
      </c>
      <c r="L352" s="32"/>
      <c r="M352" s="134" t="s">
        <v>19</v>
      </c>
      <c r="N352" s="135" t="s">
        <v>42</v>
      </c>
      <c r="P352" s="136">
        <f>O352*H352</f>
        <v>0</v>
      </c>
      <c r="Q352" s="136">
        <v>0</v>
      </c>
      <c r="R352" s="136">
        <f>Q352*H352</f>
        <v>0</v>
      </c>
      <c r="S352" s="136">
        <v>4.1700000000000001E-2</v>
      </c>
      <c r="T352" s="137">
        <f>S352*H352</f>
        <v>0.66720000000000002</v>
      </c>
      <c r="AR352" s="138" t="s">
        <v>229</v>
      </c>
      <c r="AT352" s="138" t="s">
        <v>129</v>
      </c>
      <c r="AU352" s="138" t="s">
        <v>81</v>
      </c>
      <c r="AY352" s="17" t="s">
        <v>127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79</v>
      </c>
      <c r="BK352" s="139">
        <f>ROUND(I352*H352,2)</f>
        <v>0</v>
      </c>
      <c r="BL352" s="17" t="s">
        <v>229</v>
      </c>
      <c r="BM352" s="138" t="s">
        <v>607</v>
      </c>
    </row>
    <row r="353" spans="2:65" s="1" customFormat="1">
      <c r="B353" s="32"/>
      <c r="D353" s="140" t="s">
        <v>136</v>
      </c>
      <c r="F353" s="141" t="s">
        <v>608</v>
      </c>
      <c r="I353" s="142"/>
      <c r="L353" s="32"/>
      <c r="M353" s="143"/>
      <c r="T353" s="51"/>
      <c r="AT353" s="17" t="s">
        <v>136</v>
      </c>
      <c r="AU353" s="17" t="s">
        <v>81</v>
      </c>
    </row>
    <row r="354" spans="2:65" s="12" customFormat="1">
      <c r="B354" s="144"/>
      <c r="D354" s="145" t="s">
        <v>138</v>
      </c>
      <c r="E354" s="146" t="s">
        <v>19</v>
      </c>
      <c r="F354" s="147" t="s">
        <v>609</v>
      </c>
      <c r="H354" s="148">
        <v>16</v>
      </c>
      <c r="I354" s="149"/>
      <c r="L354" s="144"/>
      <c r="M354" s="150"/>
      <c r="T354" s="151"/>
      <c r="AT354" s="146" t="s">
        <v>138</v>
      </c>
      <c r="AU354" s="146" t="s">
        <v>81</v>
      </c>
      <c r="AV354" s="12" t="s">
        <v>81</v>
      </c>
      <c r="AW354" s="12" t="s">
        <v>33</v>
      </c>
      <c r="AX354" s="12" t="s">
        <v>79</v>
      </c>
      <c r="AY354" s="146" t="s">
        <v>127</v>
      </c>
    </row>
    <row r="355" spans="2:65" s="11" customFormat="1" ht="22.9" customHeight="1">
      <c r="B355" s="115"/>
      <c r="D355" s="116" t="s">
        <v>70</v>
      </c>
      <c r="E355" s="125" t="s">
        <v>610</v>
      </c>
      <c r="F355" s="125" t="s">
        <v>611</v>
      </c>
      <c r="I355" s="118"/>
      <c r="J355" s="126">
        <f>BK355</f>
        <v>0</v>
      </c>
      <c r="L355" s="115"/>
      <c r="M355" s="120"/>
      <c r="P355" s="121">
        <f>SUM(P356:P358)</f>
        <v>0</v>
      </c>
      <c r="R355" s="121">
        <f>SUM(R356:R358)</f>
        <v>0</v>
      </c>
      <c r="T355" s="122">
        <f>SUM(T356:T358)</f>
        <v>0.97075</v>
      </c>
      <c r="AR355" s="116" t="s">
        <v>81</v>
      </c>
      <c r="AT355" s="123" t="s">
        <v>70</v>
      </c>
      <c r="AU355" s="123" t="s">
        <v>79</v>
      </c>
      <c r="AY355" s="116" t="s">
        <v>127</v>
      </c>
      <c r="BK355" s="124">
        <f>SUM(BK356:BK358)</f>
        <v>0</v>
      </c>
    </row>
    <row r="356" spans="2:65" s="1" customFormat="1" ht="16.5" customHeight="1">
      <c r="B356" s="32"/>
      <c r="C356" s="127" t="s">
        <v>612</v>
      </c>
      <c r="D356" s="127" t="s">
        <v>129</v>
      </c>
      <c r="E356" s="128" t="s">
        <v>613</v>
      </c>
      <c r="F356" s="129" t="s">
        <v>614</v>
      </c>
      <c r="G356" s="130" t="s">
        <v>132</v>
      </c>
      <c r="H356" s="131">
        <v>27.5</v>
      </c>
      <c r="I356" s="132"/>
      <c r="J356" s="133">
        <f>ROUND(I356*H356,2)</f>
        <v>0</v>
      </c>
      <c r="K356" s="129" t="s">
        <v>133</v>
      </c>
      <c r="L356" s="32"/>
      <c r="M356" s="134" t="s">
        <v>19</v>
      </c>
      <c r="N356" s="135" t="s">
        <v>42</v>
      </c>
      <c r="P356" s="136">
        <f>O356*H356</f>
        <v>0</v>
      </c>
      <c r="Q356" s="136">
        <v>0</v>
      </c>
      <c r="R356" s="136">
        <f>Q356*H356</f>
        <v>0</v>
      </c>
      <c r="S356" s="136">
        <v>3.5299999999999998E-2</v>
      </c>
      <c r="T356" s="137">
        <f>S356*H356</f>
        <v>0.97075</v>
      </c>
      <c r="AR356" s="138" t="s">
        <v>229</v>
      </c>
      <c r="AT356" s="138" t="s">
        <v>129</v>
      </c>
      <c r="AU356" s="138" t="s">
        <v>81</v>
      </c>
      <c r="AY356" s="17" t="s">
        <v>127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79</v>
      </c>
      <c r="BK356" s="139">
        <f>ROUND(I356*H356,2)</f>
        <v>0</v>
      </c>
      <c r="BL356" s="17" t="s">
        <v>229</v>
      </c>
      <c r="BM356" s="138" t="s">
        <v>615</v>
      </c>
    </row>
    <row r="357" spans="2:65" s="1" customFormat="1">
      <c r="B357" s="32"/>
      <c r="D357" s="140" t="s">
        <v>136</v>
      </c>
      <c r="F357" s="141" t="s">
        <v>616</v>
      </c>
      <c r="I357" s="142"/>
      <c r="L357" s="32"/>
      <c r="M357" s="143"/>
      <c r="T357" s="51"/>
      <c r="AT357" s="17" t="s">
        <v>136</v>
      </c>
      <c r="AU357" s="17" t="s">
        <v>81</v>
      </c>
    </row>
    <row r="358" spans="2:65" s="12" customFormat="1">
      <c r="B358" s="144"/>
      <c r="D358" s="145" t="s">
        <v>138</v>
      </c>
      <c r="E358" s="146" t="s">
        <v>19</v>
      </c>
      <c r="F358" s="147" t="s">
        <v>617</v>
      </c>
      <c r="H358" s="148">
        <v>27.5</v>
      </c>
      <c r="I358" s="149"/>
      <c r="L358" s="144"/>
      <c r="M358" s="150"/>
      <c r="T358" s="151"/>
      <c r="AT358" s="146" t="s">
        <v>138</v>
      </c>
      <c r="AU358" s="146" t="s">
        <v>81</v>
      </c>
      <c r="AV358" s="12" t="s">
        <v>81</v>
      </c>
      <c r="AW358" s="12" t="s">
        <v>33</v>
      </c>
      <c r="AX358" s="12" t="s">
        <v>79</v>
      </c>
      <c r="AY358" s="146" t="s">
        <v>127</v>
      </c>
    </row>
    <row r="359" spans="2:65" s="11" customFormat="1" ht="25.9" customHeight="1">
      <c r="B359" s="115"/>
      <c r="D359" s="116" t="s">
        <v>70</v>
      </c>
      <c r="E359" s="117" t="s">
        <v>618</v>
      </c>
      <c r="F359" s="117" t="s">
        <v>86</v>
      </c>
      <c r="I359" s="118"/>
      <c r="J359" s="119">
        <f>BK359</f>
        <v>0</v>
      </c>
      <c r="L359" s="115"/>
      <c r="M359" s="120"/>
      <c r="P359" s="121">
        <f>P360</f>
        <v>0</v>
      </c>
      <c r="R359" s="121">
        <f>R360</f>
        <v>0</v>
      </c>
      <c r="T359" s="122">
        <f>T360</f>
        <v>0</v>
      </c>
      <c r="AR359" s="116" t="s">
        <v>159</v>
      </c>
      <c r="AT359" s="123" t="s">
        <v>70</v>
      </c>
      <c r="AU359" s="123" t="s">
        <v>71</v>
      </c>
      <c r="AY359" s="116" t="s">
        <v>127</v>
      </c>
      <c r="BK359" s="124">
        <f>BK360</f>
        <v>0</v>
      </c>
    </row>
    <row r="360" spans="2:65" s="11" customFormat="1" ht="22.9" customHeight="1">
      <c r="B360" s="115"/>
      <c r="D360" s="116" t="s">
        <v>70</v>
      </c>
      <c r="E360" s="125" t="s">
        <v>619</v>
      </c>
      <c r="F360" s="125" t="s">
        <v>620</v>
      </c>
      <c r="I360" s="118"/>
      <c r="J360" s="126">
        <f>BK360</f>
        <v>0</v>
      </c>
      <c r="L360" s="115"/>
      <c r="M360" s="120"/>
      <c r="P360" s="121">
        <f>SUM(P361:P362)</f>
        <v>0</v>
      </c>
      <c r="R360" s="121">
        <f>SUM(R361:R362)</f>
        <v>0</v>
      </c>
      <c r="T360" s="122">
        <f>SUM(T361:T362)</f>
        <v>0</v>
      </c>
      <c r="AR360" s="116" t="s">
        <v>159</v>
      </c>
      <c r="AT360" s="123" t="s">
        <v>70</v>
      </c>
      <c r="AU360" s="123" t="s">
        <v>79</v>
      </c>
      <c r="AY360" s="116" t="s">
        <v>127</v>
      </c>
      <c r="BK360" s="124">
        <f>SUM(BK361:BK362)</f>
        <v>0</v>
      </c>
    </row>
    <row r="361" spans="2:65" s="1" customFormat="1" ht="16.5" customHeight="1">
      <c r="B361" s="32"/>
      <c r="C361" s="127" t="s">
        <v>621</v>
      </c>
      <c r="D361" s="127" t="s">
        <v>129</v>
      </c>
      <c r="E361" s="128" t="s">
        <v>622</v>
      </c>
      <c r="F361" s="129" t="s">
        <v>623</v>
      </c>
      <c r="G361" s="130" t="s">
        <v>191</v>
      </c>
      <c r="H361" s="131">
        <v>1</v>
      </c>
      <c r="I361" s="132"/>
      <c r="J361" s="133">
        <f>ROUND(I361*H361,2)</f>
        <v>0</v>
      </c>
      <c r="K361" s="129" t="s">
        <v>133</v>
      </c>
      <c r="L361" s="32"/>
      <c r="M361" s="134" t="s">
        <v>19</v>
      </c>
      <c r="N361" s="135" t="s">
        <v>42</v>
      </c>
      <c r="P361" s="136">
        <f>O361*H361</f>
        <v>0</v>
      </c>
      <c r="Q361" s="136">
        <v>0</v>
      </c>
      <c r="R361" s="136">
        <f>Q361*H361</f>
        <v>0</v>
      </c>
      <c r="S361" s="136">
        <v>0</v>
      </c>
      <c r="T361" s="137">
        <f>S361*H361</f>
        <v>0</v>
      </c>
      <c r="AR361" s="138" t="s">
        <v>624</v>
      </c>
      <c r="AT361" s="138" t="s">
        <v>129</v>
      </c>
      <c r="AU361" s="138" t="s">
        <v>81</v>
      </c>
      <c r="AY361" s="17" t="s">
        <v>127</v>
      </c>
      <c r="BE361" s="139">
        <f>IF(N361="základní",J361,0)</f>
        <v>0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7" t="s">
        <v>79</v>
      </c>
      <c r="BK361" s="139">
        <f>ROUND(I361*H361,2)</f>
        <v>0</v>
      </c>
      <c r="BL361" s="17" t="s">
        <v>624</v>
      </c>
      <c r="BM361" s="138" t="s">
        <v>625</v>
      </c>
    </row>
    <row r="362" spans="2:65" s="1" customFormat="1">
      <c r="B362" s="32"/>
      <c r="D362" s="140" t="s">
        <v>136</v>
      </c>
      <c r="F362" s="141" t="s">
        <v>626</v>
      </c>
      <c r="I362" s="142"/>
      <c r="L362" s="32"/>
      <c r="M362" s="170"/>
      <c r="N362" s="171"/>
      <c r="O362" s="171"/>
      <c r="P362" s="171"/>
      <c r="Q362" s="171"/>
      <c r="R362" s="171"/>
      <c r="S362" s="171"/>
      <c r="T362" s="172"/>
      <c r="AT362" s="17" t="s">
        <v>136</v>
      </c>
      <c r="AU362" s="17" t="s">
        <v>81</v>
      </c>
    </row>
    <row r="363" spans="2:65" s="1" customFormat="1" ht="6.95" customHeight="1">
      <c r="B363" s="40"/>
      <c r="C363" s="41"/>
      <c r="D363" s="41"/>
      <c r="E363" s="41"/>
      <c r="F363" s="41"/>
      <c r="G363" s="41"/>
      <c r="H363" s="41"/>
      <c r="I363" s="41"/>
      <c r="J363" s="41"/>
      <c r="K363" s="41"/>
      <c r="L363" s="32"/>
    </row>
  </sheetData>
  <sheetProtection algorithmName="SHA-512" hashValue="l45QhZWnmeRroLyAp1W7jI6rKEXmjaY+BUVTpQBiCMrxj1m4nSRQ2ORz0Xptk7pm1XD6tLBpTwIjg/+87tacGg==" saltValue="w/0Uh7B9cTKAV014e9c7zPWUlUhOK1rlIWxL8oIntU87NAXJenU/mi8IyJC8D7u9m+mqp2OtHuyeBygwLddVmA==" spinCount="100000" sheet="1" objects="1" scenarios="1" formatColumns="0" formatRows="0" autoFilter="0"/>
  <autoFilter ref="C95:K362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3" r:id="rId2" xr:uid="{00000000-0004-0000-0100-000001000000}"/>
    <hyperlink ref="F106" r:id="rId3" xr:uid="{00000000-0004-0000-0100-000002000000}"/>
    <hyperlink ref="F111" r:id="rId4" xr:uid="{00000000-0004-0000-0100-000003000000}"/>
    <hyperlink ref="F117" r:id="rId5" xr:uid="{00000000-0004-0000-0100-000004000000}"/>
    <hyperlink ref="F120" r:id="rId6" xr:uid="{00000000-0004-0000-0100-000005000000}"/>
    <hyperlink ref="F126" r:id="rId7" xr:uid="{00000000-0004-0000-0100-000006000000}"/>
    <hyperlink ref="F129" r:id="rId8" xr:uid="{00000000-0004-0000-0100-000007000000}"/>
    <hyperlink ref="F131" r:id="rId9" xr:uid="{00000000-0004-0000-0100-000008000000}"/>
    <hyperlink ref="F136" r:id="rId10" xr:uid="{00000000-0004-0000-0100-000009000000}"/>
    <hyperlink ref="F139" r:id="rId11" xr:uid="{00000000-0004-0000-0100-00000A000000}"/>
    <hyperlink ref="F142" r:id="rId12" xr:uid="{00000000-0004-0000-0100-00000B000000}"/>
    <hyperlink ref="F144" r:id="rId13" xr:uid="{00000000-0004-0000-0100-00000C000000}"/>
    <hyperlink ref="F147" r:id="rId14" xr:uid="{00000000-0004-0000-0100-00000D000000}"/>
    <hyperlink ref="F152" r:id="rId15" xr:uid="{00000000-0004-0000-0100-00000E000000}"/>
    <hyperlink ref="F155" r:id="rId16" xr:uid="{00000000-0004-0000-0100-00000F000000}"/>
    <hyperlink ref="F158" r:id="rId17" xr:uid="{00000000-0004-0000-0100-000010000000}"/>
    <hyperlink ref="F161" r:id="rId18" xr:uid="{00000000-0004-0000-0100-000011000000}"/>
    <hyperlink ref="F166" r:id="rId19" xr:uid="{00000000-0004-0000-0100-000012000000}"/>
    <hyperlink ref="F169" r:id="rId20" xr:uid="{00000000-0004-0000-0100-000013000000}"/>
    <hyperlink ref="F172" r:id="rId21" xr:uid="{00000000-0004-0000-0100-000014000000}"/>
    <hyperlink ref="F177" r:id="rId22" xr:uid="{00000000-0004-0000-0100-000015000000}"/>
    <hyperlink ref="F180" r:id="rId23" xr:uid="{00000000-0004-0000-0100-000016000000}"/>
    <hyperlink ref="F186" r:id="rId24" xr:uid="{00000000-0004-0000-0100-000017000000}"/>
    <hyperlink ref="F189" r:id="rId25" xr:uid="{00000000-0004-0000-0100-000018000000}"/>
    <hyperlink ref="F192" r:id="rId26" xr:uid="{00000000-0004-0000-0100-000019000000}"/>
    <hyperlink ref="F198" r:id="rId27" xr:uid="{00000000-0004-0000-0100-00001A000000}"/>
    <hyperlink ref="F204" r:id="rId28" xr:uid="{00000000-0004-0000-0100-00001B000000}"/>
    <hyperlink ref="F207" r:id="rId29" xr:uid="{00000000-0004-0000-0100-00001C000000}"/>
    <hyperlink ref="F210" r:id="rId30" xr:uid="{00000000-0004-0000-0100-00001D000000}"/>
    <hyperlink ref="F212" r:id="rId31" xr:uid="{00000000-0004-0000-0100-00001E000000}"/>
    <hyperlink ref="F215" r:id="rId32" xr:uid="{00000000-0004-0000-0100-00001F000000}"/>
    <hyperlink ref="F218" r:id="rId33" xr:uid="{00000000-0004-0000-0100-000020000000}"/>
    <hyperlink ref="F220" r:id="rId34" xr:uid="{00000000-0004-0000-0100-000021000000}"/>
    <hyperlink ref="F223" r:id="rId35" xr:uid="{00000000-0004-0000-0100-000022000000}"/>
    <hyperlink ref="F226" r:id="rId36" xr:uid="{00000000-0004-0000-0100-000023000000}"/>
    <hyperlink ref="F230" r:id="rId37" xr:uid="{00000000-0004-0000-0100-000024000000}"/>
    <hyperlink ref="F232" r:id="rId38" xr:uid="{00000000-0004-0000-0100-000025000000}"/>
    <hyperlink ref="F234" r:id="rId39" xr:uid="{00000000-0004-0000-0100-000026000000}"/>
    <hyperlink ref="F237" r:id="rId40" xr:uid="{00000000-0004-0000-0100-000027000000}"/>
    <hyperlink ref="F239" r:id="rId41" xr:uid="{00000000-0004-0000-0100-000028000000}"/>
    <hyperlink ref="F242" r:id="rId42" xr:uid="{00000000-0004-0000-0100-000029000000}"/>
    <hyperlink ref="F246" r:id="rId43" xr:uid="{00000000-0004-0000-0100-00002A000000}"/>
    <hyperlink ref="F249" r:id="rId44" xr:uid="{00000000-0004-0000-0100-00002B000000}"/>
    <hyperlink ref="F255" r:id="rId45" xr:uid="{00000000-0004-0000-0100-00002C000000}"/>
    <hyperlink ref="F267" r:id="rId46" xr:uid="{00000000-0004-0000-0100-00002D000000}"/>
    <hyperlink ref="F272" r:id="rId47" xr:uid="{00000000-0004-0000-0100-00002E000000}"/>
    <hyperlink ref="F275" r:id="rId48" xr:uid="{00000000-0004-0000-0100-00002F000000}"/>
    <hyperlink ref="F278" r:id="rId49" xr:uid="{00000000-0004-0000-0100-000030000000}"/>
    <hyperlink ref="F283" r:id="rId50" xr:uid="{00000000-0004-0000-0100-000031000000}"/>
    <hyperlink ref="F286" r:id="rId51" xr:uid="{00000000-0004-0000-0100-000032000000}"/>
    <hyperlink ref="F289" r:id="rId52" xr:uid="{00000000-0004-0000-0100-000033000000}"/>
    <hyperlink ref="F293" r:id="rId53" xr:uid="{00000000-0004-0000-0100-000034000000}"/>
    <hyperlink ref="F296" r:id="rId54" xr:uid="{00000000-0004-0000-0100-000035000000}"/>
    <hyperlink ref="F299" r:id="rId55" xr:uid="{00000000-0004-0000-0100-000036000000}"/>
    <hyperlink ref="F305" r:id="rId56" xr:uid="{00000000-0004-0000-0100-000037000000}"/>
    <hyperlink ref="F311" r:id="rId57" xr:uid="{00000000-0004-0000-0100-000038000000}"/>
    <hyperlink ref="F314" r:id="rId58" xr:uid="{00000000-0004-0000-0100-000039000000}"/>
    <hyperlink ref="F317" r:id="rId59" xr:uid="{00000000-0004-0000-0100-00003A000000}"/>
    <hyperlink ref="F320" r:id="rId60" xr:uid="{00000000-0004-0000-0100-00003B000000}"/>
    <hyperlink ref="F323" r:id="rId61" xr:uid="{00000000-0004-0000-0100-00003C000000}"/>
    <hyperlink ref="F329" r:id="rId62" xr:uid="{00000000-0004-0000-0100-00003D000000}"/>
    <hyperlink ref="F332" r:id="rId63" xr:uid="{00000000-0004-0000-0100-00003E000000}"/>
    <hyperlink ref="F334" r:id="rId64" xr:uid="{00000000-0004-0000-0100-00003F000000}"/>
    <hyperlink ref="F337" r:id="rId65" xr:uid="{00000000-0004-0000-0100-000040000000}"/>
    <hyperlink ref="F339" r:id="rId66" xr:uid="{00000000-0004-0000-0100-000041000000}"/>
    <hyperlink ref="F345" r:id="rId67" xr:uid="{00000000-0004-0000-0100-000042000000}"/>
    <hyperlink ref="F350" r:id="rId68" xr:uid="{00000000-0004-0000-0100-000043000000}"/>
    <hyperlink ref="F353" r:id="rId69" xr:uid="{00000000-0004-0000-0100-000044000000}"/>
    <hyperlink ref="F357" r:id="rId70" xr:uid="{00000000-0004-0000-0100-000045000000}"/>
    <hyperlink ref="F362" r:id="rId71" xr:uid="{00000000-0004-0000-0100-00004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05"/>
  <sheetViews>
    <sheetView showGridLines="0" topLeftCell="A872" workbookViewId="0">
      <selection activeCell="I877" sqref="I87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88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584" t="str">
        <f>'Rekapitulace stavby'!K6</f>
        <v>gymnáziu Hostivice - rekonstrukce gymnázia II.etapa</v>
      </c>
      <c r="F7" s="585"/>
      <c r="G7" s="585"/>
      <c r="H7" s="585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556" t="s">
        <v>627</v>
      </c>
      <c r="F9" s="583"/>
      <c r="G9" s="583"/>
      <c r="H9" s="58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>
        <f>'Rekapitulace stavby'!AN8</f>
        <v>45139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586" t="str">
        <f>'Rekapitulace stavby'!E14</f>
        <v>Vyplň údaj</v>
      </c>
      <c r="F18" s="575"/>
      <c r="G18" s="575"/>
      <c r="H18" s="57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32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4"/>
      <c r="E27" s="579" t="s">
        <v>19</v>
      </c>
      <c r="F27" s="579"/>
      <c r="G27" s="579"/>
      <c r="H27" s="579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37</v>
      </c>
      <c r="J30" s="61">
        <f>ROUND(J111,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39</v>
      </c>
      <c r="I32" s="86" t="s">
        <v>38</v>
      </c>
      <c r="J32" s="86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ROUND((SUM(BE111:BE1304)),  2)</f>
        <v>0</v>
      </c>
      <c r="I33" s="89">
        <v>0.21</v>
      </c>
      <c r="J33" s="88">
        <f>ROUND(((SUM(BE111:BE1304))*I33),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ROUND((SUM(BF111:BF1304)),  2)</f>
        <v>0</v>
      </c>
      <c r="I34" s="89">
        <v>0.15</v>
      </c>
      <c r="J34" s="88">
        <f>ROUND(((SUM(BF111:BF1304))*I34),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ROUND((SUM(BG111:BG1304)),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ROUND((SUM(BH111:BH1304)),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ROUND((SUM(BI111:BI1304)),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2"/>
      <c r="F39" s="52"/>
      <c r="G39" s="92" t="s">
        <v>48</v>
      </c>
      <c r="H39" s="93" t="s">
        <v>49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584" t="str">
        <f>E7</f>
        <v>gymnáziu Hostivice - rekonstrukce gymnázia II.etapa</v>
      </c>
      <c r="F48" s="585"/>
      <c r="G48" s="585"/>
      <c r="H48" s="585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556" t="str">
        <f>E9</f>
        <v>02 - Nové konstrukce</v>
      </c>
      <c r="F50" s="583"/>
      <c r="G50" s="583"/>
      <c r="H50" s="58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Gymnázium Hostivice, Komenského 141</v>
      </c>
      <c r="I52" s="27" t="s">
        <v>23</v>
      </c>
      <c r="J52" s="48">
        <f>IF(J12="","",J12)</f>
        <v>45139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 Zborovská 81/11, Praha 5</v>
      </c>
      <c r="I54" s="27" t="s">
        <v>30</v>
      </c>
      <c r="J54" s="30" t="str">
        <f>E21</f>
        <v>Ing. Petr Petele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34</v>
      </c>
      <c r="J55" s="30" t="str">
        <f>E24</f>
        <v>Ing. Petr Petele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1">
        <f>J111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95</v>
      </c>
      <c r="E60" s="101"/>
      <c r="F60" s="101"/>
      <c r="G60" s="101"/>
      <c r="H60" s="101"/>
      <c r="I60" s="101"/>
      <c r="J60" s="102">
        <f>J112</f>
        <v>0</v>
      </c>
      <c r="L60" s="99"/>
    </row>
    <row r="61" spans="2:47" s="9" customFormat="1" ht="19.899999999999999" customHeight="1">
      <c r="B61" s="103"/>
      <c r="D61" s="104" t="s">
        <v>628</v>
      </c>
      <c r="E61" s="105"/>
      <c r="F61" s="105"/>
      <c r="G61" s="105"/>
      <c r="H61" s="105"/>
      <c r="I61" s="105"/>
      <c r="J61" s="106">
        <f>J113</f>
        <v>0</v>
      </c>
      <c r="L61" s="103"/>
    </row>
    <row r="62" spans="2:47" s="9" customFormat="1" ht="19.899999999999999" customHeight="1">
      <c r="B62" s="103"/>
      <c r="D62" s="104" t="s">
        <v>629</v>
      </c>
      <c r="E62" s="105"/>
      <c r="F62" s="105"/>
      <c r="G62" s="105"/>
      <c r="H62" s="105"/>
      <c r="I62" s="105"/>
      <c r="J62" s="106">
        <f>J145</f>
        <v>0</v>
      </c>
      <c r="L62" s="103"/>
    </row>
    <row r="63" spans="2:47" s="9" customFormat="1" ht="19.899999999999999" customHeight="1">
      <c r="B63" s="103"/>
      <c r="D63" s="104" t="s">
        <v>630</v>
      </c>
      <c r="E63" s="105"/>
      <c r="F63" s="105"/>
      <c r="G63" s="105"/>
      <c r="H63" s="105"/>
      <c r="I63" s="105"/>
      <c r="J63" s="106">
        <f>J183</f>
        <v>0</v>
      </c>
      <c r="L63" s="103"/>
    </row>
    <row r="64" spans="2:47" s="9" customFormat="1" ht="19.899999999999999" customHeight="1">
      <c r="B64" s="103"/>
      <c r="D64" s="104" t="s">
        <v>631</v>
      </c>
      <c r="E64" s="105"/>
      <c r="F64" s="105"/>
      <c r="G64" s="105"/>
      <c r="H64" s="105"/>
      <c r="I64" s="105"/>
      <c r="J64" s="106">
        <f>J232</f>
        <v>0</v>
      </c>
      <c r="L64" s="103"/>
    </row>
    <row r="65" spans="2:12" s="9" customFormat="1" ht="19.899999999999999" customHeight="1">
      <c r="B65" s="103"/>
      <c r="D65" s="104" t="s">
        <v>632</v>
      </c>
      <c r="E65" s="105"/>
      <c r="F65" s="105"/>
      <c r="G65" s="105"/>
      <c r="H65" s="105"/>
      <c r="I65" s="105"/>
      <c r="J65" s="106">
        <f>J241</f>
        <v>0</v>
      </c>
      <c r="L65" s="103"/>
    </row>
    <row r="66" spans="2:12" s="9" customFormat="1" ht="19.899999999999999" customHeight="1">
      <c r="B66" s="103"/>
      <c r="D66" s="104" t="s">
        <v>97</v>
      </c>
      <c r="E66" s="105"/>
      <c r="F66" s="105"/>
      <c r="G66" s="105"/>
      <c r="H66" s="105"/>
      <c r="I66" s="105"/>
      <c r="J66" s="106">
        <f>J359</f>
        <v>0</v>
      </c>
      <c r="L66" s="103"/>
    </row>
    <row r="67" spans="2:12" s="9" customFormat="1" ht="19.899999999999999" customHeight="1">
      <c r="B67" s="103"/>
      <c r="D67" s="104" t="s">
        <v>98</v>
      </c>
      <c r="E67" s="105"/>
      <c r="F67" s="105"/>
      <c r="G67" s="105"/>
      <c r="H67" s="105"/>
      <c r="I67" s="105"/>
      <c r="J67" s="106">
        <f>J405</f>
        <v>0</v>
      </c>
      <c r="L67" s="103"/>
    </row>
    <row r="68" spans="2:12" s="9" customFormat="1" ht="19.899999999999999" customHeight="1">
      <c r="B68" s="103"/>
      <c r="D68" s="104" t="s">
        <v>633</v>
      </c>
      <c r="E68" s="105"/>
      <c r="F68" s="105"/>
      <c r="G68" s="105"/>
      <c r="H68" s="105"/>
      <c r="I68" s="105"/>
      <c r="J68" s="106">
        <f>J415</f>
        <v>0</v>
      </c>
      <c r="L68" s="103"/>
    </row>
    <row r="69" spans="2:12" s="8" customFormat="1" ht="24.95" customHeight="1">
      <c r="B69" s="99"/>
      <c r="D69" s="100" t="s">
        <v>99</v>
      </c>
      <c r="E69" s="101"/>
      <c r="F69" s="101"/>
      <c r="G69" s="101"/>
      <c r="H69" s="101"/>
      <c r="I69" s="101"/>
      <c r="J69" s="102">
        <f>J418</f>
        <v>0</v>
      </c>
      <c r="L69" s="99"/>
    </row>
    <row r="70" spans="2:12" s="9" customFormat="1" ht="19.899999999999999" customHeight="1">
      <c r="B70" s="103"/>
      <c r="D70" s="104" t="s">
        <v>634</v>
      </c>
      <c r="E70" s="105"/>
      <c r="F70" s="105"/>
      <c r="G70" s="105"/>
      <c r="H70" s="105"/>
      <c r="I70" s="105"/>
      <c r="J70" s="106">
        <f>J419</f>
        <v>0</v>
      </c>
      <c r="L70" s="103"/>
    </row>
    <row r="71" spans="2:12" s="9" customFormat="1" ht="19.899999999999999" customHeight="1">
      <c r="B71" s="103"/>
      <c r="D71" s="104" t="s">
        <v>635</v>
      </c>
      <c r="E71" s="105"/>
      <c r="F71" s="105"/>
      <c r="G71" s="105"/>
      <c r="H71" s="105"/>
      <c r="I71" s="105"/>
      <c r="J71" s="106">
        <f>J432</f>
        <v>0</v>
      </c>
      <c r="L71" s="103"/>
    </row>
    <row r="72" spans="2:12" s="9" customFormat="1" ht="19.899999999999999" customHeight="1">
      <c r="B72" s="103"/>
      <c r="D72" s="104" t="s">
        <v>101</v>
      </c>
      <c r="E72" s="105"/>
      <c r="F72" s="105"/>
      <c r="G72" s="105"/>
      <c r="H72" s="105"/>
      <c r="I72" s="105"/>
      <c r="J72" s="106">
        <f>J487</f>
        <v>0</v>
      </c>
      <c r="L72" s="103"/>
    </row>
    <row r="73" spans="2:12" s="9" customFormat="1" ht="19.899999999999999" customHeight="1">
      <c r="B73" s="103"/>
      <c r="D73" s="104" t="s">
        <v>102</v>
      </c>
      <c r="E73" s="105"/>
      <c r="F73" s="105"/>
      <c r="G73" s="105"/>
      <c r="H73" s="105"/>
      <c r="I73" s="105"/>
      <c r="J73" s="106">
        <f>J491</f>
        <v>0</v>
      </c>
      <c r="L73" s="103"/>
    </row>
    <row r="74" spans="2:12" s="9" customFormat="1" ht="19.899999999999999" customHeight="1">
      <c r="B74" s="103"/>
      <c r="D74" s="104" t="s">
        <v>636</v>
      </c>
      <c r="E74" s="105"/>
      <c r="F74" s="105"/>
      <c r="G74" s="105"/>
      <c r="H74" s="105"/>
      <c r="I74" s="105"/>
      <c r="J74" s="106">
        <f>J494</f>
        <v>0</v>
      </c>
      <c r="L74" s="103"/>
    </row>
    <row r="75" spans="2:12" s="9" customFormat="1" ht="19.899999999999999" customHeight="1">
      <c r="B75" s="103"/>
      <c r="D75" s="104" t="s">
        <v>104</v>
      </c>
      <c r="E75" s="105"/>
      <c r="F75" s="105"/>
      <c r="G75" s="105"/>
      <c r="H75" s="105"/>
      <c r="I75" s="105"/>
      <c r="J75" s="106">
        <f>J499</f>
        <v>0</v>
      </c>
      <c r="L75" s="103"/>
    </row>
    <row r="76" spans="2:12" s="9" customFormat="1" ht="19.899999999999999" customHeight="1">
      <c r="B76" s="103"/>
      <c r="D76" s="104" t="s">
        <v>105</v>
      </c>
      <c r="E76" s="105"/>
      <c r="F76" s="105"/>
      <c r="G76" s="105"/>
      <c r="H76" s="105"/>
      <c r="I76" s="105"/>
      <c r="J76" s="106">
        <f>J503</f>
        <v>0</v>
      </c>
      <c r="L76" s="103"/>
    </row>
    <row r="77" spans="2:12" s="9" customFormat="1" ht="19.899999999999999" customHeight="1">
      <c r="B77" s="103"/>
      <c r="D77" s="104" t="s">
        <v>637</v>
      </c>
      <c r="E77" s="105"/>
      <c r="F77" s="105"/>
      <c r="G77" s="105"/>
      <c r="H77" s="105"/>
      <c r="I77" s="105"/>
      <c r="J77" s="106">
        <f>J615</f>
        <v>0</v>
      </c>
      <c r="L77" s="103"/>
    </row>
    <row r="78" spans="2:12" s="9" customFormat="1" ht="19.899999999999999" customHeight="1">
      <c r="B78" s="103"/>
      <c r="D78" s="104" t="s">
        <v>106</v>
      </c>
      <c r="E78" s="105"/>
      <c r="F78" s="105"/>
      <c r="G78" s="105"/>
      <c r="H78" s="105"/>
      <c r="I78" s="105"/>
      <c r="J78" s="106">
        <f>J687</f>
        <v>0</v>
      </c>
      <c r="L78" s="103"/>
    </row>
    <row r="79" spans="2:12" s="9" customFormat="1" ht="19.899999999999999" customHeight="1">
      <c r="B79" s="103"/>
      <c r="D79" s="104" t="s">
        <v>107</v>
      </c>
      <c r="E79" s="105"/>
      <c r="F79" s="105"/>
      <c r="G79" s="105"/>
      <c r="H79" s="105"/>
      <c r="I79" s="105"/>
      <c r="J79" s="106">
        <f>J750</f>
        <v>0</v>
      </c>
      <c r="L79" s="103"/>
    </row>
    <row r="80" spans="2:12" s="9" customFormat="1" ht="19.899999999999999" customHeight="1">
      <c r="B80" s="103"/>
      <c r="D80" s="104" t="s">
        <v>108</v>
      </c>
      <c r="E80" s="105"/>
      <c r="F80" s="105"/>
      <c r="G80" s="105"/>
      <c r="H80" s="105"/>
      <c r="I80" s="105"/>
      <c r="J80" s="106">
        <f>J833</f>
        <v>0</v>
      </c>
      <c r="L80" s="103"/>
    </row>
    <row r="81" spans="2:12" s="9" customFormat="1" ht="19.899999999999999" customHeight="1">
      <c r="B81" s="103"/>
      <c r="D81" s="104" t="s">
        <v>638</v>
      </c>
      <c r="E81" s="105"/>
      <c r="F81" s="105"/>
      <c r="G81" s="105"/>
      <c r="H81" s="105"/>
      <c r="I81" s="105"/>
      <c r="J81" s="106">
        <f>J897</f>
        <v>0</v>
      </c>
      <c r="L81" s="103"/>
    </row>
    <row r="82" spans="2:12" s="9" customFormat="1" ht="19.899999999999999" customHeight="1">
      <c r="B82" s="103"/>
      <c r="D82" s="104" t="s">
        <v>109</v>
      </c>
      <c r="E82" s="105"/>
      <c r="F82" s="105"/>
      <c r="G82" s="105"/>
      <c r="H82" s="105"/>
      <c r="I82" s="105"/>
      <c r="J82" s="106">
        <f>J1007</f>
        <v>0</v>
      </c>
      <c r="L82" s="103"/>
    </row>
    <row r="83" spans="2:12" s="9" customFormat="1" ht="19.899999999999999" customHeight="1">
      <c r="B83" s="103"/>
      <c r="D83" s="104" t="s">
        <v>639</v>
      </c>
      <c r="E83" s="105"/>
      <c r="F83" s="105"/>
      <c r="G83" s="105"/>
      <c r="H83" s="105"/>
      <c r="I83" s="105"/>
      <c r="J83" s="106">
        <f>J1104</f>
        <v>0</v>
      </c>
      <c r="L83" s="103"/>
    </row>
    <row r="84" spans="2:12" s="9" customFormat="1" ht="19.899999999999999" customHeight="1">
      <c r="B84" s="103"/>
      <c r="D84" s="104" t="s">
        <v>640</v>
      </c>
      <c r="E84" s="105"/>
      <c r="F84" s="105"/>
      <c r="G84" s="105"/>
      <c r="H84" s="105"/>
      <c r="I84" s="105"/>
      <c r="J84" s="106">
        <f>J1129</f>
        <v>0</v>
      </c>
      <c r="L84" s="103"/>
    </row>
    <row r="85" spans="2:12" s="9" customFormat="1" ht="19.899999999999999" customHeight="1">
      <c r="B85" s="103"/>
      <c r="D85" s="104" t="s">
        <v>641</v>
      </c>
      <c r="E85" s="105"/>
      <c r="F85" s="105"/>
      <c r="G85" s="105"/>
      <c r="H85" s="105"/>
      <c r="I85" s="105"/>
      <c r="J85" s="106">
        <f>J1147</f>
        <v>0</v>
      </c>
      <c r="L85" s="103"/>
    </row>
    <row r="86" spans="2:12" s="9" customFormat="1" ht="19.899999999999999" customHeight="1">
      <c r="B86" s="103"/>
      <c r="D86" s="104" t="s">
        <v>642</v>
      </c>
      <c r="E86" s="105"/>
      <c r="F86" s="105"/>
      <c r="G86" s="105"/>
      <c r="H86" s="105"/>
      <c r="I86" s="105"/>
      <c r="J86" s="106">
        <f>J1185</f>
        <v>0</v>
      </c>
      <c r="L86" s="103"/>
    </row>
    <row r="87" spans="2:12" s="9" customFormat="1" ht="19.899999999999999" customHeight="1">
      <c r="B87" s="103"/>
      <c r="D87" s="104" t="s">
        <v>643</v>
      </c>
      <c r="E87" s="105"/>
      <c r="F87" s="105"/>
      <c r="G87" s="105"/>
      <c r="H87" s="105"/>
      <c r="I87" s="105"/>
      <c r="J87" s="106">
        <f>J1193</f>
        <v>0</v>
      </c>
      <c r="L87" s="103"/>
    </row>
    <row r="88" spans="2:12" s="9" customFormat="1" ht="19.899999999999999" customHeight="1">
      <c r="B88" s="103"/>
      <c r="D88" s="104" t="s">
        <v>644</v>
      </c>
      <c r="E88" s="105"/>
      <c r="F88" s="105"/>
      <c r="G88" s="105"/>
      <c r="H88" s="105"/>
      <c r="I88" s="105"/>
      <c r="J88" s="106">
        <f>J1233</f>
        <v>0</v>
      </c>
      <c r="L88" s="103"/>
    </row>
    <row r="89" spans="2:12" s="9" customFormat="1" ht="19.899999999999999" customHeight="1">
      <c r="B89" s="103"/>
      <c r="D89" s="104" t="s">
        <v>645</v>
      </c>
      <c r="E89" s="105"/>
      <c r="F89" s="105"/>
      <c r="G89" s="105"/>
      <c r="H89" s="105"/>
      <c r="I89" s="105"/>
      <c r="J89" s="106">
        <f>J1285</f>
        <v>0</v>
      </c>
      <c r="L89" s="103"/>
    </row>
    <row r="90" spans="2:12" s="8" customFormat="1" ht="24.95" customHeight="1">
      <c r="B90" s="99"/>
      <c r="D90" s="100" t="s">
        <v>646</v>
      </c>
      <c r="E90" s="101"/>
      <c r="F90" s="101"/>
      <c r="G90" s="101"/>
      <c r="H90" s="101"/>
      <c r="I90" s="101"/>
      <c r="J90" s="102">
        <f>J1296</f>
        <v>0</v>
      </c>
      <c r="L90" s="99"/>
    </row>
    <row r="91" spans="2:12" s="8" customFormat="1" ht="24.95" customHeight="1">
      <c r="B91" s="99"/>
      <c r="D91" s="100" t="s">
        <v>647</v>
      </c>
      <c r="E91" s="101"/>
      <c r="F91" s="101"/>
      <c r="G91" s="101"/>
      <c r="H91" s="101"/>
      <c r="I91" s="101"/>
      <c r="J91" s="102">
        <f>J1300</f>
        <v>0</v>
      </c>
      <c r="L91" s="99"/>
    </row>
    <row r="92" spans="2:12" s="1" customFormat="1" ht="21.75" customHeight="1">
      <c r="B92" s="32"/>
      <c r="L92" s="32"/>
    </row>
    <row r="93" spans="2:12" s="1" customFormat="1" ht="6.95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32"/>
    </row>
    <row r="97" spans="2:63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32"/>
    </row>
    <row r="98" spans="2:63" s="1" customFormat="1" ht="24.95" customHeight="1">
      <c r="B98" s="32"/>
      <c r="C98" s="21" t="s">
        <v>112</v>
      </c>
      <c r="L98" s="32"/>
    </row>
    <row r="99" spans="2:63" s="1" customFormat="1" ht="6.95" customHeight="1">
      <c r="B99" s="32"/>
      <c r="L99" s="32"/>
    </row>
    <row r="100" spans="2:63" s="1" customFormat="1" ht="12" customHeight="1">
      <c r="B100" s="32"/>
      <c r="C100" s="27" t="s">
        <v>16</v>
      </c>
      <c r="L100" s="32"/>
    </row>
    <row r="101" spans="2:63" s="1" customFormat="1" ht="16.5" customHeight="1">
      <c r="B101" s="32"/>
      <c r="E101" s="584" t="str">
        <f>E7</f>
        <v>gymnáziu Hostivice - rekonstrukce gymnázia II.etapa</v>
      </c>
      <c r="F101" s="585"/>
      <c r="G101" s="585"/>
      <c r="H101" s="585"/>
      <c r="L101" s="32"/>
    </row>
    <row r="102" spans="2:63" s="1" customFormat="1" ht="12" customHeight="1">
      <c r="B102" s="32"/>
      <c r="C102" s="27" t="s">
        <v>89</v>
      </c>
      <c r="L102" s="32"/>
    </row>
    <row r="103" spans="2:63" s="1" customFormat="1" ht="16.5" customHeight="1">
      <c r="B103" s="32"/>
      <c r="E103" s="556" t="str">
        <f>E9</f>
        <v>02 - Nové konstrukce</v>
      </c>
      <c r="F103" s="583"/>
      <c r="G103" s="583"/>
      <c r="H103" s="583"/>
      <c r="L103" s="32"/>
    </row>
    <row r="104" spans="2:63" s="1" customFormat="1" ht="6.95" customHeight="1">
      <c r="B104" s="32"/>
      <c r="L104" s="32"/>
    </row>
    <row r="105" spans="2:63" s="1" customFormat="1" ht="12" customHeight="1">
      <c r="B105" s="32"/>
      <c r="C105" s="27" t="s">
        <v>21</v>
      </c>
      <c r="F105" s="25" t="str">
        <f>F12</f>
        <v>Gymnázium Hostivice, Komenského 141</v>
      </c>
      <c r="I105" s="27" t="s">
        <v>23</v>
      </c>
      <c r="J105" s="48">
        <f>IF(J12="","",J12)</f>
        <v>45139</v>
      </c>
      <c r="L105" s="32"/>
    </row>
    <row r="106" spans="2:63" s="1" customFormat="1" ht="6.95" customHeight="1">
      <c r="B106" s="32"/>
      <c r="L106" s="32"/>
    </row>
    <row r="107" spans="2:63" s="1" customFormat="1" ht="15.2" customHeight="1">
      <c r="B107" s="32"/>
      <c r="C107" s="27" t="s">
        <v>24</v>
      </c>
      <c r="F107" s="25" t="str">
        <f>E15</f>
        <v>Středočeský kraj, Zborovská 81/11, Praha 5</v>
      </c>
      <c r="I107" s="27" t="s">
        <v>30</v>
      </c>
      <c r="J107" s="30" t="str">
        <f>E21</f>
        <v>Ing. Petr Petele</v>
      </c>
      <c r="L107" s="32"/>
    </row>
    <row r="108" spans="2:63" s="1" customFormat="1" ht="15.2" customHeight="1">
      <c r="B108" s="32"/>
      <c r="C108" s="27" t="s">
        <v>28</v>
      </c>
      <c r="F108" s="25" t="str">
        <f>IF(E18="","",E18)</f>
        <v>Vyplň údaj</v>
      </c>
      <c r="I108" s="27" t="s">
        <v>34</v>
      </c>
      <c r="J108" s="30" t="str">
        <f>E24</f>
        <v>Ing. Petr Petele</v>
      </c>
      <c r="L108" s="32"/>
    </row>
    <row r="109" spans="2:63" s="1" customFormat="1" ht="10.35" customHeight="1">
      <c r="B109" s="32"/>
      <c r="L109" s="32"/>
    </row>
    <row r="110" spans="2:63" s="10" customFormat="1" ht="29.25" customHeight="1">
      <c r="B110" s="107"/>
      <c r="C110" s="108" t="s">
        <v>113</v>
      </c>
      <c r="D110" s="109" t="s">
        <v>56</v>
      </c>
      <c r="E110" s="109" t="s">
        <v>52</v>
      </c>
      <c r="F110" s="109" t="s">
        <v>53</v>
      </c>
      <c r="G110" s="109" t="s">
        <v>114</v>
      </c>
      <c r="H110" s="109" t="s">
        <v>115</v>
      </c>
      <c r="I110" s="109" t="s">
        <v>116</v>
      </c>
      <c r="J110" s="109" t="s">
        <v>93</v>
      </c>
      <c r="K110" s="110" t="s">
        <v>117</v>
      </c>
      <c r="L110" s="107"/>
      <c r="M110" s="54" t="s">
        <v>19</v>
      </c>
      <c r="N110" s="55" t="s">
        <v>41</v>
      </c>
      <c r="O110" s="55" t="s">
        <v>118</v>
      </c>
      <c r="P110" s="55" t="s">
        <v>119</v>
      </c>
      <c r="Q110" s="55" t="s">
        <v>120</v>
      </c>
      <c r="R110" s="55" t="s">
        <v>121</v>
      </c>
      <c r="S110" s="55" t="s">
        <v>122</v>
      </c>
      <c r="T110" s="56" t="s">
        <v>123</v>
      </c>
    </row>
    <row r="111" spans="2:63" s="1" customFormat="1" ht="22.9" customHeight="1">
      <c r="B111" s="32"/>
      <c r="C111" s="59" t="s">
        <v>124</v>
      </c>
      <c r="J111" s="111">
        <f>BK111</f>
        <v>0</v>
      </c>
      <c r="L111" s="32"/>
      <c r="M111" s="57"/>
      <c r="N111" s="49"/>
      <c r="O111" s="49"/>
      <c r="P111" s="112">
        <f>P112+P418+P1296+P1300</f>
        <v>0</v>
      </c>
      <c r="Q111" s="49"/>
      <c r="R111" s="112">
        <f>R112+R418+R1296+R1300</f>
        <v>443.73217185999999</v>
      </c>
      <c r="S111" s="49"/>
      <c r="T111" s="113">
        <f>T112+T418+T1296+T1300</f>
        <v>24.698</v>
      </c>
      <c r="AT111" s="17" t="s">
        <v>70</v>
      </c>
      <c r="AU111" s="17" t="s">
        <v>94</v>
      </c>
      <c r="BK111" s="114">
        <f>BK112+BK418+BK1296+BK1300</f>
        <v>0</v>
      </c>
    </row>
    <row r="112" spans="2:63" s="11" customFormat="1" ht="25.9" customHeight="1">
      <c r="B112" s="115"/>
      <c r="D112" s="116" t="s">
        <v>70</v>
      </c>
      <c r="E112" s="117" t="s">
        <v>125</v>
      </c>
      <c r="F112" s="117" t="s">
        <v>126</v>
      </c>
      <c r="I112" s="118"/>
      <c r="J112" s="119">
        <f>BK112</f>
        <v>0</v>
      </c>
      <c r="L112" s="115"/>
      <c r="M112" s="120"/>
      <c r="P112" s="121">
        <f>P113+P145+P183+P232+P241+P359+P405+P415</f>
        <v>0</v>
      </c>
      <c r="R112" s="121">
        <f>R113+R145+R183+R232+R241+R359+R405+R415</f>
        <v>179.60506105000002</v>
      </c>
      <c r="T112" s="122">
        <f>T113+T145+T183+T232+T241+T359+T405+T415</f>
        <v>24.698</v>
      </c>
      <c r="AR112" s="116" t="s">
        <v>79</v>
      </c>
      <c r="AT112" s="123" t="s">
        <v>70</v>
      </c>
      <c r="AU112" s="123" t="s">
        <v>71</v>
      </c>
      <c r="AY112" s="116" t="s">
        <v>127</v>
      </c>
      <c r="BK112" s="124">
        <f>BK113+BK145+BK183+BK232+BK241+BK359+BK405+BK415</f>
        <v>0</v>
      </c>
    </row>
    <row r="113" spans="2:65" s="11" customFormat="1" ht="22.9" customHeight="1">
      <c r="B113" s="115"/>
      <c r="D113" s="116" t="s">
        <v>70</v>
      </c>
      <c r="E113" s="125" t="s">
        <v>81</v>
      </c>
      <c r="F113" s="125" t="s">
        <v>648</v>
      </c>
      <c r="I113" s="118"/>
      <c r="J113" s="126">
        <f>BK113</f>
        <v>0</v>
      </c>
      <c r="L113" s="115"/>
      <c r="M113" s="120"/>
      <c r="P113" s="121">
        <f>SUM(P114:P144)</f>
        <v>0</v>
      </c>
      <c r="R113" s="121">
        <f>SUM(R114:R144)</f>
        <v>12.930091559999999</v>
      </c>
      <c r="T113" s="122">
        <f>SUM(T114:T144)</f>
        <v>0</v>
      </c>
      <c r="AR113" s="116" t="s">
        <v>79</v>
      </c>
      <c r="AT113" s="123" t="s">
        <v>70</v>
      </c>
      <c r="AU113" s="123" t="s">
        <v>79</v>
      </c>
      <c r="AY113" s="116" t="s">
        <v>127</v>
      </c>
      <c r="BK113" s="124">
        <f>SUM(BK114:BK144)</f>
        <v>0</v>
      </c>
    </row>
    <row r="114" spans="2:65" s="1" customFormat="1" ht="21.75" customHeight="1">
      <c r="B114" s="32"/>
      <c r="C114" s="127" t="s">
        <v>79</v>
      </c>
      <c r="D114" s="127" t="s">
        <v>129</v>
      </c>
      <c r="E114" s="128" t="s">
        <v>649</v>
      </c>
      <c r="F114" s="129" t="s">
        <v>650</v>
      </c>
      <c r="G114" s="130" t="s">
        <v>132</v>
      </c>
      <c r="H114" s="131">
        <v>15.648</v>
      </c>
      <c r="I114" s="132"/>
      <c r="J114" s="133">
        <f>ROUND(I114*H114,2)</f>
        <v>0</v>
      </c>
      <c r="K114" s="129" t="s">
        <v>133</v>
      </c>
      <c r="L114" s="32"/>
      <c r="M114" s="134" t="s">
        <v>19</v>
      </c>
      <c r="N114" s="135" t="s">
        <v>42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134</v>
      </c>
      <c r="AT114" s="138" t="s">
        <v>129</v>
      </c>
      <c r="AU114" s="138" t="s">
        <v>81</v>
      </c>
      <c r="AY114" s="17" t="s">
        <v>127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79</v>
      </c>
      <c r="BK114" s="139">
        <f>ROUND(I114*H114,2)</f>
        <v>0</v>
      </c>
      <c r="BL114" s="17" t="s">
        <v>134</v>
      </c>
      <c r="BM114" s="138" t="s">
        <v>651</v>
      </c>
    </row>
    <row r="115" spans="2:65" s="1" customFormat="1">
      <c r="B115" s="32"/>
      <c r="D115" s="140" t="s">
        <v>136</v>
      </c>
      <c r="F115" s="141" t="s">
        <v>652</v>
      </c>
      <c r="I115" s="142"/>
      <c r="L115" s="32"/>
      <c r="M115" s="143"/>
      <c r="T115" s="51"/>
      <c r="AT115" s="17" t="s">
        <v>136</v>
      </c>
      <c r="AU115" s="17" t="s">
        <v>81</v>
      </c>
    </row>
    <row r="116" spans="2:65" s="12" customFormat="1">
      <c r="B116" s="144"/>
      <c r="D116" s="145" t="s">
        <v>138</v>
      </c>
      <c r="E116" s="146" t="s">
        <v>19</v>
      </c>
      <c r="F116" s="147" t="s">
        <v>653</v>
      </c>
      <c r="H116" s="148">
        <v>15.648</v>
      </c>
      <c r="I116" s="149"/>
      <c r="L116" s="144"/>
      <c r="M116" s="150"/>
      <c r="T116" s="151"/>
      <c r="AT116" s="146" t="s">
        <v>138</v>
      </c>
      <c r="AU116" s="146" t="s">
        <v>81</v>
      </c>
      <c r="AV116" s="12" t="s">
        <v>81</v>
      </c>
      <c r="AW116" s="12" t="s">
        <v>33</v>
      </c>
      <c r="AX116" s="12" t="s">
        <v>79</v>
      </c>
      <c r="AY116" s="146" t="s">
        <v>127</v>
      </c>
    </row>
    <row r="117" spans="2:65" s="1" customFormat="1" ht="21.75" customHeight="1">
      <c r="B117" s="32"/>
      <c r="C117" s="127" t="s">
        <v>81</v>
      </c>
      <c r="D117" s="127" t="s">
        <v>129</v>
      </c>
      <c r="E117" s="128" t="s">
        <v>654</v>
      </c>
      <c r="F117" s="129" t="s">
        <v>655</v>
      </c>
      <c r="G117" s="130" t="s">
        <v>147</v>
      </c>
      <c r="H117" s="131">
        <v>2.347</v>
      </c>
      <c r="I117" s="132"/>
      <c r="J117" s="133">
        <f>ROUND(I117*H117,2)</f>
        <v>0</v>
      </c>
      <c r="K117" s="129" t="s">
        <v>133</v>
      </c>
      <c r="L117" s="32"/>
      <c r="M117" s="134" t="s">
        <v>19</v>
      </c>
      <c r="N117" s="135" t="s">
        <v>42</v>
      </c>
      <c r="P117" s="136">
        <f>O117*H117</f>
        <v>0</v>
      </c>
      <c r="Q117" s="136">
        <v>2.5018699999999998</v>
      </c>
      <c r="R117" s="136">
        <f>Q117*H117</f>
        <v>5.8718888899999993</v>
      </c>
      <c r="S117" s="136">
        <v>0</v>
      </c>
      <c r="T117" s="137">
        <f>S117*H117</f>
        <v>0</v>
      </c>
      <c r="AR117" s="138" t="s">
        <v>134</v>
      </c>
      <c r="AT117" s="138" t="s">
        <v>129</v>
      </c>
      <c r="AU117" s="138" t="s">
        <v>81</v>
      </c>
      <c r="AY117" s="17" t="s">
        <v>127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79</v>
      </c>
      <c r="BK117" s="139">
        <f>ROUND(I117*H117,2)</f>
        <v>0</v>
      </c>
      <c r="BL117" s="17" t="s">
        <v>134</v>
      </c>
      <c r="BM117" s="138" t="s">
        <v>656</v>
      </c>
    </row>
    <row r="118" spans="2:65" s="1" customFormat="1">
      <c r="B118" s="32"/>
      <c r="D118" s="140" t="s">
        <v>136</v>
      </c>
      <c r="F118" s="141" t="s">
        <v>657</v>
      </c>
      <c r="I118" s="142"/>
      <c r="L118" s="32"/>
      <c r="M118" s="143"/>
      <c r="T118" s="51"/>
      <c r="AT118" s="17" t="s">
        <v>136</v>
      </c>
      <c r="AU118" s="17" t="s">
        <v>81</v>
      </c>
    </row>
    <row r="119" spans="2:65" s="12" customFormat="1">
      <c r="B119" s="144"/>
      <c r="D119" s="145" t="s">
        <v>138</v>
      </c>
      <c r="E119" s="146" t="s">
        <v>19</v>
      </c>
      <c r="F119" s="147" t="s">
        <v>658</v>
      </c>
      <c r="H119" s="148">
        <v>2.347</v>
      </c>
      <c r="I119" s="149"/>
      <c r="L119" s="144"/>
      <c r="M119" s="150"/>
      <c r="T119" s="151"/>
      <c r="AT119" s="146" t="s">
        <v>138</v>
      </c>
      <c r="AU119" s="146" t="s">
        <v>81</v>
      </c>
      <c r="AV119" s="12" t="s">
        <v>81</v>
      </c>
      <c r="AW119" s="12" t="s">
        <v>33</v>
      </c>
      <c r="AX119" s="12" t="s">
        <v>79</v>
      </c>
      <c r="AY119" s="146" t="s">
        <v>127</v>
      </c>
    </row>
    <row r="120" spans="2:65" s="1" customFormat="1" ht="16.5" customHeight="1">
      <c r="B120" s="32"/>
      <c r="C120" s="127" t="s">
        <v>144</v>
      </c>
      <c r="D120" s="127" t="s">
        <v>129</v>
      </c>
      <c r="E120" s="128" t="s">
        <v>659</v>
      </c>
      <c r="F120" s="129" t="s">
        <v>660</v>
      </c>
      <c r="G120" s="130" t="s">
        <v>132</v>
      </c>
      <c r="H120" s="131">
        <v>0.78200000000000003</v>
      </c>
      <c r="I120" s="132"/>
      <c r="J120" s="133">
        <f>ROUND(I120*H120,2)</f>
        <v>0</v>
      </c>
      <c r="K120" s="129" t="s">
        <v>133</v>
      </c>
      <c r="L120" s="32"/>
      <c r="M120" s="134" t="s">
        <v>19</v>
      </c>
      <c r="N120" s="135" t="s">
        <v>42</v>
      </c>
      <c r="P120" s="136">
        <f>O120*H120</f>
        <v>0</v>
      </c>
      <c r="Q120" s="136">
        <v>2.47E-3</v>
      </c>
      <c r="R120" s="136">
        <f>Q120*H120</f>
        <v>1.93154E-3</v>
      </c>
      <c r="S120" s="136">
        <v>0</v>
      </c>
      <c r="T120" s="137">
        <f>S120*H120</f>
        <v>0</v>
      </c>
      <c r="AR120" s="138" t="s">
        <v>134</v>
      </c>
      <c r="AT120" s="138" t="s">
        <v>129</v>
      </c>
      <c r="AU120" s="138" t="s">
        <v>81</v>
      </c>
      <c r="AY120" s="17" t="s">
        <v>127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79</v>
      </c>
      <c r="BK120" s="139">
        <f>ROUND(I120*H120,2)</f>
        <v>0</v>
      </c>
      <c r="BL120" s="17" t="s">
        <v>134</v>
      </c>
      <c r="BM120" s="138" t="s">
        <v>661</v>
      </c>
    </row>
    <row r="121" spans="2:65" s="1" customFormat="1">
      <c r="B121" s="32"/>
      <c r="D121" s="140" t="s">
        <v>136</v>
      </c>
      <c r="F121" s="141" t="s">
        <v>662</v>
      </c>
      <c r="I121" s="142"/>
      <c r="L121" s="32"/>
      <c r="M121" s="143"/>
      <c r="T121" s="51"/>
      <c r="AT121" s="17" t="s">
        <v>136</v>
      </c>
      <c r="AU121" s="17" t="s">
        <v>81</v>
      </c>
    </row>
    <row r="122" spans="2:65" s="12" customFormat="1">
      <c r="B122" s="144"/>
      <c r="D122" s="145" t="s">
        <v>138</v>
      </c>
      <c r="E122" s="146" t="s">
        <v>19</v>
      </c>
      <c r="F122" s="147" t="s">
        <v>663</v>
      </c>
      <c r="H122" s="148">
        <v>0.78200000000000003</v>
      </c>
      <c r="I122" s="149"/>
      <c r="L122" s="144"/>
      <c r="M122" s="150"/>
      <c r="T122" s="151"/>
      <c r="AT122" s="146" t="s">
        <v>138</v>
      </c>
      <c r="AU122" s="146" t="s">
        <v>81</v>
      </c>
      <c r="AV122" s="12" t="s">
        <v>81</v>
      </c>
      <c r="AW122" s="12" t="s">
        <v>33</v>
      </c>
      <c r="AX122" s="12" t="s">
        <v>79</v>
      </c>
      <c r="AY122" s="146" t="s">
        <v>127</v>
      </c>
    </row>
    <row r="123" spans="2:65" s="1" customFormat="1" ht="16.5" customHeight="1">
      <c r="B123" s="32"/>
      <c r="C123" s="127" t="s">
        <v>134</v>
      </c>
      <c r="D123" s="127" t="s">
        <v>129</v>
      </c>
      <c r="E123" s="128" t="s">
        <v>664</v>
      </c>
      <c r="F123" s="129" t="s">
        <v>665</v>
      </c>
      <c r="G123" s="130" t="s">
        <v>132</v>
      </c>
      <c r="H123" s="131">
        <v>0.78200000000000003</v>
      </c>
      <c r="I123" s="132"/>
      <c r="J123" s="133">
        <f>ROUND(I123*H123,2)</f>
        <v>0</v>
      </c>
      <c r="K123" s="129" t="s">
        <v>133</v>
      </c>
      <c r="L123" s="32"/>
      <c r="M123" s="134" t="s">
        <v>19</v>
      </c>
      <c r="N123" s="135" t="s">
        <v>42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134</v>
      </c>
      <c r="AT123" s="138" t="s">
        <v>129</v>
      </c>
      <c r="AU123" s="138" t="s">
        <v>81</v>
      </c>
      <c r="AY123" s="17" t="s">
        <v>127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79</v>
      </c>
      <c r="BK123" s="139">
        <f>ROUND(I123*H123,2)</f>
        <v>0</v>
      </c>
      <c r="BL123" s="17" t="s">
        <v>134</v>
      </c>
      <c r="BM123" s="138" t="s">
        <v>666</v>
      </c>
    </row>
    <row r="124" spans="2:65" s="1" customFormat="1">
      <c r="B124" s="32"/>
      <c r="D124" s="140" t="s">
        <v>136</v>
      </c>
      <c r="F124" s="141" t="s">
        <v>667</v>
      </c>
      <c r="I124" s="142"/>
      <c r="L124" s="32"/>
      <c r="M124" s="143"/>
      <c r="T124" s="51"/>
      <c r="AT124" s="17" t="s">
        <v>136</v>
      </c>
      <c r="AU124" s="17" t="s">
        <v>81</v>
      </c>
    </row>
    <row r="125" spans="2:65" s="1" customFormat="1" ht="16.5" customHeight="1">
      <c r="B125" s="32"/>
      <c r="C125" s="127" t="s">
        <v>159</v>
      </c>
      <c r="D125" s="127" t="s">
        <v>129</v>
      </c>
      <c r="E125" s="128" t="s">
        <v>668</v>
      </c>
      <c r="F125" s="129" t="s">
        <v>669</v>
      </c>
      <c r="G125" s="130" t="s">
        <v>173</v>
      </c>
      <c r="H125" s="131">
        <v>0.21099999999999999</v>
      </c>
      <c r="I125" s="132"/>
      <c r="J125" s="133">
        <f>ROUND(I125*H125,2)</f>
        <v>0</v>
      </c>
      <c r="K125" s="129" t="s">
        <v>133</v>
      </c>
      <c r="L125" s="32"/>
      <c r="M125" s="134" t="s">
        <v>19</v>
      </c>
      <c r="N125" s="135" t="s">
        <v>42</v>
      </c>
      <c r="P125" s="136">
        <f>O125*H125</f>
        <v>0</v>
      </c>
      <c r="Q125" s="136">
        <v>1.06277</v>
      </c>
      <c r="R125" s="136">
        <f>Q125*H125</f>
        <v>0.22424447</v>
      </c>
      <c r="S125" s="136">
        <v>0</v>
      </c>
      <c r="T125" s="137">
        <f>S125*H125</f>
        <v>0</v>
      </c>
      <c r="AR125" s="138" t="s">
        <v>134</v>
      </c>
      <c r="AT125" s="138" t="s">
        <v>129</v>
      </c>
      <c r="AU125" s="138" t="s">
        <v>81</v>
      </c>
      <c r="AY125" s="17" t="s">
        <v>127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79</v>
      </c>
      <c r="BK125" s="139">
        <f>ROUND(I125*H125,2)</f>
        <v>0</v>
      </c>
      <c r="BL125" s="17" t="s">
        <v>134</v>
      </c>
      <c r="BM125" s="138" t="s">
        <v>670</v>
      </c>
    </row>
    <row r="126" spans="2:65" s="1" customFormat="1">
      <c r="B126" s="32"/>
      <c r="D126" s="140" t="s">
        <v>136</v>
      </c>
      <c r="F126" s="141" t="s">
        <v>671</v>
      </c>
      <c r="I126" s="142"/>
      <c r="L126" s="32"/>
      <c r="M126" s="143"/>
      <c r="T126" s="51"/>
      <c r="AT126" s="17" t="s">
        <v>136</v>
      </c>
      <c r="AU126" s="17" t="s">
        <v>81</v>
      </c>
    </row>
    <row r="127" spans="2:65" s="14" customFormat="1">
      <c r="B127" s="173"/>
      <c r="D127" s="145" t="s">
        <v>138</v>
      </c>
      <c r="E127" s="174" t="s">
        <v>19</v>
      </c>
      <c r="F127" s="175" t="s">
        <v>672</v>
      </c>
      <c r="H127" s="174" t="s">
        <v>19</v>
      </c>
      <c r="I127" s="176"/>
      <c r="L127" s="173"/>
      <c r="M127" s="177"/>
      <c r="T127" s="178"/>
      <c r="AT127" s="174" t="s">
        <v>138</v>
      </c>
      <c r="AU127" s="174" t="s">
        <v>81</v>
      </c>
      <c r="AV127" s="14" t="s">
        <v>79</v>
      </c>
      <c r="AW127" s="14" t="s">
        <v>33</v>
      </c>
      <c r="AX127" s="14" t="s">
        <v>71</v>
      </c>
      <c r="AY127" s="174" t="s">
        <v>127</v>
      </c>
    </row>
    <row r="128" spans="2:65" s="12" customFormat="1">
      <c r="B128" s="144"/>
      <c r="D128" s="145" t="s">
        <v>138</v>
      </c>
      <c r="E128" s="146" t="s">
        <v>19</v>
      </c>
      <c r="F128" s="147" t="s">
        <v>673</v>
      </c>
      <c r="H128" s="148">
        <v>0.21099999999999999</v>
      </c>
      <c r="I128" s="149"/>
      <c r="L128" s="144"/>
      <c r="M128" s="150"/>
      <c r="T128" s="151"/>
      <c r="AT128" s="146" t="s">
        <v>138</v>
      </c>
      <c r="AU128" s="146" t="s">
        <v>81</v>
      </c>
      <c r="AV128" s="12" t="s">
        <v>81</v>
      </c>
      <c r="AW128" s="12" t="s">
        <v>33</v>
      </c>
      <c r="AX128" s="12" t="s">
        <v>79</v>
      </c>
      <c r="AY128" s="146" t="s">
        <v>127</v>
      </c>
    </row>
    <row r="129" spans="2:65" s="1" customFormat="1" ht="21.75" customHeight="1">
      <c r="B129" s="32"/>
      <c r="C129" s="127" t="s">
        <v>165</v>
      </c>
      <c r="D129" s="127" t="s">
        <v>129</v>
      </c>
      <c r="E129" s="128" t="s">
        <v>674</v>
      </c>
      <c r="F129" s="129" t="s">
        <v>675</v>
      </c>
      <c r="G129" s="130" t="s">
        <v>147</v>
      </c>
      <c r="H129" s="131">
        <v>2.5950000000000002</v>
      </c>
      <c r="I129" s="132"/>
      <c r="J129" s="133">
        <f>ROUND(I129*H129,2)</f>
        <v>0</v>
      </c>
      <c r="K129" s="129" t="s">
        <v>133</v>
      </c>
      <c r="L129" s="32"/>
      <c r="M129" s="134" t="s">
        <v>19</v>
      </c>
      <c r="N129" s="135" t="s">
        <v>42</v>
      </c>
      <c r="P129" s="136">
        <f>O129*H129</f>
        <v>0</v>
      </c>
      <c r="Q129" s="136">
        <v>2.5018699999999998</v>
      </c>
      <c r="R129" s="136">
        <f>Q129*H129</f>
        <v>6.4923526499999999</v>
      </c>
      <c r="S129" s="136">
        <v>0</v>
      </c>
      <c r="T129" s="137">
        <f>S129*H129</f>
        <v>0</v>
      </c>
      <c r="AR129" s="138" t="s">
        <v>134</v>
      </c>
      <c r="AT129" s="138" t="s">
        <v>129</v>
      </c>
      <c r="AU129" s="138" t="s">
        <v>81</v>
      </c>
      <c r="AY129" s="17" t="s">
        <v>127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79</v>
      </c>
      <c r="BK129" s="139">
        <f>ROUND(I129*H129,2)</f>
        <v>0</v>
      </c>
      <c r="BL129" s="17" t="s">
        <v>134</v>
      </c>
      <c r="BM129" s="138" t="s">
        <v>676</v>
      </c>
    </row>
    <row r="130" spans="2:65" s="1" customFormat="1">
      <c r="B130" s="32"/>
      <c r="D130" s="140" t="s">
        <v>136</v>
      </c>
      <c r="F130" s="141" t="s">
        <v>677</v>
      </c>
      <c r="I130" s="142"/>
      <c r="L130" s="32"/>
      <c r="M130" s="143"/>
      <c r="T130" s="51"/>
      <c r="AT130" s="17" t="s">
        <v>136</v>
      </c>
      <c r="AU130" s="17" t="s">
        <v>81</v>
      </c>
    </row>
    <row r="131" spans="2:65" s="12" customFormat="1">
      <c r="B131" s="144"/>
      <c r="D131" s="145" t="s">
        <v>138</v>
      </c>
      <c r="E131" s="146" t="s">
        <v>19</v>
      </c>
      <c r="F131" s="147" t="s">
        <v>678</v>
      </c>
      <c r="H131" s="148">
        <v>1.8779999999999999</v>
      </c>
      <c r="I131" s="149"/>
      <c r="L131" s="144"/>
      <c r="M131" s="150"/>
      <c r="T131" s="151"/>
      <c r="AT131" s="146" t="s">
        <v>138</v>
      </c>
      <c r="AU131" s="146" t="s">
        <v>81</v>
      </c>
      <c r="AV131" s="12" t="s">
        <v>81</v>
      </c>
      <c r="AW131" s="12" t="s">
        <v>33</v>
      </c>
      <c r="AX131" s="12" t="s">
        <v>71</v>
      </c>
      <c r="AY131" s="146" t="s">
        <v>127</v>
      </c>
    </row>
    <row r="132" spans="2:65" s="12" customFormat="1">
      <c r="B132" s="144"/>
      <c r="D132" s="145" t="s">
        <v>138</v>
      </c>
      <c r="E132" s="146" t="s">
        <v>19</v>
      </c>
      <c r="F132" s="147" t="s">
        <v>679</v>
      </c>
      <c r="H132" s="148">
        <v>0.71699999999999997</v>
      </c>
      <c r="I132" s="149"/>
      <c r="L132" s="144"/>
      <c r="M132" s="150"/>
      <c r="T132" s="151"/>
      <c r="AT132" s="146" t="s">
        <v>138</v>
      </c>
      <c r="AU132" s="146" t="s">
        <v>81</v>
      </c>
      <c r="AV132" s="12" t="s">
        <v>81</v>
      </c>
      <c r="AW132" s="12" t="s">
        <v>33</v>
      </c>
      <c r="AX132" s="12" t="s">
        <v>71</v>
      </c>
      <c r="AY132" s="146" t="s">
        <v>127</v>
      </c>
    </row>
    <row r="133" spans="2:65" s="13" customFormat="1">
      <c r="B133" s="152"/>
      <c r="D133" s="145" t="s">
        <v>138</v>
      </c>
      <c r="E133" s="153" t="s">
        <v>19</v>
      </c>
      <c r="F133" s="154" t="s">
        <v>152</v>
      </c>
      <c r="H133" s="155">
        <v>2.5949999999999998</v>
      </c>
      <c r="I133" s="156"/>
      <c r="L133" s="152"/>
      <c r="M133" s="157"/>
      <c r="T133" s="158"/>
      <c r="AT133" s="153" t="s">
        <v>138</v>
      </c>
      <c r="AU133" s="153" t="s">
        <v>81</v>
      </c>
      <c r="AV133" s="13" t="s">
        <v>134</v>
      </c>
      <c r="AW133" s="13" t="s">
        <v>33</v>
      </c>
      <c r="AX133" s="13" t="s">
        <v>79</v>
      </c>
      <c r="AY133" s="153" t="s">
        <v>127</v>
      </c>
    </row>
    <row r="134" spans="2:65" s="1" customFormat="1" ht="16.5" customHeight="1">
      <c r="B134" s="32"/>
      <c r="C134" s="127" t="s">
        <v>170</v>
      </c>
      <c r="D134" s="127" t="s">
        <v>129</v>
      </c>
      <c r="E134" s="128" t="s">
        <v>680</v>
      </c>
      <c r="F134" s="129" t="s">
        <v>681</v>
      </c>
      <c r="G134" s="130" t="s">
        <v>132</v>
      </c>
      <c r="H134" s="131">
        <v>3.6509999999999998</v>
      </c>
      <c r="I134" s="132"/>
      <c r="J134" s="133">
        <f>ROUND(I134*H134,2)</f>
        <v>0</v>
      </c>
      <c r="K134" s="129" t="s">
        <v>133</v>
      </c>
      <c r="L134" s="32"/>
      <c r="M134" s="134" t="s">
        <v>19</v>
      </c>
      <c r="N134" s="135" t="s">
        <v>42</v>
      </c>
      <c r="P134" s="136">
        <f>O134*H134</f>
        <v>0</v>
      </c>
      <c r="Q134" s="136">
        <v>2.6900000000000001E-3</v>
      </c>
      <c r="R134" s="136">
        <f>Q134*H134</f>
        <v>9.8211900000000005E-3</v>
      </c>
      <c r="S134" s="136">
        <v>0</v>
      </c>
      <c r="T134" s="137">
        <f>S134*H134</f>
        <v>0</v>
      </c>
      <c r="AR134" s="138" t="s">
        <v>134</v>
      </c>
      <c r="AT134" s="138" t="s">
        <v>129</v>
      </c>
      <c r="AU134" s="138" t="s">
        <v>81</v>
      </c>
      <c r="AY134" s="17" t="s">
        <v>127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79</v>
      </c>
      <c r="BK134" s="139">
        <f>ROUND(I134*H134,2)</f>
        <v>0</v>
      </c>
      <c r="BL134" s="17" t="s">
        <v>134</v>
      </c>
      <c r="BM134" s="138" t="s">
        <v>682</v>
      </c>
    </row>
    <row r="135" spans="2:65" s="1" customFormat="1">
      <c r="B135" s="32"/>
      <c r="D135" s="140" t="s">
        <v>136</v>
      </c>
      <c r="F135" s="141" t="s">
        <v>683</v>
      </c>
      <c r="I135" s="142"/>
      <c r="L135" s="32"/>
      <c r="M135" s="143"/>
      <c r="T135" s="51"/>
      <c r="AT135" s="17" t="s">
        <v>136</v>
      </c>
      <c r="AU135" s="17" t="s">
        <v>81</v>
      </c>
    </row>
    <row r="136" spans="2:65" s="12" customFormat="1">
      <c r="B136" s="144"/>
      <c r="D136" s="145" t="s">
        <v>138</v>
      </c>
      <c r="E136" s="146" t="s">
        <v>19</v>
      </c>
      <c r="F136" s="147" t="s">
        <v>684</v>
      </c>
      <c r="H136" s="148">
        <v>3.6509999999999998</v>
      </c>
      <c r="I136" s="149"/>
      <c r="L136" s="144"/>
      <c r="M136" s="150"/>
      <c r="T136" s="151"/>
      <c r="AT136" s="146" t="s">
        <v>138</v>
      </c>
      <c r="AU136" s="146" t="s">
        <v>81</v>
      </c>
      <c r="AV136" s="12" t="s">
        <v>81</v>
      </c>
      <c r="AW136" s="12" t="s">
        <v>33</v>
      </c>
      <c r="AX136" s="12" t="s">
        <v>79</v>
      </c>
      <c r="AY136" s="146" t="s">
        <v>127</v>
      </c>
    </row>
    <row r="137" spans="2:65" s="1" customFormat="1" ht="16.5" customHeight="1">
      <c r="B137" s="32"/>
      <c r="C137" s="127" t="s">
        <v>177</v>
      </c>
      <c r="D137" s="127" t="s">
        <v>129</v>
      </c>
      <c r="E137" s="128" t="s">
        <v>685</v>
      </c>
      <c r="F137" s="129" t="s">
        <v>686</v>
      </c>
      <c r="G137" s="130" t="s">
        <v>132</v>
      </c>
      <c r="H137" s="131">
        <v>3.6509999999999998</v>
      </c>
      <c r="I137" s="132"/>
      <c r="J137" s="133">
        <f>ROUND(I137*H137,2)</f>
        <v>0</v>
      </c>
      <c r="K137" s="129" t="s">
        <v>133</v>
      </c>
      <c r="L137" s="32"/>
      <c r="M137" s="134" t="s">
        <v>19</v>
      </c>
      <c r="N137" s="135" t="s">
        <v>42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134</v>
      </c>
      <c r="AT137" s="138" t="s">
        <v>129</v>
      </c>
      <c r="AU137" s="138" t="s">
        <v>81</v>
      </c>
      <c r="AY137" s="17" t="s">
        <v>127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79</v>
      </c>
      <c r="BK137" s="139">
        <f>ROUND(I137*H137,2)</f>
        <v>0</v>
      </c>
      <c r="BL137" s="17" t="s">
        <v>134</v>
      </c>
      <c r="BM137" s="138" t="s">
        <v>687</v>
      </c>
    </row>
    <row r="138" spans="2:65" s="1" customFormat="1">
      <c r="B138" s="32"/>
      <c r="D138" s="140" t="s">
        <v>136</v>
      </c>
      <c r="F138" s="141" t="s">
        <v>688</v>
      </c>
      <c r="I138" s="142"/>
      <c r="L138" s="32"/>
      <c r="M138" s="143"/>
      <c r="T138" s="51"/>
      <c r="AT138" s="17" t="s">
        <v>136</v>
      </c>
      <c r="AU138" s="17" t="s">
        <v>81</v>
      </c>
    </row>
    <row r="139" spans="2:65" s="1" customFormat="1" ht="16.5" customHeight="1">
      <c r="B139" s="32"/>
      <c r="C139" s="127" t="s">
        <v>188</v>
      </c>
      <c r="D139" s="127" t="s">
        <v>129</v>
      </c>
      <c r="E139" s="128" t="s">
        <v>689</v>
      </c>
      <c r="F139" s="129" t="s">
        <v>690</v>
      </c>
      <c r="G139" s="130" t="s">
        <v>173</v>
      </c>
      <c r="H139" s="131">
        <v>0.311</v>
      </c>
      <c r="I139" s="132"/>
      <c r="J139" s="133">
        <f>ROUND(I139*H139,2)</f>
        <v>0</v>
      </c>
      <c r="K139" s="129" t="s">
        <v>133</v>
      </c>
      <c r="L139" s="32"/>
      <c r="M139" s="134" t="s">
        <v>19</v>
      </c>
      <c r="N139" s="135" t="s">
        <v>42</v>
      </c>
      <c r="P139" s="136">
        <f>O139*H139</f>
        <v>0</v>
      </c>
      <c r="Q139" s="136">
        <v>1.0606199999999999</v>
      </c>
      <c r="R139" s="136">
        <f>Q139*H139</f>
        <v>0.32985281999999999</v>
      </c>
      <c r="S139" s="136">
        <v>0</v>
      </c>
      <c r="T139" s="137">
        <f>S139*H139</f>
        <v>0</v>
      </c>
      <c r="AR139" s="138" t="s">
        <v>134</v>
      </c>
      <c r="AT139" s="138" t="s">
        <v>129</v>
      </c>
      <c r="AU139" s="138" t="s">
        <v>81</v>
      </c>
      <c r="AY139" s="17" t="s">
        <v>127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79</v>
      </c>
      <c r="BK139" s="139">
        <f>ROUND(I139*H139,2)</f>
        <v>0</v>
      </c>
      <c r="BL139" s="17" t="s">
        <v>134</v>
      </c>
      <c r="BM139" s="138" t="s">
        <v>691</v>
      </c>
    </row>
    <row r="140" spans="2:65" s="1" customFormat="1">
      <c r="B140" s="32"/>
      <c r="D140" s="140" t="s">
        <v>136</v>
      </c>
      <c r="F140" s="141" t="s">
        <v>692</v>
      </c>
      <c r="I140" s="142"/>
      <c r="L140" s="32"/>
      <c r="M140" s="143"/>
      <c r="T140" s="51"/>
      <c r="AT140" s="17" t="s">
        <v>136</v>
      </c>
      <c r="AU140" s="17" t="s">
        <v>81</v>
      </c>
    </row>
    <row r="141" spans="2:65" s="14" customFormat="1">
      <c r="B141" s="173"/>
      <c r="D141" s="145" t="s">
        <v>138</v>
      </c>
      <c r="E141" s="174" t="s">
        <v>19</v>
      </c>
      <c r="F141" s="175" t="s">
        <v>693</v>
      </c>
      <c r="H141" s="174" t="s">
        <v>19</v>
      </c>
      <c r="I141" s="176"/>
      <c r="L141" s="173"/>
      <c r="M141" s="177"/>
      <c r="T141" s="178"/>
      <c r="AT141" s="174" t="s">
        <v>138</v>
      </c>
      <c r="AU141" s="174" t="s">
        <v>81</v>
      </c>
      <c r="AV141" s="14" t="s">
        <v>79</v>
      </c>
      <c r="AW141" s="14" t="s">
        <v>33</v>
      </c>
      <c r="AX141" s="14" t="s">
        <v>71</v>
      </c>
      <c r="AY141" s="174" t="s">
        <v>127</v>
      </c>
    </row>
    <row r="142" spans="2:65" s="12" customFormat="1">
      <c r="B142" s="144"/>
      <c r="D142" s="145" t="s">
        <v>138</v>
      </c>
      <c r="E142" s="146" t="s">
        <v>19</v>
      </c>
      <c r="F142" s="147" t="s">
        <v>694</v>
      </c>
      <c r="H142" s="148">
        <v>0.22500000000000001</v>
      </c>
      <c r="I142" s="149"/>
      <c r="L142" s="144"/>
      <c r="M142" s="150"/>
      <c r="T142" s="151"/>
      <c r="AT142" s="146" t="s">
        <v>138</v>
      </c>
      <c r="AU142" s="146" t="s">
        <v>81</v>
      </c>
      <c r="AV142" s="12" t="s">
        <v>81</v>
      </c>
      <c r="AW142" s="12" t="s">
        <v>33</v>
      </c>
      <c r="AX142" s="12" t="s">
        <v>71</v>
      </c>
      <c r="AY142" s="146" t="s">
        <v>127</v>
      </c>
    </row>
    <row r="143" spans="2:65" s="12" customFormat="1">
      <c r="B143" s="144"/>
      <c r="D143" s="145" t="s">
        <v>138</v>
      </c>
      <c r="E143" s="146" t="s">
        <v>19</v>
      </c>
      <c r="F143" s="147" t="s">
        <v>695</v>
      </c>
      <c r="H143" s="148">
        <v>8.5999999999999993E-2</v>
      </c>
      <c r="I143" s="149"/>
      <c r="L143" s="144"/>
      <c r="M143" s="150"/>
      <c r="T143" s="151"/>
      <c r="AT143" s="146" t="s">
        <v>138</v>
      </c>
      <c r="AU143" s="146" t="s">
        <v>81</v>
      </c>
      <c r="AV143" s="12" t="s">
        <v>81</v>
      </c>
      <c r="AW143" s="12" t="s">
        <v>33</v>
      </c>
      <c r="AX143" s="12" t="s">
        <v>71</v>
      </c>
      <c r="AY143" s="146" t="s">
        <v>127</v>
      </c>
    </row>
    <row r="144" spans="2:65" s="13" customFormat="1">
      <c r="B144" s="152"/>
      <c r="D144" s="145" t="s">
        <v>138</v>
      </c>
      <c r="E144" s="153" t="s">
        <v>19</v>
      </c>
      <c r="F144" s="154" t="s">
        <v>152</v>
      </c>
      <c r="H144" s="155">
        <v>0.311</v>
      </c>
      <c r="I144" s="156"/>
      <c r="L144" s="152"/>
      <c r="M144" s="157"/>
      <c r="T144" s="158"/>
      <c r="AT144" s="153" t="s">
        <v>138</v>
      </c>
      <c r="AU144" s="153" t="s">
        <v>81</v>
      </c>
      <c r="AV144" s="13" t="s">
        <v>134</v>
      </c>
      <c r="AW144" s="13" t="s">
        <v>33</v>
      </c>
      <c r="AX144" s="13" t="s">
        <v>79</v>
      </c>
      <c r="AY144" s="153" t="s">
        <v>127</v>
      </c>
    </row>
    <row r="145" spans="2:65" s="11" customFormat="1" ht="22.9" customHeight="1">
      <c r="B145" s="115"/>
      <c r="D145" s="116" t="s">
        <v>70</v>
      </c>
      <c r="E145" s="125" t="s">
        <v>144</v>
      </c>
      <c r="F145" s="125" t="s">
        <v>696</v>
      </c>
      <c r="I145" s="118"/>
      <c r="J145" s="126">
        <f>BK145</f>
        <v>0</v>
      </c>
      <c r="L145" s="115"/>
      <c r="M145" s="120"/>
      <c r="P145" s="121">
        <f>SUM(P146:P182)</f>
        <v>0</v>
      </c>
      <c r="R145" s="121">
        <f>SUM(R146:R182)</f>
        <v>92.343806119999996</v>
      </c>
      <c r="T145" s="122">
        <f>SUM(T146:T182)</f>
        <v>0</v>
      </c>
      <c r="AR145" s="116" t="s">
        <v>79</v>
      </c>
      <c r="AT145" s="123" t="s">
        <v>70</v>
      </c>
      <c r="AU145" s="123" t="s">
        <v>79</v>
      </c>
      <c r="AY145" s="116" t="s">
        <v>127</v>
      </c>
      <c r="BK145" s="124">
        <f>SUM(BK146:BK182)</f>
        <v>0</v>
      </c>
    </row>
    <row r="146" spans="2:65" s="1" customFormat="1" ht="24.2" customHeight="1">
      <c r="B146" s="32"/>
      <c r="C146" s="127" t="s">
        <v>194</v>
      </c>
      <c r="D146" s="127" t="s">
        <v>129</v>
      </c>
      <c r="E146" s="128" t="s">
        <v>697</v>
      </c>
      <c r="F146" s="129" t="s">
        <v>698</v>
      </c>
      <c r="G146" s="130" t="s">
        <v>132</v>
      </c>
      <c r="H146" s="131">
        <v>20.393999999999998</v>
      </c>
      <c r="I146" s="132"/>
      <c r="J146" s="133">
        <f>ROUND(I146*H146,2)</f>
        <v>0</v>
      </c>
      <c r="K146" s="129" t="s">
        <v>133</v>
      </c>
      <c r="L146" s="32"/>
      <c r="M146" s="134" t="s">
        <v>19</v>
      </c>
      <c r="N146" s="135" t="s">
        <v>42</v>
      </c>
      <c r="P146" s="136">
        <f>O146*H146</f>
        <v>0</v>
      </c>
      <c r="Q146" s="136">
        <v>0.28867999999999999</v>
      </c>
      <c r="R146" s="136">
        <f>Q146*H146</f>
        <v>5.8873399199999996</v>
      </c>
      <c r="S146" s="136">
        <v>0</v>
      </c>
      <c r="T146" s="137">
        <f>S146*H146</f>
        <v>0</v>
      </c>
      <c r="AR146" s="138" t="s">
        <v>134</v>
      </c>
      <c r="AT146" s="138" t="s">
        <v>129</v>
      </c>
      <c r="AU146" s="138" t="s">
        <v>81</v>
      </c>
      <c r="AY146" s="17" t="s">
        <v>127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79</v>
      </c>
      <c r="BK146" s="139">
        <f>ROUND(I146*H146,2)</f>
        <v>0</v>
      </c>
      <c r="BL146" s="17" t="s">
        <v>134</v>
      </c>
      <c r="BM146" s="138" t="s">
        <v>699</v>
      </c>
    </row>
    <row r="147" spans="2:65" s="1" customFormat="1">
      <c r="B147" s="32"/>
      <c r="D147" s="140" t="s">
        <v>136</v>
      </c>
      <c r="F147" s="141" t="s">
        <v>700</v>
      </c>
      <c r="I147" s="142"/>
      <c r="L147" s="32"/>
      <c r="M147" s="143"/>
      <c r="T147" s="51"/>
      <c r="AT147" s="17" t="s">
        <v>136</v>
      </c>
      <c r="AU147" s="17" t="s">
        <v>81</v>
      </c>
    </row>
    <row r="148" spans="2:65" s="12" customFormat="1">
      <c r="B148" s="144"/>
      <c r="D148" s="145" t="s">
        <v>138</v>
      </c>
      <c r="E148" s="146" t="s">
        <v>19</v>
      </c>
      <c r="F148" s="147" t="s">
        <v>701</v>
      </c>
      <c r="H148" s="148">
        <v>20.393999999999998</v>
      </c>
      <c r="I148" s="149"/>
      <c r="L148" s="144"/>
      <c r="M148" s="150"/>
      <c r="T148" s="151"/>
      <c r="AT148" s="146" t="s">
        <v>138</v>
      </c>
      <c r="AU148" s="146" t="s">
        <v>81</v>
      </c>
      <c r="AV148" s="12" t="s">
        <v>81</v>
      </c>
      <c r="AW148" s="12" t="s">
        <v>33</v>
      </c>
      <c r="AX148" s="12" t="s">
        <v>79</v>
      </c>
      <c r="AY148" s="146" t="s">
        <v>127</v>
      </c>
    </row>
    <row r="149" spans="2:65" s="1" customFormat="1" ht="24.2" customHeight="1">
      <c r="B149" s="32"/>
      <c r="C149" s="127" t="s">
        <v>200</v>
      </c>
      <c r="D149" s="127" t="s">
        <v>129</v>
      </c>
      <c r="E149" s="128" t="s">
        <v>702</v>
      </c>
      <c r="F149" s="129" t="s">
        <v>703</v>
      </c>
      <c r="G149" s="130" t="s">
        <v>132</v>
      </c>
      <c r="H149" s="131">
        <v>4.87</v>
      </c>
      <c r="I149" s="132"/>
      <c r="J149" s="133">
        <f>ROUND(I149*H149,2)</f>
        <v>0</v>
      </c>
      <c r="K149" s="129" t="s">
        <v>133</v>
      </c>
      <c r="L149" s="32"/>
      <c r="M149" s="134" t="s">
        <v>19</v>
      </c>
      <c r="N149" s="135" t="s">
        <v>42</v>
      </c>
      <c r="P149" s="136">
        <f>O149*H149</f>
        <v>0</v>
      </c>
      <c r="Q149" s="136">
        <v>0.35648000000000002</v>
      </c>
      <c r="R149" s="136">
        <f>Q149*H149</f>
        <v>1.7360576000000001</v>
      </c>
      <c r="S149" s="136">
        <v>0</v>
      </c>
      <c r="T149" s="137">
        <f>S149*H149</f>
        <v>0</v>
      </c>
      <c r="AR149" s="138" t="s">
        <v>134</v>
      </c>
      <c r="AT149" s="138" t="s">
        <v>129</v>
      </c>
      <c r="AU149" s="138" t="s">
        <v>81</v>
      </c>
      <c r="AY149" s="17" t="s">
        <v>127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79</v>
      </c>
      <c r="BK149" s="139">
        <f>ROUND(I149*H149,2)</f>
        <v>0</v>
      </c>
      <c r="BL149" s="17" t="s">
        <v>134</v>
      </c>
      <c r="BM149" s="138" t="s">
        <v>704</v>
      </c>
    </row>
    <row r="150" spans="2:65" s="1" customFormat="1">
      <c r="B150" s="32"/>
      <c r="D150" s="140" t="s">
        <v>136</v>
      </c>
      <c r="F150" s="141" t="s">
        <v>705</v>
      </c>
      <c r="I150" s="142"/>
      <c r="L150" s="32"/>
      <c r="M150" s="143"/>
      <c r="T150" s="51"/>
      <c r="AT150" s="17" t="s">
        <v>136</v>
      </c>
      <c r="AU150" s="17" t="s">
        <v>81</v>
      </c>
    </row>
    <row r="151" spans="2:65" s="12" customFormat="1">
      <c r="B151" s="144"/>
      <c r="D151" s="145" t="s">
        <v>138</v>
      </c>
      <c r="E151" s="146" t="s">
        <v>19</v>
      </c>
      <c r="F151" s="147" t="s">
        <v>706</v>
      </c>
      <c r="H151" s="148">
        <v>4.87</v>
      </c>
      <c r="I151" s="149"/>
      <c r="L151" s="144"/>
      <c r="M151" s="150"/>
      <c r="T151" s="151"/>
      <c r="AT151" s="146" t="s">
        <v>138</v>
      </c>
      <c r="AU151" s="146" t="s">
        <v>81</v>
      </c>
      <c r="AV151" s="12" t="s">
        <v>81</v>
      </c>
      <c r="AW151" s="12" t="s">
        <v>33</v>
      </c>
      <c r="AX151" s="12" t="s">
        <v>79</v>
      </c>
      <c r="AY151" s="146" t="s">
        <v>127</v>
      </c>
    </row>
    <row r="152" spans="2:65" s="1" customFormat="1" ht="24.2" customHeight="1">
      <c r="B152" s="32"/>
      <c r="C152" s="127" t="s">
        <v>206</v>
      </c>
      <c r="D152" s="127" t="s">
        <v>129</v>
      </c>
      <c r="E152" s="128" t="s">
        <v>707</v>
      </c>
      <c r="F152" s="129" t="s">
        <v>708</v>
      </c>
      <c r="G152" s="130" t="s">
        <v>132</v>
      </c>
      <c r="H152" s="131">
        <v>149.27799999999999</v>
      </c>
      <c r="I152" s="132"/>
      <c r="J152" s="133">
        <f>ROUND(I152*H152,2)</f>
        <v>0</v>
      </c>
      <c r="K152" s="129" t="s">
        <v>133</v>
      </c>
      <c r="L152" s="32"/>
      <c r="M152" s="134" t="s">
        <v>19</v>
      </c>
      <c r="N152" s="135" t="s">
        <v>42</v>
      </c>
      <c r="P152" s="136">
        <f>O152*H152</f>
        <v>0</v>
      </c>
      <c r="Q152" s="136">
        <v>0.21490999999999999</v>
      </c>
      <c r="R152" s="136">
        <f>Q152*H152</f>
        <v>32.081334979999994</v>
      </c>
      <c r="S152" s="136">
        <v>0</v>
      </c>
      <c r="T152" s="137">
        <f>S152*H152</f>
        <v>0</v>
      </c>
      <c r="AR152" s="138" t="s">
        <v>134</v>
      </c>
      <c r="AT152" s="138" t="s">
        <v>129</v>
      </c>
      <c r="AU152" s="138" t="s">
        <v>81</v>
      </c>
      <c r="AY152" s="17" t="s">
        <v>127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79</v>
      </c>
      <c r="BK152" s="139">
        <f>ROUND(I152*H152,2)</f>
        <v>0</v>
      </c>
      <c r="BL152" s="17" t="s">
        <v>134</v>
      </c>
      <c r="BM152" s="138" t="s">
        <v>709</v>
      </c>
    </row>
    <row r="153" spans="2:65" s="1" customFormat="1">
      <c r="B153" s="32"/>
      <c r="D153" s="140" t="s">
        <v>136</v>
      </c>
      <c r="F153" s="141" t="s">
        <v>710</v>
      </c>
      <c r="I153" s="142"/>
      <c r="L153" s="32"/>
      <c r="M153" s="143"/>
      <c r="T153" s="51"/>
      <c r="AT153" s="17" t="s">
        <v>136</v>
      </c>
      <c r="AU153" s="17" t="s">
        <v>81</v>
      </c>
    </row>
    <row r="154" spans="2:65" s="12" customFormat="1">
      <c r="B154" s="144"/>
      <c r="D154" s="145" t="s">
        <v>138</v>
      </c>
      <c r="E154" s="146" t="s">
        <v>19</v>
      </c>
      <c r="F154" s="147" t="s">
        <v>711</v>
      </c>
      <c r="H154" s="148">
        <v>149.27799999999999</v>
      </c>
      <c r="I154" s="149"/>
      <c r="L154" s="144"/>
      <c r="M154" s="150"/>
      <c r="T154" s="151"/>
      <c r="AT154" s="146" t="s">
        <v>138</v>
      </c>
      <c r="AU154" s="146" t="s">
        <v>81</v>
      </c>
      <c r="AV154" s="12" t="s">
        <v>81</v>
      </c>
      <c r="AW154" s="12" t="s">
        <v>33</v>
      </c>
      <c r="AX154" s="12" t="s">
        <v>79</v>
      </c>
      <c r="AY154" s="146" t="s">
        <v>127</v>
      </c>
    </row>
    <row r="155" spans="2:65" s="1" customFormat="1" ht="37.9" customHeight="1">
      <c r="B155" s="32"/>
      <c r="C155" s="127" t="s">
        <v>211</v>
      </c>
      <c r="D155" s="127" t="s">
        <v>129</v>
      </c>
      <c r="E155" s="128" t="s">
        <v>712</v>
      </c>
      <c r="F155" s="129" t="s">
        <v>713</v>
      </c>
      <c r="G155" s="130" t="s">
        <v>132</v>
      </c>
      <c r="H155" s="131">
        <v>85.38</v>
      </c>
      <c r="I155" s="132"/>
      <c r="J155" s="133">
        <f>ROUND(I155*H155,2)</f>
        <v>0</v>
      </c>
      <c r="K155" s="129" t="s">
        <v>133</v>
      </c>
      <c r="L155" s="32"/>
      <c r="M155" s="134" t="s">
        <v>19</v>
      </c>
      <c r="N155" s="135" t="s">
        <v>42</v>
      </c>
      <c r="P155" s="136">
        <f>O155*H155</f>
        <v>0</v>
      </c>
      <c r="Q155" s="136">
        <v>0.30797000000000002</v>
      </c>
      <c r="R155" s="136">
        <f>Q155*H155</f>
        <v>26.294478600000001</v>
      </c>
      <c r="S155" s="136">
        <v>0</v>
      </c>
      <c r="T155" s="137">
        <f>S155*H155</f>
        <v>0</v>
      </c>
      <c r="AR155" s="138" t="s">
        <v>134</v>
      </c>
      <c r="AT155" s="138" t="s">
        <v>129</v>
      </c>
      <c r="AU155" s="138" t="s">
        <v>81</v>
      </c>
      <c r="AY155" s="17" t="s">
        <v>127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79</v>
      </c>
      <c r="BK155" s="139">
        <f>ROUND(I155*H155,2)</f>
        <v>0</v>
      </c>
      <c r="BL155" s="17" t="s">
        <v>134</v>
      </c>
      <c r="BM155" s="138" t="s">
        <v>714</v>
      </c>
    </row>
    <row r="156" spans="2:65" s="1" customFormat="1">
      <c r="B156" s="32"/>
      <c r="D156" s="140" t="s">
        <v>136</v>
      </c>
      <c r="F156" s="141" t="s">
        <v>715</v>
      </c>
      <c r="I156" s="142"/>
      <c r="L156" s="32"/>
      <c r="M156" s="143"/>
      <c r="T156" s="51"/>
      <c r="AT156" s="17" t="s">
        <v>136</v>
      </c>
      <c r="AU156" s="17" t="s">
        <v>81</v>
      </c>
    </row>
    <row r="157" spans="2:65" s="12" customFormat="1">
      <c r="B157" s="144"/>
      <c r="D157" s="145" t="s">
        <v>138</v>
      </c>
      <c r="E157" s="146" t="s">
        <v>19</v>
      </c>
      <c r="F157" s="147" t="s">
        <v>716</v>
      </c>
      <c r="H157" s="148">
        <v>85.38</v>
      </c>
      <c r="I157" s="149"/>
      <c r="L157" s="144"/>
      <c r="M157" s="150"/>
      <c r="T157" s="151"/>
      <c r="AT157" s="146" t="s">
        <v>138</v>
      </c>
      <c r="AU157" s="146" t="s">
        <v>81</v>
      </c>
      <c r="AV157" s="12" t="s">
        <v>81</v>
      </c>
      <c r="AW157" s="12" t="s">
        <v>33</v>
      </c>
      <c r="AX157" s="12" t="s">
        <v>79</v>
      </c>
      <c r="AY157" s="146" t="s">
        <v>127</v>
      </c>
    </row>
    <row r="158" spans="2:65" s="1" customFormat="1" ht="21.75" customHeight="1">
      <c r="B158" s="32"/>
      <c r="C158" s="127" t="s">
        <v>217</v>
      </c>
      <c r="D158" s="127" t="s">
        <v>129</v>
      </c>
      <c r="E158" s="128" t="s">
        <v>717</v>
      </c>
      <c r="F158" s="129" t="s">
        <v>718</v>
      </c>
      <c r="G158" s="130" t="s">
        <v>304</v>
      </c>
      <c r="H158" s="131">
        <v>15</v>
      </c>
      <c r="I158" s="132"/>
      <c r="J158" s="133">
        <f>ROUND(I158*H158,2)</f>
        <v>0</v>
      </c>
      <c r="K158" s="129" t="s">
        <v>133</v>
      </c>
      <c r="L158" s="32"/>
      <c r="M158" s="134" t="s">
        <v>19</v>
      </c>
      <c r="N158" s="135" t="s">
        <v>42</v>
      </c>
      <c r="P158" s="136">
        <f>O158*H158</f>
        <v>0</v>
      </c>
      <c r="Q158" s="136">
        <v>4.555E-2</v>
      </c>
      <c r="R158" s="136">
        <f>Q158*H158</f>
        <v>0.68325000000000002</v>
      </c>
      <c r="S158" s="136">
        <v>0</v>
      </c>
      <c r="T158" s="137">
        <f>S158*H158</f>
        <v>0</v>
      </c>
      <c r="AR158" s="138" t="s">
        <v>134</v>
      </c>
      <c r="AT158" s="138" t="s">
        <v>129</v>
      </c>
      <c r="AU158" s="138" t="s">
        <v>81</v>
      </c>
      <c r="AY158" s="17" t="s">
        <v>127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79</v>
      </c>
      <c r="BK158" s="139">
        <f>ROUND(I158*H158,2)</f>
        <v>0</v>
      </c>
      <c r="BL158" s="17" t="s">
        <v>134</v>
      </c>
      <c r="BM158" s="138" t="s">
        <v>719</v>
      </c>
    </row>
    <row r="159" spans="2:65" s="1" customFormat="1">
      <c r="B159" s="32"/>
      <c r="D159" s="140" t="s">
        <v>136</v>
      </c>
      <c r="F159" s="141" t="s">
        <v>720</v>
      </c>
      <c r="I159" s="142"/>
      <c r="L159" s="32"/>
      <c r="M159" s="143"/>
      <c r="T159" s="51"/>
      <c r="AT159" s="17" t="s">
        <v>136</v>
      </c>
      <c r="AU159" s="17" t="s">
        <v>81</v>
      </c>
    </row>
    <row r="160" spans="2:65" s="12" customFormat="1">
      <c r="B160" s="144"/>
      <c r="D160" s="145" t="s">
        <v>138</v>
      </c>
      <c r="E160" s="146" t="s">
        <v>19</v>
      </c>
      <c r="F160" s="147" t="s">
        <v>721</v>
      </c>
      <c r="H160" s="148">
        <v>4</v>
      </c>
      <c r="I160" s="149"/>
      <c r="L160" s="144"/>
      <c r="M160" s="150"/>
      <c r="T160" s="151"/>
      <c r="AT160" s="146" t="s">
        <v>138</v>
      </c>
      <c r="AU160" s="146" t="s">
        <v>81</v>
      </c>
      <c r="AV160" s="12" t="s">
        <v>81</v>
      </c>
      <c r="AW160" s="12" t="s">
        <v>33</v>
      </c>
      <c r="AX160" s="12" t="s">
        <v>71</v>
      </c>
      <c r="AY160" s="146" t="s">
        <v>127</v>
      </c>
    </row>
    <row r="161" spans="2:65" s="12" customFormat="1">
      <c r="B161" s="144"/>
      <c r="D161" s="145" t="s">
        <v>138</v>
      </c>
      <c r="E161" s="146" t="s">
        <v>19</v>
      </c>
      <c r="F161" s="147" t="s">
        <v>722</v>
      </c>
      <c r="H161" s="148">
        <v>3</v>
      </c>
      <c r="I161" s="149"/>
      <c r="L161" s="144"/>
      <c r="M161" s="150"/>
      <c r="T161" s="151"/>
      <c r="AT161" s="146" t="s">
        <v>138</v>
      </c>
      <c r="AU161" s="146" t="s">
        <v>81</v>
      </c>
      <c r="AV161" s="12" t="s">
        <v>81</v>
      </c>
      <c r="AW161" s="12" t="s">
        <v>33</v>
      </c>
      <c r="AX161" s="12" t="s">
        <v>71</v>
      </c>
      <c r="AY161" s="146" t="s">
        <v>127</v>
      </c>
    </row>
    <row r="162" spans="2:65" s="12" customFormat="1">
      <c r="B162" s="144"/>
      <c r="D162" s="145" t="s">
        <v>138</v>
      </c>
      <c r="E162" s="146" t="s">
        <v>19</v>
      </c>
      <c r="F162" s="147" t="s">
        <v>723</v>
      </c>
      <c r="H162" s="148">
        <v>8</v>
      </c>
      <c r="I162" s="149"/>
      <c r="L162" s="144"/>
      <c r="M162" s="150"/>
      <c r="T162" s="151"/>
      <c r="AT162" s="146" t="s">
        <v>138</v>
      </c>
      <c r="AU162" s="146" t="s">
        <v>81</v>
      </c>
      <c r="AV162" s="12" t="s">
        <v>81</v>
      </c>
      <c r="AW162" s="12" t="s">
        <v>33</v>
      </c>
      <c r="AX162" s="12" t="s">
        <v>71</v>
      </c>
      <c r="AY162" s="146" t="s">
        <v>127</v>
      </c>
    </row>
    <row r="163" spans="2:65" s="13" customFormat="1">
      <c r="B163" s="152"/>
      <c r="D163" s="145" t="s">
        <v>138</v>
      </c>
      <c r="E163" s="153" t="s">
        <v>19</v>
      </c>
      <c r="F163" s="154" t="s">
        <v>152</v>
      </c>
      <c r="H163" s="155">
        <v>15</v>
      </c>
      <c r="I163" s="156"/>
      <c r="L163" s="152"/>
      <c r="M163" s="157"/>
      <c r="T163" s="158"/>
      <c r="AT163" s="153" t="s">
        <v>138</v>
      </c>
      <c r="AU163" s="153" t="s">
        <v>81</v>
      </c>
      <c r="AV163" s="13" t="s">
        <v>134</v>
      </c>
      <c r="AW163" s="13" t="s">
        <v>33</v>
      </c>
      <c r="AX163" s="13" t="s">
        <v>79</v>
      </c>
      <c r="AY163" s="153" t="s">
        <v>127</v>
      </c>
    </row>
    <row r="164" spans="2:65" s="1" customFormat="1" ht="21.75" customHeight="1">
      <c r="B164" s="32"/>
      <c r="C164" s="127" t="s">
        <v>8</v>
      </c>
      <c r="D164" s="127" t="s">
        <v>129</v>
      </c>
      <c r="E164" s="128" t="s">
        <v>724</v>
      </c>
      <c r="F164" s="129" t="s">
        <v>725</v>
      </c>
      <c r="G164" s="130" t="s">
        <v>304</v>
      </c>
      <c r="H164" s="131">
        <v>26</v>
      </c>
      <c r="I164" s="132"/>
      <c r="J164" s="133">
        <f>ROUND(I164*H164,2)</f>
        <v>0</v>
      </c>
      <c r="K164" s="129" t="s">
        <v>133</v>
      </c>
      <c r="L164" s="32"/>
      <c r="M164" s="134" t="s">
        <v>19</v>
      </c>
      <c r="N164" s="135" t="s">
        <v>42</v>
      </c>
      <c r="P164" s="136">
        <f>O164*H164</f>
        <v>0</v>
      </c>
      <c r="Q164" s="136">
        <v>5.4550000000000001E-2</v>
      </c>
      <c r="R164" s="136">
        <f>Q164*H164</f>
        <v>1.4183000000000001</v>
      </c>
      <c r="S164" s="136">
        <v>0</v>
      </c>
      <c r="T164" s="137">
        <f>S164*H164</f>
        <v>0</v>
      </c>
      <c r="AR164" s="138" t="s">
        <v>134</v>
      </c>
      <c r="AT164" s="138" t="s">
        <v>129</v>
      </c>
      <c r="AU164" s="138" t="s">
        <v>81</v>
      </c>
      <c r="AY164" s="17" t="s">
        <v>127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79</v>
      </c>
      <c r="BK164" s="139">
        <f>ROUND(I164*H164,2)</f>
        <v>0</v>
      </c>
      <c r="BL164" s="17" t="s">
        <v>134</v>
      </c>
      <c r="BM164" s="138" t="s">
        <v>726</v>
      </c>
    </row>
    <row r="165" spans="2:65" s="1" customFormat="1">
      <c r="B165" s="32"/>
      <c r="D165" s="140" t="s">
        <v>136</v>
      </c>
      <c r="F165" s="141" t="s">
        <v>727</v>
      </c>
      <c r="I165" s="142"/>
      <c r="L165" s="32"/>
      <c r="M165" s="143"/>
      <c r="T165" s="51"/>
      <c r="AT165" s="17" t="s">
        <v>136</v>
      </c>
      <c r="AU165" s="17" t="s">
        <v>81</v>
      </c>
    </row>
    <row r="166" spans="2:65" s="12" customFormat="1">
      <c r="B166" s="144"/>
      <c r="D166" s="145" t="s">
        <v>138</v>
      </c>
      <c r="E166" s="146" t="s">
        <v>19</v>
      </c>
      <c r="F166" s="147" t="s">
        <v>728</v>
      </c>
      <c r="H166" s="148">
        <v>20</v>
      </c>
      <c r="I166" s="149"/>
      <c r="L166" s="144"/>
      <c r="M166" s="150"/>
      <c r="T166" s="151"/>
      <c r="AT166" s="146" t="s">
        <v>138</v>
      </c>
      <c r="AU166" s="146" t="s">
        <v>81</v>
      </c>
      <c r="AV166" s="12" t="s">
        <v>81</v>
      </c>
      <c r="AW166" s="12" t="s">
        <v>33</v>
      </c>
      <c r="AX166" s="12" t="s">
        <v>71</v>
      </c>
      <c r="AY166" s="146" t="s">
        <v>127</v>
      </c>
    </row>
    <row r="167" spans="2:65" s="12" customFormat="1">
      <c r="B167" s="144"/>
      <c r="D167" s="145" t="s">
        <v>138</v>
      </c>
      <c r="E167" s="146" t="s">
        <v>19</v>
      </c>
      <c r="F167" s="147" t="s">
        <v>729</v>
      </c>
      <c r="H167" s="148">
        <v>6</v>
      </c>
      <c r="I167" s="149"/>
      <c r="L167" s="144"/>
      <c r="M167" s="150"/>
      <c r="T167" s="151"/>
      <c r="AT167" s="146" t="s">
        <v>138</v>
      </c>
      <c r="AU167" s="146" t="s">
        <v>81</v>
      </c>
      <c r="AV167" s="12" t="s">
        <v>81</v>
      </c>
      <c r="AW167" s="12" t="s">
        <v>33</v>
      </c>
      <c r="AX167" s="12" t="s">
        <v>71</v>
      </c>
      <c r="AY167" s="146" t="s">
        <v>127</v>
      </c>
    </row>
    <row r="168" spans="2:65" s="13" customFormat="1">
      <c r="B168" s="152"/>
      <c r="D168" s="145" t="s">
        <v>138</v>
      </c>
      <c r="E168" s="153" t="s">
        <v>19</v>
      </c>
      <c r="F168" s="154" t="s">
        <v>152</v>
      </c>
      <c r="H168" s="155">
        <v>26</v>
      </c>
      <c r="I168" s="156"/>
      <c r="L168" s="152"/>
      <c r="M168" s="157"/>
      <c r="T168" s="158"/>
      <c r="AT168" s="153" t="s">
        <v>138</v>
      </c>
      <c r="AU168" s="153" t="s">
        <v>81</v>
      </c>
      <c r="AV168" s="13" t="s">
        <v>134</v>
      </c>
      <c r="AW168" s="13" t="s">
        <v>33</v>
      </c>
      <c r="AX168" s="13" t="s">
        <v>79</v>
      </c>
      <c r="AY168" s="153" t="s">
        <v>127</v>
      </c>
    </row>
    <row r="169" spans="2:65" s="1" customFormat="1" ht="21.75" customHeight="1">
      <c r="B169" s="32"/>
      <c r="C169" s="127" t="s">
        <v>229</v>
      </c>
      <c r="D169" s="127" t="s">
        <v>129</v>
      </c>
      <c r="E169" s="128" t="s">
        <v>730</v>
      </c>
      <c r="F169" s="129" t="s">
        <v>731</v>
      </c>
      <c r="G169" s="130" t="s">
        <v>304</v>
      </c>
      <c r="H169" s="131">
        <v>5</v>
      </c>
      <c r="I169" s="132"/>
      <c r="J169" s="133">
        <f>ROUND(I169*H169,2)</f>
        <v>0</v>
      </c>
      <c r="K169" s="129" t="s">
        <v>133</v>
      </c>
      <c r="L169" s="32"/>
      <c r="M169" s="134" t="s">
        <v>19</v>
      </c>
      <c r="N169" s="135" t="s">
        <v>42</v>
      </c>
      <c r="P169" s="136">
        <f>O169*H169</f>
        <v>0</v>
      </c>
      <c r="Q169" s="136">
        <v>8.1850000000000006E-2</v>
      </c>
      <c r="R169" s="136">
        <f>Q169*H169</f>
        <v>0.40925</v>
      </c>
      <c r="S169" s="136">
        <v>0</v>
      </c>
      <c r="T169" s="137">
        <f>S169*H169</f>
        <v>0</v>
      </c>
      <c r="AR169" s="138" t="s">
        <v>134</v>
      </c>
      <c r="AT169" s="138" t="s">
        <v>129</v>
      </c>
      <c r="AU169" s="138" t="s">
        <v>81</v>
      </c>
      <c r="AY169" s="17" t="s">
        <v>127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79</v>
      </c>
      <c r="BK169" s="139">
        <f>ROUND(I169*H169,2)</f>
        <v>0</v>
      </c>
      <c r="BL169" s="17" t="s">
        <v>134</v>
      </c>
      <c r="BM169" s="138" t="s">
        <v>732</v>
      </c>
    </row>
    <row r="170" spans="2:65" s="1" customFormat="1">
      <c r="B170" s="32"/>
      <c r="D170" s="140" t="s">
        <v>136</v>
      </c>
      <c r="F170" s="141" t="s">
        <v>733</v>
      </c>
      <c r="I170" s="142"/>
      <c r="L170" s="32"/>
      <c r="M170" s="143"/>
      <c r="T170" s="51"/>
      <c r="AT170" s="17" t="s">
        <v>136</v>
      </c>
      <c r="AU170" s="17" t="s">
        <v>81</v>
      </c>
    </row>
    <row r="171" spans="2:65" s="12" customFormat="1">
      <c r="B171" s="144"/>
      <c r="D171" s="145" t="s">
        <v>138</v>
      </c>
      <c r="E171" s="146" t="s">
        <v>19</v>
      </c>
      <c r="F171" s="147" t="s">
        <v>734</v>
      </c>
      <c r="H171" s="148">
        <v>5</v>
      </c>
      <c r="I171" s="149"/>
      <c r="L171" s="144"/>
      <c r="M171" s="150"/>
      <c r="T171" s="151"/>
      <c r="AT171" s="146" t="s">
        <v>138</v>
      </c>
      <c r="AU171" s="146" t="s">
        <v>81</v>
      </c>
      <c r="AV171" s="12" t="s">
        <v>81</v>
      </c>
      <c r="AW171" s="12" t="s">
        <v>33</v>
      </c>
      <c r="AX171" s="12" t="s">
        <v>79</v>
      </c>
      <c r="AY171" s="146" t="s">
        <v>127</v>
      </c>
    </row>
    <row r="172" spans="2:65" s="1" customFormat="1" ht="16.5" customHeight="1">
      <c r="B172" s="32"/>
      <c r="C172" s="127" t="s">
        <v>235</v>
      </c>
      <c r="D172" s="127" t="s">
        <v>129</v>
      </c>
      <c r="E172" s="128" t="s">
        <v>735</v>
      </c>
      <c r="F172" s="129" t="s">
        <v>736</v>
      </c>
      <c r="G172" s="130" t="s">
        <v>147</v>
      </c>
      <c r="H172" s="131">
        <v>12.201000000000001</v>
      </c>
      <c r="I172" s="132"/>
      <c r="J172" s="133">
        <f>ROUND(I172*H172,2)</f>
        <v>0</v>
      </c>
      <c r="K172" s="129" t="s">
        <v>133</v>
      </c>
      <c r="L172" s="32"/>
      <c r="M172" s="134" t="s">
        <v>19</v>
      </c>
      <c r="N172" s="135" t="s">
        <v>42</v>
      </c>
      <c r="P172" s="136">
        <f>O172*H172</f>
        <v>0</v>
      </c>
      <c r="Q172" s="136">
        <v>1.94302</v>
      </c>
      <c r="R172" s="136">
        <f>Q172*H172</f>
        <v>23.70678702</v>
      </c>
      <c r="S172" s="136">
        <v>0</v>
      </c>
      <c r="T172" s="137">
        <f>S172*H172</f>
        <v>0</v>
      </c>
      <c r="AR172" s="138" t="s">
        <v>134</v>
      </c>
      <c r="AT172" s="138" t="s">
        <v>129</v>
      </c>
      <c r="AU172" s="138" t="s">
        <v>81</v>
      </c>
      <c r="AY172" s="17" t="s">
        <v>127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79</v>
      </c>
      <c r="BK172" s="139">
        <f>ROUND(I172*H172,2)</f>
        <v>0</v>
      </c>
      <c r="BL172" s="17" t="s">
        <v>134</v>
      </c>
      <c r="BM172" s="138" t="s">
        <v>737</v>
      </c>
    </row>
    <row r="173" spans="2:65" s="1" customFormat="1">
      <c r="B173" s="32"/>
      <c r="D173" s="140" t="s">
        <v>136</v>
      </c>
      <c r="F173" s="141" t="s">
        <v>738</v>
      </c>
      <c r="I173" s="142"/>
      <c r="L173" s="32"/>
      <c r="M173" s="143"/>
      <c r="T173" s="51"/>
      <c r="AT173" s="17" t="s">
        <v>136</v>
      </c>
      <c r="AU173" s="17" t="s">
        <v>81</v>
      </c>
    </row>
    <row r="174" spans="2:65" s="12" customFormat="1">
      <c r="B174" s="144"/>
      <c r="D174" s="145" t="s">
        <v>138</v>
      </c>
      <c r="E174" s="146" t="s">
        <v>19</v>
      </c>
      <c r="F174" s="147" t="s">
        <v>739</v>
      </c>
      <c r="H174" s="148">
        <v>7.35</v>
      </c>
      <c r="I174" s="149"/>
      <c r="L174" s="144"/>
      <c r="M174" s="150"/>
      <c r="T174" s="151"/>
      <c r="AT174" s="146" t="s">
        <v>138</v>
      </c>
      <c r="AU174" s="146" t="s">
        <v>81</v>
      </c>
      <c r="AV174" s="12" t="s">
        <v>81</v>
      </c>
      <c r="AW174" s="12" t="s">
        <v>33</v>
      </c>
      <c r="AX174" s="12" t="s">
        <v>71</v>
      </c>
      <c r="AY174" s="146" t="s">
        <v>127</v>
      </c>
    </row>
    <row r="175" spans="2:65" s="12" customFormat="1">
      <c r="B175" s="144"/>
      <c r="D175" s="145" t="s">
        <v>138</v>
      </c>
      <c r="E175" s="146" t="s">
        <v>19</v>
      </c>
      <c r="F175" s="147" t="s">
        <v>740</v>
      </c>
      <c r="H175" s="148">
        <v>0.315</v>
      </c>
      <c r="I175" s="149"/>
      <c r="L175" s="144"/>
      <c r="M175" s="150"/>
      <c r="T175" s="151"/>
      <c r="AT175" s="146" t="s">
        <v>138</v>
      </c>
      <c r="AU175" s="146" t="s">
        <v>81</v>
      </c>
      <c r="AV175" s="12" t="s">
        <v>81</v>
      </c>
      <c r="AW175" s="12" t="s">
        <v>33</v>
      </c>
      <c r="AX175" s="12" t="s">
        <v>71</v>
      </c>
      <c r="AY175" s="146" t="s">
        <v>127</v>
      </c>
    </row>
    <row r="176" spans="2:65" s="12" customFormat="1">
      <c r="B176" s="144"/>
      <c r="D176" s="145" t="s">
        <v>138</v>
      </c>
      <c r="E176" s="146" t="s">
        <v>19</v>
      </c>
      <c r="F176" s="147" t="s">
        <v>741</v>
      </c>
      <c r="H176" s="148">
        <v>4.5359999999999996</v>
      </c>
      <c r="I176" s="149"/>
      <c r="L176" s="144"/>
      <c r="M176" s="150"/>
      <c r="T176" s="151"/>
      <c r="AT176" s="146" t="s">
        <v>138</v>
      </c>
      <c r="AU176" s="146" t="s">
        <v>81</v>
      </c>
      <c r="AV176" s="12" t="s">
        <v>81</v>
      </c>
      <c r="AW176" s="12" t="s">
        <v>33</v>
      </c>
      <c r="AX176" s="12" t="s">
        <v>71</v>
      </c>
      <c r="AY176" s="146" t="s">
        <v>127</v>
      </c>
    </row>
    <row r="177" spans="2:65" s="13" customFormat="1">
      <c r="B177" s="152"/>
      <c r="D177" s="145" t="s">
        <v>138</v>
      </c>
      <c r="E177" s="153" t="s">
        <v>19</v>
      </c>
      <c r="F177" s="154" t="s">
        <v>152</v>
      </c>
      <c r="H177" s="155">
        <v>12.201000000000001</v>
      </c>
      <c r="I177" s="156"/>
      <c r="L177" s="152"/>
      <c r="M177" s="157"/>
      <c r="T177" s="158"/>
      <c r="AT177" s="153" t="s">
        <v>138</v>
      </c>
      <c r="AU177" s="153" t="s">
        <v>81</v>
      </c>
      <c r="AV177" s="13" t="s">
        <v>134</v>
      </c>
      <c r="AW177" s="13" t="s">
        <v>33</v>
      </c>
      <c r="AX177" s="13" t="s">
        <v>79</v>
      </c>
      <c r="AY177" s="153" t="s">
        <v>127</v>
      </c>
    </row>
    <row r="178" spans="2:65" s="1" customFormat="1" ht="16.5" customHeight="1">
      <c r="B178" s="32"/>
      <c r="C178" s="127" t="s">
        <v>241</v>
      </c>
      <c r="D178" s="127" t="s">
        <v>129</v>
      </c>
      <c r="E178" s="128" t="s">
        <v>742</v>
      </c>
      <c r="F178" s="129" t="s">
        <v>743</v>
      </c>
      <c r="G178" s="130" t="s">
        <v>132</v>
      </c>
      <c r="H178" s="131">
        <v>50.4</v>
      </c>
      <c r="I178" s="132"/>
      <c r="J178" s="133">
        <f>ROUND(I178*H178,2)</f>
        <v>0</v>
      </c>
      <c r="K178" s="129" t="s">
        <v>133</v>
      </c>
      <c r="L178" s="32"/>
      <c r="M178" s="134" t="s">
        <v>19</v>
      </c>
      <c r="N178" s="135" t="s">
        <v>42</v>
      </c>
      <c r="P178" s="136">
        <f>O178*H178</f>
        <v>0</v>
      </c>
      <c r="Q178" s="136">
        <v>2.5200000000000001E-3</v>
      </c>
      <c r="R178" s="136">
        <f>Q178*H178</f>
        <v>0.12700800000000001</v>
      </c>
      <c r="S178" s="136">
        <v>0</v>
      </c>
      <c r="T178" s="137">
        <f>S178*H178</f>
        <v>0</v>
      </c>
      <c r="AR178" s="138" t="s">
        <v>134</v>
      </c>
      <c r="AT178" s="138" t="s">
        <v>129</v>
      </c>
      <c r="AU178" s="138" t="s">
        <v>81</v>
      </c>
      <c r="AY178" s="17" t="s">
        <v>127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79</v>
      </c>
      <c r="BK178" s="139">
        <f>ROUND(I178*H178,2)</f>
        <v>0</v>
      </c>
      <c r="BL178" s="17" t="s">
        <v>134</v>
      </c>
      <c r="BM178" s="138" t="s">
        <v>744</v>
      </c>
    </row>
    <row r="179" spans="2:65" s="1" customFormat="1">
      <c r="B179" s="32"/>
      <c r="D179" s="140" t="s">
        <v>136</v>
      </c>
      <c r="F179" s="141" t="s">
        <v>745</v>
      </c>
      <c r="I179" s="142"/>
      <c r="L179" s="32"/>
      <c r="M179" s="143"/>
      <c r="T179" s="51"/>
      <c r="AT179" s="17" t="s">
        <v>136</v>
      </c>
      <c r="AU179" s="17" t="s">
        <v>81</v>
      </c>
    </row>
    <row r="180" spans="2:65" s="12" customFormat="1">
      <c r="B180" s="144"/>
      <c r="D180" s="145" t="s">
        <v>138</v>
      </c>
      <c r="E180" s="146" t="s">
        <v>19</v>
      </c>
      <c r="F180" s="147" t="s">
        <v>728</v>
      </c>
      <c r="H180" s="148">
        <v>20</v>
      </c>
      <c r="I180" s="149"/>
      <c r="L180" s="144"/>
      <c r="M180" s="150"/>
      <c r="T180" s="151"/>
      <c r="AT180" s="146" t="s">
        <v>138</v>
      </c>
      <c r="AU180" s="146" t="s">
        <v>81</v>
      </c>
      <c r="AV180" s="12" t="s">
        <v>81</v>
      </c>
      <c r="AW180" s="12" t="s">
        <v>33</v>
      </c>
      <c r="AX180" s="12" t="s">
        <v>71</v>
      </c>
      <c r="AY180" s="146" t="s">
        <v>127</v>
      </c>
    </row>
    <row r="181" spans="2:65" s="12" customFormat="1">
      <c r="B181" s="144"/>
      <c r="D181" s="145" t="s">
        <v>138</v>
      </c>
      <c r="E181" s="146" t="s">
        <v>19</v>
      </c>
      <c r="F181" s="147" t="s">
        <v>746</v>
      </c>
      <c r="H181" s="148">
        <v>30.4</v>
      </c>
      <c r="I181" s="149"/>
      <c r="L181" s="144"/>
      <c r="M181" s="150"/>
      <c r="T181" s="151"/>
      <c r="AT181" s="146" t="s">
        <v>138</v>
      </c>
      <c r="AU181" s="146" t="s">
        <v>81</v>
      </c>
      <c r="AV181" s="12" t="s">
        <v>81</v>
      </c>
      <c r="AW181" s="12" t="s">
        <v>33</v>
      </c>
      <c r="AX181" s="12" t="s">
        <v>71</v>
      </c>
      <c r="AY181" s="146" t="s">
        <v>127</v>
      </c>
    </row>
    <row r="182" spans="2:65" s="13" customFormat="1">
      <c r="B182" s="152"/>
      <c r="D182" s="145" t="s">
        <v>138</v>
      </c>
      <c r="E182" s="153" t="s">
        <v>19</v>
      </c>
      <c r="F182" s="154" t="s">
        <v>152</v>
      </c>
      <c r="H182" s="155">
        <v>50.4</v>
      </c>
      <c r="I182" s="156"/>
      <c r="L182" s="152"/>
      <c r="M182" s="157"/>
      <c r="T182" s="158"/>
      <c r="AT182" s="153" t="s">
        <v>138</v>
      </c>
      <c r="AU182" s="153" t="s">
        <v>81</v>
      </c>
      <c r="AV182" s="13" t="s">
        <v>134</v>
      </c>
      <c r="AW182" s="13" t="s">
        <v>33</v>
      </c>
      <c r="AX182" s="13" t="s">
        <v>79</v>
      </c>
      <c r="AY182" s="153" t="s">
        <v>127</v>
      </c>
    </row>
    <row r="183" spans="2:65" s="11" customFormat="1" ht="22.9" customHeight="1">
      <c r="B183" s="115"/>
      <c r="D183" s="116" t="s">
        <v>70</v>
      </c>
      <c r="E183" s="125" t="s">
        <v>134</v>
      </c>
      <c r="F183" s="125" t="s">
        <v>747</v>
      </c>
      <c r="I183" s="118"/>
      <c r="J183" s="126">
        <f>BK183</f>
        <v>0</v>
      </c>
      <c r="L183" s="115"/>
      <c r="M183" s="120"/>
      <c r="P183" s="121">
        <f>SUM(P184:P231)</f>
        <v>0</v>
      </c>
      <c r="R183" s="121">
        <f>SUM(R184:R231)</f>
        <v>36.677740880000002</v>
      </c>
      <c r="T183" s="122">
        <f>SUM(T184:T231)</f>
        <v>0</v>
      </c>
      <c r="AR183" s="116" t="s">
        <v>79</v>
      </c>
      <c r="AT183" s="123" t="s">
        <v>70</v>
      </c>
      <c r="AU183" s="123" t="s">
        <v>79</v>
      </c>
      <c r="AY183" s="116" t="s">
        <v>127</v>
      </c>
      <c r="BK183" s="124">
        <f>SUM(BK184:BK231)</f>
        <v>0</v>
      </c>
    </row>
    <row r="184" spans="2:65" s="1" customFormat="1" ht="24.2" customHeight="1">
      <c r="B184" s="32"/>
      <c r="C184" s="127" t="s">
        <v>248</v>
      </c>
      <c r="D184" s="127" t="s">
        <v>129</v>
      </c>
      <c r="E184" s="128" t="s">
        <v>748</v>
      </c>
      <c r="F184" s="129" t="s">
        <v>749</v>
      </c>
      <c r="G184" s="130" t="s">
        <v>304</v>
      </c>
      <c r="H184" s="131">
        <v>141</v>
      </c>
      <c r="I184" s="132"/>
      <c r="J184" s="133">
        <f>ROUND(I184*H184,2)</f>
        <v>0</v>
      </c>
      <c r="K184" s="129" t="s">
        <v>133</v>
      </c>
      <c r="L184" s="32"/>
      <c r="M184" s="134" t="s">
        <v>19</v>
      </c>
      <c r="N184" s="135" t="s">
        <v>42</v>
      </c>
      <c r="P184" s="136">
        <f>O184*H184</f>
        <v>0</v>
      </c>
      <c r="Q184" s="136">
        <v>4.5900000000000003E-3</v>
      </c>
      <c r="R184" s="136">
        <f>Q184*H184</f>
        <v>0.64719000000000004</v>
      </c>
      <c r="S184" s="136">
        <v>0</v>
      </c>
      <c r="T184" s="137">
        <f>S184*H184</f>
        <v>0</v>
      </c>
      <c r="AR184" s="138" t="s">
        <v>134</v>
      </c>
      <c r="AT184" s="138" t="s">
        <v>129</v>
      </c>
      <c r="AU184" s="138" t="s">
        <v>81</v>
      </c>
      <c r="AY184" s="17" t="s">
        <v>127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79</v>
      </c>
      <c r="BK184" s="139">
        <f>ROUND(I184*H184,2)</f>
        <v>0</v>
      </c>
      <c r="BL184" s="17" t="s">
        <v>134</v>
      </c>
      <c r="BM184" s="138" t="s">
        <v>750</v>
      </c>
    </row>
    <row r="185" spans="2:65" s="1" customFormat="1">
      <c r="B185" s="32"/>
      <c r="D185" s="140" t="s">
        <v>136</v>
      </c>
      <c r="F185" s="141" t="s">
        <v>751</v>
      </c>
      <c r="I185" s="142"/>
      <c r="L185" s="32"/>
      <c r="M185" s="143"/>
      <c r="T185" s="51"/>
      <c r="AT185" s="17" t="s">
        <v>136</v>
      </c>
      <c r="AU185" s="17" t="s">
        <v>81</v>
      </c>
    </row>
    <row r="186" spans="2:65" s="12" customFormat="1">
      <c r="B186" s="144"/>
      <c r="D186" s="145" t="s">
        <v>138</v>
      </c>
      <c r="E186" s="146" t="s">
        <v>19</v>
      </c>
      <c r="F186" s="147" t="s">
        <v>752</v>
      </c>
      <c r="H186" s="148">
        <v>27</v>
      </c>
      <c r="I186" s="149"/>
      <c r="L186" s="144"/>
      <c r="M186" s="150"/>
      <c r="T186" s="151"/>
      <c r="AT186" s="146" t="s">
        <v>138</v>
      </c>
      <c r="AU186" s="146" t="s">
        <v>81</v>
      </c>
      <c r="AV186" s="12" t="s">
        <v>81</v>
      </c>
      <c r="AW186" s="12" t="s">
        <v>33</v>
      </c>
      <c r="AX186" s="12" t="s">
        <v>71</v>
      </c>
      <c r="AY186" s="146" t="s">
        <v>127</v>
      </c>
    </row>
    <row r="187" spans="2:65" s="12" customFormat="1">
      <c r="B187" s="144"/>
      <c r="D187" s="145" t="s">
        <v>138</v>
      </c>
      <c r="E187" s="146" t="s">
        <v>19</v>
      </c>
      <c r="F187" s="147" t="s">
        <v>753</v>
      </c>
      <c r="H187" s="148">
        <v>28</v>
      </c>
      <c r="I187" s="149"/>
      <c r="L187" s="144"/>
      <c r="M187" s="150"/>
      <c r="T187" s="151"/>
      <c r="AT187" s="146" t="s">
        <v>138</v>
      </c>
      <c r="AU187" s="146" t="s">
        <v>81</v>
      </c>
      <c r="AV187" s="12" t="s">
        <v>81</v>
      </c>
      <c r="AW187" s="12" t="s">
        <v>33</v>
      </c>
      <c r="AX187" s="12" t="s">
        <v>71</v>
      </c>
      <c r="AY187" s="146" t="s">
        <v>127</v>
      </c>
    </row>
    <row r="188" spans="2:65" s="12" customFormat="1">
      <c r="B188" s="144"/>
      <c r="D188" s="145" t="s">
        <v>138</v>
      </c>
      <c r="E188" s="146" t="s">
        <v>19</v>
      </c>
      <c r="F188" s="147" t="s">
        <v>754</v>
      </c>
      <c r="H188" s="148">
        <v>77</v>
      </c>
      <c r="I188" s="149"/>
      <c r="L188" s="144"/>
      <c r="M188" s="150"/>
      <c r="T188" s="151"/>
      <c r="AT188" s="146" t="s">
        <v>138</v>
      </c>
      <c r="AU188" s="146" t="s">
        <v>81</v>
      </c>
      <c r="AV188" s="12" t="s">
        <v>81</v>
      </c>
      <c r="AW188" s="12" t="s">
        <v>33</v>
      </c>
      <c r="AX188" s="12" t="s">
        <v>71</v>
      </c>
      <c r="AY188" s="146" t="s">
        <v>127</v>
      </c>
    </row>
    <row r="189" spans="2:65" s="12" customFormat="1">
      <c r="B189" s="144"/>
      <c r="D189" s="145" t="s">
        <v>138</v>
      </c>
      <c r="E189" s="146" t="s">
        <v>19</v>
      </c>
      <c r="F189" s="147" t="s">
        <v>755</v>
      </c>
      <c r="H189" s="148">
        <v>9</v>
      </c>
      <c r="I189" s="149"/>
      <c r="L189" s="144"/>
      <c r="M189" s="150"/>
      <c r="T189" s="151"/>
      <c r="AT189" s="146" t="s">
        <v>138</v>
      </c>
      <c r="AU189" s="146" t="s">
        <v>81</v>
      </c>
      <c r="AV189" s="12" t="s">
        <v>81</v>
      </c>
      <c r="AW189" s="12" t="s">
        <v>33</v>
      </c>
      <c r="AX189" s="12" t="s">
        <v>71</v>
      </c>
      <c r="AY189" s="146" t="s">
        <v>127</v>
      </c>
    </row>
    <row r="190" spans="2:65" s="13" customFormat="1">
      <c r="B190" s="152"/>
      <c r="D190" s="145" t="s">
        <v>138</v>
      </c>
      <c r="E190" s="153" t="s">
        <v>19</v>
      </c>
      <c r="F190" s="154" t="s">
        <v>152</v>
      </c>
      <c r="H190" s="155">
        <v>141</v>
      </c>
      <c r="I190" s="156"/>
      <c r="L190" s="152"/>
      <c r="M190" s="157"/>
      <c r="T190" s="158"/>
      <c r="AT190" s="153" t="s">
        <v>138</v>
      </c>
      <c r="AU190" s="153" t="s">
        <v>81</v>
      </c>
      <c r="AV190" s="13" t="s">
        <v>134</v>
      </c>
      <c r="AW190" s="13" t="s">
        <v>33</v>
      </c>
      <c r="AX190" s="13" t="s">
        <v>79</v>
      </c>
      <c r="AY190" s="153" t="s">
        <v>127</v>
      </c>
    </row>
    <row r="191" spans="2:65" s="1" customFormat="1" ht="16.5" customHeight="1">
      <c r="B191" s="32"/>
      <c r="C191" s="159" t="s">
        <v>254</v>
      </c>
      <c r="D191" s="159" t="s">
        <v>413</v>
      </c>
      <c r="E191" s="160" t="s">
        <v>756</v>
      </c>
      <c r="F191" s="161" t="s">
        <v>757</v>
      </c>
      <c r="G191" s="162" t="s">
        <v>304</v>
      </c>
      <c r="H191" s="163">
        <v>77</v>
      </c>
      <c r="I191" s="164"/>
      <c r="J191" s="165">
        <f>ROUND(I191*H191,2)</f>
        <v>0</v>
      </c>
      <c r="K191" s="161" t="s">
        <v>133</v>
      </c>
      <c r="L191" s="166"/>
      <c r="M191" s="167" t="s">
        <v>19</v>
      </c>
      <c r="N191" s="168" t="s">
        <v>42</v>
      </c>
      <c r="P191" s="136">
        <f>O191*H191</f>
        <v>0</v>
      </c>
      <c r="Q191" s="136">
        <v>7.8E-2</v>
      </c>
      <c r="R191" s="136">
        <f>Q191*H191</f>
        <v>6.0060000000000002</v>
      </c>
      <c r="S191" s="136">
        <v>0</v>
      </c>
      <c r="T191" s="137">
        <f>S191*H191</f>
        <v>0</v>
      </c>
      <c r="AR191" s="138" t="s">
        <v>177</v>
      </c>
      <c r="AT191" s="138" t="s">
        <v>413</v>
      </c>
      <c r="AU191" s="138" t="s">
        <v>81</v>
      </c>
      <c r="AY191" s="17" t="s">
        <v>127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79</v>
      </c>
      <c r="BK191" s="139">
        <f>ROUND(I191*H191,2)</f>
        <v>0</v>
      </c>
      <c r="BL191" s="17" t="s">
        <v>134</v>
      </c>
      <c r="BM191" s="138" t="s">
        <v>758</v>
      </c>
    </row>
    <row r="192" spans="2:65" s="12" customFormat="1">
      <c r="B192" s="144"/>
      <c r="D192" s="145" t="s">
        <v>138</v>
      </c>
      <c r="E192" s="146" t="s">
        <v>19</v>
      </c>
      <c r="F192" s="147" t="s">
        <v>754</v>
      </c>
      <c r="H192" s="148">
        <v>77</v>
      </c>
      <c r="I192" s="149"/>
      <c r="L192" s="144"/>
      <c r="M192" s="150"/>
      <c r="T192" s="151"/>
      <c r="AT192" s="146" t="s">
        <v>138</v>
      </c>
      <c r="AU192" s="146" t="s">
        <v>81</v>
      </c>
      <c r="AV192" s="12" t="s">
        <v>81</v>
      </c>
      <c r="AW192" s="12" t="s">
        <v>33</v>
      </c>
      <c r="AX192" s="12" t="s">
        <v>79</v>
      </c>
      <c r="AY192" s="146" t="s">
        <v>127</v>
      </c>
    </row>
    <row r="193" spans="2:65" s="1" customFormat="1" ht="16.5" customHeight="1">
      <c r="B193" s="32"/>
      <c r="C193" s="159" t="s">
        <v>7</v>
      </c>
      <c r="D193" s="159" t="s">
        <v>413</v>
      </c>
      <c r="E193" s="160" t="s">
        <v>759</v>
      </c>
      <c r="F193" s="161" t="s">
        <v>760</v>
      </c>
      <c r="G193" s="162" t="s">
        <v>304</v>
      </c>
      <c r="H193" s="163">
        <v>28</v>
      </c>
      <c r="I193" s="164"/>
      <c r="J193" s="165">
        <f>ROUND(I193*H193,2)</f>
        <v>0</v>
      </c>
      <c r="K193" s="161" t="s">
        <v>19</v>
      </c>
      <c r="L193" s="166"/>
      <c r="M193" s="167" t="s">
        <v>19</v>
      </c>
      <c r="N193" s="168" t="s">
        <v>42</v>
      </c>
      <c r="P193" s="136">
        <f>O193*H193</f>
        <v>0</v>
      </c>
      <c r="Q193" s="136">
        <v>9.7000000000000003E-2</v>
      </c>
      <c r="R193" s="136">
        <f>Q193*H193</f>
        <v>2.7160000000000002</v>
      </c>
      <c r="S193" s="136">
        <v>0</v>
      </c>
      <c r="T193" s="137">
        <f>S193*H193</f>
        <v>0</v>
      </c>
      <c r="AR193" s="138" t="s">
        <v>177</v>
      </c>
      <c r="AT193" s="138" t="s">
        <v>413</v>
      </c>
      <c r="AU193" s="138" t="s">
        <v>81</v>
      </c>
      <c r="AY193" s="17" t="s">
        <v>127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79</v>
      </c>
      <c r="BK193" s="139">
        <f>ROUND(I193*H193,2)</f>
        <v>0</v>
      </c>
      <c r="BL193" s="17" t="s">
        <v>134</v>
      </c>
      <c r="BM193" s="138" t="s">
        <v>761</v>
      </c>
    </row>
    <row r="194" spans="2:65" s="12" customFormat="1">
      <c r="B194" s="144"/>
      <c r="D194" s="145" t="s">
        <v>138</v>
      </c>
      <c r="E194" s="146" t="s">
        <v>19</v>
      </c>
      <c r="F194" s="147" t="s">
        <v>753</v>
      </c>
      <c r="H194" s="148">
        <v>28</v>
      </c>
      <c r="I194" s="149"/>
      <c r="L194" s="144"/>
      <c r="M194" s="150"/>
      <c r="T194" s="151"/>
      <c r="AT194" s="146" t="s">
        <v>138</v>
      </c>
      <c r="AU194" s="146" t="s">
        <v>81</v>
      </c>
      <c r="AV194" s="12" t="s">
        <v>81</v>
      </c>
      <c r="AW194" s="12" t="s">
        <v>33</v>
      </c>
      <c r="AX194" s="12" t="s">
        <v>79</v>
      </c>
      <c r="AY194" s="146" t="s">
        <v>127</v>
      </c>
    </row>
    <row r="195" spans="2:65" s="1" customFormat="1" ht="16.5" customHeight="1">
      <c r="B195" s="32"/>
      <c r="C195" s="159" t="s">
        <v>267</v>
      </c>
      <c r="D195" s="159" t="s">
        <v>413</v>
      </c>
      <c r="E195" s="160" t="s">
        <v>762</v>
      </c>
      <c r="F195" s="161" t="s">
        <v>763</v>
      </c>
      <c r="G195" s="162" t="s">
        <v>304</v>
      </c>
      <c r="H195" s="163">
        <v>27</v>
      </c>
      <c r="I195" s="164"/>
      <c r="J195" s="165">
        <f>ROUND(I195*H195,2)</f>
        <v>0</v>
      </c>
      <c r="K195" s="161" t="s">
        <v>19</v>
      </c>
      <c r="L195" s="166"/>
      <c r="M195" s="167" t="s">
        <v>19</v>
      </c>
      <c r="N195" s="168" t="s">
        <v>42</v>
      </c>
      <c r="P195" s="136">
        <f>O195*H195</f>
        <v>0</v>
      </c>
      <c r="Q195" s="136">
        <v>9.7000000000000003E-2</v>
      </c>
      <c r="R195" s="136">
        <f>Q195*H195</f>
        <v>2.6190000000000002</v>
      </c>
      <c r="S195" s="136">
        <v>0</v>
      </c>
      <c r="T195" s="137">
        <f>S195*H195</f>
        <v>0</v>
      </c>
      <c r="AR195" s="138" t="s">
        <v>177</v>
      </c>
      <c r="AT195" s="138" t="s">
        <v>413</v>
      </c>
      <c r="AU195" s="138" t="s">
        <v>81</v>
      </c>
      <c r="AY195" s="17" t="s">
        <v>127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79</v>
      </c>
      <c r="BK195" s="139">
        <f>ROUND(I195*H195,2)</f>
        <v>0</v>
      </c>
      <c r="BL195" s="17" t="s">
        <v>134</v>
      </c>
      <c r="BM195" s="138" t="s">
        <v>764</v>
      </c>
    </row>
    <row r="196" spans="2:65" s="12" customFormat="1">
      <c r="B196" s="144"/>
      <c r="D196" s="145" t="s">
        <v>138</v>
      </c>
      <c r="E196" s="146" t="s">
        <v>19</v>
      </c>
      <c r="F196" s="147" t="s">
        <v>752</v>
      </c>
      <c r="H196" s="148">
        <v>27</v>
      </c>
      <c r="I196" s="149"/>
      <c r="L196" s="144"/>
      <c r="M196" s="150"/>
      <c r="T196" s="151"/>
      <c r="AT196" s="146" t="s">
        <v>138</v>
      </c>
      <c r="AU196" s="146" t="s">
        <v>81</v>
      </c>
      <c r="AV196" s="12" t="s">
        <v>81</v>
      </c>
      <c r="AW196" s="12" t="s">
        <v>33</v>
      </c>
      <c r="AX196" s="12" t="s">
        <v>79</v>
      </c>
      <c r="AY196" s="146" t="s">
        <v>127</v>
      </c>
    </row>
    <row r="197" spans="2:65" s="1" customFormat="1" ht="16.5" customHeight="1">
      <c r="B197" s="32"/>
      <c r="C197" s="159" t="s">
        <v>273</v>
      </c>
      <c r="D197" s="159" t="s">
        <v>413</v>
      </c>
      <c r="E197" s="160" t="s">
        <v>765</v>
      </c>
      <c r="F197" s="161" t="s">
        <v>766</v>
      </c>
      <c r="G197" s="162" t="s">
        <v>304</v>
      </c>
      <c r="H197" s="163">
        <v>9</v>
      </c>
      <c r="I197" s="164"/>
      <c r="J197" s="165">
        <f>ROUND(I197*H197,2)</f>
        <v>0</v>
      </c>
      <c r="K197" s="161" t="s">
        <v>19</v>
      </c>
      <c r="L197" s="166"/>
      <c r="M197" s="167" t="s">
        <v>19</v>
      </c>
      <c r="N197" s="168" t="s">
        <v>42</v>
      </c>
      <c r="P197" s="136">
        <f>O197*H197</f>
        <v>0</v>
      </c>
      <c r="Q197" s="136">
        <v>0.11700000000000001</v>
      </c>
      <c r="R197" s="136">
        <f>Q197*H197</f>
        <v>1.0530000000000002</v>
      </c>
      <c r="S197" s="136">
        <v>0</v>
      </c>
      <c r="T197" s="137">
        <f>S197*H197</f>
        <v>0</v>
      </c>
      <c r="AR197" s="138" t="s">
        <v>177</v>
      </c>
      <c r="AT197" s="138" t="s">
        <v>413</v>
      </c>
      <c r="AU197" s="138" t="s">
        <v>81</v>
      </c>
      <c r="AY197" s="17" t="s">
        <v>127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79</v>
      </c>
      <c r="BK197" s="139">
        <f>ROUND(I197*H197,2)</f>
        <v>0</v>
      </c>
      <c r="BL197" s="17" t="s">
        <v>134</v>
      </c>
      <c r="BM197" s="138" t="s">
        <v>767</v>
      </c>
    </row>
    <row r="198" spans="2:65" s="12" customFormat="1">
      <c r="B198" s="144"/>
      <c r="D198" s="145" t="s">
        <v>138</v>
      </c>
      <c r="E198" s="146" t="s">
        <v>19</v>
      </c>
      <c r="F198" s="147" t="s">
        <v>755</v>
      </c>
      <c r="H198" s="148">
        <v>9</v>
      </c>
      <c r="I198" s="149"/>
      <c r="L198" s="144"/>
      <c r="M198" s="150"/>
      <c r="T198" s="151"/>
      <c r="AT198" s="146" t="s">
        <v>138</v>
      </c>
      <c r="AU198" s="146" t="s">
        <v>81</v>
      </c>
      <c r="AV198" s="12" t="s">
        <v>81</v>
      </c>
      <c r="AW198" s="12" t="s">
        <v>33</v>
      </c>
      <c r="AX198" s="12" t="s">
        <v>79</v>
      </c>
      <c r="AY198" s="146" t="s">
        <v>127</v>
      </c>
    </row>
    <row r="199" spans="2:65" s="1" customFormat="1" ht="16.5" customHeight="1">
      <c r="B199" s="32"/>
      <c r="C199" s="127" t="s">
        <v>281</v>
      </c>
      <c r="D199" s="127" t="s">
        <v>129</v>
      </c>
      <c r="E199" s="128" t="s">
        <v>768</v>
      </c>
      <c r="F199" s="129" t="s">
        <v>769</v>
      </c>
      <c r="G199" s="130" t="s">
        <v>147</v>
      </c>
      <c r="H199" s="131">
        <v>4.8179999999999996</v>
      </c>
      <c r="I199" s="132"/>
      <c r="J199" s="133">
        <f>ROUND(I199*H199,2)</f>
        <v>0</v>
      </c>
      <c r="K199" s="129" t="s">
        <v>133</v>
      </c>
      <c r="L199" s="32"/>
      <c r="M199" s="134" t="s">
        <v>19</v>
      </c>
      <c r="N199" s="135" t="s">
        <v>42</v>
      </c>
      <c r="P199" s="136">
        <f>O199*H199</f>
        <v>0</v>
      </c>
      <c r="Q199" s="136">
        <v>2.5019800000000001</v>
      </c>
      <c r="R199" s="136">
        <f>Q199*H199</f>
        <v>12.05453964</v>
      </c>
      <c r="S199" s="136">
        <v>0</v>
      </c>
      <c r="T199" s="137">
        <f>S199*H199</f>
        <v>0</v>
      </c>
      <c r="AR199" s="138" t="s">
        <v>134</v>
      </c>
      <c r="AT199" s="138" t="s">
        <v>129</v>
      </c>
      <c r="AU199" s="138" t="s">
        <v>81</v>
      </c>
      <c r="AY199" s="17" t="s">
        <v>127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79</v>
      </c>
      <c r="BK199" s="139">
        <f>ROUND(I199*H199,2)</f>
        <v>0</v>
      </c>
      <c r="BL199" s="17" t="s">
        <v>134</v>
      </c>
      <c r="BM199" s="138" t="s">
        <v>770</v>
      </c>
    </row>
    <row r="200" spans="2:65" s="1" customFormat="1">
      <c r="B200" s="32"/>
      <c r="D200" s="140" t="s">
        <v>136</v>
      </c>
      <c r="F200" s="141" t="s">
        <v>771</v>
      </c>
      <c r="I200" s="142"/>
      <c r="L200" s="32"/>
      <c r="M200" s="143"/>
      <c r="T200" s="51"/>
      <c r="AT200" s="17" t="s">
        <v>136</v>
      </c>
      <c r="AU200" s="17" t="s">
        <v>81</v>
      </c>
    </row>
    <row r="201" spans="2:65" s="12" customFormat="1">
      <c r="B201" s="144"/>
      <c r="D201" s="145" t="s">
        <v>138</v>
      </c>
      <c r="E201" s="146" t="s">
        <v>19</v>
      </c>
      <c r="F201" s="147" t="s">
        <v>772</v>
      </c>
      <c r="H201" s="148">
        <v>2.2799999999999998</v>
      </c>
      <c r="I201" s="149"/>
      <c r="L201" s="144"/>
      <c r="M201" s="150"/>
      <c r="T201" s="151"/>
      <c r="AT201" s="146" t="s">
        <v>138</v>
      </c>
      <c r="AU201" s="146" t="s">
        <v>81</v>
      </c>
      <c r="AV201" s="12" t="s">
        <v>81</v>
      </c>
      <c r="AW201" s="12" t="s">
        <v>33</v>
      </c>
      <c r="AX201" s="12" t="s">
        <v>71</v>
      </c>
      <c r="AY201" s="146" t="s">
        <v>127</v>
      </c>
    </row>
    <row r="202" spans="2:65" s="12" customFormat="1">
      <c r="B202" s="144"/>
      <c r="D202" s="145" t="s">
        <v>138</v>
      </c>
      <c r="E202" s="146" t="s">
        <v>19</v>
      </c>
      <c r="F202" s="147" t="s">
        <v>773</v>
      </c>
      <c r="H202" s="148">
        <v>1.75</v>
      </c>
      <c r="I202" s="149"/>
      <c r="L202" s="144"/>
      <c r="M202" s="150"/>
      <c r="T202" s="151"/>
      <c r="AT202" s="146" t="s">
        <v>138</v>
      </c>
      <c r="AU202" s="146" t="s">
        <v>81</v>
      </c>
      <c r="AV202" s="12" t="s">
        <v>81</v>
      </c>
      <c r="AW202" s="12" t="s">
        <v>33</v>
      </c>
      <c r="AX202" s="12" t="s">
        <v>71</v>
      </c>
      <c r="AY202" s="146" t="s">
        <v>127</v>
      </c>
    </row>
    <row r="203" spans="2:65" s="12" customFormat="1">
      <c r="B203" s="144"/>
      <c r="D203" s="145" t="s">
        <v>138</v>
      </c>
      <c r="E203" s="146" t="s">
        <v>19</v>
      </c>
      <c r="F203" s="147" t="s">
        <v>774</v>
      </c>
      <c r="H203" s="148">
        <v>0.78800000000000003</v>
      </c>
      <c r="I203" s="149"/>
      <c r="L203" s="144"/>
      <c r="M203" s="150"/>
      <c r="T203" s="151"/>
      <c r="AT203" s="146" t="s">
        <v>138</v>
      </c>
      <c r="AU203" s="146" t="s">
        <v>81</v>
      </c>
      <c r="AV203" s="12" t="s">
        <v>81</v>
      </c>
      <c r="AW203" s="12" t="s">
        <v>33</v>
      </c>
      <c r="AX203" s="12" t="s">
        <v>71</v>
      </c>
      <c r="AY203" s="146" t="s">
        <v>127</v>
      </c>
    </row>
    <row r="204" spans="2:65" s="13" customFormat="1">
      <c r="B204" s="152"/>
      <c r="D204" s="145" t="s">
        <v>138</v>
      </c>
      <c r="E204" s="153" t="s">
        <v>19</v>
      </c>
      <c r="F204" s="154" t="s">
        <v>152</v>
      </c>
      <c r="H204" s="155">
        <v>4.8179999999999996</v>
      </c>
      <c r="I204" s="156"/>
      <c r="L204" s="152"/>
      <c r="M204" s="157"/>
      <c r="T204" s="158"/>
      <c r="AT204" s="153" t="s">
        <v>138</v>
      </c>
      <c r="AU204" s="153" t="s">
        <v>81</v>
      </c>
      <c r="AV204" s="13" t="s">
        <v>134</v>
      </c>
      <c r="AW204" s="13" t="s">
        <v>33</v>
      </c>
      <c r="AX204" s="13" t="s">
        <v>79</v>
      </c>
      <c r="AY204" s="153" t="s">
        <v>127</v>
      </c>
    </row>
    <row r="205" spans="2:65" s="1" customFormat="1" ht="16.5" customHeight="1">
      <c r="B205" s="32"/>
      <c r="C205" s="127" t="s">
        <v>287</v>
      </c>
      <c r="D205" s="127" t="s">
        <v>129</v>
      </c>
      <c r="E205" s="128" t="s">
        <v>775</v>
      </c>
      <c r="F205" s="129" t="s">
        <v>776</v>
      </c>
      <c r="G205" s="130" t="s">
        <v>132</v>
      </c>
      <c r="H205" s="131">
        <v>33.67</v>
      </c>
      <c r="I205" s="132"/>
      <c r="J205" s="133">
        <f>ROUND(I205*H205,2)</f>
        <v>0</v>
      </c>
      <c r="K205" s="129" t="s">
        <v>133</v>
      </c>
      <c r="L205" s="32"/>
      <c r="M205" s="134" t="s">
        <v>19</v>
      </c>
      <c r="N205" s="135" t="s">
        <v>42</v>
      </c>
      <c r="P205" s="136">
        <f>O205*H205</f>
        <v>0</v>
      </c>
      <c r="Q205" s="136">
        <v>5.7600000000000004E-3</v>
      </c>
      <c r="R205" s="136">
        <f>Q205*H205</f>
        <v>0.19393920000000003</v>
      </c>
      <c r="S205" s="136">
        <v>0</v>
      </c>
      <c r="T205" s="137">
        <f>S205*H205</f>
        <v>0</v>
      </c>
      <c r="AR205" s="138" t="s">
        <v>134</v>
      </c>
      <c r="AT205" s="138" t="s">
        <v>129</v>
      </c>
      <c r="AU205" s="138" t="s">
        <v>81</v>
      </c>
      <c r="AY205" s="17" t="s">
        <v>127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79</v>
      </c>
      <c r="BK205" s="139">
        <f>ROUND(I205*H205,2)</f>
        <v>0</v>
      </c>
      <c r="BL205" s="17" t="s">
        <v>134</v>
      </c>
      <c r="BM205" s="138" t="s">
        <v>777</v>
      </c>
    </row>
    <row r="206" spans="2:65" s="1" customFormat="1">
      <c r="B206" s="32"/>
      <c r="D206" s="140" t="s">
        <v>136</v>
      </c>
      <c r="F206" s="141" t="s">
        <v>778</v>
      </c>
      <c r="I206" s="142"/>
      <c r="L206" s="32"/>
      <c r="M206" s="143"/>
      <c r="T206" s="51"/>
      <c r="AT206" s="17" t="s">
        <v>136</v>
      </c>
      <c r="AU206" s="17" t="s">
        <v>81</v>
      </c>
    </row>
    <row r="207" spans="2:65" s="12" customFormat="1">
      <c r="B207" s="144"/>
      <c r="D207" s="145" t="s">
        <v>138</v>
      </c>
      <c r="E207" s="146" t="s">
        <v>19</v>
      </c>
      <c r="F207" s="147" t="s">
        <v>779</v>
      </c>
      <c r="H207" s="148">
        <v>24.32</v>
      </c>
      <c r="I207" s="149"/>
      <c r="L207" s="144"/>
      <c r="M207" s="150"/>
      <c r="T207" s="151"/>
      <c r="AT207" s="146" t="s">
        <v>138</v>
      </c>
      <c r="AU207" s="146" t="s">
        <v>81</v>
      </c>
      <c r="AV207" s="12" t="s">
        <v>81</v>
      </c>
      <c r="AW207" s="12" t="s">
        <v>33</v>
      </c>
      <c r="AX207" s="12" t="s">
        <v>71</v>
      </c>
      <c r="AY207" s="146" t="s">
        <v>127</v>
      </c>
    </row>
    <row r="208" spans="2:65" s="12" customFormat="1">
      <c r="B208" s="144"/>
      <c r="D208" s="145" t="s">
        <v>138</v>
      </c>
      <c r="E208" s="146" t="s">
        <v>19</v>
      </c>
      <c r="F208" s="147" t="s">
        <v>780</v>
      </c>
      <c r="H208" s="148">
        <v>3.75</v>
      </c>
      <c r="I208" s="149"/>
      <c r="L208" s="144"/>
      <c r="M208" s="150"/>
      <c r="T208" s="151"/>
      <c r="AT208" s="146" t="s">
        <v>138</v>
      </c>
      <c r="AU208" s="146" t="s">
        <v>81</v>
      </c>
      <c r="AV208" s="12" t="s">
        <v>81</v>
      </c>
      <c r="AW208" s="12" t="s">
        <v>33</v>
      </c>
      <c r="AX208" s="12" t="s">
        <v>71</v>
      </c>
      <c r="AY208" s="146" t="s">
        <v>127</v>
      </c>
    </row>
    <row r="209" spans="2:65" s="12" customFormat="1">
      <c r="B209" s="144"/>
      <c r="D209" s="145" t="s">
        <v>138</v>
      </c>
      <c r="E209" s="146" t="s">
        <v>19</v>
      </c>
      <c r="F209" s="147" t="s">
        <v>781</v>
      </c>
      <c r="H209" s="148">
        <v>5.6</v>
      </c>
      <c r="I209" s="149"/>
      <c r="L209" s="144"/>
      <c r="M209" s="150"/>
      <c r="T209" s="151"/>
      <c r="AT209" s="146" t="s">
        <v>138</v>
      </c>
      <c r="AU209" s="146" t="s">
        <v>81</v>
      </c>
      <c r="AV209" s="12" t="s">
        <v>81</v>
      </c>
      <c r="AW209" s="12" t="s">
        <v>33</v>
      </c>
      <c r="AX209" s="12" t="s">
        <v>71</v>
      </c>
      <c r="AY209" s="146" t="s">
        <v>127</v>
      </c>
    </row>
    <row r="210" spans="2:65" s="13" customFormat="1">
      <c r="B210" s="152"/>
      <c r="D210" s="145" t="s">
        <v>138</v>
      </c>
      <c r="E210" s="153" t="s">
        <v>19</v>
      </c>
      <c r="F210" s="154" t="s">
        <v>152</v>
      </c>
      <c r="H210" s="155">
        <v>33.67</v>
      </c>
      <c r="I210" s="156"/>
      <c r="L210" s="152"/>
      <c r="M210" s="157"/>
      <c r="T210" s="158"/>
      <c r="AT210" s="153" t="s">
        <v>138</v>
      </c>
      <c r="AU210" s="153" t="s">
        <v>81</v>
      </c>
      <c r="AV210" s="13" t="s">
        <v>134</v>
      </c>
      <c r="AW210" s="13" t="s">
        <v>33</v>
      </c>
      <c r="AX210" s="13" t="s">
        <v>79</v>
      </c>
      <c r="AY210" s="153" t="s">
        <v>127</v>
      </c>
    </row>
    <row r="211" spans="2:65" s="1" customFormat="1" ht="16.5" customHeight="1">
      <c r="B211" s="32"/>
      <c r="C211" s="127" t="s">
        <v>293</v>
      </c>
      <c r="D211" s="127" t="s">
        <v>129</v>
      </c>
      <c r="E211" s="128" t="s">
        <v>782</v>
      </c>
      <c r="F211" s="129" t="s">
        <v>783</v>
      </c>
      <c r="G211" s="130" t="s">
        <v>132</v>
      </c>
      <c r="H211" s="131">
        <v>33.67</v>
      </c>
      <c r="I211" s="132"/>
      <c r="J211" s="133">
        <f>ROUND(I211*H211,2)</f>
        <v>0</v>
      </c>
      <c r="K211" s="129" t="s">
        <v>133</v>
      </c>
      <c r="L211" s="32"/>
      <c r="M211" s="134" t="s">
        <v>19</v>
      </c>
      <c r="N211" s="135" t="s">
        <v>42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134</v>
      </c>
      <c r="AT211" s="138" t="s">
        <v>129</v>
      </c>
      <c r="AU211" s="138" t="s">
        <v>81</v>
      </c>
      <c r="AY211" s="17" t="s">
        <v>127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79</v>
      </c>
      <c r="BK211" s="139">
        <f>ROUND(I211*H211,2)</f>
        <v>0</v>
      </c>
      <c r="BL211" s="17" t="s">
        <v>134</v>
      </c>
      <c r="BM211" s="138" t="s">
        <v>784</v>
      </c>
    </row>
    <row r="212" spans="2:65" s="1" customFormat="1">
      <c r="B212" s="32"/>
      <c r="D212" s="140" t="s">
        <v>136</v>
      </c>
      <c r="F212" s="141" t="s">
        <v>785</v>
      </c>
      <c r="I212" s="142"/>
      <c r="L212" s="32"/>
      <c r="M212" s="143"/>
      <c r="T212" s="51"/>
      <c r="AT212" s="17" t="s">
        <v>136</v>
      </c>
      <c r="AU212" s="17" t="s">
        <v>81</v>
      </c>
    </row>
    <row r="213" spans="2:65" s="1" customFormat="1" ht="16.5" customHeight="1">
      <c r="B213" s="32"/>
      <c r="C213" s="127" t="s">
        <v>301</v>
      </c>
      <c r="D213" s="127" t="s">
        <v>129</v>
      </c>
      <c r="E213" s="128" t="s">
        <v>786</v>
      </c>
      <c r="F213" s="129" t="s">
        <v>787</v>
      </c>
      <c r="G213" s="130" t="s">
        <v>173</v>
      </c>
      <c r="H213" s="131">
        <v>0.53100000000000003</v>
      </c>
      <c r="I213" s="132"/>
      <c r="J213" s="133">
        <f>ROUND(I213*H213,2)</f>
        <v>0</v>
      </c>
      <c r="K213" s="129" t="s">
        <v>133</v>
      </c>
      <c r="L213" s="32"/>
      <c r="M213" s="134" t="s">
        <v>19</v>
      </c>
      <c r="N213" s="135" t="s">
        <v>42</v>
      </c>
      <c r="P213" s="136">
        <f>O213*H213</f>
        <v>0</v>
      </c>
      <c r="Q213" s="136">
        <v>1.05291</v>
      </c>
      <c r="R213" s="136">
        <f>Q213*H213</f>
        <v>0.55909521000000006</v>
      </c>
      <c r="S213" s="136">
        <v>0</v>
      </c>
      <c r="T213" s="137">
        <f>S213*H213</f>
        <v>0</v>
      </c>
      <c r="AR213" s="138" t="s">
        <v>134</v>
      </c>
      <c r="AT213" s="138" t="s">
        <v>129</v>
      </c>
      <c r="AU213" s="138" t="s">
        <v>81</v>
      </c>
      <c r="AY213" s="17" t="s">
        <v>127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79</v>
      </c>
      <c r="BK213" s="139">
        <f>ROUND(I213*H213,2)</f>
        <v>0</v>
      </c>
      <c r="BL213" s="17" t="s">
        <v>134</v>
      </c>
      <c r="BM213" s="138" t="s">
        <v>788</v>
      </c>
    </row>
    <row r="214" spans="2:65" s="1" customFormat="1">
      <c r="B214" s="32"/>
      <c r="D214" s="140" t="s">
        <v>136</v>
      </c>
      <c r="F214" s="141" t="s">
        <v>789</v>
      </c>
      <c r="I214" s="142"/>
      <c r="L214" s="32"/>
      <c r="M214" s="143"/>
      <c r="T214" s="51"/>
      <c r="AT214" s="17" t="s">
        <v>136</v>
      </c>
      <c r="AU214" s="17" t="s">
        <v>81</v>
      </c>
    </row>
    <row r="215" spans="2:65" s="14" customFormat="1">
      <c r="B215" s="173"/>
      <c r="D215" s="145" t="s">
        <v>138</v>
      </c>
      <c r="E215" s="174" t="s">
        <v>19</v>
      </c>
      <c r="F215" s="175" t="s">
        <v>790</v>
      </c>
      <c r="H215" s="174" t="s">
        <v>19</v>
      </c>
      <c r="I215" s="176"/>
      <c r="L215" s="173"/>
      <c r="M215" s="177"/>
      <c r="T215" s="178"/>
      <c r="AT215" s="174" t="s">
        <v>138</v>
      </c>
      <c r="AU215" s="174" t="s">
        <v>81</v>
      </c>
      <c r="AV215" s="14" t="s">
        <v>79</v>
      </c>
      <c r="AW215" s="14" t="s">
        <v>33</v>
      </c>
      <c r="AX215" s="14" t="s">
        <v>71</v>
      </c>
      <c r="AY215" s="174" t="s">
        <v>127</v>
      </c>
    </row>
    <row r="216" spans="2:65" s="12" customFormat="1">
      <c r="B216" s="144"/>
      <c r="D216" s="145" t="s">
        <v>138</v>
      </c>
      <c r="E216" s="146" t="s">
        <v>19</v>
      </c>
      <c r="F216" s="147" t="s">
        <v>791</v>
      </c>
      <c r="H216" s="148">
        <v>0.251</v>
      </c>
      <c r="I216" s="149"/>
      <c r="L216" s="144"/>
      <c r="M216" s="150"/>
      <c r="T216" s="151"/>
      <c r="AT216" s="146" t="s">
        <v>138</v>
      </c>
      <c r="AU216" s="146" t="s">
        <v>81</v>
      </c>
      <c r="AV216" s="12" t="s">
        <v>81</v>
      </c>
      <c r="AW216" s="12" t="s">
        <v>33</v>
      </c>
      <c r="AX216" s="12" t="s">
        <v>71</v>
      </c>
      <c r="AY216" s="146" t="s">
        <v>127</v>
      </c>
    </row>
    <row r="217" spans="2:65" s="12" customFormat="1">
      <c r="B217" s="144"/>
      <c r="D217" s="145" t="s">
        <v>138</v>
      </c>
      <c r="E217" s="146" t="s">
        <v>19</v>
      </c>
      <c r="F217" s="147" t="s">
        <v>792</v>
      </c>
      <c r="H217" s="148">
        <v>0.193</v>
      </c>
      <c r="I217" s="149"/>
      <c r="L217" s="144"/>
      <c r="M217" s="150"/>
      <c r="T217" s="151"/>
      <c r="AT217" s="146" t="s">
        <v>138</v>
      </c>
      <c r="AU217" s="146" t="s">
        <v>81</v>
      </c>
      <c r="AV217" s="12" t="s">
        <v>81</v>
      </c>
      <c r="AW217" s="12" t="s">
        <v>33</v>
      </c>
      <c r="AX217" s="12" t="s">
        <v>71</v>
      </c>
      <c r="AY217" s="146" t="s">
        <v>127</v>
      </c>
    </row>
    <row r="218" spans="2:65" s="12" customFormat="1">
      <c r="B218" s="144"/>
      <c r="D218" s="145" t="s">
        <v>138</v>
      </c>
      <c r="E218" s="146" t="s">
        <v>19</v>
      </c>
      <c r="F218" s="147" t="s">
        <v>793</v>
      </c>
      <c r="H218" s="148">
        <v>8.6999999999999994E-2</v>
      </c>
      <c r="I218" s="149"/>
      <c r="L218" s="144"/>
      <c r="M218" s="150"/>
      <c r="T218" s="151"/>
      <c r="AT218" s="146" t="s">
        <v>138</v>
      </c>
      <c r="AU218" s="146" t="s">
        <v>81</v>
      </c>
      <c r="AV218" s="12" t="s">
        <v>81</v>
      </c>
      <c r="AW218" s="12" t="s">
        <v>33</v>
      </c>
      <c r="AX218" s="12" t="s">
        <v>71</v>
      </c>
      <c r="AY218" s="146" t="s">
        <v>127</v>
      </c>
    </row>
    <row r="219" spans="2:65" s="13" customFormat="1">
      <c r="B219" s="152"/>
      <c r="D219" s="145" t="s">
        <v>138</v>
      </c>
      <c r="E219" s="153" t="s">
        <v>19</v>
      </c>
      <c r="F219" s="154" t="s">
        <v>152</v>
      </c>
      <c r="H219" s="155">
        <v>0.53100000000000003</v>
      </c>
      <c r="I219" s="156"/>
      <c r="L219" s="152"/>
      <c r="M219" s="157"/>
      <c r="T219" s="158"/>
      <c r="AT219" s="153" t="s">
        <v>138</v>
      </c>
      <c r="AU219" s="153" t="s">
        <v>81</v>
      </c>
      <c r="AV219" s="13" t="s">
        <v>134</v>
      </c>
      <c r="AW219" s="13" t="s">
        <v>33</v>
      </c>
      <c r="AX219" s="13" t="s">
        <v>79</v>
      </c>
      <c r="AY219" s="153" t="s">
        <v>127</v>
      </c>
    </row>
    <row r="220" spans="2:65" s="1" customFormat="1" ht="24.2" customHeight="1">
      <c r="B220" s="32"/>
      <c r="C220" s="127" t="s">
        <v>310</v>
      </c>
      <c r="D220" s="127" t="s">
        <v>129</v>
      </c>
      <c r="E220" s="128" t="s">
        <v>794</v>
      </c>
      <c r="F220" s="129" t="s">
        <v>795</v>
      </c>
      <c r="G220" s="130" t="s">
        <v>147</v>
      </c>
      <c r="H220" s="131">
        <v>4.3550000000000004</v>
      </c>
      <c r="I220" s="132"/>
      <c r="J220" s="133">
        <f>ROUND(I220*H220,2)</f>
        <v>0</v>
      </c>
      <c r="K220" s="129" t="s">
        <v>133</v>
      </c>
      <c r="L220" s="32"/>
      <c r="M220" s="134" t="s">
        <v>19</v>
      </c>
      <c r="N220" s="135" t="s">
        <v>42</v>
      </c>
      <c r="P220" s="136">
        <f>O220*H220</f>
        <v>0</v>
      </c>
      <c r="Q220" s="136">
        <v>2.3010999999999999</v>
      </c>
      <c r="R220" s="136">
        <f>Q220*H220</f>
        <v>10.021290500000001</v>
      </c>
      <c r="S220" s="136">
        <v>0</v>
      </c>
      <c r="T220" s="137">
        <f>S220*H220</f>
        <v>0</v>
      </c>
      <c r="AR220" s="138" t="s">
        <v>134</v>
      </c>
      <c r="AT220" s="138" t="s">
        <v>129</v>
      </c>
      <c r="AU220" s="138" t="s">
        <v>81</v>
      </c>
      <c r="AY220" s="17" t="s">
        <v>127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79</v>
      </c>
      <c r="BK220" s="139">
        <f>ROUND(I220*H220,2)</f>
        <v>0</v>
      </c>
      <c r="BL220" s="17" t="s">
        <v>134</v>
      </c>
      <c r="BM220" s="138" t="s">
        <v>796</v>
      </c>
    </row>
    <row r="221" spans="2:65" s="1" customFormat="1">
      <c r="B221" s="32"/>
      <c r="D221" s="140" t="s">
        <v>136</v>
      </c>
      <c r="F221" s="141" t="s">
        <v>797</v>
      </c>
      <c r="I221" s="142"/>
      <c r="L221" s="32"/>
      <c r="M221" s="143"/>
      <c r="T221" s="51"/>
      <c r="AT221" s="17" t="s">
        <v>136</v>
      </c>
      <c r="AU221" s="17" t="s">
        <v>81</v>
      </c>
    </row>
    <row r="222" spans="2:65" s="12" customFormat="1">
      <c r="B222" s="144"/>
      <c r="D222" s="145" t="s">
        <v>138</v>
      </c>
      <c r="E222" s="146" t="s">
        <v>19</v>
      </c>
      <c r="F222" s="147" t="s">
        <v>798</v>
      </c>
      <c r="H222" s="148">
        <v>4.3550000000000004</v>
      </c>
      <c r="I222" s="149"/>
      <c r="L222" s="144"/>
      <c r="M222" s="150"/>
      <c r="T222" s="151"/>
      <c r="AT222" s="146" t="s">
        <v>138</v>
      </c>
      <c r="AU222" s="146" t="s">
        <v>81</v>
      </c>
      <c r="AV222" s="12" t="s">
        <v>81</v>
      </c>
      <c r="AW222" s="12" t="s">
        <v>33</v>
      </c>
      <c r="AX222" s="12" t="s">
        <v>79</v>
      </c>
      <c r="AY222" s="146" t="s">
        <v>127</v>
      </c>
    </row>
    <row r="223" spans="2:65" s="1" customFormat="1" ht="24.2" customHeight="1">
      <c r="B223" s="32"/>
      <c r="C223" s="127" t="s">
        <v>316</v>
      </c>
      <c r="D223" s="127" t="s">
        <v>129</v>
      </c>
      <c r="E223" s="128" t="s">
        <v>799</v>
      </c>
      <c r="F223" s="129" t="s">
        <v>800</v>
      </c>
      <c r="G223" s="130" t="s">
        <v>173</v>
      </c>
      <c r="H223" s="131">
        <v>0.65300000000000002</v>
      </c>
      <c r="I223" s="132"/>
      <c r="J223" s="133">
        <f>ROUND(I223*H223,2)</f>
        <v>0</v>
      </c>
      <c r="K223" s="129" t="s">
        <v>133</v>
      </c>
      <c r="L223" s="32"/>
      <c r="M223" s="134" t="s">
        <v>19</v>
      </c>
      <c r="N223" s="135" t="s">
        <v>42</v>
      </c>
      <c r="P223" s="136">
        <f>O223*H223</f>
        <v>0</v>
      </c>
      <c r="Q223" s="136">
        <v>1.0492699999999999</v>
      </c>
      <c r="R223" s="136">
        <f>Q223*H223</f>
        <v>0.68517330999999992</v>
      </c>
      <c r="S223" s="136">
        <v>0</v>
      </c>
      <c r="T223" s="137">
        <f>S223*H223</f>
        <v>0</v>
      </c>
      <c r="AR223" s="138" t="s">
        <v>134</v>
      </c>
      <c r="AT223" s="138" t="s">
        <v>129</v>
      </c>
      <c r="AU223" s="138" t="s">
        <v>81</v>
      </c>
      <c r="AY223" s="17" t="s">
        <v>127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79</v>
      </c>
      <c r="BK223" s="139">
        <f>ROUND(I223*H223,2)</f>
        <v>0</v>
      </c>
      <c r="BL223" s="17" t="s">
        <v>134</v>
      </c>
      <c r="BM223" s="138" t="s">
        <v>801</v>
      </c>
    </row>
    <row r="224" spans="2:65" s="1" customFormat="1">
      <c r="B224" s="32"/>
      <c r="D224" s="140" t="s">
        <v>136</v>
      </c>
      <c r="F224" s="141" t="s">
        <v>802</v>
      </c>
      <c r="I224" s="142"/>
      <c r="L224" s="32"/>
      <c r="M224" s="143"/>
      <c r="T224" s="51"/>
      <c r="AT224" s="17" t="s">
        <v>136</v>
      </c>
      <c r="AU224" s="17" t="s">
        <v>81</v>
      </c>
    </row>
    <row r="225" spans="2:65" s="14" customFormat="1">
      <c r="B225" s="173"/>
      <c r="D225" s="145" t="s">
        <v>138</v>
      </c>
      <c r="E225" s="174" t="s">
        <v>19</v>
      </c>
      <c r="F225" s="175" t="s">
        <v>803</v>
      </c>
      <c r="H225" s="174" t="s">
        <v>19</v>
      </c>
      <c r="I225" s="176"/>
      <c r="L225" s="173"/>
      <c r="M225" s="177"/>
      <c r="T225" s="178"/>
      <c r="AT225" s="174" t="s">
        <v>138</v>
      </c>
      <c r="AU225" s="174" t="s">
        <v>81</v>
      </c>
      <c r="AV225" s="14" t="s">
        <v>79</v>
      </c>
      <c r="AW225" s="14" t="s">
        <v>33</v>
      </c>
      <c r="AX225" s="14" t="s">
        <v>71</v>
      </c>
      <c r="AY225" s="174" t="s">
        <v>127</v>
      </c>
    </row>
    <row r="226" spans="2:65" s="12" customFormat="1">
      <c r="B226" s="144"/>
      <c r="D226" s="145" t="s">
        <v>138</v>
      </c>
      <c r="E226" s="146" t="s">
        <v>19</v>
      </c>
      <c r="F226" s="147" t="s">
        <v>804</v>
      </c>
      <c r="H226" s="148">
        <v>0.65300000000000002</v>
      </c>
      <c r="I226" s="149"/>
      <c r="L226" s="144"/>
      <c r="M226" s="150"/>
      <c r="T226" s="151"/>
      <c r="AT226" s="146" t="s">
        <v>138</v>
      </c>
      <c r="AU226" s="146" t="s">
        <v>81</v>
      </c>
      <c r="AV226" s="12" t="s">
        <v>81</v>
      </c>
      <c r="AW226" s="12" t="s">
        <v>33</v>
      </c>
      <c r="AX226" s="12" t="s">
        <v>79</v>
      </c>
      <c r="AY226" s="146" t="s">
        <v>127</v>
      </c>
    </row>
    <row r="227" spans="2:65" s="1" customFormat="1" ht="21.75" customHeight="1">
      <c r="B227" s="32"/>
      <c r="C227" s="127" t="s">
        <v>322</v>
      </c>
      <c r="D227" s="127" t="s">
        <v>129</v>
      </c>
      <c r="E227" s="128" t="s">
        <v>805</v>
      </c>
      <c r="F227" s="129" t="s">
        <v>806</v>
      </c>
      <c r="G227" s="130" t="s">
        <v>132</v>
      </c>
      <c r="H227" s="131">
        <v>18.619</v>
      </c>
      <c r="I227" s="132"/>
      <c r="J227" s="133">
        <f>ROUND(I227*H227,2)</f>
        <v>0</v>
      </c>
      <c r="K227" s="129" t="s">
        <v>133</v>
      </c>
      <c r="L227" s="32"/>
      <c r="M227" s="134" t="s">
        <v>19</v>
      </c>
      <c r="N227" s="135" t="s">
        <v>42</v>
      </c>
      <c r="P227" s="136">
        <f>O227*H227</f>
        <v>0</v>
      </c>
      <c r="Q227" s="136">
        <v>6.5799999999999999E-3</v>
      </c>
      <c r="R227" s="136">
        <f>Q227*H227</f>
        <v>0.12251302</v>
      </c>
      <c r="S227" s="136">
        <v>0</v>
      </c>
      <c r="T227" s="137">
        <f>S227*H227</f>
        <v>0</v>
      </c>
      <c r="AR227" s="138" t="s">
        <v>134</v>
      </c>
      <c r="AT227" s="138" t="s">
        <v>129</v>
      </c>
      <c r="AU227" s="138" t="s">
        <v>81</v>
      </c>
      <c r="AY227" s="17" t="s">
        <v>127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79</v>
      </c>
      <c r="BK227" s="139">
        <f>ROUND(I227*H227,2)</f>
        <v>0</v>
      </c>
      <c r="BL227" s="17" t="s">
        <v>134</v>
      </c>
      <c r="BM227" s="138" t="s">
        <v>807</v>
      </c>
    </row>
    <row r="228" spans="2:65" s="1" customFormat="1">
      <c r="B228" s="32"/>
      <c r="D228" s="140" t="s">
        <v>136</v>
      </c>
      <c r="F228" s="141" t="s">
        <v>808</v>
      </c>
      <c r="I228" s="142"/>
      <c r="L228" s="32"/>
      <c r="M228" s="143"/>
      <c r="T228" s="51"/>
      <c r="AT228" s="17" t="s">
        <v>136</v>
      </c>
      <c r="AU228" s="17" t="s">
        <v>81</v>
      </c>
    </row>
    <row r="229" spans="2:65" s="12" customFormat="1">
      <c r="B229" s="144"/>
      <c r="D229" s="145" t="s">
        <v>138</v>
      </c>
      <c r="E229" s="146" t="s">
        <v>19</v>
      </c>
      <c r="F229" s="147" t="s">
        <v>809</v>
      </c>
      <c r="H229" s="148">
        <v>18.619</v>
      </c>
      <c r="I229" s="149"/>
      <c r="L229" s="144"/>
      <c r="M229" s="150"/>
      <c r="T229" s="151"/>
      <c r="AT229" s="146" t="s">
        <v>138</v>
      </c>
      <c r="AU229" s="146" t="s">
        <v>81</v>
      </c>
      <c r="AV229" s="12" t="s">
        <v>81</v>
      </c>
      <c r="AW229" s="12" t="s">
        <v>33</v>
      </c>
      <c r="AX229" s="12" t="s">
        <v>79</v>
      </c>
      <c r="AY229" s="146" t="s">
        <v>127</v>
      </c>
    </row>
    <row r="230" spans="2:65" s="1" customFormat="1" ht="21.75" customHeight="1">
      <c r="B230" s="32"/>
      <c r="C230" s="127" t="s">
        <v>327</v>
      </c>
      <c r="D230" s="127" t="s">
        <v>129</v>
      </c>
      <c r="E230" s="128" t="s">
        <v>810</v>
      </c>
      <c r="F230" s="129" t="s">
        <v>811</v>
      </c>
      <c r="G230" s="130" t="s">
        <v>132</v>
      </c>
      <c r="H230" s="131">
        <v>18.619</v>
      </c>
      <c r="I230" s="132"/>
      <c r="J230" s="133">
        <f>ROUND(I230*H230,2)</f>
        <v>0</v>
      </c>
      <c r="K230" s="129" t="s">
        <v>133</v>
      </c>
      <c r="L230" s="32"/>
      <c r="M230" s="134" t="s">
        <v>19</v>
      </c>
      <c r="N230" s="135" t="s">
        <v>42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134</v>
      </c>
      <c r="AT230" s="138" t="s">
        <v>129</v>
      </c>
      <c r="AU230" s="138" t="s">
        <v>81</v>
      </c>
      <c r="AY230" s="17" t="s">
        <v>127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79</v>
      </c>
      <c r="BK230" s="139">
        <f>ROUND(I230*H230,2)</f>
        <v>0</v>
      </c>
      <c r="BL230" s="17" t="s">
        <v>134</v>
      </c>
      <c r="BM230" s="138" t="s">
        <v>812</v>
      </c>
    </row>
    <row r="231" spans="2:65" s="1" customFormat="1">
      <c r="B231" s="32"/>
      <c r="D231" s="140" t="s">
        <v>136</v>
      </c>
      <c r="F231" s="141" t="s">
        <v>813</v>
      </c>
      <c r="I231" s="142"/>
      <c r="L231" s="32"/>
      <c r="M231" s="143"/>
      <c r="T231" s="51"/>
      <c r="AT231" s="17" t="s">
        <v>136</v>
      </c>
      <c r="AU231" s="17" t="s">
        <v>81</v>
      </c>
    </row>
    <row r="232" spans="2:65" s="11" customFormat="1" ht="22.9" customHeight="1">
      <c r="B232" s="115"/>
      <c r="D232" s="116" t="s">
        <v>70</v>
      </c>
      <c r="E232" s="125" t="s">
        <v>159</v>
      </c>
      <c r="F232" s="125" t="s">
        <v>814</v>
      </c>
      <c r="I232" s="118"/>
      <c r="J232" s="126">
        <f>BK232</f>
        <v>0</v>
      </c>
      <c r="L232" s="115"/>
      <c r="M232" s="120"/>
      <c r="P232" s="121">
        <f>SUM(P233:P240)</f>
        <v>0</v>
      </c>
      <c r="R232" s="121">
        <f>SUM(R233:R240)</f>
        <v>0.61151999999999995</v>
      </c>
      <c r="T232" s="122">
        <f>SUM(T233:T240)</f>
        <v>0</v>
      </c>
      <c r="AR232" s="116" t="s">
        <v>79</v>
      </c>
      <c r="AT232" s="123" t="s">
        <v>70</v>
      </c>
      <c r="AU232" s="123" t="s">
        <v>79</v>
      </c>
      <c r="AY232" s="116" t="s">
        <v>127</v>
      </c>
      <c r="BK232" s="124">
        <f>SUM(BK233:BK240)</f>
        <v>0</v>
      </c>
    </row>
    <row r="233" spans="2:65" s="1" customFormat="1" ht="24.2" customHeight="1">
      <c r="B233" s="32"/>
      <c r="C233" s="127" t="s">
        <v>333</v>
      </c>
      <c r="D233" s="127" t="s">
        <v>129</v>
      </c>
      <c r="E233" s="128" t="s">
        <v>815</v>
      </c>
      <c r="F233" s="129" t="s">
        <v>816</v>
      </c>
      <c r="G233" s="130" t="s">
        <v>132</v>
      </c>
      <c r="H233" s="131">
        <v>1</v>
      </c>
      <c r="I233" s="132"/>
      <c r="J233" s="133">
        <f>ROUND(I233*H233,2)</f>
        <v>0</v>
      </c>
      <c r="K233" s="129" t="s">
        <v>133</v>
      </c>
      <c r="L233" s="32"/>
      <c r="M233" s="134" t="s">
        <v>19</v>
      </c>
      <c r="N233" s="135" t="s">
        <v>42</v>
      </c>
      <c r="P233" s="136">
        <f>O233*H233</f>
        <v>0</v>
      </c>
      <c r="Q233" s="136">
        <v>0.39800000000000002</v>
      </c>
      <c r="R233" s="136">
        <f>Q233*H233</f>
        <v>0.39800000000000002</v>
      </c>
      <c r="S233" s="136">
        <v>0</v>
      </c>
      <c r="T233" s="137">
        <f>S233*H233</f>
        <v>0</v>
      </c>
      <c r="AR233" s="138" t="s">
        <v>134</v>
      </c>
      <c r="AT233" s="138" t="s">
        <v>129</v>
      </c>
      <c r="AU233" s="138" t="s">
        <v>81</v>
      </c>
      <c r="AY233" s="17" t="s">
        <v>127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79</v>
      </c>
      <c r="BK233" s="139">
        <f>ROUND(I233*H233,2)</f>
        <v>0</v>
      </c>
      <c r="BL233" s="17" t="s">
        <v>134</v>
      </c>
      <c r="BM233" s="138" t="s">
        <v>817</v>
      </c>
    </row>
    <row r="234" spans="2:65" s="1" customFormat="1">
      <c r="B234" s="32"/>
      <c r="D234" s="140" t="s">
        <v>136</v>
      </c>
      <c r="F234" s="141" t="s">
        <v>818</v>
      </c>
      <c r="I234" s="142"/>
      <c r="L234" s="32"/>
      <c r="M234" s="143"/>
      <c r="T234" s="51"/>
      <c r="AT234" s="17" t="s">
        <v>136</v>
      </c>
      <c r="AU234" s="17" t="s">
        <v>81</v>
      </c>
    </row>
    <row r="235" spans="2:65" s="12" customFormat="1">
      <c r="B235" s="144"/>
      <c r="D235" s="145" t="s">
        <v>138</v>
      </c>
      <c r="E235" s="146" t="s">
        <v>19</v>
      </c>
      <c r="F235" s="147" t="s">
        <v>819</v>
      </c>
      <c r="H235" s="148">
        <v>1</v>
      </c>
      <c r="I235" s="149"/>
      <c r="L235" s="144"/>
      <c r="M235" s="150"/>
      <c r="T235" s="151"/>
      <c r="AT235" s="146" t="s">
        <v>138</v>
      </c>
      <c r="AU235" s="146" t="s">
        <v>81</v>
      </c>
      <c r="AV235" s="12" t="s">
        <v>81</v>
      </c>
      <c r="AW235" s="12" t="s">
        <v>33</v>
      </c>
      <c r="AX235" s="12" t="s">
        <v>79</v>
      </c>
      <c r="AY235" s="146" t="s">
        <v>127</v>
      </c>
    </row>
    <row r="236" spans="2:65" s="1" customFormat="1" ht="37.9" customHeight="1">
      <c r="B236" s="32"/>
      <c r="C236" s="127" t="s">
        <v>339</v>
      </c>
      <c r="D236" s="127" t="s">
        <v>129</v>
      </c>
      <c r="E236" s="128" t="s">
        <v>820</v>
      </c>
      <c r="F236" s="129" t="s">
        <v>821</v>
      </c>
      <c r="G236" s="130" t="s">
        <v>132</v>
      </c>
      <c r="H236" s="131">
        <v>1</v>
      </c>
      <c r="I236" s="132"/>
      <c r="J236" s="133">
        <f>ROUND(I236*H236,2)</f>
        <v>0</v>
      </c>
      <c r="K236" s="129" t="s">
        <v>133</v>
      </c>
      <c r="L236" s="32"/>
      <c r="M236" s="134" t="s">
        <v>19</v>
      </c>
      <c r="N236" s="135" t="s">
        <v>42</v>
      </c>
      <c r="P236" s="136">
        <f>O236*H236</f>
        <v>0</v>
      </c>
      <c r="Q236" s="136">
        <v>8.9219999999999994E-2</v>
      </c>
      <c r="R236" s="136">
        <f>Q236*H236</f>
        <v>8.9219999999999994E-2</v>
      </c>
      <c r="S236" s="136">
        <v>0</v>
      </c>
      <c r="T236" s="137">
        <f>S236*H236</f>
        <v>0</v>
      </c>
      <c r="AR236" s="138" t="s">
        <v>134</v>
      </c>
      <c r="AT236" s="138" t="s">
        <v>129</v>
      </c>
      <c r="AU236" s="138" t="s">
        <v>81</v>
      </c>
      <c r="AY236" s="17" t="s">
        <v>127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79</v>
      </c>
      <c r="BK236" s="139">
        <f>ROUND(I236*H236,2)</f>
        <v>0</v>
      </c>
      <c r="BL236" s="17" t="s">
        <v>134</v>
      </c>
      <c r="BM236" s="138" t="s">
        <v>822</v>
      </c>
    </row>
    <row r="237" spans="2:65" s="1" customFormat="1">
      <c r="B237" s="32"/>
      <c r="D237" s="140" t="s">
        <v>136</v>
      </c>
      <c r="F237" s="141" t="s">
        <v>823</v>
      </c>
      <c r="I237" s="142"/>
      <c r="L237" s="32"/>
      <c r="M237" s="143"/>
      <c r="T237" s="51"/>
      <c r="AT237" s="17" t="s">
        <v>136</v>
      </c>
      <c r="AU237" s="17" t="s">
        <v>81</v>
      </c>
    </row>
    <row r="238" spans="2:65" s="12" customFormat="1">
      <c r="B238" s="144"/>
      <c r="D238" s="145" t="s">
        <v>138</v>
      </c>
      <c r="E238" s="146" t="s">
        <v>19</v>
      </c>
      <c r="F238" s="147" t="s">
        <v>824</v>
      </c>
      <c r="H238" s="148">
        <v>1</v>
      </c>
      <c r="I238" s="149"/>
      <c r="L238" s="144"/>
      <c r="M238" s="150"/>
      <c r="T238" s="151"/>
      <c r="AT238" s="146" t="s">
        <v>138</v>
      </c>
      <c r="AU238" s="146" t="s">
        <v>81</v>
      </c>
      <c r="AV238" s="12" t="s">
        <v>81</v>
      </c>
      <c r="AW238" s="12" t="s">
        <v>33</v>
      </c>
      <c r="AX238" s="12" t="s">
        <v>79</v>
      </c>
      <c r="AY238" s="146" t="s">
        <v>127</v>
      </c>
    </row>
    <row r="239" spans="2:65" s="1" customFormat="1" ht="16.5" customHeight="1">
      <c r="B239" s="32"/>
      <c r="C239" s="159" t="s">
        <v>344</v>
      </c>
      <c r="D239" s="159" t="s">
        <v>413</v>
      </c>
      <c r="E239" s="160" t="s">
        <v>825</v>
      </c>
      <c r="F239" s="161" t="s">
        <v>826</v>
      </c>
      <c r="G239" s="162" t="s">
        <v>132</v>
      </c>
      <c r="H239" s="163">
        <v>1.1000000000000001</v>
      </c>
      <c r="I239" s="164"/>
      <c r="J239" s="165">
        <f>ROUND(I239*H239,2)</f>
        <v>0</v>
      </c>
      <c r="K239" s="161" t="s">
        <v>133</v>
      </c>
      <c r="L239" s="166"/>
      <c r="M239" s="167" t="s">
        <v>19</v>
      </c>
      <c r="N239" s="168" t="s">
        <v>42</v>
      </c>
      <c r="P239" s="136">
        <f>O239*H239</f>
        <v>0</v>
      </c>
      <c r="Q239" s="136">
        <v>0.113</v>
      </c>
      <c r="R239" s="136">
        <f>Q239*H239</f>
        <v>0.12430000000000001</v>
      </c>
      <c r="S239" s="136">
        <v>0</v>
      </c>
      <c r="T239" s="137">
        <f>S239*H239</f>
        <v>0</v>
      </c>
      <c r="AR239" s="138" t="s">
        <v>177</v>
      </c>
      <c r="AT239" s="138" t="s">
        <v>413</v>
      </c>
      <c r="AU239" s="138" t="s">
        <v>81</v>
      </c>
      <c r="AY239" s="17" t="s">
        <v>127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79</v>
      </c>
      <c r="BK239" s="139">
        <f>ROUND(I239*H239,2)</f>
        <v>0</v>
      </c>
      <c r="BL239" s="17" t="s">
        <v>134</v>
      </c>
      <c r="BM239" s="138" t="s">
        <v>827</v>
      </c>
    </row>
    <row r="240" spans="2:65" s="12" customFormat="1">
      <c r="B240" s="144"/>
      <c r="D240" s="145" t="s">
        <v>138</v>
      </c>
      <c r="F240" s="147" t="s">
        <v>828</v>
      </c>
      <c r="H240" s="148">
        <v>1.1000000000000001</v>
      </c>
      <c r="I240" s="149"/>
      <c r="L240" s="144"/>
      <c r="M240" s="150"/>
      <c r="T240" s="151"/>
      <c r="AT240" s="146" t="s">
        <v>138</v>
      </c>
      <c r="AU240" s="146" t="s">
        <v>81</v>
      </c>
      <c r="AV240" s="12" t="s">
        <v>81</v>
      </c>
      <c r="AW240" s="12" t="s">
        <v>4</v>
      </c>
      <c r="AX240" s="12" t="s">
        <v>79</v>
      </c>
      <c r="AY240" s="146" t="s">
        <v>127</v>
      </c>
    </row>
    <row r="241" spans="2:65" s="11" customFormat="1" ht="22.9" customHeight="1">
      <c r="B241" s="115"/>
      <c r="D241" s="116" t="s">
        <v>70</v>
      </c>
      <c r="E241" s="125" t="s">
        <v>165</v>
      </c>
      <c r="F241" s="125" t="s">
        <v>829</v>
      </c>
      <c r="I241" s="118"/>
      <c r="J241" s="126">
        <f>BK241</f>
        <v>0</v>
      </c>
      <c r="L241" s="115"/>
      <c r="M241" s="120"/>
      <c r="P241" s="121">
        <f>SUM(P242:P358)</f>
        <v>0</v>
      </c>
      <c r="R241" s="121">
        <f>SUM(R242:R358)</f>
        <v>36.85086999</v>
      </c>
      <c r="T241" s="122">
        <f>SUM(T242:T358)</f>
        <v>12.98</v>
      </c>
      <c r="AR241" s="116" t="s">
        <v>79</v>
      </c>
      <c r="AT241" s="123" t="s">
        <v>70</v>
      </c>
      <c r="AU241" s="123" t="s">
        <v>79</v>
      </c>
      <c r="AY241" s="116" t="s">
        <v>127</v>
      </c>
      <c r="BK241" s="124">
        <f>SUM(BK242:BK358)</f>
        <v>0</v>
      </c>
    </row>
    <row r="242" spans="2:65" s="1" customFormat="1" ht="16.5" customHeight="1">
      <c r="B242" s="32"/>
      <c r="C242" s="127" t="s">
        <v>350</v>
      </c>
      <c r="D242" s="127" t="s">
        <v>129</v>
      </c>
      <c r="E242" s="128" t="s">
        <v>830</v>
      </c>
      <c r="F242" s="129" t="s">
        <v>831</v>
      </c>
      <c r="G242" s="130" t="s">
        <v>132</v>
      </c>
      <c r="H242" s="131">
        <v>667.51099999999997</v>
      </c>
      <c r="I242" s="132"/>
      <c r="J242" s="133">
        <f>ROUND(I242*H242,2)</f>
        <v>0</v>
      </c>
      <c r="K242" s="129" t="s">
        <v>133</v>
      </c>
      <c r="L242" s="32"/>
      <c r="M242" s="134" t="s">
        <v>19</v>
      </c>
      <c r="N242" s="135" t="s">
        <v>42</v>
      </c>
      <c r="P242" s="136">
        <f>O242*H242</f>
        <v>0</v>
      </c>
      <c r="Q242" s="136">
        <v>2.5999999999999998E-4</v>
      </c>
      <c r="R242" s="136">
        <f>Q242*H242</f>
        <v>0.17355285999999998</v>
      </c>
      <c r="S242" s="136">
        <v>0</v>
      </c>
      <c r="T242" s="137">
        <f>S242*H242</f>
        <v>0</v>
      </c>
      <c r="AR242" s="138" t="s">
        <v>134</v>
      </c>
      <c r="AT242" s="138" t="s">
        <v>129</v>
      </c>
      <c r="AU242" s="138" t="s">
        <v>81</v>
      </c>
      <c r="AY242" s="17" t="s">
        <v>127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79</v>
      </c>
      <c r="BK242" s="139">
        <f>ROUND(I242*H242,2)</f>
        <v>0</v>
      </c>
      <c r="BL242" s="17" t="s">
        <v>134</v>
      </c>
      <c r="BM242" s="138" t="s">
        <v>832</v>
      </c>
    </row>
    <row r="243" spans="2:65" s="1" customFormat="1">
      <c r="B243" s="32"/>
      <c r="D243" s="140" t="s">
        <v>136</v>
      </c>
      <c r="F243" s="141" t="s">
        <v>833</v>
      </c>
      <c r="I243" s="142"/>
      <c r="L243" s="32"/>
      <c r="M243" s="143"/>
      <c r="T243" s="51"/>
      <c r="AT243" s="17" t="s">
        <v>136</v>
      </c>
      <c r="AU243" s="17" t="s">
        <v>81</v>
      </c>
    </row>
    <row r="244" spans="2:65" s="12" customFormat="1">
      <c r="B244" s="144"/>
      <c r="D244" s="145" t="s">
        <v>138</v>
      </c>
      <c r="E244" s="146" t="s">
        <v>19</v>
      </c>
      <c r="F244" s="147" t="s">
        <v>834</v>
      </c>
      <c r="H244" s="148">
        <v>312.74</v>
      </c>
      <c r="I244" s="149"/>
      <c r="L244" s="144"/>
      <c r="M244" s="150"/>
      <c r="T244" s="151"/>
      <c r="AT244" s="146" t="s">
        <v>138</v>
      </c>
      <c r="AU244" s="146" t="s">
        <v>81</v>
      </c>
      <c r="AV244" s="12" t="s">
        <v>81</v>
      </c>
      <c r="AW244" s="12" t="s">
        <v>33</v>
      </c>
      <c r="AX244" s="12" t="s">
        <v>71</v>
      </c>
      <c r="AY244" s="146" t="s">
        <v>127</v>
      </c>
    </row>
    <row r="245" spans="2:65" s="12" customFormat="1">
      <c r="B245" s="144"/>
      <c r="D245" s="145" t="s">
        <v>138</v>
      </c>
      <c r="E245" s="146" t="s">
        <v>19</v>
      </c>
      <c r="F245" s="147" t="s">
        <v>835</v>
      </c>
      <c r="H245" s="148">
        <v>23.94</v>
      </c>
      <c r="I245" s="149"/>
      <c r="L245" s="144"/>
      <c r="M245" s="150"/>
      <c r="T245" s="151"/>
      <c r="AT245" s="146" t="s">
        <v>138</v>
      </c>
      <c r="AU245" s="146" t="s">
        <v>81</v>
      </c>
      <c r="AV245" s="12" t="s">
        <v>81</v>
      </c>
      <c r="AW245" s="12" t="s">
        <v>33</v>
      </c>
      <c r="AX245" s="12" t="s">
        <v>71</v>
      </c>
      <c r="AY245" s="146" t="s">
        <v>127</v>
      </c>
    </row>
    <row r="246" spans="2:65" s="12" customFormat="1">
      <c r="B246" s="144"/>
      <c r="D246" s="145" t="s">
        <v>138</v>
      </c>
      <c r="E246" s="146" t="s">
        <v>19</v>
      </c>
      <c r="F246" s="147" t="s">
        <v>836</v>
      </c>
      <c r="H246" s="148">
        <v>96.54</v>
      </c>
      <c r="I246" s="149"/>
      <c r="L246" s="144"/>
      <c r="M246" s="150"/>
      <c r="T246" s="151"/>
      <c r="AT246" s="146" t="s">
        <v>138</v>
      </c>
      <c r="AU246" s="146" t="s">
        <v>81</v>
      </c>
      <c r="AV246" s="12" t="s">
        <v>81</v>
      </c>
      <c r="AW246" s="12" t="s">
        <v>33</v>
      </c>
      <c r="AX246" s="12" t="s">
        <v>71</v>
      </c>
      <c r="AY246" s="146" t="s">
        <v>127</v>
      </c>
    </row>
    <row r="247" spans="2:65" s="12" customFormat="1">
      <c r="B247" s="144"/>
      <c r="D247" s="145" t="s">
        <v>138</v>
      </c>
      <c r="E247" s="146" t="s">
        <v>19</v>
      </c>
      <c r="F247" s="147" t="s">
        <v>837</v>
      </c>
      <c r="H247" s="148">
        <v>13.68</v>
      </c>
      <c r="I247" s="149"/>
      <c r="L247" s="144"/>
      <c r="M247" s="150"/>
      <c r="T247" s="151"/>
      <c r="AT247" s="146" t="s">
        <v>138</v>
      </c>
      <c r="AU247" s="146" t="s">
        <v>81</v>
      </c>
      <c r="AV247" s="12" t="s">
        <v>81</v>
      </c>
      <c r="AW247" s="12" t="s">
        <v>33</v>
      </c>
      <c r="AX247" s="12" t="s">
        <v>71</v>
      </c>
      <c r="AY247" s="146" t="s">
        <v>127</v>
      </c>
    </row>
    <row r="248" spans="2:65" s="12" customFormat="1">
      <c r="B248" s="144"/>
      <c r="D248" s="145" t="s">
        <v>138</v>
      </c>
      <c r="E248" s="146" t="s">
        <v>19</v>
      </c>
      <c r="F248" s="147" t="s">
        <v>838</v>
      </c>
      <c r="H248" s="148">
        <v>220.61099999999999</v>
      </c>
      <c r="I248" s="149"/>
      <c r="L248" s="144"/>
      <c r="M248" s="150"/>
      <c r="T248" s="151"/>
      <c r="AT248" s="146" t="s">
        <v>138</v>
      </c>
      <c r="AU248" s="146" t="s">
        <v>81</v>
      </c>
      <c r="AV248" s="12" t="s">
        <v>81</v>
      </c>
      <c r="AW248" s="12" t="s">
        <v>33</v>
      </c>
      <c r="AX248" s="12" t="s">
        <v>71</v>
      </c>
      <c r="AY248" s="146" t="s">
        <v>127</v>
      </c>
    </row>
    <row r="249" spans="2:65" s="13" customFormat="1">
      <c r="B249" s="152"/>
      <c r="D249" s="145" t="s">
        <v>138</v>
      </c>
      <c r="E249" s="153" t="s">
        <v>19</v>
      </c>
      <c r="F249" s="154" t="s">
        <v>152</v>
      </c>
      <c r="H249" s="155">
        <v>667.51099999999997</v>
      </c>
      <c r="I249" s="156"/>
      <c r="L249" s="152"/>
      <c r="M249" s="157"/>
      <c r="T249" s="158"/>
      <c r="AT249" s="153" t="s">
        <v>138</v>
      </c>
      <c r="AU249" s="153" t="s">
        <v>81</v>
      </c>
      <c r="AV249" s="13" t="s">
        <v>134</v>
      </c>
      <c r="AW249" s="13" t="s">
        <v>33</v>
      </c>
      <c r="AX249" s="13" t="s">
        <v>79</v>
      </c>
      <c r="AY249" s="153" t="s">
        <v>127</v>
      </c>
    </row>
    <row r="250" spans="2:65" s="1" customFormat="1" ht="24.2" customHeight="1">
      <c r="B250" s="32"/>
      <c r="C250" s="127" t="s">
        <v>356</v>
      </c>
      <c r="D250" s="127" t="s">
        <v>129</v>
      </c>
      <c r="E250" s="128" t="s">
        <v>839</v>
      </c>
      <c r="F250" s="129" t="s">
        <v>840</v>
      </c>
      <c r="G250" s="130" t="s">
        <v>132</v>
      </c>
      <c r="H250" s="131">
        <v>667.51099999999997</v>
      </c>
      <c r="I250" s="132"/>
      <c r="J250" s="133">
        <f>ROUND(I250*H250,2)</f>
        <v>0</v>
      </c>
      <c r="K250" s="129" t="s">
        <v>133</v>
      </c>
      <c r="L250" s="32"/>
      <c r="M250" s="134" t="s">
        <v>19</v>
      </c>
      <c r="N250" s="135" t="s">
        <v>42</v>
      </c>
      <c r="P250" s="136">
        <f>O250*H250</f>
        <v>0</v>
      </c>
      <c r="Q250" s="136">
        <v>1.8380000000000001E-2</v>
      </c>
      <c r="R250" s="136">
        <f>Q250*H250</f>
        <v>12.26885218</v>
      </c>
      <c r="S250" s="136">
        <v>0</v>
      </c>
      <c r="T250" s="137">
        <f>S250*H250</f>
        <v>0</v>
      </c>
      <c r="AR250" s="138" t="s">
        <v>134</v>
      </c>
      <c r="AT250" s="138" t="s">
        <v>129</v>
      </c>
      <c r="AU250" s="138" t="s">
        <v>81</v>
      </c>
      <c r="AY250" s="17" t="s">
        <v>127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79</v>
      </c>
      <c r="BK250" s="139">
        <f>ROUND(I250*H250,2)</f>
        <v>0</v>
      </c>
      <c r="BL250" s="17" t="s">
        <v>134</v>
      </c>
      <c r="BM250" s="138" t="s">
        <v>841</v>
      </c>
    </row>
    <row r="251" spans="2:65" s="1" customFormat="1">
      <c r="B251" s="32"/>
      <c r="D251" s="140" t="s">
        <v>136</v>
      </c>
      <c r="F251" s="141" t="s">
        <v>842</v>
      </c>
      <c r="I251" s="142"/>
      <c r="L251" s="32"/>
      <c r="M251" s="143"/>
      <c r="T251" s="51"/>
      <c r="AT251" s="17" t="s">
        <v>136</v>
      </c>
      <c r="AU251" s="17" t="s">
        <v>81</v>
      </c>
    </row>
    <row r="252" spans="2:65" s="12" customFormat="1">
      <c r="B252" s="144"/>
      <c r="D252" s="145" t="s">
        <v>138</v>
      </c>
      <c r="E252" s="146" t="s">
        <v>19</v>
      </c>
      <c r="F252" s="147" t="s">
        <v>834</v>
      </c>
      <c r="H252" s="148">
        <v>312.74</v>
      </c>
      <c r="I252" s="149"/>
      <c r="L252" s="144"/>
      <c r="M252" s="150"/>
      <c r="T252" s="151"/>
      <c r="AT252" s="146" t="s">
        <v>138</v>
      </c>
      <c r="AU252" s="146" t="s">
        <v>81</v>
      </c>
      <c r="AV252" s="12" t="s">
        <v>81</v>
      </c>
      <c r="AW252" s="12" t="s">
        <v>33</v>
      </c>
      <c r="AX252" s="12" t="s">
        <v>71</v>
      </c>
      <c r="AY252" s="146" t="s">
        <v>127</v>
      </c>
    </row>
    <row r="253" spans="2:65" s="12" customFormat="1">
      <c r="B253" s="144"/>
      <c r="D253" s="145" t="s">
        <v>138</v>
      </c>
      <c r="E253" s="146" t="s">
        <v>19</v>
      </c>
      <c r="F253" s="147" t="s">
        <v>835</v>
      </c>
      <c r="H253" s="148">
        <v>23.94</v>
      </c>
      <c r="I253" s="149"/>
      <c r="L253" s="144"/>
      <c r="M253" s="150"/>
      <c r="T253" s="151"/>
      <c r="AT253" s="146" t="s">
        <v>138</v>
      </c>
      <c r="AU253" s="146" t="s">
        <v>81</v>
      </c>
      <c r="AV253" s="12" t="s">
        <v>81</v>
      </c>
      <c r="AW253" s="12" t="s">
        <v>33</v>
      </c>
      <c r="AX253" s="12" t="s">
        <v>71</v>
      </c>
      <c r="AY253" s="146" t="s">
        <v>127</v>
      </c>
    </row>
    <row r="254" spans="2:65" s="12" customFormat="1">
      <c r="B254" s="144"/>
      <c r="D254" s="145" t="s">
        <v>138</v>
      </c>
      <c r="E254" s="146" t="s">
        <v>19</v>
      </c>
      <c r="F254" s="147" t="s">
        <v>836</v>
      </c>
      <c r="H254" s="148">
        <v>96.54</v>
      </c>
      <c r="I254" s="149"/>
      <c r="L254" s="144"/>
      <c r="M254" s="150"/>
      <c r="T254" s="151"/>
      <c r="AT254" s="146" t="s">
        <v>138</v>
      </c>
      <c r="AU254" s="146" t="s">
        <v>81</v>
      </c>
      <c r="AV254" s="12" t="s">
        <v>81</v>
      </c>
      <c r="AW254" s="12" t="s">
        <v>33</v>
      </c>
      <c r="AX254" s="12" t="s">
        <v>71</v>
      </c>
      <c r="AY254" s="146" t="s">
        <v>127</v>
      </c>
    </row>
    <row r="255" spans="2:65" s="12" customFormat="1">
      <c r="B255" s="144"/>
      <c r="D255" s="145" t="s">
        <v>138</v>
      </c>
      <c r="E255" s="146" t="s">
        <v>19</v>
      </c>
      <c r="F255" s="147" t="s">
        <v>837</v>
      </c>
      <c r="H255" s="148">
        <v>13.68</v>
      </c>
      <c r="I255" s="149"/>
      <c r="L255" s="144"/>
      <c r="M255" s="150"/>
      <c r="T255" s="151"/>
      <c r="AT255" s="146" t="s">
        <v>138</v>
      </c>
      <c r="AU255" s="146" t="s">
        <v>81</v>
      </c>
      <c r="AV255" s="12" t="s">
        <v>81</v>
      </c>
      <c r="AW255" s="12" t="s">
        <v>33</v>
      </c>
      <c r="AX255" s="12" t="s">
        <v>71</v>
      </c>
      <c r="AY255" s="146" t="s">
        <v>127</v>
      </c>
    </row>
    <row r="256" spans="2:65" s="12" customFormat="1">
      <c r="B256" s="144"/>
      <c r="D256" s="145" t="s">
        <v>138</v>
      </c>
      <c r="E256" s="146" t="s">
        <v>19</v>
      </c>
      <c r="F256" s="147" t="s">
        <v>838</v>
      </c>
      <c r="H256" s="148">
        <v>220.61099999999999</v>
      </c>
      <c r="I256" s="149"/>
      <c r="L256" s="144"/>
      <c r="M256" s="150"/>
      <c r="T256" s="151"/>
      <c r="AT256" s="146" t="s">
        <v>138</v>
      </c>
      <c r="AU256" s="146" t="s">
        <v>81</v>
      </c>
      <c r="AV256" s="12" t="s">
        <v>81</v>
      </c>
      <c r="AW256" s="12" t="s">
        <v>33</v>
      </c>
      <c r="AX256" s="12" t="s">
        <v>71</v>
      </c>
      <c r="AY256" s="146" t="s">
        <v>127</v>
      </c>
    </row>
    <row r="257" spans="2:65" s="13" customFormat="1">
      <c r="B257" s="152"/>
      <c r="D257" s="145" t="s">
        <v>138</v>
      </c>
      <c r="E257" s="153" t="s">
        <v>19</v>
      </c>
      <c r="F257" s="154" t="s">
        <v>152</v>
      </c>
      <c r="H257" s="155">
        <v>667.51099999999997</v>
      </c>
      <c r="I257" s="156"/>
      <c r="L257" s="152"/>
      <c r="M257" s="157"/>
      <c r="T257" s="158"/>
      <c r="AT257" s="153" t="s">
        <v>138</v>
      </c>
      <c r="AU257" s="153" t="s">
        <v>81</v>
      </c>
      <c r="AV257" s="13" t="s">
        <v>134</v>
      </c>
      <c r="AW257" s="13" t="s">
        <v>33</v>
      </c>
      <c r="AX257" s="13" t="s">
        <v>79</v>
      </c>
      <c r="AY257" s="153" t="s">
        <v>127</v>
      </c>
    </row>
    <row r="258" spans="2:65" s="1" customFormat="1" ht="16.5" customHeight="1">
      <c r="B258" s="32"/>
      <c r="C258" s="127" t="s">
        <v>364</v>
      </c>
      <c r="D258" s="127" t="s">
        <v>129</v>
      </c>
      <c r="E258" s="128" t="s">
        <v>843</v>
      </c>
      <c r="F258" s="129" t="s">
        <v>844</v>
      </c>
      <c r="G258" s="130" t="s">
        <v>132</v>
      </c>
      <c r="H258" s="131">
        <v>2.73</v>
      </c>
      <c r="I258" s="132"/>
      <c r="J258" s="133">
        <f>ROUND(I258*H258,2)</f>
        <v>0</v>
      </c>
      <c r="K258" s="129" t="s">
        <v>133</v>
      </c>
      <c r="L258" s="32"/>
      <c r="M258" s="134" t="s">
        <v>19</v>
      </c>
      <c r="N258" s="135" t="s">
        <v>42</v>
      </c>
      <c r="P258" s="136">
        <f>O258*H258</f>
        <v>0</v>
      </c>
      <c r="Q258" s="136">
        <v>3.3579999999999999E-2</v>
      </c>
      <c r="R258" s="136">
        <f>Q258*H258</f>
        <v>9.1673400000000002E-2</v>
      </c>
      <c r="S258" s="136">
        <v>0</v>
      </c>
      <c r="T258" s="137">
        <f>S258*H258</f>
        <v>0</v>
      </c>
      <c r="AR258" s="138" t="s">
        <v>134</v>
      </c>
      <c r="AT258" s="138" t="s">
        <v>129</v>
      </c>
      <c r="AU258" s="138" t="s">
        <v>81</v>
      </c>
      <c r="AY258" s="17" t="s">
        <v>127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7" t="s">
        <v>79</v>
      </c>
      <c r="BK258" s="139">
        <f>ROUND(I258*H258,2)</f>
        <v>0</v>
      </c>
      <c r="BL258" s="17" t="s">
        <v>134</v>
      </c>
      <c r="BM258" s="138" t="s">
        <v>845</v>
      </c>
    </row>
    <row r="259" spans="2:65" s="1" customFormat="1">
      <c r="B259" s="32"/>
      <c r="D259" s="140" t="s">
        <v>136</v>
      </c>
      <c r="F259" s="141" t="s">
        <v>846</v>
      </c>
      <c r="I259" s="142"/>
      <c r="L259" s="32"/>
      <c r="M259" s="143"/>
      <c r="T259" s="51"/>
      <c r="AT259" s="17" t="s">
        <v>136</v>
      </c>
      <c r="AU259" s="17" t="s">
        <v>81</v>
      </c>
    </row>
    <row r="260" spans="2:65" s="12" customFormat="1">
      <c r="B260" s="144"/>
      <c r="D260" s="145" t="s">
        <v>138</v>
      </c>
      <c r="E260" s="146" t="s">
        <v>19</v>
      </c>
      <c r="F260" s="147" t="s">
        <v>847</v>
      </c>
      <c r="H260" s="148">
        <v>2.73</v>
      </c>
      <c r="I260" s="149"/>
      <c r="L260" s="144"/>
      <c r="M260" s="150"/>
      <c r="T260" s="151"/>
      <c r="AT260" s="146" t="s">
        <v>138</v>
      </c>
      <c r="AU260" s="146" t="s">
        <v>81</v>
      </c>
      <c r="AV260" s="12" t="s">
        <v>81</v>
      </c>
      <c r="AW260" s="12" t="s">
        <v>33</v>
      </c>
      <c r="AX260" s="12" t="s">
        <v>79</v>
      </c>
      <c r="AY260" s="146" t="s">
        <v>127</v>
      </c>
    </row>
    <row r="261" spans="2:65" s="1" customFormat="1" ht="24.2" customHeight="1">
      <c r="B261" s="32"/>
      <c r="C261" s="127" t="s">
        <v>369</v>
      </c>
      <c r="D261" s="127" t="s">
        <v>129</v>
      </c>
      <c r="E261" s="128" t="s">
        <v>848</v>
      </c>
      <c r="F261" s="129" t="s">
        <v>849</v>
      </c>
      <c r="G261" s="130" t="s">
        <v>132</v>
      </c>
      <c r="H261" s="131">
        <v>133.30500000000001</v>
      </c>
      <c r="I261" s="132"/>
      <c r="J261" s="133">
        <f>ROUND(I261*H261,2)</f>
        <v>0</v>
      </c>
      <c r="K261" s="129" t="s">
        <v>133</v>
      </c>
      <c r="L261" s="32"/>
      <c r="M261" s="134" t="s">
        <v>19</v>
      </c>
      <c r="N261" s="135" t="s">
        <v>42</v>
      </c>
      <c r="P261" s="136">
        <f>O261*H261</f>
        <v>0</v>
      </c>
      <c r="Q261" s="136">
        <v>3.0300000000000001E-2</v>
      </c>
      <c r="R261" s="136">
        <f>Q261*H261</f>
        <v>4.0391415000000004</v>
      </c>
      <c r="S261" s="136">
        <v>0</v>
      </c>
      <c r="T261" s="137">
        <f>S261*H261</f>
        <v>0</v>
      </c>
      <c r="AR261" s="138" t="s">
        <v>134</v>
      </c>
      <c r="AT261" s="138" t="s">
        <v>129</v>
      </c>
      <c r="AU261" s="138" t="s">
        <v>81</v>
      </c>
      <c r="AY261" s="17" t="s">
        <v>127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79</v>
      </c>
      <c r="BK261" s="139">
        <f>ROUND(I261*H261,2)</f>
        <v>0</v>
      </c>
      <c r="BL261" s="17" t="s">
        <v>134</v>
      </c>
      <c r="BM261" s="138" t="s">
        <v>850</v>
      </c>
    </row>
    <row r="262" spans="2:65" s="1" customFormat="1">
      <c r="B262" s="32"/>
      <c r="D262" s="140" t="s">
        <v>136</v>
      </c>
      <c r="F262" s="141" t="s">
        <v>851</v>
      </c>
      <c r="I262" s="142"/>
      <c r="L262" s="32"/>
      <c r="M262" s="143"/>
      <c r="T262" s="51"/>
      <c r="AT262" s="17" t="s">
        <v>136</v>
      </c>
      <c r="AU262" s="17" t="s">
        <v>81</v>
      </c>
    </row>
    <row r="263" spans="2:65" s="12" customFormat="1">
      <c r="B263" s="144"/>
      <c r="D263" s="145" t="s">
        <v>138</v>
      </c>
      <c r="E263" s="146" t="s">
        <v>19</v>
      </c>
      <c r="F263" s="147" t="s">
        <v>852</v>
      </c>
      <c r="H263" s="148">
        <v>133.30500000000001</v>
      </c>
      <c r="I263" s="149"/>
      <c r="L263" s="144"/>
      <c r="M263" s="150"/>
      <c r="T263" s="151"/>
      <c r="AT263" s="146" t="s">
        <v>138</v>
      </c>
      <c r="AU263" s="146" t="s">
        <v>81</v>
      </c>
      <c r="AV263" s="12" t="s">
        <v>81</v>
      </c>
      <c r="AW263" s="12" t="s">
        <v>33</v>
      </c>
      <c r="AX263" s="12" t="s">
        <v>79</v>
      </c>
      <c r="AY263" s="146" t="s">
        <v>127</v>
      </c>
    </row>
    <row r="264" spans="2:65" s="1" customFormat="1" ht="24.2" customHeight="1">
      <c r="B264" s="32"/>
      <c r="C264" s="127" t="s">
        <v>374</v>
      </c>
      <c r="D264" s="127" t="s">
        <v>129</v>
      </c>
      <c r="E264" s="128" t="s">
        <v>853</v>
      </c>
      <c r="F264" s="129" t="s">
        <v>854</v>
      </c>
      <c r="G264" s="130" t="s">
        <v>132</v>
      </c>
      <c r="H264" s="131">
        <v>590</v>
      </c>
      <c r="I264" s="132"/>
      <c r="J264" s="133">
        <f>ROUND(I264*H264,2)</f>
        <v>0</v>
      </c>
      <c r="K264" s="129" t="s">
        <v>133</v>
      </c>
      <c r="L264" s="32"/>
      <c r="M264" s="134" t="s">
        <v>19</v>
      </c>
      <c r="N264" s="135" t="s">
        <v>42</v>
      </c>
      <c r="P264" s="136">
        <f>O264*H264</f>
        <v>0</v>
      </c>
      <c r="Q264" s="136">
        <v>1.7639999999999999E-2</v>
      </c>
      <c r="R264" s="136">
        <f>Q264*H264</f>
        <v>10.4076</v>
      </c>
      <c r="S264" s="136">
        <v>0.02</v>
      </c>
      <c r="T264" s="137">
        <f>S264*H264</f>
        <v>11.8</v>
      </c>
      <c r="AR264" s="138" t="s">
        <v>134</v>
      </c>
      <c r="AT264" s="138" t="s">
        <v>129</v>
      </c>
      <c r="AU264" s="138" t="s">
        <v>81</v>
      </c>
      <c r="AY264" s="17" t="s">
        <v>127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79</v>
      </c>
      <c r="BK264" s="139">
        <f>ROUND(I264*H264,2)</f>
        <v>0</v>
      </c>
      <c r="BL264" s="17" t="s">
        <v>134</v>
      </c>
      <c r="BM264" s="138" t="s">
        <v>855</v>
      </c>
    </row>
    <row r="265" spans="2:65" s="1" customFormat="1">
      <c r="B265" s="32"/>
      <c r="D265" s="140" t="s">
        <v>136</v>
      </c>
      <c r="F265" s="141" t="s">
        <v>856</v>
      </c>
      <c r="I265" s="142"/>
      <c r="L265" s="32"/>
      <c r="M265" s="143"/>
      <c r="T265" s="51"/>
      <c r="AT265" s="17" t="s">
        <v>136</v>
      </c>
      <c r="AU265" s="17" t="s">
        <v>81</v>
      </c>
    </row>
    <row r="266" spans="2:65" s="12" customFormat="1">
      <c r="B266" s="144"/>
      <c r="D266" s="145" t="s">
        <v>138</v>
      </c>
      <c r="E266" s="146" t="s">
        <v>19</v>
      </c>
      <c r="F266" s="147" t="s">
        <v>857</v>
      </c>
      <c r="H266" s="148">
        <v>590</v>
      </c>
      <c r="I266" s="149"/>
      <c r="L266" s="144"/>
      <c r="M266" s="150"/>
      <c r="T266" s="151"/>
      <c r="AT266" s="146" t="s">
        <v>138</v>
      </c>
      <c r="AU266" s="146" t="s">
        <v>81</v>
      </c>
      <c r="AV266" s="12" t="s">
        <v>81</v>
      </c>
      <c r="AW266" s="12" t="s">
        <v>33</v>
      </c>
      <c r="AX266" s="12" t="s">
        <v>79</v>
      </c>
      <c r="AY266" s="146" t="s">
        <v>127</v>
      </c>
    </row>
    <row r="267" spans="2:65" s="1" customFormat="1" ht="24.2" customHeight="1">
      <c r="B267" s="32"/>
      <c r="C267" s="127" t="s">
        <v>380</v>
      </c>
      <c r="D267" s="127" t="s">
        <v>129</v>
      </c>
      <c r="E267" s="128" t="s">
        <v>858</v>
      </c>
      <c r="F267" s="129" t="s">
        <v>859</v>
      </c>
      <c r="G267" s="130" t="s">
        <v>132</v>
      </c>
      <c r="H267" s="131">
        <v>590</v>
      </c>
      <c r="I267" s="132"/>
      <c r="J267" s="133">
        <f>ROUND(I267*H267,2)</f>
        <v>0</v>
      </c>
      <c r="K267" s="129" t="s">
        <v>133</v>
      </c>
      <c r="L267" s="32"/>
      <c r="M267" s="134" t="s">
        <v>19</v>
      </c>
      <c r="N267" s="135" t="s">
        <v>42</v>
      </c>
      <c r="P267" s="136">
        <f>O267*H267</f>
        <v>0</v>
      </c>
      <c r="Q267" s="136">
        <v>2.2000000000000001E-4</v>
      </c>
      <c r="R267" s="136">
        <f>Q267*H267</f>
        <v>0.1298</v>
      </c>
      <c r="S267" s="136">
        <v>2E-3</v>
      </c>
      <c r="T267" s="137">
        <f>S267*H267</f>
        <v>1.18</v>
      </c>
      <c r="AR267" s="138" t="s">
        <v>134</v>
      </c>
      <c r="AT267" s="138" t="s">
        <v>129</v>
      </c>
      <c r="AU267" s="138" t="s">
        <v>81</v>
      </c>
      <c r="AY267" s="17" t="s">
        <v>127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79</v>
      </c>
      <c r="BK267" s="139">
        <f>ROUND(I267*H267,2)</f>
        <v>0</v>
      </c>
      <c r="BL267" s="17" t="s">
        <v>134</v>
      </c>
      <c r="BM267" s="138" t="s">
        <v>860</v>
      </c>
    </row>
    <row r="268" spans="2:65" s="1" customFormat="1">
      <c r="B268" s="32"/>
      <c r="D268" s="140" t="s">
        <v>136</v>
      </c>
      <c r="F268" s="141" t="s">
        <v>861</v>
      </c>
      <c r="I268" s="142"/>
      <c r="L268" s="32"/>
      <c r="M268" s="143"/>
      <c r="T268" s="51"/>
      <c r="AT268" s="17" t="s">
        <v>136</v>
      </c>
      <c r="AU268" s="17" t="s">
        <v>81</v>
      </c>
    </row>
    <row r="269" spans="2:65" s="12" customFormat="1">
      <c r="B269" s="144"/>
      <c r="D269" s="145" t="s">
        <v>138</v>
      </c>
      <c r="E269" s="146" t="s">
        <v>19</v>
      </c>
      <c r="F269" s="147" t="s">
        <v>857</v>
      </c>
      <c r="H269" s="148">
        <v>590</v>
      </c>
      <c r="I269" s="149"/>
      <c r="L269" s="144"/>
      <c r="M269" s="150"/>
      <c r="T269" s="151"/>
      <c r="AT269" s="146" t="s">
        <v>138</v>
      </c>
      <c r="AU269" s="146" t="s">
        <v>81</v>
      </c>
      <c r="AV269" s="12" t="s">
        <v>81</v>
      </c>
      <c r="AW269" s="12" t="s">
        <v>33</v>
      </c>
      <c r="AX269" s="12" t="s">
        <v>79</v>
      </c>
      <c r="AY269" s="146" t="s">
        <v>127</v>
      </c>
    </row>
    <row r="270" spans="2:65" s="1" customFormat="1" ht="24.2" customHeight="1">
      <c r="B270" s="32"/>
      <c r="C270" s="127" t="s">
        <v>385</v>
      </c>
      <c r="D270" s="127" t="s">
        <v>129</v>
      </c>
      <c r="E270" s="128" t="s">
        <v>862</v>
      </c>
      <c r="F270" s="129" t="s">
        <v>863</v>
      </c>
      <c r="G270" s="130" t="s">
        <v>132</v>
      </c>
      <c r="H270" s="131">
        <v>1.5</v>
      </c>
      <c r="I270" s="132"/>
      <c r="J270" s="133">
        <f>ROUND(I270*H270,2)</f>
        <v>0</v>
      </c>
      <c r="K270" s="129" t="s">
        <v>133</v>
      </c>
      <c r="L270" s="32"/>
      <c r="M270" s="134" t="s">
        <v>19</v>
      </c>
      <c r="N270" s="135" t="s">
        <v>42</v>
      </c>
      <c r="P270" s="136">
        <f>O270*H270</f>
        <v>0</v>
      </c>
      <c r="Q270" s="136">
        <v>8.5900000000000004E-3</v>
      </c>
      <c r="R270" s="136">
        <f>Q270*H270</f>
        <v>1.2885000000000001E-2</v>
      </c>
      <c r="S270" s="136">
        <v>0</v>
      </c>
      <c r="T270" s="137">
        <f>S270*H270</f>
        <v>0</v>
      </c>
      <c r="AR270" s="138" t="s">
        <v>134</v>
      </c>
      <c r="AT270" s="138" t="s">
        <v>129</v>
      </c>
      <c r="AU270" s="138" t="s">
        <v>81</v>
      </c>
      <c r="AY270" s="17" t="s">
        <v>127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79</v>
      </c>
      <c r="BK270" s="139">
        <f>ROUND(I270*H270,2)</f>
        <v>0</v>
      </c>
      <c r="BL270" s="17" t="s">
        <v>134</v>
      </c>
      <c r="BM270" s="138" t="s">
        <v>864</v>
      </c>
    </row>
    <row r="271" spans="2:65" s="1" customFormat="1">
      <c r="B271" s="32"/>
      <c r="D271" s="140" t="s">
        <v>136</v>
      </c>
      <c r="F271" s="141" t="s">
        <v>865</v>
      </c>
      <c r="I271" s="142"/>
      <c r="L271" s="32"/>
      <c r="M271" s="143"/>
      <c r="T271" s="51"/>
      <c r="AT271" s="17" t="s">
        <v>136</v>
      </c>
      <c r="AU271" s="17" t="s">
        <v>81</v>
      </c>
    </row>
    <row r="272" spans="2:65" s="12" customFormat="1">
      <c r="B272" s="144"/>
      <c r="D272" s="145" t="s">
        <v>138</v>
      </c>
      <c r="E272" s="146" t="s">
        <v>19</v>
      </c>
      <c r="F272" s="147" t="s">
        <v>866</v>
      </c>
      <c r="H272" s="148">
        <v>1.5</v>
      </c>
      <c r="I272" s="149"/>
      <c r="L272" s="144"/>
      <c r="M272" s="150"/>
      <c r="T272" s="151"/>
      <c r="AT272" s="146" t="s">
        <v>138</v>
      </c>
      <c r="AU272" s="146" t="s">
        <v>81</v>
      </c>
      <c r="AV272" s="12" t="s">
        <v>81</v>
      </c>
      <c r="AW272" s="12" t="s">
        <v>33</v>
      </c>
      <c r="AX272" s="12" t="s">
        <v>79</v>
      </c>
      <c r="AY272" s="146" t="s">
        <v>127</v>
      </c>
    </row>
    <row r="273" spans="2:65" s="1" customFormat="1" ht="16.5" customHeight="1">
      <c r="B273" s="32"/>
      <c r="C273" s="159" t="s">
        <v>391</v>
      </c>
      <c r="D273" s="159" t="s">
        <v>413</v>
      </c>
      <c r="E273" s="160" t="s">
        <v>867</v>
      </c>
      <c r="F273" s="161" t="s">
        <v>868</v>
      </c>
      <c r="G273" s="162" t="s">
        <v>132</v>
      </c>
      <c r="H273" s="163">
        <v>1.65</v>
      </c>
      <c r="I273" s="164"/>
      <c r="J273" s="165">
        <f>ROUND(I273*H273,2)</f>
        <v>0</v>
      </c>
      <c r="K273" s="161" t="s">
        <v>133</v>
      </c>
      <c r="L273" s="166"/>
      <c r="M273" s="167" t="s">
        <v>19</v>
      </c>
      <c r="N273" s="168" t="s">
        <v>42</v>
      </c>
      <c r="P273" s="136">
        <f>O273*H273</f>
        <v>0</v>
      </c>
      <c r="Q273" s="136">
        <v>2.3999999999999998E-3</v>
      </c>
      <c r="R273" s="136">
        <f>Q273*H273</f>
        <v>3.9599999999999991E-3</v>
      </c>
      <c r="S273" s="136">
        <v>0</v>
      </c>
      <c r="T273" s="137">
        <f>S273*H273</f>
        <v>0</v>
      </c>
      <c r="AR273" s="138" t="s">
        <v>177</v>
      </c>
      <c r="AT273" s="138" t="s">
        <v>413</v>
      </c>
      <c r="AU273" s="138" t="s">
        <v>81</v>
      </c>
      <c r="AY273" s="17" t="s">
        <v>127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79</v>
      </c>
      <c r="BK273" s="139">
        <f>ROUND(I273*H273,2)</f>
        <v>0</v>
      </c>
      <c r="BL273" s="17" t="s">
        <v>134</v>
      </c>
      <c r="BM273" s="138" t="s">
        <v>869</v>
      </c>
    </row>
    <row r="274" spans="2:65" s="12" customFormat="1">
      <c r="B274" s="144"/>
      <c r="D274" s="145" t="s">
        <v>138</v>
      </c>
      <c r="F274" s="147" t="s">
        <v>870</v>
      </c>
      <c r="H274" s="148">
        <v>1.65</v>
      </c>
      <c r="I274" s="149"/>
      <c r="L274" s="144"/>
      <c r="M274" s="150"/>
      <c r="T274" s="151"/>
      <c r="AT274" s="146" t="s">
        <v>138</v>
      </c>
      <c r="AU274" s="146" t="s">
        <v>81</v>
      </c>
      <c r="AV274" s="12" t="s">
        <v>81</v>
      </c>
      <c r="AW274" s="12" t="s">
        <v>4</v>
      </c>
      <c r="AX274" s="12" t="s">
        <v>79</v>
      </c>
      <c r="AY274" s="146" t="s">
        <v>127</v>
      </c>
    </row>
    <row r="275" spans="2:65" s="1" customFormat="1" ht="16.5" customHeight="1">
      <c r="B275" s="32"/>
      <c r="C275" s="127" t="s">
        <v>400</v>
      </c>
      <c r="D275" s="127" t="s">
        <v>129</v>
      </c>
      <c r="E275" s="128" t="s">
        <v>871</v>
      </c>
      <c r="F275" s="129" t="s">
        <v>872</v>
      </c>
      <c r="G275" s="130" t="s">
        <v>132</v>
      </c>
      <c r="H275" s="131">
        <v>85.38</v>
      </c>
      <c r="I275" s="132"/>
      <c r="J275" s="133">
        <f>ROUND(I275*H275,2)</f>
        <v>0</v>
      </c>
      <c r="K275" s="129" t="s">
        <v>133</v>
      </c>
      <c r="L275" s="32"/>
      <c r="M275" s="134" t="s">
        <v>19</v>
      </c>
      <c r="N275" s="135" t="s">
        <v>42</v>
      </c>
      <c r="P275" s="136">
        <f>O275*H275</f>
        <v>0</v>
      </c>
      <c r="Q275" s="136">
        <v>2.5999999999999998E-4</v>
      </c>
      <c r="R275" s="136">
        <f>Q275*H275</f>
        <v>2.2198799999999998E-2</v>
      </c>
      <c r="S275" s="136">
        <v>0</v>
      </c>
      <c r="T275" s="137">
        <f>S275*H275</f>
        <v>0</v>
      </c>
      <c r="AR275" s="138" t="s">
        <v>134</v>
      </c>
      <c r="AT275" s="138" t="s">
        <v>129</v>
      </c>
      <c r="AU275" s="138" t="s">
        <v>81</v>
      </c>
      <c r="AY275" s="17" t="s">
        <v>127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79</v>
      </c>
      <c r="BK275" s="139">
        <f>ROUND(I275*H275,2)</f>
        <v>0</v>
      </c>
      <c r="BL275" s="17" t="s">
        <v>134</v>
      </c>
      <c r="BM275" s="138" t="s">
        <v>873</v>
      </c>
    </row>
    <row r="276" spans="2:65" s="1" customFormat="1">
      <c r="B276" s="32"/>
      <c r="D276" s="140" t="s">
        <v>136</v>
      </c>
      <c r="F276" s="141" t="s">
        <v>874</v>
      </c>
      <c r="I276" s="142"/>
      <c r="L276" s="32"/>
      <c r="M276" s="143"/>
      <c r="T276" s="51"/>
      <c r="AT276" s="17" t="s">
        <v>136</v>
      </c>
      <c r="AU276" s="17" t="s">
        <v>81</v>
      </c>
    </row>
    <row r="277" spans="2:65" s="12" customFormat="1">
      <c r="B277" s="144"/>
      <c r="D277" s="145" t="s">
        <v>138</v>
      </c>
      <c r="E277" s="146" t="s">
        <v>19</v>
      </c>
      <c r="F277" s="147" t="s">
        <v>716</v>
      </c>
      <c r="H277" s="148">
        <v>85.38</v>
      </c>
      <c r="I277" s="149"/>
      <c r="L277" s="144"/>
      <c r="M277" s="150"/>
      <c r="T277" s="151"/>
      <c r="AT277" s="146" t="s">
        <v>138</v>
      </c>
      <c r="AU277" s="146" t="s">
        <v>81</v>
      </c>
      <c r="AV277" s="12" t="s">
        <v>81</v>
      </c>
      <c r="AW277" s="12" t="s">
        <v>33</v>
      </c>
      <c r="AX277" s="12" t="s">
        <v>79</v>
      </c>
      <c r="AY277" s="146" t="s">
        <v>127</v>
      </c>
    </row>
    <row r="278" spans="2:65" s="1" customFormat="1" ht="24.2" customHeight="1">
      <c r="B278" s="32"/>
      <c r="C278" s="127" t="s">
        <v>406</v>
      </c>
      <c r="D278" s="127" t="s">
        <v>129</v>
      </c>
      <c r="E278" s="128" t="s">
        <v>875</v>
      </c>
      <c r="F278" s="129" t="s">
        <v>876</v>
      </c>
      <c r="G278" s="130" t="s">
        <v>132</v>
      </c>
      <c r="H278" s="131">
        <v>93.48</v>
      </c>
      <c r="I278" s="132"/>
      <c r="J278" s="133">
        <f>ROUND(I278*H278,2)</f>
        <v>0</v>
      </c>
      <c r="K278" s="129" t="s">
        <v>133</v>
      </c>
      <c r="L278" s="32"/>
      <c r="M278" s="134" t="s">
        <v>19</v>
      </c>
      <c r="N278" s="135" t="s">
        <v>42</v>
      </c>
      <c r="P278" s="136">
        <f>O278*H278</f>
        <v>0</v>
      </c>
      <c r="Q278" s="136">
        <v>4.3800000000000002E-3</v>
      </c>
      <c r="R278" s="136">
        <f>Q278*H278</f>
        <v>0.40944240000000004</v>
      </c>
      <c r="S278" s="136">
        <v>0</v>
      </c>
      <c r="T278" s="137">
        <f>S278*H278</f>
        <v>0</v>
      </c>
      <c r="AR278" s="138" t="s">
        <v>134</v>
      </c>
      <c r="AT278" s="138" t="s">
        <v>129</v>
      </c>
      <c r="AU278" s="138" t="s">
        <v>81</v>
      </c>
      <c r="AY278" s="17" t="s">
        <v>127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79</v>
      </c>
      <c r="BK278" s="139">
        <f>ROUND(I278*H278,2)</f>
        <v>0</v>
      </c>
      <c r="BL278" s="17" t="s">
        <v>134</v>
      </c>
      <c r="BM278" s="138" t="s">
        <v>877</v>
      </c>
    </row>
    <row r="279" spans="2:65" s="1" customFormat="1">
      <c r="B279" s="32"/>
      <c r="D279" s="140" t="s">
        <v>136</v>
      </c>
      <c r="F279" s="141" t="s">
        <v>878</v>
      </c>
      <c r="I279" s="142"/>
      <c r="L279" s="32"/>
      <c r="M279" s="143"/>
      <c r="T279" s="51"/>
      <c r="AT279" s="17" t="s">
        <v>136</v>
      </c>
      <c r="AU279" s="17" t="s">
        <v>81</v>
      </c>
    </row>
    <row r="280" spans="2:65" s="12" customFormat="1">
      <c r="B280" s="144"/>
      <c r="D280" s="145" t="s">
        <v>138</v>
      </c>
      <c r="E280" s="146" t="s">
        <v>19</v>
      </c>
      <c r="F280" s="147" t="s">
        <v>716</v>
      </c>
      <c r="H280" s="148">
        <v>85.38</v>
      </c>
      <c r="I280" s="149"/>
      <c r="L280" s="144"/>
      <c r="M280" s="150"/>
      <c r="T280" s="151"/>
      <c r="AT280" s="146" t="s">
        <v>138</v>
      </c>
      <c r="AU280" s="146" t="s">
        <v>81</v>
      </c>
      <c r="AV280" s="12" t="s">
        <v>81</v>
      </c>
      <c r="AW280" s="12" t="s">
        <v>33</v>
      </c>
      <c r="AX280" s="12" t="s">
        <v>71</v>
      </c>
      <c r="AY280" s="146" t="s">
        <v>127</v>
      </c>
    </row>
    <row r="281" spans="2:65" s="12" customFormat="1">
      <c r="B281" s="144"/>
      <c r="D281" s="145" t="s">
        <v>138</v>
      </c>
      <c r="E281" s="146" t="s">
        <v>19</v>
      </c>
      <c r="F281" s="147" t="s">
        <v>879</v>
      </c>
      <c r="H281" s="148">
        <v>7.02</v>
      </c>
      <c r="I281" s="149"/>
      <c r="L281" s="144"/>
      <c r="M281" s="150"/>
      <c r="T281" s="151"/>
      <c r="AT281" s="146" t="s">
        <v>138</v>
      </c>
      <c r="AU281" s="146" t="s">
        <v>81</v>
      </c>
      <c r="AV281" s="12" t="s">
        <v>81</v>
      </c>
      <c r="AW281" s="12" t="s">
        <v>33</v>
      </c>
      <c r="AX281" s="12" t="s">
        <v>71</v>
      </c>
      <c r="AY281" s="146" t="s">
        <v>127</v>
      </c>
    </row>
    <row r="282" spans="2:65" s="12" customFormat="1">
      <c r="B282" s="144"/>
      <c r="D282" s="145" t="s">
        <v>138</v>
      </c>
      <c r="E282" s="146" t="s">
        <v>19</v>
      </c>
      <c r="F282" s="147" t="s">
        <v>880</v>
      </c>
      <c r="H282" s="148">
        <v>1.08</v>
      </c>
      <c r="I282" s="149"/>
      <c r="L282" s="144"/>
      <c r="M282" s="150"/>
      <c r="T282" s="151"/>
      <c r="AT282" s="146" t="s">
        <v>138</v>
      </c>
      <c r="AU282" s="146" t="s">
        <v>81</v>
      </c>
      <c r="AV282" s="12" t="s">
        <v>81</v>
      </c>
      <c r="AW282" s="12" t="s">
        <v>33</v>
      </c>
      <c r="AX282" s="12" t="s">
        <v>71</v>
      </c>
      <c r="AY282" s="146" t="s">
        <v>127</v>
      </c>
    </row>
    <row r="283" spans="2:65" s="13" customFormat="1">
      <c r="B283" s="152"/>
      <c r="D283" s="145" t="s">
        <v>138</v>
      </c>
      <c r="E283" s="153" t="s">
        <v>19</v>
      </c>
      <c r="F283" s="154" t="s">
        <v>152</v>
      </c>
      <c r="H283" s="155">
        <v>93.47999999999999</v>
      </c>
      <c r="I283" s="156"/>
      <c r="L283" s="152"/>
      <c r="M283" s="157"/>
      <c r="T283" s="158"/>
      <c r="AT283" s="153" t="s">
        <v>138</v>
      </c>
      <c r="AU283" s="153" t="s">
        <v>81</v>
      </c>
      <c r="AV283" s="13" t="s">
        <v>134</v>
      </c>
      <c r="AW283" s="13" t="s">
        <v>33</v>
      </c>
      <c r="AX283" s="13" t="s">
        <v>79</v>
      </c>
      <c r="AY283" s="153" t="s">
        <v>127</v>
      </c>
    </row>
    <row r="284" spans="2:65" s="1" customFormat="1" ht="16.5" customHeight="1">
      <c r="B284" s="32"/>
      <c r="C284" s="127" t="s">
        <v>412</v>
      </c>
      <c r="D284" s="127" t="s">
        <v>129</v>
      </c>
      <c r="E284" s="128" t="s">
        <v>881</v>
      </c>
      <c r="F284" s="129" t="s">
        <v>882</v>
      </c>
      <c r="G284" s="130" t="s">
        <v>132</v>
      </c>
      <c r="H284" s="131">
        <v>92.4</v>
      </c>
      <c r="I284" s="132"/>
      <c r="J284" s="133">
        <f>ROUND(I284*H284,2)</f>
        <v>0</v>
      </c>
      <c r="K284" s="129" t="s">
        <v>133</v>
      </c>
      <c r="L284" s="32"/>
      <c r="M284" s="134" t="s">
        <v>19</v>
      </c>
      <c r="N284" s="135" t="s">
        <v>42</v>
      </c>
      <c r="P284" s="136">
        <f>O284*H284</f>
        <v>0</v>
      </c>
      <c r="Q284" s="136">
        <v>2.5000000000000001E-4</v>
      </c>
      <c r="R284" s="136">
        <f>Q284*H284</f>
        <v>2.3100000000000002E-2</v>
      </c>
      <c r="S284" s="136">
        <v>0</v>
      </c>
      <c r="T284" s="137">
        <f>S284*H284</f>
        <v>0</v>
      </c>
      <c r="AR284" s="138" t="s">
        <v>134</v>
      </c>
      <c r="AT284" s="138" t="s">
        <v>129</v>
      </c>
      <c r="AU284" s="138" t="s">
        <v>81</v>
      </c>
      <c r="AY284" s="17" t="s">
        <v>127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79</v>
      </c>
      <c r="BK284" s="139">
        <f>ROUND(I284*H284,2)</f>
        <v>0</v>
      </c>
      <c r="BL284" s="17" t="s">
        <v>134</v>
      </c>
      <c r="BM284" s="138" t="s">
        <v>883</v>
      </c>
    </row>
    <row r="285" spans="2:65" s="1" customFormat="1">
      <c r="B285" s="32"/>
      <c r="D285" s="140" t="s">
        <v>136</v>
      </c>
      <c r="F285" s="141" t="s">
        <v>884</v>
      </c>
      <c r="I285" s="142"/>
      <c r="L285" s="32"/>
      <c r="M285" s="143"/>
      <c r="T285" s="51"/>
      <c r="AT285" s="17" t="s">
        <v>136</v>
      </c>
      <c r="AU285" s="17" t="s">
        <v>81</v>
      </c>
    </row>
    <row r="286" spans="2:65" s="12" customFormat="1">
      <c r="B286" s="144"/>
      <c r="D286" s="145" t="s">
        <v>138</v>
      </c>
      <c r="E286" s="146" t="s">
        <v>19</v>
      </c>
      <c r="F286" s="147" t="s">
        <v>716</v>
      </c>
      <c r="H286" s="148">
        <v>85.38</v>
      </c>
      <c r="I286" s="149"/>
      <c r="L286" s="144"/>
      <c r="M286" s="150"/>
      <c r="T286" s="151"/>
      <c r="AT286" s="146" t="s">
        <v>138</v>
      </c>
      <c r="AU286" s="146" t="s">
        <v>81</v>
      </c>
      <c r="AV286" s="12" t="s">
        <v>81</v>
      </c>
      <c r="AW286" s="12" t="s">
        <v>33</v>
      </c>
      <c r="AX286" s="12" t="s">
        <v>71</v>
      </c>
      <c r="AY286" s="146" t="s">
        <v>127</v>
      </c>
    </row>
    <row r="287" spans="2:65" s="12" customFormat="1">
      <c r="B287" s="144"/>
      <c r="D287" s="145" t="s">
        <v>138</v>
      </c>
      <c r="E287" s="146" t="s">
        <v>19</v>
      </c>
      <c r="F287" s="147" t="s">
        <v>879</v>
      </c>
      <c r="H287" s="148">
        <v>7.02</v>
      </c>
      <c r="I287" s="149"/>
      <c r="L287" s="144"/>
      <c r="M287" s="150"/>
      <c r="T287" s="151"/>
      <c r="AT287" s="146" t="s">
        <v>138</v>
      </c>
      <c r="AU287" s="146" t="s">
        <v>81</v>
      </c>
      <c r="AV287" s="12" t="s">
        <v>81</v>
      </c>
      <c r="AW287" s="12" t="s">
        <v>33</v>
      </c>
      <c r="AX287" s="12" t="s">
        <v>71</v>
      </c>
      <c r="AY287" s="146" t="s">
        <v>127</v>
      </c>
    </row>
    <row r="288" spans="2:65" s="13" customFormat="1">
      <c r="B288" s="152"/>
      <c r="D288" s="145" t="s">
        <v>138</v>
      </c>
      <c r="E288" s="153" t="s">
        <v>19</v>
      </c>
      <c r="F288" s="154" t="s">
        <v>152</v>
      </c>
      <c r="H288" s="155">
        <v>92.399999999999991</v>
      </c>
      <c r="I288" s="156"/>
      <c r="L288" s="152"/>
      <c r="M288" s="157"/>
      <c r="T288" s="158"/>
      <c r="AT288" s="153" t="s">
        <v>138</v>
      </c>
      <c r="AU288" s="153" t="s">
        <v>81</v>
      </c>
      <c r="AV288" s="13" t="s">
        <v>134</v>
      </c>
      <c r="AW288" s="13" t="s">
        <v>33</v>
      </c>
      <c r="AX288" s="13" t="s">
        <v>79</v>
      </c>
      <c r="AY288" s="153" t="s">
        <v>127</v>
      </c>
    </row>
    <row r="289" spans="2:65" s="1" customFormat="1" ht="37.9" customHeight="1">
      <c r="B289" s="32"/>
      <c r="C289" s="127" t="s">
        <v>422</v>
      </c>
      <c r="D289" s="127" t="s">
        <v>129</v>
      </c>
      <c r="E289" s="128" t="s">
        <v>885</v>
      </c>
      <c r="F289" s="129" t="s">
        <v>886</v>
      </c>
      <c r="G289" s="130" t="s">
        <v>132</v>
      </c>
      <c r="H289" s="131">
        <v>85.38</v>
      </c>
      <c r="I289" s="132"/>
      <c r="J289" s="133">
        <f>ROUND(I289*H289,2)</f>
        <v>0</v>
      </c>
      <c r="K289" s="129" t="s">
        <v>133</v>
      </c>
      <c r="L289" s="32"/>
      <c r="M289" s="134" t="s">
        <v>19</v>
      </c>
      <c r="N289" s="135" t="s">
        <v>42</v>
      </c>
      <c r="P289" s="136">
        <f>O289*H289</f>
        <v>0</v>
      </c>
      <c r="Q289" s="136">
        <v>1.1520000000000001E-2</v>
      </c>
      <c r="R289" s="136">
        <f>Q289*H289</f>
        <v>0.98357760000000005</v>
      </c>
      <c r="S289" s="136">
        <v>0</v>
      </c>
      <c r="T289" s="137">
        <f>S289*H289</f>
        <v>0</v>
      </c>
      <c r="AR289" s="138" t="s">
        <v>134</v>
      </c>
      <c r="AT289" s="138" t="s">
        <v>129</v>
      </c>
      <c r="AU289" s="138" t="s">
        <v>81</v>
      </c>
      <c r="AY289" s="17" t="s">
        <v>127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7" t="s">
        <v>79</v>
      </c>
      <c r="BK289" s="139">
        <f>ROUND(I289*H289,2)</f>
        <v>0</v>
      </c>
      <c r="BL289" s="17" t="s">
        <v>134</v>
      </c>
      <c r="BM289" s="138" t="s">
        <v>887</v>
      </c>
    </row>
    <row r="290" spans="2:65" s="1" customFormat="1">
      <c r="B290" s="32"/>
      <c r="D290" s="140" t="s">
        <v>136</v>
      </c>
      <c r="F290" s="141" t="s">
        <v>888</v>
      </c>
      <c r="I290" s="142"/>
      <c r="L290" s="32"/>
      <c r="M290" s="143"/>
      <c r="T290" s="51"/>
      <c r="AT290" s="17" t="s">
        <v>136</v>
      </c>
      <c r="AU290" s="17" t="s">
        <v>81</v>
      </c>
    </row>
    <row r="291" spans="2:65" s="12" customFormat="1">
      <c r="B291" s="144"/>
      <c r="D291" s="145" t="s">
        <v>138</v>
      </c>
      <c r="E291" s="146" t="s">
        <v>19</v>
      </c>
      <c r="F291" s="147" t="s">
        <v>716</v>
      </c>
      <c r="H291" s="148">
        <v>85.38</v>
      </c>
      <c r="I291" s="149"/>
      <c r="L291" s="144"/>
      <c r="M291" s="150"/>
      <c r="T291" s="151"/>
      <c r="AT291" s="146" t="s">
        <v>138</v>
      </c>
      <c r="AU291" s="146" t="s">
        <v>81</v>
      </c>
      <c r="AV291" s="12" t="s">
        <v>81</v>
      </c>
      <c r="AW291" s="12" t="s">
        <v>33</v>
      </c>
      <c r="AX291" s="12" t="s">
        <v>79</v>
      </c>
      <c r="AY291" s="146" t="s">
        <v>127</v>
      </c>
    </row>
    <row r="292" spans="2:65" s="1" customFormat="1" ht="16.5" customHeight="1">
      <c r="B292" s="32"/>
      <c r="C292" s="159" t="s">
        <v>430</v>
      </c>
      <c r="D292" s="159" t="s">
        <v>413</v>
      </c>
      <c r="E292" s="160" t="s">
        <v>889</v>
      </c>
      <c r="F292" s="161" t="s">
        <v>890</v>
      </c>
      <c r="G292" s="162" t="s">
        <v>132</v>
      </c>
      <c r="H292" s="163">
        <v>89.649000000000001</v>
      </c>
      <c r="I292" s="164"/>
      <c r="J292" s="165">
        <f>ROUND(I292*H292,2)</f>
        <v>0</v>
      </c>
      <c r="K292" s="161" t="s">
        <v>133</v>
      </c>
      <c r="L292" s="166"/>
      <c r="M292" s="167" t="s">
        <v>19</v>
      </c>
      <c r="N292" s="168" t="s">
        <v>42</v>
      </c>
      <c r="P292" s="136">
        <f>O292*H292</f>
        <v>0</v>
      </c>
      <c r="Q292" s="136">
        <v>1.9E-2</v>
      </c>
      <c r="R292" s="136">
        <f>Q292*H292</f>
        <v>1.7033309999999999</v>
      </c>
      <c r="S292" s="136">
        <v>0</v>
      </c>
      <c r="T292" s="137">
        <f>S292*H292</f>
        <v>0</v>
      </c>
      <c r="AR292" s="138" t="s">
        <v>177</v>
      </c>
      <c r="AT292" s="138" t="s">
        <v>413</v>
      </c>
      <c r="AU292" s="138" t="s">
        <v>81</v>
      </c>
      <c r="AY292" s="17" t="s">
        <v>127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79</v>
      </c>
      <c r="BK292" s="139">
        <f>ROUND(I292*H292,2)</f>
        <v>0</v>
      </c>
      <c r="BL292" s="17" t="s">
        <v>134</v>
      </c>
      <c r="BM292" s="138" t="s">
        <v>891</v>
      </c>
    </row>
    <row r="293" spans="2:65" s="12" customFormat="1">
      <c r="B293" s="144"/>
      <c r="D293" s="145" t="s">
        <v>138</v>
      </c>
      <c r="F293" s="147" t="s">
        <v>892</v>
      </c>
      <c r="H293" s="148">
        <v>89.649000000000001</v>
      </c>
      <c r="I293" s="149"/>
      <c r="L293" s="144"/>
      <c r="M293" s="150"/>
      <c r="T293" s="151"/>
      <c r="AT293" s="146" t="s">
        <v>138</v>
      </c>
      <c r="AU293" s="146" t="s">
        <v>81</v>
      </c>
      <c r="AV293" s="12" t="s">
        <v>81</v>
      </c>
      <c r="AW293" s="12" t="s">
        <v>4</v>
      </c>
      <c r="AX293" s="12" t="s">
        <v>79</v>
      </c>
      <c r="AY293" s="146" t="s">
        <v>127</v>
      </c>
    </row>
    <row r="294" spans="2:65" s="1" customFormat="1" ht="24.2" customHeight="1">
      <c r="B294" s="32"/>
      <c r="C294" s="127" t="s">
        <v>436</v>
      </c>
      <c r="D294" s="127" t="s">
        <v>129</v>
      </c>
      <c r="E294" s="128" t="s">
        <v>893</v>
      </c>
      <c r="F294" s="129" t="s">
        <v>894</v>
      </c>
      <c r="G294" s="130" t="s">
        <v>257</v>
      </c>
      <c r="H294" s="131">
        <v>27</v>
      </c>
      <c r="I294" s="132"/>
      <c r="J294" s="133">
        <f>ROUND(I294*H294,2)</f>
        <v>0</v>
      </c>
      <c r="K294" s="129" t="s">
        <v>133</v>
      </c>
      <c r="L294" s="32"/>
      <c r="M294" s="134" t="s">
        <v>19</v>
      </c>
      <c r="N294" s="135" t="s">
        <v>42</v>
      </c>
      <c r="P294" s="136">
        <f>O294*H294</f>
        <v>0</v>
      </c>
      <c r="Q294" s="136">
        <v>3.3899999999999998E-3</v>
      </c>
      <c r="R294" s="136">
        <f>Q294*H294</f>
        <v>9.153E-2</v>
      </c>
      <c r="S294" s="136">
        <v>0</v>
      </c>
      <c r="T294" s="137">
        <f>S294*H294</f>
        <v>0</v>
      </c>
      <c r="AR294" s="138" t="s">
        <v>134</v>
      </c>
      <c r="AT294" s="138" t="s">
        <v>129</v>
      </c>
      <c r="AU294" s="138" t="s">
        <v>81</v>
      </c>
      <c r="AY294" s="17" t="s">
        <v>127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79</v>
      </c>
      <c r="BK294" s="139">
        <f>ROUND(I294*H294,2)</f>
        <v>0</v>
      </c>
      <c r="BL294" s="17" t="s">
        <v>134</v>
      </c>
      <c r="BM294" s="138" t="s">
        <v>895</v>
      </c>
    </row>
    <row r="295" spans="2:65" s="1" customFormat="1">
      <c r="B295" s="32"/>
      <c r="D295" s="140" t="s">
        <v>136</v>
      </c>
      <c r="F295" s="141" t="s">
        <v>896</v>
      </c>
      <c r="I295" s="142"/>
      <c r="L295" s="32"/>
      <c r="M295" s="143"/>
      <c r="T295" s="51"/>
      <c r="AT295" s="17" t="s">
        <v>136</v>
      </c>
      <c r="AU295" s="17" t="s">
        <v>81</v>
      </c>
    </row>
    <row r="296" spans="2:65" s="12" customFormat="1">
      <c r="B296" s="144"/>
      <c r="D296" s="145" t="s">
        <v>138</v>
      </c>
      <c r="E296" s="146" t="s">
        <v>19</v>
      </c>
      <c r="F296" s="147" t="s">
        <v>897</v>
      </c>
      <c r="H296" s="148">
        <v>23.4</v>
      </c>
      <c r="I296" s="149"/>
      <c r="L296" s="144"/>
      <c r="M296" s="150"/>
      <c r="T296" s="151"/>
      <c r="AT296" s="146" t="s">
        <v>138</v>
      </c>
      <c r="AU296" s="146" t="s">
        <v>81</v>
      </c>
      <c r="AV296" s="12" t="s">
        <v>81</v>
      </c>
      <c r="AW296" s="12" t="s">
        <v>33</v>
      </c>
      <c r="AX296" s="12" t="s">
        <v>71</v>
      </c>
      <c r="AY296" s="146" t="s">
        <v>127</v>
      </c>
    </row>
    <row r="297" spans="2:65" s="12" customFormat="1">
      <c r="B297" s="144"/>
      <c r="D297" s="145" t="s">
        <v>138</v>
      </c>
      <c r="E297" s="146" t="s">
        <v>19</v>
      </c>
      <c r="F297" s="147" t="s">
        <v>898</v>
      </c>
      <c r="H297" s="148">
        <v>3.6</v>
      </c>
      <c r="I297" s="149"/>
      <c r="L297" s="144"/>
      <c r="M297" s="150"/>
      <c r="T297" s="151"/>
      <c r="AT297" s="146" t="s">
        <v>138</v>
      </c>
      <c r="AU297" s="146" t="s">
        <v>81</v>
      </c>
      <c r="AV297" s="12" t="s">
        <v>81</v>
      </c>
      <c r="AW297" s="12" t="s">
        <v>33</v>
      </c>
      <c r="AX297" s="12" t="s">
        <v>71</v>
      </c>
      <c r="AY297" s="146" t="s">
        <v>127</v>
      </c>
    </row>
    <row r="298" spans="2:65" s="13" customFormat="1">
      <c r="B298" s="152"/>
      <c r="D298" s="145" t="s">
        <v>138</v>
      </c>
      <c r="E298" s="153" t="s">
        <v>19</v>
      </c>
      <c r="F298" s="154" t="s">
        <v>152</v>
      </c>
      <c r="H298" s="155">
        <v>27</v>
      </c>
      <c r="I298" s="156"/>
      <c r="L298" s="152"/>
      <c r="M298" s="157"/>
      <c r="T298" s="158"/>
      <c r="AT298" s="153" t="s">
        <v>138</v>
      </c>
      <c r="AU298" s="153" t="s">
        <v>81</v>
      </c>
      <c r="AV298" s="13" t="s">
        <v>134</v>
      </c>
      <c r="AW298" s="13" t="s">
        <v>33</v>
      </c>
      <c r="AX298" s="13" t="s">
        <v>79</v>
      </c>
      <c r="AY298" s="153" t="s">
        <v>127</v>
      </c>
    </row>
    <row r="299" spans="2:65" s="1" customFormat="1" ht="16.5" customHeight="1">
      <c r="B299" s="32"/>
      <c r="C299" s="159" t="s">
        <v>442</v>
      </c>
      <c r="D299" s="159" t="s">
        <v>413</v>
      </c>
      <c r="E299" s="160" t="s">
        <v>899</v>
      </c>
      <c r="F299" s="161" t="s">
        <v>900</v>
      </c>
      <c r="G299" s="162" t="s">
        <v>132</v>
      </c>
      <c r="H299" s="163">
        <v>7.7220000000000004</v>
      </c>
      <c r="I299" s="164"/>
      <c r="J299" s="165">
        <f>ROUND(I299*H299,2)</f>
        <v>0</v>
      </c>
      <c r="K299" s="161" t="s">
        <v>133</v>
      </c>
      <c r="L299" s="166"/>
      <c r="M299" s="167" t="s">
        <v>19</v>
      </c>
      <c r="N299" s="168" t="s">
        <v>42</v>
      </c>
      <c r="P299" s="136">
        <f>O299*H299</f>
        <v>0</v>
      </c>
      <c r="Q299" s="136">
        <v>6.8000000000000005E-4</v>
      </c>
      <c r="R299" s="136">
        <f>Q299*H299</f>
        <v>5.2509600000000007E-3</v>
      </c>
      <c r="S299" s="136">
        <v>0</v>
      </c>
      <c r="T299" s="137">
        <f>S299*H299</f>
        <v>0</v>
      </c>
      <c r="AR299" s="138" t="s">
        <v>177</v>
      </c>
      <c r="AT299" s="138" t="s">
        <v>413</v>
      </c>
      <c r="AU299" s="138" t="s">
        <v>81</v>
      </c>
      <c r="AY299" s="17" t="s">
        <v>127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79</v>
      </c>
      <c r="BK299" s="139">
        <f>ROUND(I299*H299,2)</f>
        <v>0</v>
      </c>
      <c r="BL299" s="17" t="s">
        <v>134</v>
      </c>
      <c r="BM299" s="138" t="s">
        <v>901</v>
      </c>
    </row>
    <row r="300" spans="2:65" s="12" customFormat="1">
      <c r="B300" s="144"/>
      <c r="D300" s="145" t="s">
        <v>138</v>
      </c>
      <c r="E300" s="146" t="s">
        <v>19</v>
      </c>
      <c r="F300" s="147" t="s">
        <v>879</v>
      </c>
      <c r="H300" s="148">
        <v>7.02</v>
      </c>
      <c r="I300" s="149"/>
      <c r="L300" s="144"/>
      <c r="M300" s="150"/>
      <c r="T300" s="151"/>
      <c r="AT300" s="146" t="s">
        <v>138</v>
      </c>
      <c r="AU300" s="146" t="s">
        <v>81</v>
      </c>
      <c r="AV300" s="12" t="s">
        <v>81</v>
      </c>
      <c r="AW300" s="12" t="s">
        <v>33</v>
      </c>
      <c r="AX300" s="12" t="s">
        <v>79</v>
      </c>
      <c r="AY300" s="146" t="s">
        <v>127</v>
      </c>
    </row>
    <row r="301" spans="2:65" s="12" customFormat="1">
      <c r="B301" s="144"/>
      <c r="D301" s="145" t="s">
        <v>138</v>
      </c>
      <c r="F301" s="147" t="s">
        <v>902</v>
      </c>
      <c r="H301" s="148">
        <v>7.7220000000000004</v>
      </c>
      <c r="I301" s="149"/>
      <c r="L301" s="144"/>
      <c r="M301" s="150"/>
      <c r="T301" s="151"/>
      <c r="AT301" s="146" t="s">
        <v>138</v>
      </c>
      <c r="AU301" s="146" t="s">
        <v>81</v>
      </c>
      <c r="AV301" s="12" t="s">
        <v>81</v>
      </c>
      <c r="AW301" s="12" t="s">
        <v>4</v>
      </c>
      <c r="AX301" s="12" t="s">
        <v>79</v>
      </c>
      <c r="AY301" s="146" t="s">
        <v>127</v>
      </c>
    </row>
    <row r="302" spans="2:65" s="1" customFormat="1" ht="16.5" customHeight="1">
      <c r="B302" s="32"/>
      <c r="C302" s="159" t="s">
        <v>446</v>
      </c>
      <c r="D302" s="159" t="s">
        <v>413</v>
      </c>
      <c r="E302" s="160" t="s">
        <v>903</v>
      </c>
      <c r="F302" s="161" t="s">
        <v>904</v>
      </c>
      <c r="G302" s="162" t="s">
        <v>132</v>
      </c>
      <c r="H302" s="163">
        <v>1.1879999999999999</v>
      </c>
      <c r="I302" s="164"/>
      <c r="J302" s="165">
        <f>ROUND(I302*H302,2)</f>
        <v>0</v>
      </c>
      <c r="K302" s="161" t="s">
        <v>133</v>
      </c>
      <c r="L302" s="166"/>
      <c r="M302" s="167" t="s">
        <v>19</v>
      </c>
      <c r="N302" s="168" t="s">
        <v>42</v>
      </c>
      <c r="P302" s="136">
        <f>O302*H302</f>
        <v>0</v>
      </c>
      <c r="Q302" s="136">
        <v>1.1999999999999999E-3</v>
      </c>
      <c r="R302" s="136">
        <f>Q302*H302</f>
        <v>1.4255999999999997E-3</v>
      </c>
      <c r="S302" s="136">
        <v>0</v>
      </c>
      <c r="T302" s="137">
        <f>S302*H302</f>
        <v>0</v>
      </c>
      <c r="AR302" s="138" t="s">
        <v>177</v>
      </c>
      <c r="AT302" s="138" t="s">
        <v>413</v>
      </c>
      <c r="AU302" s="138" t="s">
        <v>81</v>
      </c>
      <c r="AY302" s="17" t="s">
        <v>127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79</v>
      </c>
      <c r="BK302" s="139">
        <f>ROUND(I302*H302,2)</f>
        <v>0</v>
      </c>
      <c r="BL302" s="17" t="s">
        <v>134</v>
      </c>
      <c r="BM302" s="138" t="s">
        <v>905</v>
      </c>
    </row>
    <row r="303" spans="2:65" s="12" customFormat="1">
      <c r="B303" s="144"/>
      <c r="D303" s="145" t="s">
        <v>138</v>
      </c>
      <c r="E303" s="146" t="s">
        <v>19</v>
      </c>
      <c r="F303" s="147" t="s">
        <v>880</v>
      </c>
      <c r="H303" s="148">
        <v>1.08</v>
      </c>
      <c r="I303" s="149"/>
      <c r="L303" s="144"/>
      <c r="M303" s="150"/>
      <c r="T303" s="151"/>
      <c r="AT303" s="146" t="s">
        <v>138</v>
      </c>
      <c r="AU303" s="146" t="s">
        <v>81</v>
      </c>
      <c r="AV303" s="12" t="s">
        <v>81</v>
      </c>
      <c r="AW303" s="12" t="s">
        <v>33</v>
      </c>
      <c r="AX303" s="12" t="s">
        <v>79</v>
      </c>
      <c r="AY303" s="146" t="s">
        <v>127</v>
      </c>
    </row>
    <row r="304" spans="2:65" s="12" customFormat="1">
      <c r="B304" s="144"/>
      <c r="D304" s="145" t="s">
        <v>138</v>
      </c>
      <c r="F304" s="147" t="s">
        <v>906</v>
      </c>
      <c r="H304" s="148">
        <v>1.1879999999999999</v>
      </c>
      <c r="I304" s="149"/>
      <c r="L304" s="144"/>
      <c r="M304" s="150"/>
      <c r="T304" s="151"/>
      <c r="AT304" s="146" t="s">
        <v>138</v>
      </c>
      <c r="AU304" s="146" t="s">
        <v>81</v>
      </c>
      <c r="AV304" s="12" t="s">
        <v>81</v>
      </c>
      <c r="AW304" s="12" t="s">
        <v>4</v>
      </c>
      <c r="AX304" s="12" t="s">
        <v>79</v>
      </c>
      <c r="AY304" s="146" t="s">
        <v>127</v>
      </c>
    </row>
    <row r="305" spans="2:65" s="1" customFormat="1" ht="16.5" customHeight="1">
      <c r="B305" s="32"/>
      <c r="C305" s="127" t="s">
        <v>452</v>
      </c>
      <c r="D305" s="127" t="s">
        <v>129</v>
      </c>
      <c r="E305" s="128" t="s">
        <v>907</v>
      </c>
      <c r="F305" s="129" t="s">
        <v>908</v>
      </c>
      <c r="G305" s="130" t="s">
        <v>257</v>
      </c>
      <c r="H305" s="131">
        <v>21.4</v>
      </c>
      <c r="I305" s="132"/>
      <c r="J305" s="133">
        <f>ROUND(I305*H305,2)</f>
        <v>0</v>
      </c>
      <c r="K305" s="129" t="s">
        <v>133</v>
      </c>
      <c r="L305" s="32"/>
      <c r="M305" s="134" t="s">
        <v>19</v>
      </c>
      <c r="N305" s="135" t="s">
        <v>42</v>
      </c>
      <c r="P305" s="136">
        <f>O305*H305</f>
        <v>0</v>
      </c>
      <c r="Q305" s="136">
        <v>3.0000000000000001E-5</v>
      </c>
      <c r="R305" s="136">
        <f>Q305*H305</f>
        <v>6.4199999999999999E-4</v>
      </c>
      <c r="S305" s="136">
        <v>0</v>
      </c>
      <c r="T305" s="137">
        <f>S305*H305</f>
        <v>0</v>
      </c>
      <c r="AR305" s="138" t="s">
        <v>134</v>
      </c>
      <c r="AT305" s="138" t="s">
        <v>129</v>
      </c>
      <c r="AU305" s="138" t="s">
        <v>81</v>
      </c>
      <c r="AY305" s="17" t="s">
        <v>127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7" t="s">
        <v>79</v>
      </c>
      <c r="BK305" s="139">
        <f>ROUND(I305*H305,2)</f>
        <v>0</v>
      </c>
      <c r="BL305" s="17" t="s">
        <v>134</v>
      </c>
      <c r="BM305" s="138" t="s">
        <v>909</v>
      </c>
    </row>
    <row r="306" spans="2:65" s="1" customFormat="1">
      <c r="B306" s="32"/>
      <c r="D306" s="140" t="s">
        <v>136</v>
      </c>
      <c r="F306" s="141" t="s">
        <v>910</v>
      </c>
      <c r="I306" s="142"/>
      <c r="L306" s="32"/>
      <c r="M306" s="143"/>
      <c r="T306" s="51"/>
      <c r="AT306" s="17" t="s">
        <v>136</v>
      </c>
      <c r="AU306" s="17" t="s">
        <v>81</v>
      </c>
    </row>
    <row r="307" spans="2:65" s="12" customFormat="1">
      <c r="B307" s="144"/>
      <c r="D307" s="145" t="s">
        <v>138</v>
      </c>
      <c r="E307" s="146" t="s">
        <v>19</v>
      </c>
      <c r="F307" s="147" t="s">
        <v>911</v>
      </c>
      <c r="H307" s="148">
        <v>21.4</v>
      </c>
      <c r="I307" s="149"/>
      <c r="L307" s="144"/>
      <c r="M307" s="150"/>
      <c r="T307" s="151"/>
      <c r="AT307" s="146" t="s">
        <v>138</v>
      </c>
      <c r="AU307" s="146" t="s">
        <v>81</v>
      </c>
      <c r="AV307" s="12" t="s">
        <v>81</v>
      </c>
      <c r="AW307" s="12" t="s">
        <v>33</v>
      </c>
      <c r="AX307" s="12" t="s">
        <v>79</v>
      </c>
      <c r="AY307" s="146" t="s">
        <v>127</v>
      </c>
    </row>
    <row r="308" spans="2:65" s="1" customFormat="1" ht="16.5" customHeight="1">
      <c r="B308" s="32"/>
      <c r="C308" s="159" t="s">
        <v>458</v>
      </c>
      <c r="D308" s="159" t="s">
        <v>413</v>
      </c>
      <c r="E308" s="160" t="s">
        <v>912</v>
      </c>
      <c r="F308" s="161" t="s">
        <v>913</v>
      </c>
      <c r="G308" s="162" t="s">
        <v>257</v>
      </c>
      <c r="H308" s="163">
        <v>22.47</v>
      </c>
      <c r="I308" s="164"/>
      <c r="J308" s="165">
        <f>ROUND(I308*H308,2)</f>
        <v>0</v>
      </c>
      <c r="K308" s="161" t="s">
        <v>133</v>
      </c>
      <c r="L308" s="166"/>
      <c r="M308" s="167" t="s">
        <v>19</v>
      </c>
      <c r="N308" s="168" t="s">
        <v>42</v>
      </c>
      <c r="P308" s="136">
        <f>O308*H308</f>
        <v>0</v>
      </c>
      <c r="Q308" s="136">
        <v>4.2000000000000002E-4</v>
      </c>
      <c r="R308" s="136">
        <f>Q308*H308</f>
        <v>9.4374000000000003E-3</v>
      </c>
      <c r="S308" s="136">
        <v>0</v>
      </c>
      <c r="T308" s="137">
        <f>S308*H308</f>
        <v>0</v>
      </c>
      <c r="AR308" s="138" t="s">
        <v>177</v>
      </c>
      <c r="AT308" s="138" t="s">
        <v>413</v>
      </c>
      <c r="AU308" s="138" t="s">
        <v>81</v>
      </c>
      <c r="AY308" s="17" t="s">
        <v>127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79</v>
      </c>
      <c r="BK308" s="139">
        <f>ROUND(I308*H308,2)</f>
        <v>0</v>
      </c>
      <c r="BL308" s="17" t="s">
        <v>134</v>
      </c>
      <c r="BM308" s="138" t="s">
        <v>914</v>
      </c>
    </row>
    <row r="309" spans="2:65" s="12" customFormat="1">
      <c r="B309" s="144"/>
      <c r="D309" s="145" t="s">
        <v>138</v>
      </c>
      <c r="F309" s="147" t="s">
        <v>915</v>
      </c>
      <c r="H309" s="148">
        <v>22.47</v>
      </c>
      <c r="I309" s="149"/>
      <c r="L309" s="144"/>
      <c r="M309" s="150"/>
      <c r="T309" s="151"/>
      <c r="AT309" s="146" t="s">
        <v>138</v>
      </c>
      <c r="AU309" s="146" t="s">
        <v>81</v>
      </c>
      <c r="AV309" s="12" t="s">
        <v>81</v>
      </c>
      <c r="AW309" s="12" t="s">
        <v>4</v>
      </c>
      <c r="AX309" s="12" t="s">
        <v>79</v>
      </c>
      <c r="AY309" s="146" t="s">
        <v>127</v>
      </c>
    </row>
    <row r="310" spans="2:65" s="1" customFormat="1" ht="16.5" customHeight="1">
      <c r="B310" s="32"/>
      <c r="C310" s="127" t="s">
        <v>465</v>
      </c>
      <c r="D310" s="127" t="s">
        <v>129</v>
      </c>
      <c r="E310" s="128" t="s">
        <v>916</v>
      </c>
      <c r="F310" s="129" t="s">
        <v>917</v>
      </c>
      <c r="G310" s="130" t="s">
        <v>257</v>
      </c>
      <c r="H310" s="131">
        <v>83.4</v>
      </c>
      <c r="I310" s="132"/>
      <c r="J310" s="133">
        <f>ROUND(I310*H310,2)</f>
        <v>0</v>
      </c>
      <c r="K310" s="129" t="s">
        <v>133</v>
      </c>
      <c r="L310" s="32"/>
      <c r="M310" s="134" t="s">
        <v>19</v>
      </c>
      <c r="N310" s="135" t="s">
        <v>42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134</v>
      </c>
      <c r="AT310" s="138" t="s">
        <v>129</v>
      </c>
      <c r="AU310" s="138" t="s">
        <v>81</v>
      </c>
      <c r="AY310" s="17" t="s">
        <v>127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79</v>
      </c>
      <c r="BK310" s="139">
        <f>ROUND(I310*H310,2)</f>
        <v>0</v>
      </c>
      <c r="BL310" s="17" t="s">
        <v>134</v>
      </c>
      <c r="BM310" s="138" t="s">
        <v>918</v>
      </c>
    </row>
    <row r="311" spans="2:65" s="1" customFormat="1">
      <c r="B311" s="32"/>
      <c r="D311" s="140" t="s">
        <v>136</v>
      </c>
      <c r="F311" s="141" t="s">
        <v>919</v>
      </c>
      <c r="I311" s="142"/>
      <c r="L311" s="32"/>
      <c r="M311" s="143"/>
      <c r="T311" s="51"/>
      <c r="AT311" s="17" t="s">
        <v>136</v>
      </c>
      <c r="AU311" s="17" t="s">
        <v>81</v>
      </c>
    </row>
    <row r="312" spans="2:65" s="12" customFormat="1">
      <c r="B312" s="144"/>
      <c r="D312" s="145" t="s">
        <v>138</v>
      </c>
      <c r="E312" s="146" t="s">
        <v>19</v>
      </c>
      <c r="F312" s="147" t="s">
        <v>920</v>
      </c>
      <c r="H312" s="148">
        <v>60</v>
      </c>
      <c r="I312" s="149"/>
      <c r="L312" s="144"/>
      <c r="M312" s="150"/>
      <c r="T312" s="151"/>
      <c r="AT312" s="146" t="s">
        <v>138</v>
      </c>
      <c r="AU312" s="146" t="s">
        <v>81</v>
      </c>
      <c r="AV312" s="12" t="s">
        <v>81</v>
      </c>
      <c r="AW312" s="12" t="s">
        <v>33</v>
      </c>
      <c r="AX312" s="12" t="s">
        <v>71</v>
      </c>
      <c r="AY312" s="146" t="s">
        <v>127</v>
      </c>
    </row>
    <row r="313" spans="2:65" s="12" customFormat="1">
      <c r="B313" s="144"/>
      <c r="D313" s="145" t="s">
        <v>138</v>
      </c>
      <c r="E313" s="146" t="s">
        <v>19</v>
      </c>
      <c r="F313" s="147" t="s">
        <v>921</v>
      </c>
      <c r="H313" s="148">
        <v>23.4</v>
      </c>
      <c r="I313" s="149"/>
      <c r="L313" s="144"/>
      <c r="M313" s="150"/>
      <c r="T313" s="151"/>
      <c r="AT313" s="146" t="s">
        <v>138</v>
      </c>
      <c r="AU313" s="146" t="s">
        <v>81</v>
      </c>
      <c r="AV313" s="12" t="s">
        <v>81</v>
      </c>
      <c r="AW313" s="12" t="s">
        <v>33</v>
      </c>
      <c r="AX313" s="12" t="s">
        <v>71</v>
      </c>
      <c r="AY313" s="146" t="s">
        <v>127</v>
      </c>
    </row>
    <row r="314" spans="2:65" s="13" customFormat="1">
      <c r="B314" s="152"/>
      <c r="D314" s="145" t="s">
        <v>138</v>
      </c>
      <c r="E314" s="153" t="s">
        <v>19</v>
      </c>
      <c r="F314" s="154" t="s">
        <v>152</v>
      </c>
      <c r="H314" s="155">
        <v>83.4</v>
      </c>
      <c r="I314" s="156"/>
      <c r="L314" s="152"/>
      <c r="M314" s="157"/>
      <c r="T314" s="158"/>
      <c r="AT314" s="153" t="s">
        <v>138</v>
      </c>
      <c r="AU314" s="153" t="s">
        <v>81</v>
      </c>
      <c r="AV314" s="13" t="s">
        <v>134</v>
      </c>
      <c r="AW314" s="13" t="s">
        <v>33</v>
      </c>
      <c r="AX314" s="13" t="s">
        <v>79</v>
      </c>
      <c r="AY314" s="153" t="s">
        <v>127</v>
      </c>
    </row>
    <row r="315" spans="2:65" s="1" customFormat="1" ht="16.5" customHeight="1">
      <c r="B315" s="32"/>
      <c r="C315" s="159" t="s">
        <v>471</v>
      </c>
      <c r="D315" s="159" t="s">
        <v>413</v>
      </c>
      <c r="E315" s="160" t="s">
        <v>922</v>
      </c>
      <c r="F315" s="161" t="s">
        <v>923</v>
      </c>
      <c r="G315" s="162" t="s">
        <v>257</v>
      </c>
      <c r="H315" s="163">
        <v>63</v>
      </c>
      <c r="I315" s="164"/>
      <c r="J315" s="165">
        <f>ROUND(I315*H315,2)</f>
        <v>0</v>
      </c>
      <c r="K315" s="161" t="s">
        <v>133</v>
      </c>
      <c r="L315" s="166"/>
      <c r="M315" s="167" t="s">
        <v>19</v>
      </c>
      <c r="N315" s="168" t="s">
        <v>42</v>
      </c>
      <c r="P315" s="136">
        <f>O315*H315</f>
        <v>0</v>
      </c>
      <c r="Q315" s="136">
        <v>3.0000000000000001E-5</v>
      </c>
      <c r="R315" s="136">
        <f>Q315*H315</f>
        <v>1.89E-3</v>
      </c>
      <c r="S315" s="136">
        <v>0</v>
      </c>
      <c r="T315" s="137">
        <f>S315*H315</f>
        <v>0</v>
      </c>
      <c r="AR315" s="138" t="s">
        <v>177</v>
      </c>
      <c r="AT315" s="138" t="s">
        <v>413</v>
      </c>
      <c r="AU315" s="138" t="s">
        <v>81</v>
      </c>
      <c r="AY315" s="17" t="s">
        <v>127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7" t="s">
        <v>79</v>
      </c>
      <c r="BK315" s="139">
        <f>ROUND(I315*H315,2)</f>
        <v>0</v>
      </c>
      <c r="BL315" s="17" t="s">
        <v>134</v>
      </c>
      <c r="BM315" s="138" t="s">
        <v>924</v>
      </c>
    </row>
    <row r="316" spans="2:65" s="12" customFormat="1">
      <c r="B316" s="144"/>
      <c r="D316" s="145" t="s">
        <v>138</v>
      </c>
      <c r="E316" s="146" t="s">
        <v>19</v>
      </c>
      <c r="F316" s="147" t="s">
        <v>920</v>
      </c>
      <c r="H316" s="148">
        <v>60</v>
      </c>
      <c r="I316" s="149"/>
      <c r="L316" s="144"/>
      <c r="M316" s="150"/>
      <c r="T316" s="151"/>
      <c r="AT316" s="146" t="s">
        <v>138</v>
      </c>
      <c r="AU316" s="146" t="s">
        <v>81</v>
      </c>
      <c r="AV316" s="12" t="s">
        <v>81</v>
      </c>
      <c r="AW316" s="12" t="s">
        <v>33</v>
      </c>
      <c r="AX316" s="12" t="s">
        <v>79</v>
      </c>
      <c r="AY316" s="146" t="s">
        <v>127</v>
      </c>
    </row>
    <row r="317" spans="2:65" s="12" customFormat="1">
      <c r="B317" s="144"/>
      <c r="D317" s="145" t="s">
        <v>138</v>
      </c>
      <c r="F317" s="147" t="s">
        <v>925</v>
      </c>
      <c r="H317" s="148">
        <v>63</v>
      </c>
      <c r="I317" s="149"/>
      <c r="L317" s="144"/>
      <c r="M317" s="150"/>
      <c r="T317" s="151"/>
      <c r="AT317" s="146" t="s">
        <v>138</v>
      </c>
      <c r="AU317" s="146" t="s">
        <v>81</v>
      </c>
      <c r="AV317" s="12" t="s">
        <v>81</v>
      </c>
      <c r="AW317" s="12" t="s">
        <v>4</v>
      </c>
      <c r="AX317" s="12" t="s">
        <v>79</v>
      </c>
      <c r="AY317" s="146" t="s">
        <v>127</v>
      </c>
    </row>
    <row r="318" spans="2:65" s="1" customFormat="1" ht="16.5" customHeight="1">
      <c r="B318" s="32"/>
      <c r="C318" s="159" t="s">
        <v>476</v>
      </c>
      <c r="D318" s="159" t="s">
        <v>413</v>
      </c>
      <c r="E318" s="160" t="s">
        <v>926</v>
      </c>
      <c r="F318" s="161" t="s">
        <v>927</v>
      </c>
      <c r="G318" s="162" t="s">
        <v>257</v>
      </c>
      <c r="H318" s="163">
        <v>24.57</v>
      </c>
      <c r="I318" s="164"/>
      <c r="J318" s="165">
        <f>ROUND(I318*H318,2)</f>
        <v>0</v>
      </c>
      <c r="K318" s="161" t="s">
        <v>133</v>
      </c>
      <c r="L318" s="166"/>
      <c r="M318" s="167" t="s">
        <v>19</v>
      </c>
      <c r="N318" s="168" t="s">
        <v>42</v>
      </c>
      <c r="P318" s="136">
        <f>O318*H318</f>
        <v>0</v>
      </c>
      <c r="Q318" s="136">
        <v>4.0000000000000003E-5</v>
      </c>
      <c r="R318" s="136">
        <f>Q318*H318</f>
        <v>9.8280000000000004E-4</v>
      </c>
      <c r="S318" s="136">
        <v>0</v>
      </c>
      <c r="T318" s="137">
        <f>S318*H318</f>
        <v>0</v>
      </c>
      <c r="AR318" s="138" t="s">
        <v>177</v>
      </c>
      <c r="AT318" s="138" t="s">
        <v>413</v>
      </c>
      <c r="AU318" s="138" t="s">
        <v>81</v>
      </c>
      <c r="AY318" s="17" t="s">
        <v>127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7" t="s">
        <v>79</v>
      </c>
      <c r="BK318" s="139">
        <f>ROUND(I318*H318,2)</f>
        <v>0</v>
      </c>
      <c r="BL318" s="17" t="s">
        <v>134</v>
      </c>
      <c r="BM318" s="138" t="s">
        <v>928</v>
      </c>
    </row>
    <row r="319" spans="2:65" s="12" customFormat="1">
      <c r="B319" s="144"/>
      <c r="D319" s="145" t="s">
        <v>138</v>
      </c>
      <c r="E319" s="146" t="s">
        <v>19</v>
      </c>
      <c r="F319" s="147" t="s">
        <v>921</v>
      </c>
      <c r="H319" s="148">
        <v>23.4</v>
      </c>
      <c r="I319" s="149"/>
      <c r="L319" s="144"/>
      <c r="M319" s="150"/>
      <c r="T319" s="151"/>
      <c r="AT319" s="146" t="s">
        <v>138</v>
      </c>
      <c r="AU319" s="146" t="s">
        <v>81</v>
      </c>
      <c r="AV319" s="12" t="s">
        <v>81</v>
      </c>
      <c r="AW319" s="12" t="s">
        <v>33</v>
      </c>
      <c r="AX319" s="12" t="s">
        <v>79</v>
      </c>
      <c r="AY319" s="146" t="s">
        <v>127</v>
      </c>
    </row>
    <row r="320" spans="2:65" s="12" customFormat="1">
      <c r="B320" s="144"/>
      <c r="D320" s="145" t="s">
        <v>138</v>
      </c>
      <c r="F320" s="147" t="s">
        <v>929</v>
      </c>
      <c r="H320" s="148">
        <v>24.57</v>
      </c>
      <c r="I320" s="149"/>
      <c r="L320" s="144"/>
      <c r="M320" s="150"/>
      <c r="T320" s="151"/>
      <c r="AT320" s="146" t="s">
        <v>138</v>
      </c>
      <c r="AU320" s="146" t="s">
        <v>81</v>
      </c>
      <c r="AV320" s="12" t="s">
        <v>81</v>
      </c>
      <c r="AW320" s="12" t="s">
        <v>4</v>
      </c>
      <c r="AX320" s="12" t="s">
        <v>79</v>
      </c>
      <c r="AY320" s="146" t="s">
        <v>127</v>
      </c>
    </row>
    <row r="321" spans="2:65" s="1" customFormat="1" ht="24.2" customHeight="1">
      <c r="B321" s="32"/>
      <c r="C321" s="127" t="s">
        <v>482</v>
      </c>
      <c r="D321" s="127" t="s">
        <v>129</v>
      </c>
      <c r="E321" s="128" t="s">
        <v>930</v>
      </c>
      <c r="F321" s="129" t="s">
        <v>931</v>
      </c>
      <c r="G321" s="130" t="s">
        <v>132</v>
      </c>
      <c r="H321" s="131">
        <v>2.73</v>
      </c>
      <c r="I321" s="132"/>
      <c r="J321" s="133">
        <f>ROUND(I321*H321,2)</f>
        <v>0</v>
      </c>
      <c r="K321" s="129" t="s">
        <v>133</v>
      </c>
      <c r="L321" s="32"/>
      <c r="M321" s="134" t="s">
        <v>19</v>
      </c>
      <c r="N321" s="135" t="s">
        <v>42</v>
      </c>
      <c r="P321" s="136">
        <f>O321*H321</f>
        <v>0</v>
      </c>
      <c r="Q321" s="136">
        <v>5.8459999999999998E-2</v>
      </c>
      <c r="R321" s="136">
        <f>Q321*H321</f>
        <v>0.15959579999999998</v>
      </c>
      <c r="S321" s="136">
        <v>0</v>
      </c>
      <c r="T321" s="137">
        <f>S321*H321</f>
        <v>0</v>
      </c>
      <c r="AR321" s="138" t="s">
        <v>134</v>
      </c>
      <c r="AT321" s="138" t="s">
        <v>129</v>
      </c>
      <c r="AU321" s="138" t="s">
        <v>81</v>
      </c>
      <c r="AY321" s="17" t="s">
        <v>127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79</v>
      </c>
      <c r="BK321" s="139">
        <f>ROUND(I321*H321,2)</f>
        <v>0</v>
      </c>
      <c r="BL321" s="17" t="s">
        <v>134</v>
      </c>
      <c r="BM321" s="138" t="s">
        <v>932</v>
      </c>
    </row>
    <row r="322" spans="2:65" s="1" customFormat="1">
      <c r="B322" s="32"/>
      <c r="D322" s="140" t="s">
        <v>136</v>
      </c>
      <c r="F322" s="141" t="s">
        <v>933</v>
      </c>
      <c r="I322" s="142"/>
      <c r="L322" s="32"/>
      <c r="M322" s="143"/>
      <c r="T322" s="51"/>
      <c r="AT322" s="17" t="s">
        <v>136</v>
      </c>
      <c r="AU322" s="17" t="s">
        <v>81</v>
      </c>
    </row>
    <row r="323" spans="2:65" s="12" customFormat="1">
      <c r="B323" s="144"/>
      <c r="D323" s="145" t="s">
        <v>138</v>
      </c>
      <c r="E323" s="146" t="s">
        <v>19</v>
      </c>
      <c r="F323" s="147" t="s">
        <v>847</v>
      </c>
      <c r="H323" s="148">
        <v>2.73</v>
      </c>
      <c r="I323" s="149"/>
      <c r="L323" s="144"/>
      <c r="M323" s="150"/>
      <c r="T323" s="151"/>
      <c r="AT323" s="146" t="s">
        <v>138</v>
      </c>
      <c r="AU323" s="146" t="s">
        <v>81</v>
      </c>
      <c r="AV323" s="12" t="s">
        <v>81</v>
      </c>
      <c r="AW323" s="12" t="s">
        <v>33</v>
      </c>
      <c r="AX323" s="12" t="s">
        <v>79</v>
      </c>
      <c r="AY323" s="146" t="s">
        <v>127</v>
      </c>
    </row>
    <row r="324" spans="2:65" s="1" customFormat="1" ht="24.2" customHeight="1">
      <c r="B324" s="32"/>
      <c r="C324" s="127" t="s">
        <v>488</v>
      </c>
      <c r="D324" s="127" t="s">
        <v>129</v>
      </c>
      <c r="E324" s="128" t="s">
        <v>934</v>
      </c>
      <c r="F324" s="129" t="s">
        <v>935</v>
      </c>
      <c r="G324" s="130" t="s">
        <v>132</v>
      </c>
      <c r="H324" s="131">
        <v>92.4</v>
      </c>
      <c r="I324" s="132"/>
      <c r="J324" s="133">
        <f>ROUND(I324*H324,2)</f>
        <v>0</v>
      </c>
      <c r="K324" s="129" t="s">
        <v>133</v>
      </c>
      <c r="L324" s="32"/>
      <c r="M324" s="134" t="s">
        <v>19</v>
      </c>
      <c r="N324" s="135" t="s">
        <v>42</v>
      </c>
      <c r="P324" s="136">
        <f>O324*H324</f>
        <v>0</v>
      </c>
      <c r="Q324" s="136">
        <v>2.7000000000000001E-3</v>
      </c>
      <c r="R324" s="136">
        <f>Q324*H324</f>
        <v>0.24948000000000004</v>
      </c>
      <c r="S324" s="136">
        <v>0</v>
      </c>
      <c r="T324" s="137">
        <f>S324*H324</f>
        <v>0</v>
      </c>
      <c r="AR324" s="138" t="s">
        <v>134</v>
      </c>
      <c r="AT324" s="138" t="s">
        <v>129</v>
      </c>
      <c r="AU324" s="138" t="s">
        <v>81</v>
      </c>
      <c r="AY324" s="17" t="s">
        <v>127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79</v>
      </c>
      <c r="BK324" s="139">
        <f>ROUND(I324*H324,2)</f>
        <v>0</v>
      </c>
      <c r="BL324" s="17" t="s">
        <v>134</v>
      </c>
      <c r="BM324" s="138" t="s">
        <v>936</v>
      </c>
    </row>
    <row r="325" spans="2:65" s="1" customFormat="1">
      <c r="B325" s="32"/>
      <c r="D325" s="140" t="s">
        <v>136</v>
      </c>
      <c r="F325" s="141" t="s">
        <v>937</v>
      </c>
      <c r="I325" s="142"/>
      <c r="L325" s="32"/>
      <c r="M325" s="143"/>
      <c r="T325" s="51"/>
      <c r="AT325" s="17" t="s">
        <v>136</v>
      </c>
      <c r="AU325" s="17" t="s">
        <v>81</v>
      </c>
    </row>
    <row r="326" spans="2:65" s="12" customFormat="1">
      <c r="B326" s="144"/>
      <c r="D326" s="145" t="s">
        <v>138</v>
      </c>
      <c r="E326" s="146" t="s">
        <v>19</v>
      </c>
      <c r="F326" s="147" t="s">
        <v>716</v>
      </c>
      <c r="H326" s="148">
        <v>85.38</v>
      </c>
      <c r="I326" s="149"/>
      <c r="L326" s="144"/>
      <c r="M326" s="150"/>
      <c r="T326" s="151"/>
      <c r="AT326" s="146" t="s">
        <v>138</v>
      </c>
      <c r="AU326" s="146" t="s">
        <v>81</v>
      </c>
      <c r="AV326" s="12" t="s">
        <v>81</v>
      </c>
      <c r="AW326" s="12" t="s">
        <v>33</v>
      </c>
      <c r="AX326" s="12" t="s">
        <v>71</v>
      </c>
      <c r="AY326" s="146" t="s">
        <v>127</v>
      </c>
    </row>
    <row r="327" spans="2:65" s="12" customFormat="1">
      <c r="B327" s="144"/>
      <c r="D327" s="145" t="s">
        <v>138</v>
      </c>
      <c r="E327" s="146" t="s">
        <v>19</v>
      </c>
      <c r="F327" s="147" t="s">
        <v>879</v>
      </c>
      <c r="H327" s="148">
        <v>7.02</v>
      </c>
      <c r="I327" s="149"/>
      <c r="L327" s="144"/>
      <c r="M327" s="150"/>
      <c r="T327" s="151"/>
      <c r="AT327" s="146" t="s">
        <v>138</v>
      </c>
      <c r="AU327" s="146" t="s">
        <v>81</v>
      </c>
      <c r="AV327" s="12" t="s">
        <v>81</v>
      </c>
      <c r="AW327" s="12" t="s">
        <v>33</v>
      </c>
      <c r="AX327" s="12" t="s">
        <v>71</v>
      </c>
      <c r="AY327" s="146" t="s">
        <v>127</v>
      </c>
    </row>
    <row r="328" spans="2:65" s="13" customFormat="1">
      <c r="B328" s="152"/>
      <c r="D328" s="145" t="s">
        <v>138</v>
      </c>
      <c r="E328" s="153" t="s">
        <v>19</v>
      </c>
      <c r="F328" s="154" t="s">
        <v>152</v>
      </c>
      <c r="H328" s="155">
        <v>92.399999999999991</v>
      </c>
      <c r="I328" s="156"/>
      <c r="L328" s="152"/>
      <c r="M328" s="157"/>
      <c r="T328" s="158"/>
      <c r="AT328" s="153" t="s">
        <v>138</v>
      </c>
      <c r="AU328" s="153" t="s">
        <v>81</v>
      </c>
      <c r="AV328" s="13" t="s">
        <v>134</v>
      </c>
      <c r="AW328" s="13" t="s">
        <v>33</v>
      </c>
      <c r="AX328" s="13" t="s">
        <v>79</v>
      </c>
      <c r="AY328" s="153" t="s">
        <v>127</v>
      </c>
    </row>
    <row r="329" spans="2:65" s="1" customFormat="1" ht="24.2" customHeight="1">
      <c r="B329" s="32"/>
      <c r="C329" s="127" t="s">
        <v>493</v>
      </c>
      <c r="D329" s="127" t="s">
        <v>129</v>
      </c>
      <c r="E329" s="128" t="s">
        <v>938</v>
      </c>
      <c r="F329" s="129" t="s">
        <v>939</v>
      </c>
      <c r="G329" s="130" t="s">
        <v>132</v>
      </c>
      <c r="H329" s="131">
        <v>11.16</v>
      </c>
      <c r="I329" s="132"/>
      <c r="J329" s="133">
        <f>ROUND(I329*H329,2)</f>
        <v>0</v>
      </c>
      <c r="K329" s="129" t="s">
        <v>133</v>
      </c>
      <c r="L329" s="32"/>
      <c r="M329" s="134" t="s">
        <v>19</v>
      </c>
      <c r="N329" s="135" t="s">
        <v>42</v>
      </c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134</v>
      </c>
      <c r="AT329" s="138" t="s">
        <v>129</v>
      </c>
      <c r="AU329" s="138" t="s">
        <v>81</v>
      </c>
      <c r="AY329" s="17" t="s">
        <v>127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79</v>
      </c>
      <c r="BK329" s="139">
        <f>ROUND(I329*H329,2)</f>
        <v>0</v>
      </c>
      <c r="BL329" s="17" t="s">
        <v>134</v>
      </c>
      <c r="BM329" s="138" t="s">
        <v>940</v>
      </c>
    </row>
    <row r="330" spans="2:65" s="1" customFormat="1">
      <c r="B330" s="32"/>
      <c r="D330" s="140" t="s">
        <v>136</v>
      </c>
      <c r="F330" s="141" t="s">
        <v>941</v>
      </c>
      <c r="I330" s="142"/>
      <c r="L330" s="32"/>
      <c r="M330" s="143"/>
      <c r="T330" s="51"/>
      <c r="AT330" s="17" t="s">
        <v>136</v>
      </c>
      <c r="AU330" s="17" t="s">
        <v>81</v>
      </c>
    </row>
    <row r="331" spans="2:65" s="12" customFormat="1">
      <c r="B331" s="144"/>
      <c r="D331" s="145" t="s">
        <v>138</v>
      </c>
      <c r="E331" s="146" t="s">
        <v>19</v>
      </c>
      <c r="F331" s="147" t="s">
        <v>942</v>
      </c>
      <c r="H331" s="148">
        <v>11.16</v>
      </c>
      <c r="I331" s="149"/>
      <c r="L331" s="144"/>
      <c r="M331" s="150"/>
      <c r="T331" s="151"/>
      <c r="AT331" s="146" t="s">
        <v>138</v>
      </c>
      <c r="AU331" s="146" t="s">
        <v>81</v>
      </c>
      <c r="AV331" s="12" t="s">
        <v>81</v>
      </c>
      <c r="AW331" s="12" t="s">
        <v>33</v>
      </c>
      <c r="AX331" s="12" t="s">
        <v>79</v>
      </c>
      <c r="AY331" s="146" t="s">
        <v>127</v>
      </c>
    </row>
    <row r="332" spans="2:65" s="1" customFormat="1" ht="21.75" customHeight="1">
      <c r="B332" s="32"/>
      <c r="C332" s="127" t="s">
        <v>501</v>
      </c>
      <c r="D332" s="127" t="s">
        <v>129</v>
      </c>
      <c r="E332" s="128" t="s">
        <v>943</v>
      </c>
      <c r="F332" s="129" t="s">
        <v>944</v>
      </c>
      <c r="G332" s="130" t="s">
        <v>147</v>
      </c>
      <c r="H332" s="131">
        <v>1.7470000000000001</v>
      </c>
      <c r="I332" s="132"/>
      <c r="J332" s="133">
        <f>ROUND(I332*H332,2)</f>
        <v>0</v>
      </c>
      <c r="K332" s="129" t="s">
        <v>133</v>
      </c>
      <c r="L332" s="32"/>
      <c r="M332" s="134" t="s">
        <v>19</v>
      </c>
      <c r="N332" s="135" t="s">
        <v>42</v>
      </c>
      <c r="P332" s="136">
        <f>O332*H332</f>
        <v>0</v>
      </c>
      <c r="Q332" s="136">
        <v>2.3010199999999998</v>
      </c>
      <c r="R332" s="136">
        <f>Q332*H332</f>
        <v>4.0198819400000003</v>
      </c>
      <c r="S332" s="136">
        <v>0</v>
      </c>
      <c r="T332" s="137">
        <f>S332*H332</f>
        <v>0</v>
      </c>
      <c r="AR332" s="138" t="s">
        <v>134</v>
      </c>
      <c r="AT332" s="138" t="s">
        <v>129</v>
      </c>
      <c r="AU332" s="138" t="s">
        <v>81</v>
      </c>
      <c r="AY332" s="17" t="s">
        <v>127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79</v>
      </c>
      <c r="BK332" s="139">
        <f>ROUND(I332*H332,2)</f>
        <v>0</v>
      </c>
      <c r="BL332" s="17" t="s">
        <v>134</v>
      </c>
      <c r="BM332" s="138" t="s">
        <v>945</v>
      </c>
    </row>
    <row r="333" spans="2:65" s="1" customFormat="1">
      <c r="B333" s="32"/>
      <c r="D333" s="140" t="s">
        <v>136</v>
      </c>
      <c r="F333" s="141" t="s">
        <v>946</v>
      </c>
      <c r="I333" s="142"/>
      <c r="L333" s="32"/>
      <c r="M333" s="143"/>
      <c r="T333" s="51"/>
      <c r="AT333" s="17" t="s">
        <v>136</v>
      </c>
      <c r="AU333" s="17" t="s">
        <v>81</v>
      </c>
    </row>
    <row r="334" spans="2:65" s="12" customFormat="1">
      <c r="B334" s="144"/>
      <c r="D334" s="145" t="s">
        <v>138</v>
      </c>
      <c r="E334" s="146" t="s">
        <v>19</v>
      </c>
      <c r="F334" s="147" t="s">
        <v>947</v>
      </c>
      <c r="H334" s="148">
        <v>1.7470000000000001</v>
      </c>
      <c r="I334" s="149"/>
      <c r="L334" s="144"/>
      <c r="M334" s="150"/>
      <c r="T334" s="151"/>
      <c r="AT334" s="146" t="s">
        <v>138</v>
      </c>
      <c r="AU334" s="146" t="s">
        <v>81</v>
      </c>
      <c r="AV334" s="12" t="s">
        <v>81</v>
      </c>
      <c r="AW334" s="12" t="s">
        <v>33</v>
      </c>
      <c r="AX334" s="12" t="s">
        <v>79</v>
      </c>
      <c r="AY334" s="146" t="s">
        <v>127</v>
      </c>
    </row>
    <row r="335" spans="2:65" s="1" customFormat="1" ht="21.75" customHeight="1">
      <c r="B335" s="32"/>
      <c r="C335" s="127" t="s">
        <v>507</v>
      </c>
      <c r="D335" s="127" t="s">
        <v>129</v>
      </c>
      <c r="E335" s="128" t="s">
        <v>948</v>
      </c>
      <c r="F335" s="129" t="s">
        <v>949</v>
      </c>
      <c r="G335" s="130" t="s">
        <v>147</v>
      </c>
      <c r="H335" s="131">
        <v>0.78200000000000003</v>
      </c>
      <c r="I335" s="132"/>
      <c r="J335" s="133">
        <f>ROUND(I335*H335,2)</f>
        <v>0</v>
      </c>
      <c r="K335" s="129" t="s">
        <v>133</v>
      </c>
      <c r="L335" s="32"/>
      <c r="M335" s="134" t="s">
        <v>19</v>
      </c>
      <c r="N335" s="135" t="s">
        <v>42</v>
      </c>
      <c r="P335" s="136">
        <f>O335*H335</f>
        <v>0</v>
      </c>
      <c r="Q335" s="136">
        <v>2.3010199999999998</v>
      </c>
      <c r="R335" s="136">
        <f>Q335*H335</f>
        <v>1.79939764</v>
      </c>
      <c r="S335" s="136">
        <v>0</v>
      </c>
      <c r="T335" s="137">
        <f>S335*H335</f>
        <v>0</v>
      </c>
      <c r="AR335" s="138" t="s">
        <v>134</v>
      </c>
      <c r="AT335" s="138" t="s">
        <v>129</v>
      </c>
      <c r="AU335" s="138" t="s">
        <v>81</v>
      </c>
      <c r="AY335" s="17" t="s">
        <v>127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79</v>
      </c>
      <c r="BK335" s="139">
        <f>ROUND(I335*H335,2)</f>
        <v>0</v>
      </c>
      <c r="BL335" s="17" t="s">
        <v>134</v>
      </c>
      <c r="BM335" s="138" t="s">
        <v>950</v>
      </c>
    </row>
    <row r="336" spans="2:65" s="1" customFormat="1">
      <c r="B336" s="32"/>
      <c r="D336" s="140" t="s">
        <v>136</v>
      </c>
      <c r="F336" s="141" t="s">
        <v>951</v>
      </c>
      <c r="I336" s="142"/>
      <c r="L336" s="32"/>
      <c r="M336" s="143"/>
      <c r="T336" s="51"/>
      <c r="AT336" s="17" t="s">
        <v>136</v>
      </c>
      <c r="AU336" s="17" t="s">
        <v>81</v>
      </c>
    </row>
    <row r="337" spans="2:65" s="12" customFormat="1">
      <c r="B337" s="144"/>
      <c r="D337" s="145" t="s">
        <v>138</v>
      </c>
      <c r="E337" s="146" t="s">
        <v>19</v>
      </c>
      <c r="F337" s="147" t="s">
        <v>952</v>
      </c>
      <c r="H337" s="148">
        <v>0.78200000000000003</v>
      </c>
      <c r="I337" s="149"/>
      <c r="L337" s="144"/>
      <c r="M337" s="150"/>
      <c r="T337" s="151"/>
      <c r="AT337" s="146" t="s">
        <v>138</v>
      </c>
      <c r="AU337" s="146" t="s">
        <v>81</v>
      </c>
      <c r="AV337" s="12" t="s">
        <v>81</v>
      </c>
      <c r="AW337" s="12" t="s">
        <v>33</v>
      </c>
      <c r="AX337" s="12" t="s">
        <v>79</v>
      </c>
      <c r="AY337" s="146" t="s">
        <v>127</v>
      </c>
    </row>
    <row r="338" spans="2:65" s="1" customFormat="1" ht="21.75" customHeight="1">
      <c r="B338" s="32"/>
      <c r="C338" s="127" t="s">
        <v>513</v>
      </c>
      <c r="D338" s="127" t="s">
        <v>129</v>
      </c>
      <c r="E338" s="128" t="s">
        <v>953</v>
      </c>
      <c r="F338" s="129" t="s">
        <v>954</v>
      </c>
      <c r="G338" s="130" t="s">
        <v>147</v>
      </c>
      <c r="H338" s="131">
        <v>2.5289999999999999</v>
      </c>
      <c r="I338" s="132"/>
      <c r="J338" s="133">
        <f>ROUND(I338*H338,2)</f>
        <v>0</v>
      </c>
      <c r="K338" s="129" t="s">
        <v>133</v>
      </c>
      <c r="L338" s="32"/>
      <c r="M338" s="134" t="s">
        <v>19</v>
      </c>
      <c r="N338" s="135" t="s">
        <v>42</v>
      </c>
      <c r="P338" s="136">
        <f>O338*H338</f>
        <v>0</v>
      </c>
      <c r="Q338" s="136">
        <v>0</v>
      </c>
      <c r="R338" s="136">
        <f>Q338*H338</f>
        <v>0</v>
      </c>
      <c r="S338" s="136">
        <v>0</v>
      </c>
      <c r="T338" s="137">
        <f>S338*H338</f>
        <v>0</v>
      </c>
      <c r="AR338" s="138" t="s">
        <v>134</v>
      </c>
      <c r="AT338" s="138" t="s">
        <v>129</v>
      </c>
      <c r="AU338" s="138" t="s">
        <v>81</v>
      </c>
      <c r="AY338" s="17" t="s">
        <v>127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7" t="s">
        <v>79</v>
      </c>
      <c r="BK338" s="139">
        <f>ROUND(I338*H338,2)</f>
        <v>0</v>
      </c>
      <c r="BL338" s="17" t="s">
        <v>134</v>
      </c>
      <c r="BM338" s="138" t="s">
        <v>955</v>
      </c>
    </row>
    <row r="339" spans="2:65" s="1" customFormat="1">
      <c r="B339" s="32"/>
      <c r="D339" s="140" t="s">
        <v>136</v>
      </c>
      <c r="F339" s="141" t="s">
        <v>956</v>
      </c>
      <c r="I339" s="142"/>
      <c r="L339" s="32"/>
      <c r="M339" s="143"/>
      <c r="T339" s="51"/>
      <c r="AT339" s="17" t="s">
        <v>136</v>
      </c>
      <c r="AU339" s="17" t="s">
        <v>81</v>
      </c>
    </row>
    <row r="340" spans="2:65" s="12" customFormat="1">
      <c r="B340" s="144"/>
      <c r="D340" s="145" t="s">
        <v>138</v>
      </c>
      <c r="E340" s="146" t="s">
        <v>19</v>
      </c>
      <c r="F340" s="147" t="s">
        <v>947</v>
      </c>
      <c r="H340" s="148">
        <v>1.7470000000000001</v>
      </c>
      <c r="I340" s="149"/>
      <c r="L340" s="144"/>
      <c r="M340" s="150"/>
      <c r="T340" s="151"/>
      <c r="AT340" s="146" t="s">
        <v>138</v>
      </c>
      <c r="AU340" s="146" t="s">
        <v>81</v>
      </c>
      <c r="AV340" s="12" t="s">
        <v>81</v>
      </c>
      <c r="AW340" s="12" t="s">
        <v>33</v>
      </c>
      <c r="AX340" s="12" t="s">
        <v>71</v>
      </c>
      <c r="AY340" s="146" t="s">
        <v>127</v>
      </c>
    </row>
    <row r="341" spans="2:65" s="12" customFormat="1">
      <c r="B341" s="144"/>
      <c r="D341" s="145" t="s">
        <v>138</v>
      </c>
      <c r="E341" s="146" t="s">
        <v>19</v>
      </c>
      <c r="F341" s="147" t="s">
        <v>952</v>
      </c>
      <c r="H341" s="148">
        <v>0.78200000000000003</v>
      </c>
      <c r="I341" s="149"/>
      <c r="L341" s="144"/>
      <c r="M341" s="150"/>
      <c r="T341" s="151"/>
      <c r="AT341" s="146" t="s">
        <v>138</v>
      </c>
      <c r="AU341" s="146" t="s">
        <v>81</v>
      </c>
      <c r="AV341" s="12" t="s">
        <v>81</v>
      </c>
      <c r="AW341" s="12" t="s">
        <v>33</v>
      </c>
      <c r="AX341" s="12" t="s">
        <v>71</v>
      </c>
      <c r="AY341" s="146" t="s">
        <v>127</v>
      </c>
    </row>
    <row r="342" spans="2:65" s="13" customFormat="1">
      <c r="B342" s="152"/>
      <c r="D342" s="145" t="s">
        <v>138</v>
      </c>
      <c r="E342" s="153" t="s">
        <v>19</v>
      </c>
      <c r="F342" s="154" t="s">
        <v>152</v>
      </c>
      <c r="H342" s="155">
        <v>2.5289999999999999</v>
      </c>
      <c r="I342" s="156"/>
      <c r="L342" s="152"/>
      <c r="M342" s="157"/>
      <c r="T342" s="158"/>
      <c r="AT342" s="153" t="s">
        <v>138</v>
      </c>
      <c r="AU342" s="153" t="s">
        <v>81</v>
      </c>
      <c r="AV342" s="13" t="s">
        <v>134</v>
      </c>
      <c r="AW342" s="13" t="s">
        <v>33</v>
      </c>
      <c r="AX342" s="13" t="s">
        <v>79</v>
      </c>
      <c r="AY342" s="153" t="s">
        <v>127</v>
      </c>
    </row>
    <row r="343" spans="2:65" s="1" customFormat="1" ht="24.2" customHeight="1">
      <c r="B343" s="32"/>
      <c r="C343" s="127" t="s">
        <v>521</v>
      </c>
      <c r="D343" s="127" t="s">
        <v>129</v>
      </c>
      <c r="E343" s="128" t="s">
        <v>957</v>
      </c>
      <c r="F343" s="129" t="s">
        <v>958</v>
      </c>
      <c r="G343" s="130" t="s">
        <v>147</v>
      </c>
      <c r="H343" s="131">
        <v>2.5289999999999999</v>
      </c>
      <c r="I343" s="132"/>
      <c r="J343" s="133">
        <f>ROUND(I343*H343,2)</f>
        <v>0</v>
      </c>
      <c r="K343" s="129" t="s">
        <v>133</v>
      </c>
      <c r="L343" s="32"/>
      <c r="M343" s="134" t="s">
        <v>19</v>
      </c>
      <c r="N343" s="135" t="s">
        <v>42</v>
      </c>
      <c r="P343" s="136">
        <f>O343*H343</f>
        <v>0</v>
      </c>
      <c r="Q343" s="136">
        <v>0</v>
      </c>
      <c r="R343" s="136">
        <f>Q343*H343</f>
        <v>0</v>
      </c>
      <c r="S343" s="136">
        <v>0</v>
      </c>
      <c r="T343" s="137">
        <f>S343*H343</f>
        <v>0</v>
      </c>
      <c r="AR343" s="138" t="s">
        <v>134</v>
      </c>
      <c r="AT343" s="138" t="s">
        <v>129</v>
      </c>
      <c r="AU343" s="138" t="s">
        <v>81</v>
      </c>
      <c r="AY343" s="17" t="s">
        <v>127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79</v>
      </c>
      <c r="BK343" s="139">
        <f>ROUND(I343*H343,2)</f>
        <v>0</v>
      </c>
      <c r="BL343" s="17" t="s">
        <v>134</v>
      </c>
      <c r="BM343" s="138" t="s">
        <v>959</v>
      </c>
    </row>
    <row r="344" spans="2:65" s="1" customFormat="1">
      <c r="B344" s="32"/>
      <c r="D344" s="140" t="s">
        <v>136</v>
      </c>
      <c r="F344" s="141" t="s">
        <v>960</v>
      </c>
      <c r="I344" s="142"/>
      <c r="L344" s="32"/>
      <c r="M344" s="143"/>
      <c r="T344" s="51"/>
      <c r="AT344" s="17" t="s">
        <v>136</v>
      </c>
      <c r="AU344" s="17" t="s">
        <v>81</v>
      </c>
    </row>
    <row r="345" spans="2:65" s="12" customFormat="1">
      <c r="B345" s="144"/>
      <c r="D345" s="145" t="s">
        <v>138</v>
      </c>
      <c r="E345" s="146" t="s">
        <v>19</v>
      </c>
      <c r="F345" s="147" t="s">
        <v>947</v>
      </c>
      <c r="H345" s="148">
        <v>1.7470000000000001</v>
      </c>
      <c r="I345" s="149"/>
      <c r="L345" s="144"/>
      <c r="M345" s="150"/>
      <c r="T345" s="151"/>
      <c r="AT345" s="146" t="s">
        <v>138</v>
      </c>
      <c r="AU345" s="146" t="s">
        <v>81</v>
      </c>
      <c r="AV345" s="12" t="s">
        <v>81</v>
      </c>
      <c r="AW345" s="12" t="s">
        <v>33</v>
      </c>
      <c r="AX345" s="12" t="s">
        <v>71</v>
      </c>
      <c r="AY345" s="146" t="s">
        <v>127</v>
      </c>
    </row>
    <row r="346" spans="2:65" s="12" customFormat="1">
      <c r="B346" s="144"/>
      <c r="D346" s="145" t="s">
        <v>138</v>
      </c>
      <c r="E346" s="146" t="s">
        <v>19</v>
      </c>
      <c r="F346" s="147" t="s">
        <v>952</v>
      </c>
      <c r="H346" s="148">
        <v>0.78200000000000003</v>
      </c>
      <c r="I346" s="149"/>
      <c r="L346" s="144"/>
      <c r="M346" s="150"/>
      <c r="T346" s="151"/>
      <c r="AT346" s="146" t="s">
        <v>138</v>
      </c>
      <c r="AU346" s="146" t="s">
        <v>81</v>
      </c>
      <c r="AV346" s="12" t="s">
        <v>81</v>
      </c>
      <c r="AW346" s="12" t="s">
        <v>33</v>
      </c>
      <c r="AX346" s="12" t="s">
        <v>71</v>
      </c>
      <c r="AY346" s="146" t="s">
        <v>127</v>
      </c>
    </row>
    <row r="347" spans="2:65" s="13" customFormat="1">
      <c r="B347" s="152"/>
      <c r="D347" s="145" t="s">
        <v>138</v>
      </c>
      <c r="E347" s="153" t="s">
        <v>19</v>
      </c>
      <c r="F347" s="154" t="s">
        <v>152</v>
      </c>
      <c r="H347" s="155">
        <v>2.5289999999999999</v>
      </c>
      <c r="I347" s="156"/>
      <c r="L347" s="152"/>
      <c r="M347" s="157"/>
      <c r="T347" s="158"/>
      <c r="AT347" s="153" t="s">
        <v>138</v>
      </c>
      <c r="AU347" s="153" t="s">
        <v>81</v>
      </c>
      <c r="AV347" s="13" t="s">
        <v>134</v>
      </c>
      <c r="AW347" s="13" t="s">
        <v>33</v>
      </c>
      <c r="AX347" s="13" t="s">
        <v>79</v>
      </c>
      <c r="AY347" s="153" t="s">
        <v>127</v>
      </c>
    </row>
    <row r="348" spans="2:65" s="1" customFormat="1" ht="16.5" customHeight="1">
      <c r="B348" s="32"/>
      <c r="C348" s="127" t="s">
        <v>527</v>
      </c>
      <c r="D348" s="127" t="s">
        <v>129</v>
      </c>
      <c r="E348" s="128" t="s">
        <v>961</v>
      </c>
      <c r="F348" s="129" t="s">
        <v>962</v>
      </c>
      <c r="G348" s="130" t="s">
        <v>173</v>
      </c>
      <c r="H348" s="131">
        <v>0.22700000000000001</v>
      </c>
      <c r="I348" s="132"/>
      <c r="J348" s="133">
        <f>ROUND(I348*H348,2)</f>
        <v>0</v>
      </c>
      <c r="K348" s="129" t="s">
        <v>133</v>
      </c>
      <c r="L348" s="32"/>
      <c r="M348" s="134" t="s">
        <v>19</v>
      </c>
      <c r="N348" s="135" t="s">
        <v>42</v>
      </c>
      <c r="P348" s="136">
        <f>O348*H348</f>
        <v>0</v>
      </c>
      <c r="Q348" s="136">
        <v>1.06277</v>
      </c>
      <c r="R348" s="136">
        <f>Q348*H348</f>
        <v>0.24124879000000002</v>
      </c>
      <c r="S348" s="136">
        <v>0</v>
      </c>
      <c r="T348" s="137">
        <f>S348*H348</f>
        <v>0</v>
      </c>
      <c r="AR348" s="138" t="s">
        <v>134</v>
      </c>
      <c r="AT348" s="138" t="s">
        <v>129</v>
      </c>
      <c r="AU348" s="138" t="s">
        <v>81</v>
      </c>
      <c r="AY348" s="17" t="s">
        <v>127</v>
      </c>
      <c r="BE348" s="139">
        <f>IF(N348="základní",J348,0)</f>
        <v>0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7" t="s">
        <v>79</v>
      </c>
      <c r="BK348" s="139">
        <f>ROUND(I348*H348,2)</f>
        <v>0</v>
      </c>
      <c r="BL348" s="17" t="s">
        <v>134</v>
      </c>
      <c r="BM348" s="138" t="s">
        <v>963</v>
      </c>
    </row>
    <row r="349" spans="2:65" s="1" customFormat="1">
      <c r="B349" s="32"/>
      <c r="D349" s="140" t="s">
        <v>136</v>
      </c>
      <c r="F349" s="141" t="s">
        <v>964</v>
      </c>
      <c r="I349" s="142"/>
      <c r="L349" s="32"/>
      <c r="M349" s="143"/>
      <c r="T349" s="51"/>
      <c r="AT349" s="17" t="s">
        <v>136</v>
      </c>
      <c r="AU349" s="17" t="s">
        <v>81</v>
      </c>
    </row>
    <row r="350" spans="2:65" s="14" customFormat="1">
      <c r="B350" s="173"/>
      <c r="D350" s="145" t="s">
        <v>138</v>
      </c>
      <c r="E350" s="174" t="s">
        <v>19</v>
      </c>
      <c r="F350" s="175" t="s">
        <v>672</v>
      </c>
      <c r="H350" s="174" t="s">
        <v>19</v>
      </c>
      <c r="I350" s="176"/>
      <c r="L350" s="173"/>
      <c r="M350" s="177"/>
      <c r="T350" s="178"/>
      <c r="AT350" s="174" t="s">
        <v>138</v>
      </c>
      <c r="AU350" s="174" t="s">
        <v>81</v>
      </c>
      <c r="AV350" s="14" t="s">
        <v>79</v>
      </c>
      <c r="AW350" s="14" t="s">
        <v>33</v>
      </c>
      <c r="AX350" s="14" t="s">
        <v>71</v>
      </c>
      <c r="AY350" s="174" t="s">
        <v>127</v>
      </c>
    </row>
    <row r="351" spans="2:65" s="12" customFormat="1">
      <c r="B351" s="144"/>
      <c r="D351" s="145" t="s">
        <v>138</v>
      </c>
      <c r="E351" s="146" t="s">
        <v>19</v>
      </c>
      <c r="F351" s="147" t="s">
        <v>965</v>
      </c>
      <c r="H351" s="148">
        <v>7.0000000000000007E-2</v>
      </c>
      <c r="I351" s="149"/>
      <c r="L351" s="144"/>
      <c r="M351" s="150"/>
      <c r="T351" s="151"/>
      <c r="AT351" s="146" t="s">
        <v>138</v>
      </c>
      <c r="AU351" s="146" t="s">
        <v>81</v>
      </c>
      <c r="AV351" s="12" t="s">
        <v>81</v>
      </c>
      <c r="AW351" s="12" t="s">
        <v>33</v>
      </c>
      <c r="AX351" s="12" t="s">
        <v>71</v>
      </c>
      <c r="AY351" s="146" t="s">
        <v>127</v>
      </c>
    </row>
    <row r="352" spans="2:65" s="12" customFormat="1">
      <c r="B352" s="144"/>
      <c r="D352" s="145" t="s">
        <v>138</v>
      </c>
      <c r="E352" s="146" t="s">
        <v>19</v>
      </c>
      <c r="F352" s="147" t="s">
        <v>966</v>
      </c>
      <c r="H352" s="148">
        <v>0.157</v>
      </c>
      <c r="I352" s="149"/>
      <c r="L352" s="144"/>
      <c r="M352" s="150"/>
      <c r="T352" s="151"/>
      <c r="AT352" s="146" t="s">
        <v>138</v>
      </c>
      <c r="AU352" s="146" t="s">
        <v>81</v>
      </c>
      <c r="AV352" s="12" t="s">
        <v>81</v>
      </c>
      <c r="AW352" s="12" t="s">
        <v>33</v>
      </c>
      <c r="AX352" s="12" t="s">
        <v>71</v>
      </c>
      <c r="AY352" s="146" t="s">
        <v>127</v>
      </c>
    </row>
    <row r="353" spans="2:65" s="13" customFormat="1">
      <c r="B353" s="152"/>
      <c r="D353" s="145" t="s">
        <v>138</v>
      </c>
      <c r="E353" s="153" t="s">
        <v>19</v>
      </c>
      <c r="F353" s="154" t="s">
        <v>152</v>
      </c>
      <c r="H353" s="155">
        <v>0.22700000000000001</v>
      </c>
      <c r="I353" s="156"/>
      <c r="L353" s="152"/>
      <c r="M353" s="157"/>
      <c r="T353" s="158"/>
      <c r="AT353" s="153" t="s">
        <v>138</v>
      </c>
      <c r="AU353" s="153" t="s">
        <v>81</v>
      </c>
      <c r="AV353" s="13" t="s">
        <v>134</v>
      </c>
      <c r="AW353" s="13" t="s">
        <v>33</v>
      </c>
      <c r="AX353" s="13" t="s">
        <v>79</v>
      </c>
      <c r="AY353" s="153" t="s">
        <v>127</v>
      </c>
    </row>
    <row r="354" spans="2:65" s="1" customFormat="1" ht="24.2" customHeight="1">
      <c r="B354" s="32"/>
      <c r="C354" s="127" t="s">
        <v>533</v>
      </c>
      <c r="D354" s="127" t="s">
        <v>129</v>
      </c>
      <c r="E354" s="128" t="s">
        <v>967</v>
      </c>
      <c r="F354" s="129" t="s">
        <v>968</v>
      </c>
      <c r="G354" s="130" t="s">
        <v>257</v>
      </c>
      <c r="H354" s="131">
        <v>49.616</v>
      </c>
      <c r="I354" s="132"/>
      <c r="J354" s="133">
        <f>ROUND(I354*H354,2)</f>
        <v>0</v>
      </c>
      <c r="K354" s="129" t="s">
        <v>133</v>
      </c>
      <c r="L354" s="32"/>
      <c r="M354" s="134" t="s">
        <v>19</v>
      </c>
      <c r="N354" s="135" t="s">
        <v>42</v>
      </c>
      <c r="P354" s="136">
        <f>O354*H354</f>
        <v>0</v>
      </c>
      <c r="Q354" s="136">
        <v>2.0000000000000002E-5</v>
      </c>
      <c r="R354" s="136">
        <f>Q354*H354</f>
        <v>9.9232000000000009E-4</v>
      </c>
      <c r="S354" s="136">
        <v>0</v>
      </c>
      <c r="T354" s="137">
        <f>S354*H354</f>
        <v>0</v>
      </c>
      <c r="AR354" s="138" t="s">
        <v>134</v>
      </c>
      <c r="AT354" s="138" t="s">
        <v>129</v>
      </c>
      <c r="AU354" s="138" t="s">
        <v>81</v>
      </c>
      <c r="AY354" s="17" t="s">
        <v>127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79</v>
      </c>
      <c r="BK354" s="139">
        <f>ROUND(I354*H354,2)</f>
        <v>0</v>
      </c>
      <c r="BL354" s="17" t="s">
        <v>134</v>
      </c>
      <c r="BM354" s="138" t="s">
        <v>969</v>
      </c>
    </row>
    <row r="355" spans="2:65" s="1" customFormat="1">
      <c r="B355" s="32"/>
      <c r="D355" s="140" t="s">
        <v>136</v>
      </c>
      <c r="F355" s="141" t="s">
        <v>970</v>
      </c>
      <c r="I355" s="142"/>
      <c r="L355" s="32"/>
      <c r="M355" s="143"/>
      <c r="T355" s="51"/>
      <c r="AT355" s="17" t="s">
        <v>136</v>
      </c>
      <c r="AU355" s="17" t="s">
        <v>81</v>
      </c>
    </row>
    <row r="356" spans="2:65" s="12" customFormat="1">
      <c r="B356" s="144"/>
      <c r="D356" s="145" t="s">
        <v>138</v>
      </c>
      <c r="E356" s="146" t="s">
        <v>19</v>
      </c>
      <c r="F356" s="147" t="s">
        <v>971</v>
      </c>
      <c r="H356" s="148">
        <v>17.216000000000001</v>
      </c>
      <c r="I356" s="149"/>
      <c r="L356" s="144"/>
      <c r="M356" s="150"/>
      <c r="T356" s="151"/>
      <c r="AT356" s="146" t="s">
        <v>138</v>
      </c>
      <c r="AU356" s="146" t="s">
        <v>81</v>
      </c>
      <c r="AV356" s="12" t="s">
        <v>81</v>
      </c>
      <c r="AW356" s="12" t="s">
        <v>33</v>
      </c>
      <c r="AX356" s="12" t="s">
        <v>71</v>
      </c>
      <c r="AY356" s="146" t="s">
        <v>127</v>
      </c>
    </row>
    <row r="357" spans="2:65" s="12" customFormat="1">
      <c r="B357" s="144"/>
      <c r="D357" s="145" t="s">
        <v>138</v>
      </c>
      <c r="E357" s="146" t="s">
        <v>19</v>
      </c>
      <c r="F357" s="147" t="s">
        <v>972</v>
      </c>
      <c r="H357" s="148">
        <v>32.4</v>
      </c>
      <c r="I357" s="149"/>
      <c r="L357" s="144"/>
      <c r="M357" s="150"/>
      <c r="T357" s="151"/>
      <c r="AT357" s="146" t="s">
        <v>138</v>
      </c>
      <c r="AU357" s="146" t="s">
        <v>81</v>
      </c>
      <c r="AV357" s="12" t="s">
        <v>81</v>
      </c>
      <c r="AW357" s="12" t="s">
        <v>33</v>
      </c>
      <c r="AX357" s="12" t="s">
        <v>71</v>
      </c>
      <c r="AY357" s="146" t="s">
        <v>127</v>
      </c>
    </row>
    <row r="358" spans="2:65" s="13" customFormat="1">
      <c r="B358" s="152"/>
      <c r="D358" s="145" t="s">
        <v>138</v>
      </c>
      <c r="E358" s="153" t="s">
        <v>19</v>
      </c>
      <c r="F358" s="154" t="s">
        <v>152</v>
      </c>
      <c r="H358" s="155">
        <v>49.616</v>
      </c>
      <c r="I358" s="156"/>
      <c r="L358" s="152"/>
      <c r="M358" s="157"/>
      <c r="T358" s="158"/>
      <c r="AT358" s="153" t="s">
        <v>138</v>
      </c>
      <c r="AU358" s="153" t="s">
        <v>81</v>
      </c>
      <c r="AV358" s="13" t="s">
        <v>134</v>
      </c>
      <c r="AW358" s="13" t="s">
        <v>33</v>
      </c>
      <c r="AX358" s="13" t="s">
        <v>79</v>
      </c>
      <c r="AY358" s="153" t="s">
        <v>127</v>
      </c>
    </row>
    <row r="359" spans="2:65" s="11" customFormat="1" ht="22.9" customHeight="1">
      <c r="B359" s="115"/>
      <c r="D359" s="116" t="s">
        <v>70</v>
      </c>
      <c r="E359" s="125" t="s">
        <v>188</v>
      </c>
      <c r="F359" s="125" t="s">
        <v>193</v>
      </c>
      <c r="I359" s="118"/>
      <c r="J359" s="126">
        <f>BK359</f>
        <v>0</v>
      </c>
      <c r="L359" s="115"/>
      <c r="M359" s="120"/>
      <c r="P359" s="121">
        <f>SUM(P360:P404)</f>
        <v>0</v>
      </c>
      <c r="R359" s="121">
        <f>SUM(R360:R404)</f>
        <v>0.19103249999999999</v>
      </c>
      <c r="T359" s="122">
        <f>SUM(T360:T404)</f>
        <v>11.718</v>
      </c>
      <c r="AR359" s="116" t="s">
        <v>79</v>
      </c>
      <c r="AT359" s="123" t="s">
        <v>70</v>
      </c>
      <c r="AU359" s="123" t="s">
        <v>79</v>
      </c>
      <c r="AY359" s="116" t="s">
        <v>127</v>
      </c>
      <c r="BK359" s="124">
        <f>SUM(BK360:BK404)</f>
        <v>0</v>
      </c>
    </row>
    <row r="360" spans="2:65" s="1" customFormat="1" ht="24.2" customHeight="1">
      <c r="B360" s="32"/>
      <c r="C360" s="127" t="s">
        <v>569</v>
      </c>
      <c r="D360" s="127" t="s">
        <v>129</v>
      </c>
      <c r="E360" s="128" t="s">
        <v>973</v>
      </c>
      <c r="F360" s="129" t="s">
        <v>974</v>
      </c>
      <c r="G360" s="130" t="s">
        <v>132</v>
      </c>
      <c r="H360" s="131">
        <v>266</v>
      </c>
      <c r="I360" s="132"/>
      <c r="J360" s="133">
        <f>ROUND(I360*H360,2)</f>
        <v>0</v>
      </c>
      <c r="K360" s="129" t="s">
        <v>133</v>
      </c>
      <c r="L360" s="32"/>
      <c r="M360" s="134" t="s">
        <v>19</v>
      </c>
      <c r="N360" s="135" t="s">
        <v>42</v>
      </c>
      <c r="P360" s="136">
        <f>O360*H360</f>
        <v>0</v>
      </c>
      <c r="Q360" s="136">
        <v>0</v>
      </c>
      <c r="R360" s="136">
        <f>Q360*H360</f>
        <v>0</v>
      </c>
      <c r="S360" s="136">
        <v>0</v>
      </c>
      <c r="T360" s="137">
        <f>S360*H360</f>
        <v>0</v>
      </c>
      <c r="AR360" s="138" t="s">
        <v>134</v>
      </c>
      <c r="AT360" s="138" t="s">
        <v>129</v>
      </c>
      <c r="AU360" s="138" t="s">
        <v>81</v>
      </c>
      <c r="AY360" s="17" t="s">
        <v>127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79</v>
      </c>
      <c r="BK360" s="139">
        <f>ROUND(I360*H360,2)</f>
        <v>0</v>
      </c>
      <c r="BL360" s="17" t="s">
        <v>134</v>
      </c>
      <c r="BM360" s="138" t="s">
        <v>975</v>
      </c>
    </row>
    <row r="361" spans="2:65" s="1" customFormat="1">
      <c r="B361" s="32"/>
      <c r="D361" s="140" t="s">
        <v>136</v>
      </c>
      <c r="F361" s="141" t="s">
        <v>976</v>
      </c>
      <c r="I361" s="142"/>
      <c r="L361" s="32"/>
      <c r="M361" s="143"/>
      <c r="T361" s="51"/>
      <c r="AT361" s="17" t="s">
        <v>136</v>
      </c>
      <c r="AU361" s="17" t="s">
        <v>81</v>
      </c>
    </row>
    <row r="362" spans="2:65" s="12" customFormat="1">
      <c r="B362" s="144"/>
      <c r="D362" s="145" t="s">
        <v>138</v>
      </c>
      <c r="E362" s="146" t="s">
        <v>19</v>
      </c>
      <c r="F362" s="147" t="s">
        <v>977</v>
      </c>
      <c r="H362" s="148">
        <v>266</v>
      </c>
      <c r="I362" s="149"/>
      <c r="L362" s="144"/>
      <c r="M362" s="150"/>
      <c r="T362" s="151"/>
      <c r="AT362" s="146" t="s">
        <v>138</v>
      </c>
      <c r="AU362" s="146" t="s">
        <v>81</v>
      </c>
      <c r="AV362" s="12" t="s">
        <v>81</v>
      </c>
      <c r="AW362" s="12" t="s">
        <v>33</v>
      </c>
      <c r="AX362" s="12" t="s">
        <v>79</v>
      </c>
      <c r="AY362" s="146" t="s">
        <v>127</v>
      </c>
    </row>
    <row r="363" spans="2:65" s="1" customFormat="1" ht="24.2" customHeight="1">
      <c r="B363" s="32"/>
      <c r="C363" s="127" t="s">
        <v>574</v>
      </c>
      <c r="D363" s="127" t="s">
        <v>129</v>
      </c>
      <c r="E363" s="128" t="s">
        <v>978</v>
      </c>
      <c r="F363" s="129" t="s">
        <v>979</v>
      </c>
      <c r="G363" s="130" t="s">
        <v>132</v>
      </c>
      <c r="H363" s="131">
        <v>100</v>
      </c>
      <c r="I363" s="132"/>
      <c r="J363" s="133">
        <f>ROUND(I363*H363,2)</f>
        <v>0</v>
      </c>
      <c r="K363" s="129" t="s">
        <v>133</v>
      </c>
      <c r="L363" s="32"/>
      <c r="M363" s="134" t="s">
        <v>19</v>
      </c>
      <c r="N363" s="135" t="s">
        <v>42</v>
      </c>
      <c r="P363" s="136">
        <f>O363*H363</f>
        <v>0</v>
      </c>
      <c r="Q363" s="136">
        <v>0</v>
      </c>
      <c r="R363" s="136">
        <f>Q363*H363</f>
        <v>0</v>
      </c>
      <c r="S363" s="136">
        <v>0</v>
      </c>
      <c r="T363" s="137">
        <f>S363*H363</f>
        <v>0</v>
      </c>
      <c r="AR363" s="138" t="s">
        <v>134</v>
      </c>
      <c r="AT363" s="138" t="s">
        <v>129</v>
      </c>
      <c r="AU363" s="138" t="s">
        <v>81</v>
      </c>
      <c r="AY363" s="17" t="s">
        <v>127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79</v>
      </c>
      <c r="BK363" s="139">
        <f>ROUND(I363*H363,2)</f>
        <v>0</v>
      </c>
      <c r="BL363" s="17" t="s">
        <v>134</v>
      </c>
      <c r="BM363" s="138" t="s">
        <v>980</v>
      </c>
    </row>
    <row r="364" spans="2:65" s="1" customFormat="1">
      <c r="B364" s="32"/>
      <c r="D364" s="140" t="s">
        <v>136</v>
      </c>
      <c r="F364" s="141" t="s">
        <v>981</v>
      </c>
      <c r="I364" s="142"/>
      <c r="L364" s="32"/>
      <c r="M364" s="143"/>
      <c r="T364" s="51"/>
      <c r="AT364" s="17" t="s">
        <v>136</v>
      </c>
      <c r="AU364" s="17" t="s">
        <v>81</v>
      </c>
    </row>
    <row r="365" spans="2:65" s="12" customFormat="1">
      <c r="B365" s="144"/>
      <c r="D365" s="145" t="s">
        <v>138</v>
      </c>
      <c r="E365" s="146" t="s">
        <v>19</v>
      </c>
      <c r="F365" s="147" t="s">
        <v>982</v>
      </c>
      <c r="H365" s="148">
        <v>100</v>
      </c>
      <c r="I365" s="149"/>
      <c r="L365" s="144"/>
      <c r="M365" s="150"/>
      <c r="T365" s="151"/>
      <c r="AT365" s="146" t="s">
        <v>138</v>
      </c>
      <c r="AU365" s="146" t="s">
        <v>81</v>
      </c>
      <c r="AV365" s="12" t="s">
        <v>81</v>
      </c>
      <c r="AW365" s="12" t="s">
        <v>33</v>
      </c>
      <c r="AX365" s="12" t="s">
        <v>79</v>
      </c>
      <c r="AY365" s="146" t="s">
        <v>127</v>
      </c>
    </row>
    <row r="366" spans="2:65" s="1" customFormat="1" ht="24.2" customHeight="1">
      <c r="B366" s="32"/>
      <c r="C366" s="127" t="s">
        <v>580</v>
      </c>
      <c r="D366" s="127" t="s">
        <v>129</v>
      </c>
      <c r="E366" s="128" t="s">
        <v>983</v>
      </c>
      <c r="F366" s="129" t="s">
        <v>984</v>
      </c>
      <c r="G366" s="130" t="s">
        <v>132</v>
      </c>
      <c r="H366" s="131">
        <v>45900</v>
      </c>
      <c r="I366" s="132"/>
      <c r="J366" s="133">
        <f>ROUND(I366*H366,2)</f>
        <v>0</v>
      </c>
      <c r="K366" s="129" t="s">
        <v>133</v>
      </c>
      <c r="L366" s="32"/>
      <c r="M366" s="134" t="s">
        <v>19</v>
      </c>
      <c r="N366" s="135" t="s">
        <v>42</v>
      </c>
      <c r="P366" s="136">
        <f>O366*H366</f>
        <v>0</v>
      </c>
      <c r="Q366" s="136">
        <v>0</v>
      </c>
      <c r="R366" s="136">
        <f>Q366*H366</f>
        <v>0</v>
      </c>
      <c r="S366" s="136">
        <v>0</v>
      </c>
      <c r="T366" s="137">
        <f>S366*H366</f>
        <v>0</v>
      </c>
      <c r="AR366" s="138" t="s">
        <v>134</v>
      </c>
      <c r="AT366" s="138" t="s">
        <v>129</v>
      </c>
      <c r="AU366" s="138" t="s">
        <v>81</v>
      </c>
      <c r="AY366" s="17" t="s">
        <v>127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7" t="s">
        <v>79</v>
      </c>
      <c r="BK366" s="139">
        <f>ROUND(I366*H366,2)</f>
        <v>0</v>
      </c>
      <c r="BL366" s="17" t="s">
        <v>134</v>
      </c>
      <c r="BM366" s="138" t="s">
        <v>985</v>
      </c>
    </row>
    <row r="367" spans="2:65" s="1" customFormat="1">
      <c r="B367" s="32"/>
      <c r="D367" s="140" t="s">
        <v>136</v>
      </c>
      <c r="F367" s="141" t="s">
        <v>986</v>
      </c>
      <c r="I367" s="142"/>
      <c r="L367" s="32"/>
      <c r="M367" s="143"/>
      <c r="T367" s="51"/>
      <c r="AT367" s="17" t="s">
        <v>136</v>
      </c>
      <c r="AU367" s="17" t="s">
        <v>81</v>
      </c>
    </row>
    <row r="368" spans="2:65" s="12" customFormat="1">
      <c r="B368" s="144"/>
      <c r="D368" s="145" t="s">
        <v>138</v>
      </c>
      <c r="E368" s="146" t="s">
        <v>19</v>
      </c>
      <c r="F368" s="147" t="s">
        <v>987</v>
      </c>
      <c r="H368" s="148">
        <v>6000</v>
      </c>
      <c r="I368" s="149"/>
      <c r="L368" s="144"/>
      <c r="M368" s="150"/>
      <c r="T368" s="151"/>
      <c r="AT368" s="146" t="s">
        <v>138</v>
      </c>
      <c r="AU368" s="146" t="s">
        <v>81</v>
      </c>
      <c r="AV368" s="12" t="s">
        <v>81</v>
      </c>
      <c r="AW368" s="12" t="s">
        <v>33</v>
      </c>
      <c r="AX368" s="12" t="s">
        <v>71</v>
      </c>
      <c r="AY368" s="146" t="s">
        <v>127</v>
      </c>
    </row>
    <row r="369" spans="2:65" s="12" customFormat="1">
      <c r="B369" s="144"/>
      <c r="D369" s="145" t="s">
        <v>138</v>
      </c>
      <c r="E369" s="146" t="s">
        <v>19</v>
      </c>
      <c r="F369" s="147" t="s">
        <v>988</v>
      </c>
      <c r="H369" s="148">
        <v>39900</v>
      </c>
      <c r="I369" s="149"/>
      <c r="L369" s="144"/>
      <c r="M369" s="150"/>
      <c r="T369" s="151"/>
      <c r="AT369" s="146" t="s">
        <v>138</v>
      </c>
      <c r="AU369" s="146" t="s">
        <v>81</v>
      </c>
      <c r="AV369" s="12" t="s">
        <v>81</v>
      </c>
      <c r="AW369" s="12" t="s">
        <v>33</v>
      </c>
      <c r="AX369" s="12" t="s">
        <v>71</v>
      </c>
      <c r="AY369" s="146" t="s">
        <v>127</v>
      </c>
    </row>
    <row r="370" spans="2:65" s="13" customFormat="1">
      <c r="B370" s="152"/>
      <c r="D370" s="145" t="s">
        <v>138</v>
      </c>
      <c r="E370" s="153" t="s">
        <v>19</v>
      </c>
      <c r="F370" s="154" t="s">
        <v>152</v>
      </c>
      <c r="H370" s="155">
        <v>45900</v>
      </c>
      <c r="I370" s="156"/>
      <c r="L370" s="152"/>
      <c r="M370" s="157"/>
      <c r="T370" s="158"/>
      <c r="AT370" s="153" t="s">
        <v>138</v>
      </c>
      <c r="AU370" s="153" t="s">
        <v>81</v>
      </c>
      <c r="AV370" s="13" t="s">
        <v>134</v>
      </c>
      <c r="AW370" s="13" t="s">
        <v>33</v>
      </c>
      <c r="AX370" s="13" t="s">
        <v>79</v>
      </c>
      <c r="AY370" s="153" t="s">
        <v>127</v>
      </c>
    </row>
    <row r="371" spans="2:65" s="1" customFormat="1" ht="24.2" customHeight="1">
      <c r="B371" s="32"/>
      <c r="C371" s="127" t="s">
        <v>584</v>
      </c>
      <c r="D371" s="127" t="s">
        <v>129</v>
      </c>
      <c r="E371" s="128" t="s">
        <v>989</v>
      </c>
      <c r="F371" s="129" t="s">
        <v>990</v>
      </c>
      <c r="G371" s="130" t="s">
        <v>132</v>
      </c>
      <c r="H371" s="131">
        <v>266</v>
      </c>
      <c r="I371" s="132"/>
      <c r="J371" s="133">
        <f>ROUND(I371*H371,2)</f>
        <v>0</v>
      </c>
      <c r="K371" s="129" t="s">
        <v>133</v>
      </c>
      <c r="L371" s="32"/>
      <c r="M371" s="134" t="s">
        <v>19</v>
      </c>
      <c r="N371" s="135" t="s">
        <v>42</v>
      </c>
      <c r="P371" s="136">
        <f>O371*H371</f>
        <v>0</v>
      </c>
      <c r="Q371" s="136">
        <v>0</v>
      </c>
      <c r="R371" s="136">
        <f>Q371*H371</f>
        <v>0</v>
      </c>
      <c r="S371" s="136">
        <v>0</v>
      </c>
      <c r="T371" s="137">
        <f>S371*H371</f>
        <v>0</v>
      </c>
      <c r="AR371" s="138" t="s">
        <v>134</v>
      </c>
      <c r="AT371" s="138" t="s">
        <v>129</v>
      </c>
      <c r="AU371" s="138" t="s">
        <v>81</v>
      </c>
      <c r="AY371" s="17" t="s">
        <v>127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79</v>
      </c>
      <c r="BK371" s="139">
        <f>ROUND(I371*H371,2)</f>
        <v>0</v>
      </c>
      <c r="BL371" s="17" t="s">
        <v>134</v>
      </c>
      <c r="BM371" s="138" t="s">
        <v>991</v>
      </c>
    </row>
    <row r="372" spans="2:65" s="1" customFormat="1">
      <c r="B372" s="32"/>
      <c r="D372" s="140" t="s">
        <v>136</v>
      </c>
      <c r="F372" s="141" t="s">
        <v>992</v>
      </c>
      <c r="I372" s="142"/>
      <c r="L372" s="32"/>
      <c r="M372" s="143"/>
      <c r="T372" s="51"/>
      <c r="AT372" s="17" t="s">
        <v>136</v>
      </c>
      <c r="AU372" s="17" t="s">
        <v>81</v>
      </c>
    </row>
    <row r="373" spans="2:65" s="1" customFormat="1" ht="24.2" customHeight="1">
      <c r="B373" s="32"/>
      <c r="C373" s="127" t="s">
        <v>591</v>
      </c>
      <c r="D373" s="127" t="s">
        <v>129</v>
      </c>
      <c r="E373" s="128" t="s">
        <v>993</v>
      </c>
      <c r="F373" s="129" t="s">
        <v>994</v>
      </c>
      <c r="G373" s="130" t="s">
        <v>132</v>
      </c>
      <c r="H373" s="131">
        <v>100</v>
      </c>
      <c r="I373" s="132"/>
      <c r="J373" s="133">
        <f>ROUND(I373*H373,2)</f>
        <v>0</v>
      </c>
      <c r="K373" s="129" t="s">
        <v>133</v>
      </c>
      <c r="L373" s="32"/>
      <c r="M373" s="134" t="s">
        <v>19</v>
      </c>
      <c r="N373" s="135" t="s">
        <v>42</v>
      </c>
      <c r="P373" s="136">
        <f>O373*H373</f>
        <v>0</v>
      </c>
      <c r="Q373" s="136">
        <v>0</v>
      </c>
      <c r="R373" s="136">
        <f>Q373*H373</f>
        <v>0</v>
      </c>
      <c r="S373" s="136">
        <v>0</v>
      </c>
      <c r="T373" s="137">
        <f>S373*H373</f>
        <v>0</v>
      </c>
      <c r="AR373" s="138" t="s">
        <v>134</v>
      </c>
      <c r="AT373" s="138" t="s">
        <v>129</v>
      </c>
      <c r="AU373" s="138" t="s">
        <v>81</v>
      </c>
      <c r="AY373" s="17" t="s">
        <v>127</v>
      </c>
      <c r="BE373" s="139">
        <f>IF(N373="základní",J373,0)</f>
        <v>0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7" t="s">
        <v>79</v>
      </c>
      <c r="BK373" s="139">
        <f>ROUND(I373*H373,2)</f>
        <v>0</v>
      </c>
      <c r="BL373" s="17" t="s">
        <v>134</v>
      </c>
      <c r="BM373" s="138" t="s">
        <v>995</v>
      </c>
    </row>
    <row r="374" spans="2:65" s="1" customFormat="1">
      <c r="B374" s="32"/>
      <c r="D374" s="140" t="s">
        <v>136</v>
      </c>
      <c r="F374" s="141" t="s">
        <v>996</v>
      </c>
      <c r="I374" s="142"/>
      <c r="L374" s="32"/>
      <c r="M374" s="143"/>
      <c r="T374" s="51"/>
      <c r="AT374" s="17" t="s">
        <v>136</v>
      </c>
      <c r="AU374" s="17" t="s">
        <v>81</v>
      </c>
    </row>
    <row r="375" spans="2:65" s="1" customFormat="1" ht="24.2" customHeight="1">
      <c r="B375" s="32"/>
      <c r="C375" s="127" t="s">
        <v>598</v>
      </c>
      <c r="D375" s="127" t="s">
        <v>129</v>
      </c>
      <c r="E375" s="128" t="s">
        <v>997</v>
      </c>
      <c r="F375" s="129" t="s">
        <v>998</v>
      </c>
      <c r="G375" s="130" t="s">
        <v>257</v>
      </c>
      <c r="H375" s="131">
        <v>133</v>
      </c>
      <c r="I375" s="132"/>
      <c r="J375" s="133">
        <f>ROUND(I375*H375,2)</f>
        <v>0</v>
      </c>
      <c r="K375" s="129" t="s">
        <v>133</v>
      </c>
      <c r="L375" s="32"/>
      <c r="M375" s="134" t="s">
        <v>19</v>
      </c>
      <c r="N375" s="135" t="s">
        <v>42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134</v>
      </c>
      <c r="AT375" s="138" t="s">
        <v>129</v>
      </c>
      <c r="AU375" s="138" t="s">
        <v>81</v>
      </c>
      <c r="AY375" s="17" t="s">
        <v>127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79</v>
      </c>
      <c r="BK375" s="139">
        <f>ROUND(I375*H375,2)</f>
        <v>0</v>
      </c>
      <c r="BL375" s="17" t="s">
        <v>134</v>
      </c>
      <c r="BM375" s="138" t="s">
        <v>999</v>
      </c>
    </row>
    <row r="376" spans="2:65" s="1" customFormat="1">
      <c r="B376" s="32"/>
      <c r="D376" s="140" t="s">
        <v>136</v>
      </c>
      <c r="F376" s="141" t="s">
        <v>1000</v>
      </c>
      <c r="I376" s="142"/>
      <c r="L376" s="32"/>
      <c r="M376" s="143"/>
      <c r="T376" s="51"/>
      <c r="AT376" s="17" t="s">
        <v>136</v>
      </c>
      <c r="AU376" s="17" t="s">
        <v>81</v>
      </c>
    </row>
    <row r="377" spans="2:65" s="12" customFormat="1">
      <c r="B377" s="144"/>
      <c r="D377" s="145" t="s">
        <v>138</v>
      </c>
      <c r="E377" s="146" t="s">
        <v>19</v>
      </c>
      <c r="F377" s="147" t="s">
        <v>1001</v>
      </c>
      <c r="H377" s="148">
        <v>133</v>
      </c>
      <c r="I377" s="149"/>
      <c r="L377" s="144"/>
      <c r="M377" s="150"/>
      <c r="T377" s="151"/>
      <c r="AT377" s="146" t="s">
        <v>138</v>
      </c>
      <c r="AU377" s="146" t="s">
        <v>81</v>
      </c>
      <c r="AV377" s="12" t="s">
        <v>81</v>
      </c>
      <c r="AW377" s="12" t="s">
        <v>33</v>
      </c>
      <c r="AX377" s="12" t="s">
        <v>79</v>
      </c>
      <c r="AY377" s="146" t="s">
        <v>127</v>
      </c>
    </row>
    <row r="378" spans="2:65" s="1" customFormat="1" ht="21.75" customHeight="1">
      <c r="B378" s="32"/>
      <c r="C378" s="127" t="s">
        <v>604</v>
      </c>
      <c r="D378" s="127" t="s">
        <v>129</v>
      </c>
      <c r="E378" s="128" t="s">
        <v>1002</v>
      </c>
      <c r="F378" s="129" t="s">
        <v>1003</v>
      </c>
      <c r="G378" s="130" t="s">
        <v>257</v>
      </c>
      <c r="H378" s="131">
        <v>19950</v>
      </c>
      <c r="I378" s="132"/>
      <c r="J378" s="133">
        <f>ROUND(I378*H378,2)</f>
        <v>0</v>
      </c>
      <c r="K378" s="129" t="s">
        <v>133</v>
      </c>
      <c r="L378" s="32"/>
      <c r="M378" s="134" t="s">
        <v>19</v>
      </c>
      <c r="N378" s="135" t="s">
        <v>42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134</v>
      </c>
      <c r="AT378" s="138" t="s">
        <v>129</v>
      </c>
      <c r="AU378" s="138" t="s">
        <v>81</v>
      </c>
      <c r="AY378" s="17" t="s">
        <v>127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79</v>
      </c>
      <c r="BK378" s="139">
        <f>ROUND(I378*H378,2)</f>
        <v>0</v>
      </c>
      <c r="BL378" s="17" t="s">
        <v>134</v>
      </c>
      <c r="BM378" s="138" t="s">
        <v>1004</v>
      </c>
    </row>
    <row r="379" spans="2:65" s="1" customFormat="1">
      <c r="B379" s="32"/>
      <c r="D379" s="140" t="s">
        <v>136</v>
      </c>
      <c r="F379" s="141" t="s">
        <v>1005</v>
      </c>
      <c r="I379" s="142"/>
      <c r="L379" s="32"/>
      <c r="M379" s="143"/>
      <c r="T379" s="51"/>
      <c r="AT379" s="17" t="s">
        <v>136</v>
      </c>
      <c r="AU379" s="17" t="s">
        <v>81</v>
      </c>
    </row>
    <row r="380" spans="2:65" s="12" customFormat="1">
      <c r="B380" s="144"/>
      <c r="D380" s="145" t="s">
        <v>138</v>
      </c>
      <c r="F380" s="147" t="s">
        <v>1006</v>
      </c>
      <c r="H380" s="148">
        <v>19950</v>
      </c>
      <c r="I380" s="149"/>
      <c r="L380" s="144"/>
      <c r="M380" s="150"/>
      <c r="T380" s="151"/>
      <c r="AT380" s="146" t="s">
        <v>138</v>
      </c>
      <c r="AU380" s="146" t="s">
        <v>81</v>
      </c>
      <c r="AV380" s="12" t="s">
        <v>81</v>
      </c>
      <c r="AW380" s="12" t="s">
        <v>4</v>
      </c>
      <c r="AX380" s="12" t="s">
        <v>79</v>
      </c>
      <c r="AY380" s="146" t="s">
        <v>127</v>
      </c>
    </row>
    <row r="381" spans="2:65" s="1" customFormat="1" ht="24.2" customHeight="1">
      <c r="B381" s="32"/>
      <c r="C381" s="127" t="s">
        <v>612</v>
      </c>
      <c r="D381" s="127" t="s">
        <v>129</v>
      </c>
      <c r="E381" s="128" t="s">
        <v>1007</v>
      </c>
      <c r="F381" s="129" t="s">
        <v>1008</v>
      </c>
      <c r="G381" s="130" t="s">
        <v>257</v>
      </c>
      <c r="H381" s="131">
        <v>133</v>
      </c>
      <c r="I381" s="132"/>
      <c r="J381" s="133">
        <f>ROUND(I381*H381,2)</f>
        <v>0</v>
      </c>
      <c r="K381" s="129" t="s">
        <v>133</v>
      </c>
      <c r="L381" s="32"/>
      <c r="M381" s="134" t="s">
        <v>19</v>
      </c>
      <c r="N381" s="135" t="s">
        <v>42</v>
      </c>
      <c r="P381" s="136">
        <f>O381*H381</f>
        <v>0</v>
      </c>
      <c r="Q381" s="136">
        <v>0</v>
      </c>
      <c r="R381" s="136">
        <f>Q381*H381</f>
        <v>0</v>
      </c>
      <c r="S381" s="136">
        <v>0</v>
      </c>
      <c r="T381" s="137">
        <f>S381*H381</f>
        <v>0</v>
      </c>
      <c r="AR381" s="138" t="s">
        <v>134</v>
      </c>
      <c r="AT381" s="138" t="s">
        <v>129</v>
      </c>
      <c r="AU381" s="138" t="s">
        <v>81</v>
      </c>
      <c r="AY381" s="17" t="s">
        <v>127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79</v>
      </c>
      <c r="BK381" s="139">
        <f>ROUND(I381*H381,2)</f>
        <v>0</v>
      </c>
      <c r="BL381" s="17" t="s">
        <v>134</v>
      </c>
      <c r="BM381" s="138" t="s">
        <v>1009</v>
      </c>
    </row>
    <row r="382" spans="2:65" s="1" customFormat="1">
      <c r="B382" s="32"/>
      <c r="D382" s="140" t="s">
        <v>136</v>
      </c>
      <c r="F382" s="141" t="s">
        <v>1010</v>
      </c>
      <c r="I382" s="142"/>
      <c r="L382" s="32"/>
      <c r="M382" s="143"/>
      <c r="T382" s="51"/>
      <c r="AT382" s="17" t="s">
        <v>136</v>
      </c>
      <c r="AU382" s="17" t="s">
        <v>81</v>
      </c>
    </row>
    <row r="383" spans="2:65" s="1" customFormat="1" ht="21.75" customHeight="1">
      <c r="B383" s="32"/>
      <c r="C383" s="127" t="s">
        <v>621</v>
      </c>
      <c r="D383" s="127" t="s">
        <v>129</v>
      </c>
      <c r="E383" s="128" t="s">
        <v>1011</v>
      </c>
      <c r="F383" s="129" t="s">
        <v>1012</v>
      </c>
      <c r="G383" s="130" t="s">
        <v>1013</v>
      </c>
      <c r="H383" s="131">
        <v>150</v>
      </c>
      <c r="I383" s="132"/>
      <c r="J383" s="133">
        <f>ROUND(I383*H383,2)</f>
        <v>0</v>
      </c>
      <c r="K383" s="129" t="s">
        <v>133</v>
      </c>
      <c r="L383" s="32"/>
      <c r="M383" s="134" t="s">
        <v>19</v>
      </c>
      <c r="N383" s="135" t="s">
        <v>42</v>
      </c>
      <c r="P383" s="136">
        <f>O383*H383</f>
        <v>0</v>
      </c>
      <c r="Q383" s="136">
        <v>0</v>
      </c>
      <c r="R383" s="136">
        <f>Q383*H383</f>
        <v>0</v>
      </c>
      <c r="S383" s="136">
        <v>0</v>
      </c>
      <c r="T383" s="137">
        <f>S383*H383</f>
        <v>0</v>
      </c>
      <c r="AR383" s="138" t="s">
        <v>134</v>
      </c>
      <c r="AT383" s="138" t="s">
        <v>129</v>
      </c>
      <c r="AU383" s="138" t="s">
        <v>81</v>
      </c>
      <c r="AY383" s="17" t="s">
        <v>127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79</v>
      </c>
      <c r="BK383" s="139">
        <f>ROUND(I383*H383,2)</f>
        <v>0</v>
      </c>
      <c r="BL383" s="17" t="s">
        <v>134</v>
      </c>
      <c r="BM383" s="138" t="s">
        <v>1014</v>
      </c>
    </row>
    <row r="384" spans="2:65" s="1" customFormat="1">
      <c r="B384" s="32"/>
      <c r="D384" s="140" t="s">
        <v>136</v>
      </c>
      <c r="F384" s="141" t="s">
        <v>1015</v>
      </c>
      <c r="I384" s="142"/>
      <c r="L384" s="32"/>
      <c r="M384" s="143"/>
      <c r="T384" s="51"/>
      <c r="AT384" s="17" t="s">
        <v>136</v>
      </c>
      <c r="AU384" s="17" t="s">
        <v>81</v>
      </c>
    </row>
    <row r="385" spans="2:65" s="12" customFormat="1">
      <c r="B385" s="144"/>
      <c r="D385" s="145" t="s">
        <v>138</v>
      </c>
      <c r="E385" s="146" t="s">
        <v>19</v>
      </c>
      <c r="F385" s="147" t="s">
        <v>1016</v>
      </c>
      <c r="H385" s="148">
        <v>150</v>
      </c>
      <c r="I385" s="149"/>
      <c r="L385" s="144"/>
      <c r="M385" s="150"/>
      <c r="T385" s="151"/>
      <c r="AT385" s="146" t="s">
        <v>138</v>
      </c>
      <c r="AU385" s="146" t="s">
        <v>81</v>
      </c>
      <c r="AV385" s="12" t="s">
        <v>81</v>
      </c>
      <c r="AW385" s="12" t="s">
        <v>33</v>
      </c>
      <c r="AX385" s="12" t="s">
        <v>79</v>
      </c>
      <c r="AY385" s="146" t="s">
        <v>127</v>
      </c>
    </row>
    <row r="386" spans="2:65" s="1" customFormat="1" ht="24.2" customHeight="1">
      <c r="B386" s="32"/>
      <c r="C386" s="127" t="s">
        <v>418</v>
      </c>
      <c r="D386" s="127" t="s">
        <v>129</v>
      </c>
      <c r="E386" s="128" t="s">
        <v>1017</v>
      </c>
      <c r="F386" s="129" t="s">
        <v>1018</v>
      </c>
      <c r="G386" s="130" t="s">
        <v>132</v>
      </c>
      <c r="H386" s="131">
        <v>481.25</v>
      </c>
      <c r="I386" s="132"/>
      <c r="J386" s="133">
        <f>ROUND(I386*H386,2)</f>
        <v>0</v>
      </c>
      <c r="K386" s="129" t="s">
        <v>133</v>
      </c>
      <c r="L386" s="32"/>
      <c r="M386" s="134" t="s">
        <v>19</v>
      </c>
      <c r="N386" s="135" t="s">
        <v>42</v>
      </c>
      <c r="P386" s="136">
        <f>O386*H386</f>
        <v>0</v>
      </c>
      <c r="Q386" s="136">
        <v>2.1000000000000001E-4</v>
      </c>
      <c r="R386" s="136">
        <f>Q386*H386</f>
        <v>0.1010625</v>
      </c>
      <c r="S386" s="136">
        <v>0</v>
      </c>
      <c r="T386" s="137">
        <f>S386*H386</f>
        <v>0</v>
      </c>
      <c r="AR386" s="138" t="s">
        <v>134</v>
      </c>
      <c r="AT386" s="138" t="s">
        <v>129</v>
      </c>
      <c r="AU386" s="138" t="s">
        <v>81</v>
      </c>
      <c r="AY386" s="17" t="s">
        <v>127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79</v>
      </c>
      <c r="BK386" s="139">
        <f>ROUND(I386*H386,2)</f>
        <v>0</v>
      </c>
      <c r="BL386" s="17" t="s">
        <v>134</v>
      </c>
      <c r="BM386" s="138" t="s">
        <v>1019</v>
      </c>
    </row>
    <row r="387" spans="2:65" s="1" customFormat="1">
      <c r="B387" s="32"/>
      <c r="D387" s="140" t="s">
        <v>136</v>
      </c>
      <c r="F387" s="141" t="s">
        <v>1020</v>
      </c>
      <c r="I387" s="142"/>
      <c r="L387" s="32"/>
      <c r="M387" s="143"/>
      <c r="T387" s="51"/>
      <c r="AT387" s="17" t="s">
        <v>136</v>
      </c>
      <c r="AU387" s="17" t="s">
        <v>81</v>
      </c>
    </row>
    <row r="388" spans="2:65" s="12" customFormat="1">
      <c r="B388" s="144"/>
      <c r="D388" s="145" t="s">
        <v>138</v>
      </c>
      <c r="E388" s="146" t="s">
        <v>19</v>
      </c>
      <c r="F388" s="147" t="s">
        <v>1021</v>
      </c>
      <c r="H388" s="148">
        <v>481.25</v>
      </c>
      <c r="I388" s="149"/>
      <c r="L388" s="144"/>
      <c r="M388" s="150"/>
      <c r="T388" s="151"/>
      <c r="AT388" s="146" t="s">
        <v>138</v>
      </c>
      <c r="AU388" s="146" t="s">
        <v>81</v>
      </c>
      <c r="AV388" s="12" t="s">
        <v>81</v>
      </c>
      <c r="AW388" s="12" t="s">
        <v>33</v>
      </c>
      <c r="AX388" s="12" t="s">
        <v>79</v>
      </c>
      <c r="AY388" s="146" t="s">
        <v>127</v>
      </c>
    </row>
    <row r="389" spans="2:65" s="1" customFormat="1" ht="24.2" customHeight="1">
      <c r="B389" s="32"/>
      <c r="C389" s="127" t="s">
        <v>182</v>
      </c>
      <c r="D389" s="127" t="s">
        <v>129</v>
      </c>
      <c r="E389" s="128" t="s">
        <v>1022</v>
      </c>
      <c r="F389" s="129" t="s">
        <v>1023</v>
      </c>
      <c r="G389" s="130" t="s">
        <v>132</v>
      </c>
      <c r="H389" s="131">
        <v>481.25</v>
      </c>
      <c r="I389" s="132"/>
      <c r="J389" s="133">
        <f>ROUND(I389*H389,2)</f>
        <v>0</v>
      </c>
      <c r="K389" s="129" t="s">
        <v>133</v>
      </c>
      <c r="L389" s="32"/>
      <c r="M389" s="134" t="s">
        <v>19</v>
      </c>
      <c r="N389" s="135" t="s">
        <v>42</v>
      </c>
      <c r="P389" s="136">
        <f>O389*H389</f>
        <v>0</v>
      </c>
      <c r="Q389" s="136">
        <v>4.0000000000000003E-5</v>
      </c>
      <c r="R389" s="136">
        <f>Q389*H389</f>
        <v>1.9250000000000003E-2</v>
      </c>
      <c r="S389" s="136">
        <v>0</v>
      </c>
      <c r="T389" s="137">
        <f>S389*H389</f>
        <v>0</v>
      </c>
      <c r="AR389" s="138" t="s">
        <v>134</v>
      </c>
      <c r="AT389" s="138" t="s">
        <v>129</v>
      </c>
      <c r="AU389" s="138" t="s">
        <v>81</v>
      </c>
      <c r="AY389" s="17" t="s">
        <v>127</v>
      </c>
      <c r="BE389" s="139">
        <f>IF(N389="základní",J389,0)</f>
        <v>0</v>
      </c>
      <c r="BF389" s="139">
        <f>IF(N389="snížená",J389,0)</f>
        <v>0</v>
      </c>
      <c r="BG389" s="139">
        <f>IF(N389="zákl. přenesená",J389,0)</f>
        <v>0</v>
      </c>
      <c r="BH389" s="139">
        <f>IF(N389="sníž. přenesená",J389,0)</f>
        <v>0</v>
      </c>
      <c r="BI389" s="139">
        <f>IF(N389="nulová",J389,0)</f>
        <v>0</v>
      </c>
      <c r="BJ389" s="17" t="s">
        <v>79</v>
      </c>
      <c r="BK389" s="139">
        <f>ROUND(I389*H389,2)</f>
        <v>0</v>
      </c>
      <c r="BL389" s="17" t="s">
        <v>134</v>
      </c>
      <c r="BM389" s="138" t="s">
        <v>1024</v>
      </c>
    </row>
    <row r="390" spans="2:65" s="1" customFormat="1">
      <c r="B390" s="32"/>
      <c r="D390" s="140" t="s">
        <v>136</v>
      </c>
      <c r="F390" s="141" t="s">
        <v>1025</v>
      </c>
      <c r="I390" s="142"/>
      <c r="L390" s="32"/>
      <c r="M390" s="143"/>
      <c r="T390" s="51"/>
      <c r="AT390" s="17" t="s">
        <v>136</v>
      </c>
      <c r="AU390" s="17" t="s">
        <v>81</v>
      </c>
    </row>
    <row r="391" spans="2:65" s="12" customFormat="1">
      <c r="B391" s="144"/>
      <c r="D391" s="145" t="s">
        <v>138</v>
      </c>
      <c r="E391" s="146" t="s">
        <v>19</v>
      </c>
      <c r="F391" s="147" t="s">
        <v>1021</v>
      </c>
      <c r="H391" s="148">
        <v>481.25</v>
      </c>
      <c r="I391" s="149"/>
      <c r="L391" s="144"/>
      <c r="M391" s="150"/>
      <c r="T391" s="151"/>
      <c r="AT391" s="146" t="s">
        <v>138</v>
      </c>
      <c r="AU391" s="146" t="s">
        <v>81</v>
      </c>
      <c r="AV391" s="12" t="s">
        <v>81</v>
      </c>
      <c r="AW391" s="12" t="s">
        <v>33</v>
      </c>
      <c r="AX391" s="12" t="s">
        <v>79</v>
      </c>
      <c r="AY391" s="146" t="s">
        <v>127</v>
      </c>
    </row>
    <row r="392" spans="2:65" s="1" customFormat="1" ht="16.5" customHeight="1">
      <c r="B392" s="32"/>
      <c r="C392" s="127" t="s">
        <v>1026</v>
      </c>
      <c r="D392" s="127" t="s">
        <v>129</v>
      </c>
      <c r="E392" s="128" t="s">
        <v>1027</v>
      </c>
      <c r="F392" s="129" t="s">
        <v>1028</v>
      </c>
      <c r="G392" s="130" t="s">
        <v>304</v>
      </c>
      <c r="H392" s="131">
        <v>4</v>
      </c>
      <c r="I392" s="132"/>
      <c r="J392" s="133">
        <f>ROUND(I392*H392,2)</f>
        <v>0</v>
      </c>
      <c r="K392" s="129" t="s">
        <v>133</v>
      </c>
      <c r="L392" s="32"/>
      <c r="M392" s="134" t="s">
        <v>19</v>
      </c>
      <c r="N392" s="135" t="s">
        <v>42</v>
      </c>
      <c r="P392" s="136">
        <f>O392*H392</f>
        <v>0</v>
      </c>
      <c r="Q392" s="136">
        <v>1.8000000000000001E-4</v>
      </c>
      <c r="R392" s="136">
        <f>Q392*H392</f>
        <v>7.2000000000000005E-4</v>
      </c>
      <c r="S392" s="136">
        <v>0</v>
      </c>
      <c r="T392" s="137">
        <f>S392*H392</f>
        <v>0</v>
      </c>
      <c r="AR392" s="138" t="s">
        <v>134</v>
      </c>
      <c r="AT392" s="138" t="s">
        <v>129</v>
      </c>
      <c r="AU392" s="138" t="s">
        <v>81</v>
      </c>
      <c r="AY392" s="17" t="s">
        <v>127</v>
      </c>
      <c r="BE392" s="139">
        <f>IF(N392="základní",J392,0)</f>
        <v>0</v>
      </c>
      <c r="BF392" s="139">
        <f>IF(N392="snížená",J392,0)</f>
        <v>0</v>
      </c>
      <c r="BG392" s="139">
        <f>IF(N392="zákl. přenesená",J392,0)</f>
        <v>0</v>
      </c>
      <c r="BH392" s="139">
        <f>IF(N392="sníž. přenesená",J392,0)</f>
        <v>0</v>
      </c>
      <c r="BI392" s="139">
        <f>IF(N392="nulová",J392,0)</f>
        <v>0</v>
      </c>
      <c r="BJ392" s="17" t="s">
        <v>79</v>
      </c>
      <c r="BK392" s="139">
        <f>ROUND(I392*H392,2)</f>
        <v>0</v>
      </c>
      <c r="BL392" s="17" t="s">
        <v>134</v>
      </c>
      <c r="BM392" s="138" t="s">
        <v>1029</v>
      </c>
    </row>
    <row r="393" spans="2:65" s="1" customFormat="1">
      <c r="B393" s="32"/>
      <c r="D393" s="140" t="s">
        <v>136</v>
      </c>
      <c r="F393" s="141" t="s">
        <v>1030</v>
      </c>
      <c r="I393" s="142"/>
      <c r="L393" s="32"/>
      <c r="M393" s="143"/>
      <c r="T393" s="51"/>
      <c r="AT393" s="17" t="s">
        <v>136</v>
      </c>
      <c r="AU393" s="17" t="s">
        <v>81</v>
      </c>
    </row>
    <row r="394" spans="2:65" s="1" customFormat="1" ht="16.5" customHeight="1">
      <c r="B394" s="32"/>
      <c r="C394" s="159" t="s">
        <v>1031</v>
      </c>
      <c r="D394" s="159" t="s">
        <v>413</v>
      </c>
      <c r="E394" s="160" t="s">
        <v>1032</v>
      </c>
      <c r="F394" s="161" t="s">
        <v>1033</v>
      </c>
      <c r="G394" s="162" t="s">
        <v>304</v>
      </c>
      <c r="H394" s="163">
        <v>4</v>
      </c>
      <c r="I394" s="164"/>
      <c r="J394" s="165">
        <f>ROUND(I394*H394,2)</f>
        <v>0</v>
      </c>
      <c r="K394" s="161" t="s">
        <v>133</v>
      </c>
      <c r="L394" s="166"/>
      <c r="M394" s="167" t="s">
        <v>19</v>
      </c>
      <c r="N394" s="168" t="s">
        <v>42</v>
      </c>
      <c r="P394" s="136">
        <f>O394*H394</f>
        <v>0</v>
      </c>
      <c r="Q394" s="136">
        <v>1.2E-2</v>
      </c>
      <c r="R394" s="136">
        <f>Q394*H394</f>
        <v>4.8000000000000001E-2</v>
      </c>
      <c r="S394" s="136">
        <v>0</v>
      </c>
      <c r="T394" s="137">
        <f>S394*H394</f>
        <v>0</v>
      </c>
      <c r="AR394" s="138" t="s">
        <v>177</v>
      </c>
      <c r="AT394" s="138" t="s">
        <v>413</v>
      </c>
      <c r="AU394" s="138" t="s">
        <v>81</v>
      </c>
      <c r="AY394" s="17" t="s">
        <v>127</v>
      </c>
      <c r="BE394" s="139">
        <f>IF(N394="základní",J394,0)</f>
        <v>0</v>
      </c>
      <c r="BF394" s="139">
        <f>IF(N394="snížená",J394,0)</f>
        <v>0</v>
      </c>
      <c r="BG394" s="139">
        <f>IF(N394="zákl. přenesená",J394,0)</f>
        <v>0</v>
      </c>
      <c r="BH394" s="139">
        <f>IF(N394="sníž. přenesená",J394,0)</f>
        <v>0</v>
      </c>
      <c r="BI394" s="139">
        <f>IF(N394="nulová",J394,0)</f>
        <v>0</v>
      </c>
      <c r="BJ394" s="17" t="s">
        <v>79</v>
      </c>
      <c r="BK394" s="139">
        <f>ROUND(I394*H394,2)</f>
        <v>0</v>
      </c>
      <c r="BL394" s="17" t="s">
        <v>134</v>
      </c>
      <c r="BM394" s="138" t="s">
        <v>1034</v>
      </c>
    </row>
    <row r="395" spans="2:65" s="1" customFormat="1" ht="24.2" customHeight="1">
      <c r="B395" s="32"/>
      <c r="C395" s="127" t="s">
        <v>1035</v>
      </c>
      <c r="D395" s="127" t="s">
        <v>129</v>
      </c>
      <c r="E395" s="128" t="s">
        <v>1036</v>
      </c>
      <c r="F395" s="129" t="s">
        <v>1037</v>
      </c>
      <c r="G395" s="130" t="s">
        <v>304</v>
      </c>
      <c r="H395" s="131">
        <v>50</v>
      </c>
      <c r="I395" s="132"/>
      <c r="J395" s="133">
        <f>ROUND(I395*H395,2)</f>
        <v>0</v>
      </c>
      <c r="K395" s="129" t="s">
        <v>133</v>
      </c>
      <c r="L395" s="32"/>
      <c r="M395" s="134" t="s">
        <v>19</v>
      </c>
      <c r="N395" s="135" t="s">
        <v>42</v>
      </c>
      <c r="P395" s="136">
        <f>O395*H395</f>
        <v>0</v>
      </c>
      <c r="Q395" s="136">
        <v>2.0000000000000002E-5</v>
      </c>
      <c r="R395" s="136">
        <f>Q395*H395</f>
        <v>1E-3</v>
      </c>
      <c r="S395" s="136">
        <v>0</v>
      </c>
      <c r="T395" s="137">
        <f>S395*H395</f>
        <v>0</v>
      </c>
      <c r="AR395" s="138" t="s">
        <v>134</v>
      </c>
      <c r="AT395" s="138" t="s">
        <v>129</v>
      </c>
      <c r="AU395" s="138" t="s">
        <v>81</v>
      </c>
      <c r="AY395" s="17" t="s">
        <v>127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79</v>
      </c>
      <c r="BK395" s="139">
        <f>ROUND(I395*H395,2)</f>
        <v>0</v>
      </c>
      <c r="BL395" s="17" t="s">
        <v>134</v>
      </c>
      <c r="BM395" s="138" t="s">
        <v>1038</v>
      </c>
    </row>
    <row r="396" spans="2:65" s="1" customFormat="1">
      <c r="B396" s="32"/>
      <c r="D396" s="140" t="s">
        <v>136</v>
      </c>
      <c r="F396" s="141" t="s">
        <v>1039</v>
      </c>
      <c r="I396" s="142"/>
      <c r="L396" s="32"/>
      <c r="M396" s="143"/>
      <c r="T396" s="51"/>
      <c r="AT396" s="17" t="s">
        <v>136</v>
      </c>
      <c r="AU396" s="17" t="s">
        <v>81</v>
      </c>
    </row>
    <row r="397" spans="2:65" s="12" customFormat="1">
      <c r="B397" s="144"/>
      <c r="D397" s="145" t="s">
        <v>138</v>
      </c>
      <c r="E397" s="146" t="s">
        <v>19</v>
      </c>
      <c r="F397" s="147" t="s">
        <v>1040</v>
      </c>
      <c r="H397" s="148">
        <v>50</v>
      </c>
      <c r="I397" s="149"/>
      <c r="L397" s="144"/>
      <c r="M397" s="150"/>
      <c r="T397" s="151"/>
      <c r="AT397" s="146" t="s">
        <v>138</v>
      </c>
      <c r="AU397" s="146" t="s">
        <v>81</v>
      </c>
      <c r="AV397" s="12" t="s">
        <v>81</v>
      </c>
      <c r="AW397" s="12" t="s">
        <v>33</v>
      </c>
      <c r="AX397" s="12" t="s">
        <v>79</v>
      </c>
      <c r="AY397" s="146" t="s">
        <v>127</v>
      </c>
    </row>
    <row r="398" spans="2:65" s="1" customFormat="1" ht="21.75" customHeight="1">
      <c r="B398" s="32"/>
      <c r="C398" s="127" t="s">
        <v>1041</v>
      </c>
      <c r="D398" s="127" t="s">
        <v>129</v>
      </c>
      <c r="E398" s="128" t="s">
        <v>1042</v>
      </c>
      <c r="F398" s="129" t="s">
        <v>1043</v>
      </c>
      <c r="G398" s="130" t="s">
        <v>304</v>
      </c>
      <c r="H398" s="131">
        <v>50</v>
      </c>
      <c r="I398" s="132"/>
      <c r="J398" s="133">
        <f>ROUND(I398*H398,2)</f>
        <v>0</v>
      </c>
      <c r="K398" s="129" t="s">
        <v>133</v>
      </c>
      <c r="L398" s="32"/>
      <c r="M398" s="134" t="s">
        <v>19</v>
      </c>
      <c r="N398" s="135" t="s">
        <v>42</v>
      </c>
      <c r="P398" s="136">
        <f>O398*H398</f>
        <v>0</v>
      </c>
      <c r="Q398" s="136">
        <v>4.2000000000000002E-4</v>
      </c>
      <c r="R398" s="136">
        <f>Q398*H398</f>
        <v>2.1000000000000001E-2</v>
      </c>
      <c r="S398" s="136">
        <v>0</v>
      </c>
      <c r="T398" s="137">
        <f>S398*H398</f>
        <v>0</v>
      </c>
      <c r="AR398" s="138" t="s">
        <v>134</v>
      </c>
      <c r="AT398" s="138" t="s">
        <v>129</v>
      </c>
      <c r="AU398" s="138" t="s">
        <v>81</v>
      </c>
      <c r="AY398" s="17" t="s">
        <v>127</v>
      </c>
      <c r="BE398" s="139">
        <f>IF(N398="základní",J398,0)</f>
        <v>0</v>
      </c>
      <c r="BF398" s="139">
        <f>IF(N398="snížená",J398,0)</f>
        <v>0</v>
      </c>
      <c r="BG398" s="139">
        <f>IF(N398="zákl. přenesená",J398,0)</f>
        <v>0</v>
      </c>
      <c r="BH398" s="139">
        <f>IF(N398="sníž. přenesená",J398,0)</f>
        <v>0</v>
      </c>
      <c r="BI398" s="139">
        <f>IF(N398="nulová",J398,0)</f>
        <v>0</v>
      </c>
      <c r="BJ398" s="17" t="s">
        <v>79</v>
      </c>
      <c r="BK398" s="139">
        <f>ROUND(I398*H398,2)</f>
        <v>0</v>
      </c>
      <c r="BL398" s="17" t="s">
        <v>134</v>
      </c>
      <c r="BM398" s="138" t="s">
        <v>1044</v>
      </c>
    </row>
    <row r="399" spans="2:65" s="1" customFormat="1">
      <c r="B399" s="32"/>
      <c r="D399" s="140" t="s">
        <v>136</v>
      </c>
      <c r="F399" s="141" t="s">
        <v>1045</v>
      </c>
      <c r="I399" s="142"/>
      <c r="L399" s="32"/>
      <c r="M399" s="143"/>
      <c r="T399" s="51"/>
      <c r="AT399" s="17" t="s">
        <v>136</v>
      </c>
      <c r="AU399" s="17" t="s">
        <v>81</v>
      </c>
    </row>
    <row r="400" spans="2:65" s="12" customFormat="1">
      <c r="B400" s="144"/>
      <c r="D400" s="145" t="s">
        <v>138</v>
      </c>
      <c r="E400" s="146" t="s">
        <v>19</v>
      </c>
      <c r="F400" s="147" t="s">
        <v>1040</v>
      </c>
      <c r="H400" s="148">
        <v>50</v>
      </c>
      <c r="I400" s="149"/>
      <c r="L400" s="144"/>
      <c r="M400" s="150"/>
      <c r="T400" s="151"/>
      <c r="AT400" s="146" t="s">
        <v>138</v>
      </c>
      <c r="AU400" s="146" t="s">
        <v>81</v>
      </c>
      <c r="AV400" s="12" t="s">
        <v>81</v>
      </c>
      <c r="AW400" s="12" t="s">
        <v>33</v>
      </c>
      <c r="AX400" s="12" t="s">
        <v>79</v>
      </c>
      <c r="AY400" s="146" t="s">
        <v>127</v>
      </c>
    </row>
    <row r="401" spans="2:65" s="1" customFormat="1" ht="24.2" customHeight="1">
      <c r="B401" s="32"/>
      <c r="C401" s="127" t="s">
        <v>1046</v>
      </c>
      <c r="D401" s="127" t="s">
        <v>129</v>
      </c>
      <c r="E401" s="128" t="s">
        <v>1047</v>
      </c>
      <c r="F401" s="129" t="s">
        <v>1048</v>
      </c>
      <c r="G401" s="130" t="s">
        <v>304</v>
      </c>
      <c r="H401" s="131">
        <v>378</v>
      </c>
      <c r="I401" s="132"/>
      <c r="J401" s="133">
        <f>ROUND(I401*H401,2)</f>
        <v>0</v>
      </c>
      <c r="K401" s="129" t="s">
        <v>133</v>
      </c>
      <c r="L401" s="32"/>
      <c r="M401" s="134" t="s">
        <v>19</v>
      </c>
      <c r="N401" s="135" t="s">
        <v>42</v>
      </c>
      <c r="P401" s="136">
        <f>O401*H401</f>
        <v>0</v>
      </c>
      <c r="Q401" s="136">
        <v>0</v>
      </c>
      <c r="R401" s="136">
        <f>Q401*H401</f>
        <v>0</v>
      </c>
      <c r="S401" s="136">
        <v>3.1E-2</v>
      </c>
      <c r="T401" s="137">
        <f>S401*H401</f>
        <v>11.718</v>
      </c>
      <c r="AR401" s="138" t="s">
        <v>134</v>
      </c>
      <c r="AT401" s="138" t="s">
        <v>129</v>
      </c>
      <c r="AU401" s="138" t="s">
        <v>81</v>
      </c>
      <c r="AY401" s="17" t="s">
        <v>127</v>
      </c>
      <c r="BE401" s="139">
        <f>IF(N401="základní",J401,0)</f>
        <v>0</v>
      </c>
      <c r="BF401" s="139">
        <f>IF(N401="snížená",J401,0)</f>
        <v>0</v>
      </c>
      <c r="BG401" s="139">
        <f>IF(N401="zákl. přenesená",J401,0)</f>
        <v>0</v>
      </c>
      <c r="BH401" s="139">
        <f>IF(N401="sníž. přenesená",J401,0)</f>
        <v>0</v>
      </c>
      <c r="BI401" s="139">
        <f>IF(N401="nulová",J401,0)</f>
        <v>0</v>
      </c>
      <c r="BJ401" s="17" t="s">
        <v>79</v>
      </c>
      <c r="BK401" s="139">
        <f>ROUND(I401*H401,2)</f>
        <v>0</v>
      </c>
      <c r="BL401" s="17" t="s">
        <v>134</v>
      </c>
      <c r="BM401" s="138" t="s">
        <v>1049</v>
      </c>
    </row>
    <row r="402" spans="2:65" s="1" customFormat="1">
      <c r="B402" s="32"/>
      <c r="D402" s="140" t="s">
        <v>136</v>
      </c>
      <c r="F402" s="141" t="s">
        <v>1050</v>
      </c>
      <c r="I402" s="142"/>
      <c r="L402" s="32"/>
      <c r="M402" s="143"/>
      <c r="T402" s="51"/>
      <c r="AT402" s="17" t="s">
        <v>136</v>
      </c>
      <c r="AU402" s="17" t="s">
        <v>81</v>
      </c>
    </row>
    <row r="403" spans="2:65" s="12" customFormat="1">
      <c r="B403" s="144"/>
      <c r="D403" s="145" t="s">
        <v>138</v>
      </c>
      <c r="E403" s="146" t="s">
        <v>19</v>
      </c>
      <c r="F403" s="147" t="s">
        <v>1051</v>
      </c>
      <c r="H403" s="148">
        <v>378</v>
      </c>
      <c r="I403" s="149"/>
      <c r="L403" s="144"/>
      <c r="M403" s="150"/>
      <c r="T403" s="151"/>
      <c r="AT403" s="146" t="s">
        <v>138</v>
      </c>
      <c r="AU403" s="146" t="s">
        <v>81</v>
      </c>
      <c r="AV403" s="12" t="s">
        <v>81</v>
      </c>
      <c r="AW403" s="12" t="s">
        <v>33</v>
      </c>
      <c r="AX403" s="12" t="s">
        <v>79</v>
      </c>
      <c r="AY403" s="146" t="s">
        <v>127</v>
      </c>
    </row>
    <row r="404" spans="2:65" s="1" customFormat="1" ht="16.5" customHeight="1">
      <c r="B404" s="32"/>
      <c r="C404" s="127" t="s">
        <v>1052</v>
      </c>
      <c r="D404" s="127" t="s">
        <v>129</v>
      </c>
      <c r="E404" s="128" t="s">
        <v>1053</v>
      </c>
      <c r="F404" s="129" t="s">
        <v>1054</v>
      </c>
      <c r="G404" s="130" t="s">
        <v>191</v>
      </c>
      <c r="H404" s="131">
        <v>1</v>
      </c>
      <c r="I404" s="132"/>
      <c r="J404" s="133">
        <f>ROUND(I404*H404,2)</f>
        <v>0</v>
      </c>
      <c r="K404" s="129" t="s">
        <v>19</v>
      </c>
      <c r="L404" s="32"/>
      <c r="M404" s="134" t="s">
        <v>19</v>
      </c>
      <c r="N404" s="135" t="s">
        <v>42</v>
      </c>
      <c r="P404" s="136">
        <f>O404*H404</f>
        <v>0</v>
      </c>
      <c r="Q404" s="136">
        <v>0</v>
      </c>
      <c r="R404" s="136">
        <f>Q404*H404</f>
        <v>0</v>
      </c>
      <c r="S404" s="136">
        <v>0</v>
      </c>
      <c r="T404" s="137">
        <f>S404*H404</f>
        <v>0</v>
      </c>
      <c r="AR404" s="138" t="s">
        <v>134</v>
      </c>
      <c r="AT404" s="138" t="s">
        <v>129</v>
      </c>
      <c r="AU404" s="138" t="s">
        <v>81</v>
      </c>
      <c r="AY404" s="17" t="s">
        <v>127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79</v>
      </c>
      <c r="BK404" s="139">
        <f>ROUND(I404*H404,2)</f>
        <v>0</v>
      </c>
      <c r="BL404" s="17" t="s">
        <v>134</v>
      </c>
      <c r="BM404" s="138" t="s">
        <v>1055</v>
      </c>
    </row>
    <row r="405" spans="2:65" s="11" customFormat="1" ht="22.9" customHeight="1">
      <c r="B405" s="115"/>
      <c r="D405" s="116" t="s">
        <v>70</v>
      </c>
      <c r="E405" s="125" t="s">
        <v>362</v>
      </c>
      <c r="F405" s="125" t="s">
        <v>363</v>
      </c>
      <c r="I405" s="118"/>
      <c r="J405" s="126">
        <f>BK405</f>
        <v>0</v>
      </c>
      <c r="L405" s="115"/>
      <c r="M405" s="120"/>
      <c r="P405" s="121">
        <f>SUM(P406:P414)</f>
        <v>0</v>
      </c>
      <c r="R405" s="121">
        <f>SUM(R406:R414)</f>
        <v>0</v>
      </c>
      <c r="T405" s="122">
        <f>SUM(T406:T414)</f>
        <v>0</v>
      </c>
      <c r="AR405" s="116" t="s">
        <v>79</v>
      </c>
      <c r="AT405" s="123" t="s">
        <v>70</v>
      </c>
      <c r="AU405" s="123" t="s">
        <v>79</v>
      </c>
      <c r="AY405" s="116" t="s">
        <v>127</v>
      </c>
      <c r="BK405" s="124">
        <f>SUM(BK406:BK414)</f>
        <v>0</v>
      </c>
    </row>
    <row r="406" spans="2:65" s="1" customFormat="1" ht="24.2" customHeight="1">
      <c r="B406" s="32"/>
      <c r="C406" s="127" t="s">
        <v>1056</v>
      </c>
      <c r="D406" s="127" t="s">
        <v>129</v>
      </c>
      <c r="E406" s="128" t="s">
        <v>365</v>
      </c>
      <c r="F406" s="129" t="s">
        <v>366</v>
      </c>
      <c r="G406" s="130" t="s">
        <v>173</v>
      </c>
      <c r="H406" s="131">
        <v>24.698</v>
      </c>
      <c r="I406" s="132"/>
      <c r="J406" s="133">
        <f>ROUND(I406*H406,2)</f>
        <v>0</v>
      </c>
      <c r="K406" s="129" t="s">
        <v>133</v>
      </c>
      <c r="L406" s="32"/>
      <c r="M406" s="134" t="s">
        <v>19</v>
      </c>
      <c r="N406" s="135" t="s">
        <v>42</v>
      </c>
      <c r="P406" s="136">
        <f>O406*H406</f>
        <v>0</v>
      </c>
      <c r="Q406" s="136">
        <v>0</v>
      </c>
      <c r="R406" s="136">
        <f>Q406*H406</f>
        <v>0</v>
      </c>
      <c r="S406" s="136">
        <v>0</v>
      </c>
      <c r="T406" s="137">
        <f>S406*H406</f>
        <v>0</v>
      </c>
      <c r="AR406" s="138" t="s">
        <v>134</v>
      </c>
      <c r="AT406" s="138" t="s">
        <v>129</v>
      </c>
      <c r="AU406" s="138" t="s">
        <v>81</v>
      </c>
      <c r="AY406" s="17" t="s">
        <v>127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79</v>
      </c>
      <c r="BK406" s="139">
        <f>ROUND(I406*H406,2)</f>
        <v>0</v>
      </c>
      <c r="BL406" s="17" t="s">
        <v>134</v>
      </c>
      <c r="BM406" s="138" t="s">
        <v>1057</v>
      </c>
    </row>
    <row r="407" spans="2:65" s="1" customFormat="1">
      <c r="B407" s="32"/>
      <c r="D407" s="140" t="s">
        <v>136</v>
      </c>
      <c r="F407" s="141" t="s">
        <v>368</v>
      </c>
      <c r="I407" s="142"/>
      <c r="L407" s="32"/>
      <c r="M407" s="143"/>
      <c r="T407" s="51"/>
      <c r="AT407" s="17" t="s">
        <v>136</v>
      </c>
      <c r="AU407" s="17" t="s">
        <v>81</v>
      </c>
    </row>
    <row r="408" spans="2:65" s="1" customFormat="1" ht="21.75" customHeight="1">
      <c r="B408" s="32"/>
      <c r="C408" s="127" t="s">
        <v>1058</v>
      </c>
      <c r="D408" s="127" t="s">
        <v>129</v>
      </c>
      <c r="E408" s="128" t="s">
        <v>381</v>
      </c>
      <c r="F408" s="129" t="s">
        <v>382</v>
      </c>
      <c r="G408" s="130" t="s">
        <v>173</v>
      </c>
      <c r="H408" s="131">
        <v>24.698</v>
      </c>
      <c r="I408" s="132"/>
      <c r="J408" s="133">
        <f>ROUND(I408*H408,2)</f>
        <v>0</v>
      </c>
      <c r="K408" s="129" t="s">
        <v>133</v>
      </c>
      <c r="L408" s="32"/>
      <c r="M408" s="134" t="s">
        <v>19</v>
      </c>
      <c r="N408" s="135" t="s">
        <v>42</v>
      </c>
      <c r="P408" s="136">
        <f>O408*H408</f>
        <v>0</v>
      </c>
      <c r="Q408" s="136">
        <v>0</v>
      </c>
      <c r="R408" s="136">
        <f>Q408*H408</f>
        <v>0</v>
      </c>
      <c r="S408" s="136">
        <v>0</v>
      </c>
      <c r="T408" s="137">
        <f>S408*H408</f>
        <v>0</v>
      </c>
      <c r="AR408" s="138" t="s">
        <v>134</v>
      </c>
      <c r="AT408" s="138" t="s">
        <v>129</v>
      </c>
      <c r="AU408" s="138" t="s">
        <v>81</v>
      </c>
      <c r="AY408" s="17" t="s">
        <v>127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79</v>
      </c>
      <c r="BK408" s="139">
        <f>ROUND(I408*H408,2)</f>
        <v>0</v>
      </c>
      <c r="BL408" s="17" t="s">
        <v>134</v>
      </c>
      <c r="BM408" s="138" t="s">
        <v>1059</v>
      </c>
    </row>
    <row r="409" spans="2:65" s="1" customFormat="1">
      <c r="B409" s="32"/>
      <c r="D409" s="140" t="s">
        <v>136</v>
      </c>
      <c r="F409" s="141" t="s">
        <v>384</v>
      </c>
      <c r="I409" s="142"/>
      <c r="L409" s="32"/>
      <c r="M409" s="143"/>
      <c r="T409" s="51"/>
      <c r="AT409" s="17" t="s">
        <v>136</v>
      </c>
      <c r="AU409" s="17" t="s">
        <v>81</v>
      </c>
    </row>
    <row r="410" spans="2:65" s="1" customFormat="1" ht="24.2" customHeight="1">
      <c r="B410" s="32"/>
      <c r="C410" s="127" t="s">
        <v>1060</v>
      </c>
      <c r="D410" s="127" t="s">
        <v>129</v>
      </c>
      <c r="E410" s="128" t="s">
        <v>386</v>
      </c>
      <c r="F410" s="129" t="s">
        <v>387</v>
      </c>
      <c r="G410" s="130" t="s">
        <v>173</v>
      </c>
      <c r="H410" s="131">
        <v>469.262</v>
      </c>
      <c r="I410" s="132"/>
      <c r="J410" s="133">
        <f>ROUND(I410*H410,2)</f>
        <v>0</v>
      </c>
      <c r="K410" s="129" t="s">
        <v>133</v>
      </c>
      <c r="L410" s="32"/>
      <c r="M410" s="134" t="s">
        <v>19</v>
      </c>
      <c r="N410" s="135" t="s">
        <v>42</v>
      </c>
      <c r="P410" s="136">
        <f>O410*H410</f>
        <v>0</v>
      </c>
      <c r="Q410" s="136">
        <v>0</v>
      </c>
      <c r="R410" s="136">
        <f>Q410*H410</f>
        <v>0</v>
      </c>
      <c r="S410" s="136">
        <v>0</v>
      </c>
      <c r="T410" s="137">
        <f>S410*H410</f>
        <v>0</v>
      </c>
      <c r="AR410" s="138" t="s">
        <v>134</v>
      </c>
      <c r="AT410" s="138" t="s">
        <v>129</v>
      </c>
      <c r="AU410" s="138" t="s">
        <v>81</v>
      </c>
      <c r="AY410" s="17" t="s">
        <v>127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7" t="s">
        <v>79</v>
      </c>
      <c r="BK410" s="139">
        <f>ROUND(I410*H410,2)</f>
        <v>0</v>
      </c>
      <c r="BL410" s="17" t="s">
        <v>134</v>
      </c>
      <c r="BM410" s="138" t="s">
        <v>1061</v>
      </c>
    </row>
    <row r="411" spans="2:65" s="1" customFormat="1">
      <c r="B411" s="32"/>
      <c r="D411" s="140" t="s">
        <v>136</v>
      </c>
      <c r="F411" s="141" t="s">
        <v>389</v>
      </c>
      <c r="I411" s="142"/>
      <c r="L411" s="32"/>
      <c r="M411" s="143"/>
      <c r="T411" s="51"/>
      <c r="AT411" s="17" t="s">
        <v>136</v>
      </c>
      <c r="AU411" s="17" t="s">
        <v>81</v>
      </c>
    </row>
    <row r="412" spans="2:65" s="12" customFormat="1">
      <c r="B412" s="144"/>
      <c r="D412" s="145" t="s">
        <v>138</v>
      </c>
      <c r="F412" s="147" t="s">
        <v>1062</v>
      </c>
      <c r="H412" s="148">
        <v>469.262</v>
      </c>
      <c r="I412" s="149"/>
      <c r="L412" s="144"/>
      <c r="M412" s="150"/>
      <c r="T412" s="151"/>
      <c r="AT412" s="146" t="s">
        <v>138</v>
      </c>
      <c r="AU412" s="146" t="s">
        <v>81</v>
      </c>
      <c r="AV412" s="12" t="s">
        <v>81</v>
      </c>
      <c r="AW412" s="12" t="s">
        <v>4</v>
      </c>
      <c r="AX412" s="12" t="s">
        <v>79</v>
      </c>
      <c r="AY412" s="146" t="s">
        <v>127</v>
      </c>
    </row>
    <row r="413" spans="2:65" s="1" customFormat="1" ht="24.2" customHeight="1">
      <c r="B413" s="32"/>
      <c r="C413" s="127" t="s">
        <v>1063</v>
      </c>
      <c r="D413" s="127" t="s">
        <v>129</v>
      </c>
      <c r="E413" s="128" t="s">
        <v>392</v>
      </c>
      <c r="F413" s="129" t="s">
        <v>393</v>
      </c>
      <c r="G413" s="130" t="s">
        <v>173</v>
      </c>
      <c r="H413" s="131">
        <v>24.698</v>
      </c>
      <c r="I413" s="132"/>
      <c r="J413" s="133">
        <f>ROUND(I413*H413,2)</f>
        <v>0</v>
      </c>
      <c r="K413" s="129" t="s">
        <v>133</v>
      </c>
      <c r="L413" s="32"/>
      <c r="M413" s="134" t="s">
        <v>19</v>
      </c>
      <c r="N413" s="135" t="s">
        <v>42</v>
      </c>
      <c r="P413" s="136">
        <f>O413*H413</f>
        <v>0</v>
      </c>
      <c r="Q413" s="136">
        <v>0</v>
      </c>
      <c r="R413" s="136">
        <f>Q413*H413</f>
        <v>0</v>
      </c>
      <c r="S413" s="136">
        <v>0</v>
      </c>
      <c r="T413" s="137">
        <f>S413*H413</f>
        <v>0</v>
      </c>
      <c r="AR413" s="138" t="s">
        <v>134</v>
      </c>
      <c r="AT413" s="138" t="s">
        <v>129</v>
      </c>
      <c r="AU413" s="138" t="s">
        <v>81</v>
      </c>
      <c r="AY413" s="17" t="s">
        <v>127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7" t="s">
        <v>79</v>
      </c>
      <c r="BK413" s="139">
        <f>ROUND(I413*H413,2)</f>
        <v>0</v>
      </c>
      <c r="BL413" s="17" t="s">
        <v>134</v>
      </c>
      <c r="BM413" s="138" t="s">
        <v>1064</v>
      </c>
    </row>
    <row r="414" spans="2:65" s="1" customFormat="1">
      <c r="B414" s="32"/>
      <c r="D414" s="140" t="s">
        <v>136</v>
      </c>
      <c r="F414" s="141" t="s">
        <v>395</v>
      </c>
      <c r="I414" s="142"/>
      <c r="L414" s="32"/>
      <c r="M414" s="143"/>
      <c r="T414" s="51"/>
      <c r="AT414" s="17" t="s">
        <v>136</v>
      </c>
      <c r="AU414" s="17" t="s">
        <v>81</v>
      </c>
    </row>
    <row r="415" spans="2:65" s="11" customFormat="1" ht="22.9" customHeight="1">
      <c r="B415" s="115"/>
      <c r="D415" s="116" t="s">
        <v>70</v>
      </c>
      <c r="E415" s="125" t="s">
        <v>1065</v>
      </c>
      <c r="F415" s="125" t="s">
        <v>1066</v>
      </c>
      <c r="I415" s="118"/>
      <c r="J415" s="126">
        <f>BK415</f>
        <v>0</v>
      </c>
      <c r="L415" s="115"/>
      <c r="M415" s="120"/>
      <c r="P415" s="121">
        <f>SUM(P416:P417)</f>
        <v>0</v>
      </c>
      <c r="R415" s="121">
        <f>SUM(R416:R417)</f>
        <v>0</v>
      </c>
      <c r="T415" s="122">
        <f>SUM(T416:T417)</f>
        <v>0</v>
      </c>
      <c r="AR415" s="116" t="s">
        <v>79</v>
      </c>
      <c r="AT415" s="123" t="s">
        <v>70</v>
      </c>
      <c r="AU415" s="123" t="s">
        <v>79</v>
      </c>
      <c r="AY415" s="116" t="s">
        <v>127</v>
      </c>
      <c r="BK415" s="124">
        <f>SUM(BK416:BK417)</f>
        <v>0</v>
      </c>
    </row>
    <row r="416" spans="2:65" s="1" customFormat="1" ht="33" customHeight="1">
      <c r="B416" s="32"/>
      <c r="C416" s="127" t="s">
        <v>1067</v>
      </c>
      <c r="D416" s="127" t="s">
        <v>129</v>
      </c>
      <c r="E416" s="128" t="s">
        <v>1068</v>
      </c>
      <c r="F416" s="129" t="s">
        <v>1069</v>
      </c>
      <c r="G416" s="130" t="s">
        <v>173</v>
      </c>
      <c r="H416" s="131">
        <v>179.60499999999999</v>
      </c>
      <c r="I416" s="132"/>
      <c r="J416" s="133">
        <f>ROUND(I416*H416,2)</f>
        <v>0</v>
      </c>
      <c r="K416" s="129" t="s">
        <v>133</v>
      </c>
      <c r="L416" s="32"/>
      <c r="M416" s="134" t="s">
        <v>19</v>
      </c>
      <c r="N416" s="135" t="s">
        <v>42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134</v>
      </c>
      <c r="AT416" s="138" t="s">
        <v>129</v>
      </c>
      <c r="AU416" s="138" t="s">
        <v>81</v>
      </c>
      <c r="AY416" s="17" t="s">
        <v>127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79</v>
      </c>
      <c r="BK416" s="139">
        <f>ROUND(I416*H416,2)</f>
        <v>0</v>
      </c>
      <c r="BL416" s="17" t="s">
        <v>134</v>
      </c>
      <c r="BM416" s="138" t="s">
        <v>1070</v>
      </c>
    </row>
    <row r="417" spans="2:65" s="1" customFormat="1">
      <c r="B417" s="32"/>
      <c r="D417" s="140" t="s">
        <v>136</v>
      </c>
      <c r="F417" s="141" t="s">
        <v>1071</v>
      </c>
      <c r="I417" s="142"/>
      <c r="L417" s="32"/>
      <c r="M417" s="143"/>
      <c r="T417" s="51"/>
      <c r="AT417" s="17" t="s">
        <v>136</v>
      </c>
      <c r="AU417" s="17" t="s">
        <v>81</v>
      </c>
    </row>
    <row r="418" spans="2:65" s="11" customFormat="1" ht="25.9" customHeight="1">
      <c r="B418" s="115"/>
      <c r="D418" s="116" t="s">
        <v>70</v>
      </c>
      <c r="E418" s="117" t="s">
        <v>396</v>
      </c>
      <c r="F418" s="117" t="s">
        <v>397</v>
      </c>
      <c r="I418" s="118"/>
      <c r="J418" s="119">
        <f>BK418</f>
        <v>0</v>
      </c>
      <c r="L418" s="115"/>
      <c r="M418" s="120"/>
      <c r="P418" s="121">
        <f>P419+P432+P487+P491+P494+P499+P503+P615+P687+P750+P833+P897+P1007+P1104+P1129+P1147+P1185+P1193+P1233+P1285</f>
        <v>0</v>
      </c>
      <c r="R418" s="121">
        <f>R419+R432+R487+R491+R494+R499+R503+R615+R687+R750+R833+R897+R1007+R1104+R1129+R1147+R1185+R1193+R1233+R1285</f>
        <v>264.12711080999998</v>
      </c>
      <c r="T418" s="122">
        <f>T419+T432+T487+T491+T494+T499+T503+T615+T687+T750+T833+T897+T1007+T1104+T1129+T1147+T1185+T1193+T1233+T1285</f>
        <v>0</v>
      </c>
      <c r="AR418" s="116" t="s">
        <v>81</v>
      </c>
      <c r="AT418" s="123" t="s">
        <v>70</v>
      </c>
      <c r="AU418" s="123" t="s">
        <v>71</v>
      </c>
      <c r="AY418" s="116" t="s">
        <v>127</v>
      </c>
      <c r="BK418" s="124">
        <f>BK419+BK432+BK487+BK491+BK494+BK499+BK503+BK615+BK687+BK750+BK833+BK897+BK1007+BK1104+BK1129+BK1147+BK1185+BK1193+BK1233+BK1285</f>
        <v>0</v>
      </c>
    </row>
    <row r="419" spans="2:65" s="11" customFormat="1" ht="22.9" customHeight="1">
      <c r="B419" s="115"/>
      <c r="D419" s="116" t="s">
        <v>70</v>
      </c>
      <c r="E419" s="125" t="s">
        <v>1072</v>
      </c>
      <c r="F419" s="125" t="s">
        <v>1073</v>
      </c>
      <c r="I419" s="118"/>
      <c r="J419" s="126">
        <f>BK419</f>
        <v>0</v>
      </c>
      <c r="L419" s="115"/>
      <c r="M419" s="120"/>
      <c r="P419" s="121">
        <f>SUM(P420:P431)</f>
        <v>0</v>
      </c>
      <c r="R419" s="121">
        <f>SUM(R420:R431)</f>
        <v>0.11074440000000001</v>
      </c>
      <c r="T419" s="122">
        <f>SUM(T420:T431)</f>
        <v>0</v>
      </c>
      <c r="AR419" s="116" t="s">
        <v>81</v>
      </c>
      <c r="AT419" s="123" t="s">
        <v>70</v>
      </c>
      <c r="AU419" s="123" t="s">
        <v>79</v>
      </c>
      <c r="AY419" s="116" t="s">
        <v>127</v>
      </c>
      <c r="BK419" s="124">
        <f>SUM(BK420:BK431)</f>
        <v>0</v>
      </c>
    </row>
    <row r="420" spans="2:65" s="1" customFormat="1" ht="24.2" customHeight="1">
      <c r="B420" s="32"/>
      <c r="C420" s="127" t="s">
        <v>1074</v>
      </c>
      <c r="D420" s="127" t="s">
        <v>129</v>
      </c>
      <c r="E420" s="128" t="s">
        <v>1075</v>
      </c>
      <c r="F420" s="129" t="s">
        <v>1076</v>
      </c>
      <c r="G420" s="130" t="s">
        <v>132</v>
      </c>
      <c r="H420" s="131">
        <v>15.648</v>
      </c>
      <c r="I420" s="132"/>
      <c r="J420" s="133">
        <f>ROUND(I420*H420,2)</f>
        <v>0</v>
      </c>
      <c r="K420" s="129" t="s">
        <v>133</v>
      </c>
      <c r="L420" s="32"/>
      <c r="M420" s="134" t="s">
        <v>19</v>
      </c>
      <c r="N420" s="135" t="s">
        <v>42</v>
      </c>
      <c r="P420" s="136">
        <f>O420*H420</f>
        <v>0</v>
      </c>
      <c r="Q420" s="136">
        <v>0</v>
      </c>
      <c r="R420" s="136">
        <f>Q420*H420</f>
        <v>0</v>
      </c>
      <c r="S420" s="136">
        <v>0</v>
      </c>
      <c r="T420" s="137">
        <f>S420*H420</f>
        <v>0</v>
      </c>
      <c r="AR420" s="138" t="s">
        <v>229</v>
      </c>
      <c r="AT420" s="138" t="s">
        <v>129</v>
      </c>
      <c r="AU420" s="138" t="s">
        <v>81</v>
      </c>
      <c r="AY420" s="17" t="s">
        <v>127</v>
      </c>
      <c r="BE420" s="139">
        <f>IF(N420="základní",J420,0)</f>
        <v>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7" t="s">
        <v>79</v>
      </c>
      <c r="BK420" s="139">
        <f>ROUND(I420*H420,2)</f>
        <v>0</v>
      </c>
      <c r="BL420" s="17" t="s">
        <v>229</v>
      </c>
      <c r="BM420" s="138" t="s">
        <v>1077</v>
      </c>
    </row>
    <row r="421" spans="2:65" s="1" customFormat="1">
      <c r="B421" s="32"/>
      <c r="D421" s="140" t="s">
        <v>136</v>
      </c>
      <c r="F421" s="141" t="s">
        <v>1078</v>
      </c>
      <c r="I421" s="142"/>
      <c r="L421" s="32"/>
      <c r="M421" s="143"/>
      <c r="T421" s="51"/>
      <c r="AT421" s="17" t="s">
        <v>136</v>
      </c>
      <c r="AU421" s="17" t="s">
        <v>81</v>
      </c>
    </row>
    <row r="422" spans="2:65" s="12" customFormat="1">
      <c r="B422" s="144"/>
      <c r="D422" s="145" t="s">
        <v>138</v>
      </c>
      <c r="E422" s="146" t="s">
        <v>19</v>
      </c>
      <c r="F422" s="147" t="s">
        <v>653</v>
      </c>
      <c r="H422" s="148">
        <v>15.648</v>
      </c>
      <c r="I422" s="149"/>
      <c r="L422" s="144"/>
      <c r="M422" s="150"/>
      <c r="T422" s="151"/>
      <c r="AT422" s="146" t="s">
        <v>138</v>
      </c>
      <c r="AU422" s="146" t="s">
        <v>81</v>
      </c>
      <c r="AV422" s="12" t="s">
        <v>81</v>
      </c>
      <c r="AW422" s="12" t="s">
        <v>33</v>
      </c>
      <c r="AX422" s="12" t="s">
        <v>79</v>
      </c>
      <c r="AY422" s="146" t="s">
        <v>127</v>
      </c>
    </row>
    <row r="423" spans="2:65" s="1" customFormat="1" ht="16.5" customHeight="1">
      <c r="B423" s="32"/>
      <c r="C423" s="159" t="s">
        <v>1079</v>
      </c>
      <c r="D423" s="159" t="s">
        <v>413</v>
      </c>
      <c r="E423" s="160" t="s">
        <v>1080</v>
      </c>
      <c r="F423" s="161" t="s">
        <v>1081</v>
      </c>
      <c r="G423" s="162" t="s">
        <v>173</v>
      </c>
      <c r="H423" s="163">
        <v>6.0000000000000001E-3</v>
      </c>
      <c r="I423" s="164"/>
      <c r="J423" s="165">
        <f>ROUND(I423*H423,2)</f>
        <v>0</v>
      </c>
      <c r="K423" s="161" t="s">
        <v>133</v>
      </c>
      <c r="L423" s="166"/>
      <c r="M423" s="167" t="s">
        <v>19</v>
      </c>
      <c r="N423" s="168" t="s">
        <v>42</v>
      </c>
      <c r="P423" s="136">
        <f>O423*H423</f>
        <v>0</v>
      </c>
      <c r="Q423" s="136">
        <v>1</v>
      </c>
      <c r="R423" s="136">
        <f>Q423*H423</f>
        <v>6.0000000000000001E-3</v>
      </c>
      <c r="S423" s="136">
        <v>0</v>
      </c>
      <c r="T423" s="137">
        <f>S423*H423</f>
        <v>0</v>
      </c>
      <c r="AR423" s="138" t="s">
        <v>333</v>
      </c>
      <c r="AT423" s="138" t="s">
        <v>413</v>
      </c>
      <c r="AU423" s="138" t="s">
        <v>81</v>
      </c>
      <c r="AY423" s="17" t="s">
        <v>127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79</v>
      </c>
      <c r="BK423" s="139">
        <f>ROUND(I423*H423,2)</f>
        <v>0</v>
      </c>
      <c r="BL423" s="17" t="s">
        <v>229</v>
      </c>
      <c r="BM423" s="138" t="s">
        <v>1082</v>
      </c>
    </row>
    <row r="424" spans="2:65" s="12" customFormat="1">
      <c r="B424" s="144"/>
      <c r="D424" s="145" t="s">
        <v>138</v>
      </c>
      <c r="F424" s="147" t="s">
        <v>1083</v>
      </c>
      <c r="H424" s="148">
        <v>6.0000000000000001E-3</v>
      </c>
      <c r="I424" s="149"/>
      <c r="L424" s="144"/>
      <c r="M424" s="150"/>
      <c r="T424" s="151"/>
      <c r="AT424" s="146" t="s">
        <v>138</v>
      </c>
      <c r="AU424" s="146" t="s">
        <v>81</v>
      </c>
      <c r="AV424" s="12" t="s">
        <v>81</v>
      </c>
      <c r="AW424" s="12" t="s">
        <v>4</v>
      </c>
      <c r="AX424" s="12" t="s">
        <v>79</v>
      </c>
      <c r="AY424" s="146" t="s">
        <v>127</v>
      </c>
    </row>
    <row r="425" spans="2:65" s="1" customFormat="1" ht="16.5" customHeight="1">
      <c r="B425" s="32"/>
      <c r="C425" s="127" t="s">
        <v>1084</v>
      </c>
      <c r="D425" s="127" t="s">
        <v>129</v>
      </c>
      <c r="E425" s="128" t="s">
        <v>1085</v>
      </c>
      <c r="F425" s="129" t="s">
        <v>1086</v>
      </c>
      <c r="G425" s="130" t="s">
        <v>132</v>
      </c>
      <c r="H425" s="131">
        <v>15.648</v>
      </c>
      <c r="I425" s="132"/>
      <c r="J425" s="133">
        <f>ROUND(I425*H425,2)</f>
        <v>0</v>
      </c>
      <c r="K425" s="129" t="s">
        <v>133</v>
      </c>
      <c r="L425" s="32"/>
      <c r="M425" s="134" t="s">
        <v>19</v>
      </c>
      <c r="N425" s="135" t="s">
        <v>42</v>
      </c>
      <c r="P425" s="136">
        <f>O425*H425</f>
        <v>0</v>
      </c>
      <c r="Q425" s="136">
        <v>4.0000000000000002E-4</v>
      </c>
      <c r="R425" s="136">
        <f>Q425*H425</f>
        <v>6.2592000000000004E-3</v>
      </c>
      <c r="S425" s="136">
        <v>0</v>
      </c>
      <c r="T425" s="137">
        <f>S425*H425</f>
        <v>0</v>
      </c>
      <c r="AR425" s="138" t="s">
        <v>229</v>
      </c>
      <c r="AT425" s="138" t="s">
        <v>129</v>
      </c>
      <c r="AU425" s="138" t="s">
        <v>81</v>
      </c>
      <c r="AY425" s="17" t="s">
        <v>127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79</v>
      </c>
      <c r="BK425" s="139">
        <f>ROUND(I425*H425,2)</f>
        <v>0</v>
      </c>
      <c r="BL425" s="17" t="s">
        <v>229</v>
      </c>
      <c r="BM425" s="138" t="s">
        <v>1087</v>
      </c>
    </row>
    <row r="426" spans="2:65" s="1" customFormat="1">
      <c r="B426" s="32"/>
      <c r="D426" s="140" t="s">
        <v>136</v>
      </c>
      <c r="F426" s="141" t="s">
        <v>1088</v>
      </c>
      <c r="I426" s="142"/>
      <c r="L426" s="32"/>
      <c r="M426" s="143"/>
      <c r="T426" s="51"/>
      <c r="AT426" s="17" t="s">
        <v>136</v>
      </c>
      <c r="AU426" s="17" t="s">
        <v>81</v>
      </c>
    </row>
    <row r="427" spans="2:65" s="12" customFormat="1">
      <c r="B427" s="144"/>
      <c r="D427" s="145" t="s">
        <v>138</v>
      </c>
      <c r="E427" s="146" t="s">
        <v>19</v>
      </c>
      <c r="F427" s="147" t="s">
        <v>653</v>
      </c>
      <c r="H427" s="148">
        <v>15.648</v>
      </c>
      <c r="I427" s="149"/>
      <c r="L427" s="144"/>
      <c r="M427" s="150"/>
      <c r="T427" s="151"/>
      <c r="AT427" s="146" t="s">
        <v>138</v>
      </c>
      <c r="AU427" s="146" t="s">
        <v>81</v>
      </c>
      <c r="AV427" s="12" t="s">
        <v>81</v>
      </c>
      <c r="AW427" s="12" t="s">
        <v>33</v>
      </c>
      <c r="AX427" s="12" t="s">
        <v>79</v>
      </c>
      <c r="AY427" s="146" t="s">
        <v>127</v>
      </c>
    </row>
    <row r="428" spans="2:65" s="1" customFormat="1" ht="24.2" customHeight="1">
      <c r="B428" s="32"/>
      <c r="C428" s="159" t="s">
        <v>1089</v>
      </c>
      <c r="D428" s="159" t="s">
        <v>413</v>
      </c>
      <c r="E428" s="160" t="s">
        <v>1090</v>
      </c>
      <c r="F428" s="161" t="s">
        <v>1091</v>
      </c>
      <c r="G428" s="162" t="s">
        <v>132</v>
      </c>
      <c r="H428" s="163">
        <v>18.238</v>
      </c>
      <c r="I428" s="164"/>
      <c r="J428" s="165">
        <f>ROUND(I428*H428,2)</f>
        <v>0</v>
      </c>
      <c r="K428" s="161" t="s">
        <v>133</v>
      </c>
      <c r="L428" s="166"/>
      <c r="M428" s="167" t="s">
        <v>19</v>
      </c>
      <c r="N428" s="168" t="s">
        <v>42</v>
      </c>
      <c r="P428" s="136">
        <f>O428*H428</f>
        <v>0</v>
      </c>
      <c r="Q428" s="136">
        <v>5.4000000000000003E-3</v>
      </c>
      <c r="R428" s="136">
        <f>Q428*H428</f>
        <v>9.8485200000000009E-2</v>
      </c>
      <c r="S428" s="136">
        <v>0</v>
      </c>
      <c r="T428" s="137">
        <f>S428*H428</f>
        <v>0</v>
      </c>
      <c r="AR428" s="138" t="s">
        <v>333</v>
      </c>
      <c r="AT428" s="138" t="s">
        <v>413</v>
      </c>
      <c r="AU428" s="138" t="s">
        <v>81</v>
      </c>
      <c r="AY428" s="17" t="s">
        <v>127</v>
      </c>
      <c r="BE428" s="139">
        <f>IF(N428="základní",J428,0)</f>
        <v>0</v>
      </c>
      <c r="BF428" s="139">
        <f>IF(N428="snížená",J428,0)</f>
        <v>0</v>
      </c>
      <c r="BG428" s="139">
        <f>IF(N428="zákl. přenesená",J428,0)</f>
        <v>0</v>
      </c>
      <c r="BH428" s="139">
        <f>IF(N428="sníž. přenesená",J428,0)</f>
        <v>0</v>
      </c>
      <c r="BI428" s="139">
        <f>IF(N428="nulová",J428,0)</f>
        <v>0</v>
      </c>
      <c r="BJ428" s="17" t="s">
        <v>79</v>
      </c>
      <c r="BK428" s="139">
        <f>ROUND(I428*H428,2)</f>
        <v>0</v>
      </c>
      <c r="BL428" s="17" t="s">
        <v>229</v>
      </c>
      <c r="BM428" s="138" t="s">
        <v>1092</v>
      </c>
    </row>
    <row r="429" spans="2:65" s="12" customFormat="1">
      <c r="B429" s="144"/>
      <c r="D429" s="145" t="s">
        <v>138</v>
      </c>
      <c r="F429" s="147" t="s">
        <v>1093</v>
      </c>
      <c r="H429" s="148">
        <v>18.238</v>
      </c>
      <c r="I429" s="149"/>
      <c r="L429" s="144"/>
      <c r="M429" s="150"/>
      <c r="T429" s="151"/>
      <c r="AT429" s="146" t="s">
        <v>138</v>
      </c>
      <c r="AU429" s="146" t="s">
        <v>81</v>
      </c>
      <c r="AV429" s="12" t="s">
        <v>81</v>
      </c>
      <c r="AW429" s="12" t="s">
        <v>4</v>
      </c>
      <c r="AX429" s="12" t="s">
        <v>79</v>
      </c>
      <c r="AY429" s="146" t="s">
        <v>127</v>
      </c>
    </row>
    <row r="430" spans="2:65" s="1" customFormat="1" ht="24.2" customHeight="1">
      <c r="B430" s="32"/>
      <c r="C430" s="127" t="s">
        <v>1094</v>
      </c>
      <c r="D430" s="127" t="s">
        <v>129</v>
      </c>
      <c r="E430" s="128" t="s">
        <v>1095</v>
      </c>
      <c r="F430" s="129" t="s">
        <v>1096</v>
      </c>
      <c r="G430" s="130" t="s">
        <v>425</v>
      </c>
      <c r="H430" s="169"/>
      <c r="I430" s="132"/>
      <c r="J430" s="133">
        <f>ROUND(I430*H430,2)</f>
        <v>0</v>
      </c>
      <c r="K430" s="129" t="s">
        <v>133</v>
      </c>
      <c r="L430" s="32"/>
      <c r="M430" s="134" t="s">
        <v>19</v>
      </c>
      <c r="N430" s="135" t="s">
        <v>42</v>
      </c>
      <c r="P430" s="136">
        <f>O430*H430</f>
        <v>0</v>
      </c>
      <c r="Q430" s="136">
        <v>0</v>
      </c>
      <c r="R430" s="136">
        <f>Q430*H430</f>
        <v>0</v>
      </c>
      <c r="S430" s="136">
        <v>0</v>
      </c>
      <c r="T430" s="137">
        <f>S430*H430</f>
        <v>0</v>
      </c>
      <c r="AR430" s="138" t="s">
        <v>229</v>
      </c>
      <c r="AT430" s="138" t="s">
        <v>129</v>
      </c>
      <c r="AU430" s="138" t="s">
        <v>81</v>
      </c>
      <c r="AY430" s="17" t="s">
        <v>127</v>
      </c>
      <c r="BE430" s="139">
        <f>IF(N430="základní",J430,0)</f>
        <v>0</v>
      </c>
      <c r="BF430" s="139">
        <f>IF(N430="snížená",J430,0)</f>
        <v>0</v>
      </c>
      <c r="BG430" s="139">
        <f>IF(N430="zákl. přenesená",J430,0)</f>
        <v>0</v>
      </c>
      <c r="BH430" s="139">
        <f>IF(N430="sníž. přenesená",J430,0)</f>
        <v>0</v>
      </c>
      <c r="BI430" s="139">
        <f>IF(N430="nulová",J430,0)</f>
        <v>0</v>
      </c>
      <c r="BJ430" s="17" t="s">
        <v>79</v>
      </c>
      <c r="BK430" s="139">
        <f>ROUND(I430*H430,2)</f>
        <v>0</v>
      </c>
      <c r="BL430" s="17" t="s">
        <v>229</v>
      </c>
      <c r="BM430" s="138" t="s">
        <v>1097</v>
      </c>
    </row>
    <row r="431" spans="2:65" s="1" customFormat="1">
      <c r="B431" s="32"/>
      <c r="D431" s="140" t="s">
        <v>136</v>
      </c>
      <c r="F431" s="141" t="s">
        <v>1098</v>
      </c>
      <c r="I431" s="142"/>
      <c r="L431" s="32"/>
      <c r="M431" s="143"/>
      <c r="T431" s="51"/>
      <c r="AT431" s="17" t="s">
        <v>136</v>
      </c>
      <c r="AU431" s="17" t="s">
        <v>81</v>
      </c>
    </row>
    <row r="432" spans="2:65" s="11" customFormat="1" ht="22.9" customHeight="1">
      <c r="B432" s="115"/>
      <c r="D432" s="116" t="s">
        <v>70</v>
      </c>
      <c r="E432" s="125" t="s">
        <v>1099</v>
      </c>
      <c r="F432" s="125" t="s">
        <v>1100</v>
      </c>
      <c r="I432" s="118"/>
      <c r="J432" s="126">
        <f>BK432</f>
        <v>0</v>
      </c>
      <c r="L432" s="115"/>
      <c r="M432" s="120"/>
      <c r="P432" s="121">
        <f>SUM(P433:P486)</f>
        <v>0</v>
      </c>
      <c r="R432" s="121">
        <f>SUM(R433:R486)</f>
        <v>18.975638</v>
      </c>
      <c r="T432" s="122">
        <f>SUM(T433:T486)</f>
        <v>0</v>
      </c>
      <c r="AR432" s="116" t="s">
        <v>81</v>
      </c>
      <c r="AT432" s="123" t="s">
        <v>70</v>
      </c>
      <c r="AU432" s="123" t="s">
        <v>79</v>
      </c>
      <c r="AY432" s="116" t="s">
        <v>127</v>
      </c>
      <c r="BK432" s="124">
        <f>SUM(BK433:BK486)</f>
        <v>0</v>
      </c>
    </row>
    <row r="433" spans="2:65" s="1" customFormat="1" ht="24.2" customHeight="1">
      <c r="B433" s="32"/>
      <c r="C433" s="127" t="s">
        <v>1101</v>
      </c>
      <c r="D433" s="127" t="s">
        <v>129</v>
      </c>
      <c r="E433" s="128" t="s">
        <v>1102</v>
      </c>
      <c r="F433" s="129" t="s">
        <v>1103</v>
      </c>
      <c r="G433" s="130" t="s">
        <v>132</v>
      </c>
      <c r="H433" s="131">
        <v>15.648</v>
      </c>
      <c r="I433" s="132"/>
      <c r="J433" s="133">
        <f>ROUND(I433*H433,2)</f>
        <v>0</v>
      </c>
      <c r="K433" s="129" t="s">
        <v>133</v>
      </c>
      <c r="L433" s="32"/>
      <c r="M433" s="134" t="s">
        <v>19</v>
      </c>
      <c r="N433" s="135" t="s">
        <v>42</v>
      </c>
      <c r="P433" s="136">
        <f>O433*H433</f>
        <v>0</v>
      </c>
      <c r="Q433" s="136">
        <v>0</v>
      </c>
      <c r="R433" s="136">
        <f>Q433*H433</f>
        <v>0</v>
      </c>
      <c r="S433" s="136">
        <v>0</v>
      </c>
      <c r="T433" s="137">
        <f>S433*H433</f>
        <v>0</v>
      </c>
      <c r="AR433" s="138" t="s">
        <v>229</v>
      </c>
      <c r="AT433" s="138" t="s">
        <v>129</v>
      </c>
      <c r="AU433" s="138" t="s">
        <v>81</v>
      </c>
      <c r="AY433" s="17" t="s">
        <v>127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79</v>
      </c>
      <c r="BK433" s="139">
        <f>ROUND(I433*H433,2)</f>
        <v>0</v>
      </c>
      <c r="BL433" s="17" t="s">
        <v>229</v>
      </c>
      <c r="BM433" s="138" t="s">
        <v>1104</v>
      </c>
    </row>
    <row r="434" spans="2:65" s="1" customFormat="1">
      <c r="B434" s="32"/>
      <c r="D434" s="140" t="s">
        <v>136</v>
      </c>
      <c r="F434" s="141" t="s">
        <v>1105</v>
      </c>
      <c r="I434" s="142"/>
      <c r="L434" s="32"/>
      <c r="M434" s="143"/>
      <c r="T434" s="51"/>
      <c r="AT434" s="17" t="s">
        <v>136</v>
      </c>
      <c r="AU434" s="17" t="s">
        <v>81</v>
      </c>
    </row>
    <row r="435" spans="2:65" s="12" customFormat="1">
      <c r="B435" s="144"/>
      <c r="D435" s="145" t="s">
        <v>138</v>
      </c>
      <c r="E435" s="146" t="s">
        <v>19</v>
      </c>
      <c r="F435" s="147" t="s">
        <v>653</v>
      </c>
      <c r="H435" s="148">
        <v>15.648</v>
      </c>
      <c r="I435" s="149"/>
      <c r="L435" s="144"/>
      <c r="M435" s="150"/>
      <c r="T435" s="151"/>
      <c r="AT435" s="146" t="s">
        <v>138</v>
      </c>
      <c r="AU435" s="146" t="s">
        <v>81</v>
      </c>
      <c r="AV435" s="12" t="s">
        <v>81</v>
      </c>
      <c r="AW435" s="12" t="s">
        <v>33</v>
      </c>
      <c r="AX435" s="12" t="s">
        <v>79</v>
      </c>
      <c r="AY435" s="146" t="s">
        <v>127</v>
      </c>
    </row>
    <row r="436" spans="2:65" s="1" customFormat="1" ht="16.5" customHeight="1">
      <c r="B436" s="32"/>
      <c r="C436" s="159" t="s">
        <v>1106</v>
      </c>
      <c r="D436" s="159" t="s">
        <v>413</v>
      </c>
      <c r="E436" s="160" t="s">
        <v>1107</v>
      </c>
      <c r="F436" s="161" t="s">
        <v>1108</v>
      </c>
      <c r="G436" s="162" t="s">
        <v>132</v>
      </c>
      <c r="H436" s="163">
        <v>16.43</v>
      </c>
      <c r="I436" s="164"/>
      <c r="J436" s="165">
        <f>ROUND(I436*H436,2)</f>
        <v>0</v>
      </c>
      <c r="K436" s="161" t="s">
        <v>133</v>
      </c>
      <c r="L436" s="166"/>
      <c r="M436" s="167" t="s">
        <v>19</v>
      </c>
      <c r="N436" s="168" t="s">
        <v>42</v>
      </c>
      <c r="P436" s="136">
        <f>O436*H436</f>
        <v>0</v>
      </c>
      <c r="Q436" s="136">
        <v>2.3999999999999998E-3</v>
      </c>
      <c r="R436" s="136">
        <f>Q436*H436</f>
        <v>3.9431999999999995E-2</v>
      </c>
      <c r="S436" s="136">
        <v>0</v>
      </c>
      <c r="T436" s="137">
        <f>S436*H436</f>
        <v>0</v>
      </c>
      <c r="AR436" s="138" t="s">
        <v>333</v>
      </c>
      <c r="AT436" s="138" t="s">
        <v>413</v>
      </c>
      <c r="AU436" s="138" t="s">
        <v>81</v>
      </c>
      <c r="AY436" s="17" t="s">
        <v>127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7" t="s">
        <v>79</v>
      </c>
      <c r="BK436" s="139">
        <f>ROUND(I436*H436,2)</f>
        <v>0</v>
      </c>
      <c r="BL436" s="17" t="s">
        <v>229</v>
      </c>
      <c r="BM436" s="138" t="s">
        <v>1109</v>
      </c>
    </row>
    <row r="437" spans="2:65" s="12" customFormat="1">
      <c r="B437" s="144"/>
      <c r="D437" s="145" t="s">
        <v>138</v>
      </c>
      <c r="F437" s="147" t="s">
        <v>1110</v>
      </c>
      <c r="H437" s="148">
        <v>16.43</v>
      </c>
      <c r="I437" s="149"/>
      <c r="L437" s="144"/>
      <c r="M437" s="150"/>
      <c r="T437" s="151"/>
      <c r="AT437" s="146" t="s">
        <v>138</v>
      </c>
      <c r="AU437" s="146" t="s">
        <v>81</v>
      </c>
      <c r="AV437" s="12" t="s">
        <v>81</v>
      </c>
      <c r="AW437" s="12" t="s">
        <v>4</v>
      </c>
      <c r="AX437" s="12" t="s">
        <v>79</v>
      </c>
      <c r="AY437" s="146" t="s">
        <v>127</v>
      </c>
    </row>
    <row r="438" spans="2:65" s="1" customFormat="1" ht="24.2" customHeight="1">
      <c r="B438" s="32"/>
      <c r="C438" s="127" t="s">
        <v>1111</v>
      </c>
      <c r="D438" s="127" t="s">
        <v>129</v>
      </c>
      <c r="E438" s="128" t="s">
        <v>1112</v>
      </c>
      <c r="F438" s="129" t="s">
        <v>1113</v>
      </c>
      <c r="G438" s="130" t="s">
        <v>132</v>
      </c>
      <c r="H438" s="131">
        <v>543.4</v>
      </c>
      <c r="I438" s="132"/>
      <c r="J438" s="133">
        <f>ROUND(I438*H438,2)</f>
        <v>0</v>
      </c>
      <c r="K438" s="129" t="s">
        <v>133</v>
      </c>
      <c r="L438" s="32"/>
      <c r="M438" s="134" t="s">
        <v>19</v>
      </c>
      <c r="N438" s="135" t="s">
        <v>42</v>
      </c>
      <c r="P438" s="136">
        <f>O438*H438</f>
        <v>0</v>
      </c>
      <c r="Q438" s="136">
        <v>0</v>
      </c>
      <c r="R438" s="136">
        <f>Q438*H438</f>
        <v>0</v>
      </c>
      <c r="S438" s="136">
        <v>0</v>
      </c>
      <c r="T438" s="137">
        <f>S438*H438</f>
        <v>0</v>
      </c>
      <c r="AR438" s="138" t="s">
        <v>229</v>
      </c>
      <c r="AT438" s="138" t="s">
        <v>129</v>
      </c>
      <c r="AU438" s="138" t="s">
        <v>81</v>
      </c>
      <c r="AY438" s="17" t="s">
        <v>127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7" t="s">
        <v>79</v>
      </c>
      <c r="BK438" s="139">
        <f>ROUND(I438*H438,2)</f>
        <v>0</v>
      </c>
      <c r="BL438" s="17" t="s">
        <v>229</v>
      </c>
      <c r="BM438" s="138" t="s">
        <v>1114</v>
      </c>
    </row>
    <row r="439" spans="2:65" s="1" customFormat="1">
      <c r="B439" s="32"/>
      <c r="D439" s="140" t="s">
        <v>136</v>
      </c>
      <c r="F439" s="141" t="s">
        <v>1115</v>
      </c>
      <c r="I439" s="142"/>
      <c r="L439" s="32"/>
      <c r="M439" s="143"/>
      <c r="T439" s="51"/>
      <c r="AT439" s="17" t="s">
        <v>136</v>
      </c>
      <c r="AU439" s="17" t="s">
        <v>81</v>
      </c>
    </row>
    <row r="440" spans="2:65" s="12" customFormat="1">
      <c r="B440" s="144"/>
      <c r="D440" s="145" t="s">
        <v>138</v>
      </c>
      <c r="E440" s="146" t="s">
        <v>19</v>
      </c>
      <c r="F440" s="147" t="s">
        <v>1116</v>
      </c>
      <c r="H440" s="148">
        <v>543.4</v>
      </c>
      <c r="I440" s="149"/>
      <c r="L440" s="144"/>
      <c r="M440" s="150"/>
      <c r="T440" s="151"/>
      <c r="AT440" s="146" t="s">
        <v>138</v>
      </c>
      <c r="AU440" s="146" t="s">
        <v>81</v>
      </c>
      <c r="AV440" s="12" t="s">
        <v>81</v>
      </c>
      <c r="AW440" s="12" t="s">
        <v>33</v>
      </c>
      <c r="AX440" s="12" t="s">
        <v>79</v>
      </c>
      <c r="AY440" s="146" t="s">
        <v>127</v>
      </c>
    </row>
    <row r="441" spans="2:65" s="1" customFormat="1" ht="16.5" customHeight="1">
      <c r="B441" s="32"/>
      <c r="C441" s="159" t="s">
        <v>1117</v>
      </c>
      <c r="D441" s="159" t="s">
        <v>413</v>
      </c>
      <c r="E441" s="160" t="s">
        <v>1118</v>
      </c>
      <c r="F441" s="161" t="s">
        <v>1119</v>
      </c>
      <c r="G441" s="162" t="s">
        <v>132</v>
      </c>
      <c r="H441" s="163">
        <v>597.74</v>
      </c>
      <c r="I441" s="164"/>
      <c r="J441" s="165">
        <f>ROUND(I441*H441,2)</f>
        <v>0</v>
      </c>
      <c r="K441" s="161" t="s">
        <v>133</v>
      </c>
      <c r="L441" s="166"/>
      <c r="M441" s="167" t="s">
        <v>19</v>
      </c>
      <c r="N441" s="168" t="s">
        <v>42</v>
      </c>
      <c r="P441" s="136">
        <f>O441*H441</f>
        <v>0</v>
      </c>
      <c r="Q441" s="136">
        <v>1.1999999999999999E-3</v>
      </c>
      <c r="R441" s="136">
        <f>Q441*H441</f>
        <v>0.71728799999999993</v>
      </c>
      <c r="S441" s="136">
        <v>0</v>
      </c>
      <c r="T441" s="137">
        <f>S441*H441</f>
        <v>0</v>
      </c>
      <c r="AR441" s="138" t="s">
        <v>333</v>
      </c>
      <c r="AT441" s="138" t="s">
        <v>413</v>
      </c>
      <c r="AU441" s="138" t="s">
        <v>81</v>
      </c>
      <c r="AY441" s="17" t="s">
        <v>127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79</v>
      </c>
      <c r="BK441" s="139">
        <f>ROUND(I441*H441,2)</f>
        <v>0</v>
      </c>
      <c r="BL441" s="17" t="s">
        <v>229</v>
      </c>
      <c r="BM441" s="138" t="s">
        <v>1120</v>
      </c>
    </row>
    <row r="442" spans="2:65" s="12" customFormat="1">
      <c r="B442" s="144"/>
      <c r="D442" s="145" t="s">
        <v>138</v>
      </c>
      <c r="F442" s="147" t="s">
        <v>1121</v>
      </c>
      <c r="H442" s="148">
        <v>597.74</v>
      </c>
      <c r="I442" s="149"/>
      <c r="L442" s="144"/>
      <c r="M442" s="150"/>
      <c r="T442" s="151"/>
      <c r="AT442" s="146" t="s">
        <v>138</v>
      </c>
      <c r="AU442" s="146" t="s">
        <v>81</v>
      </c>
      <c r="AV442" s="12" t="s">
        <v>81</v>
      </c>
      <c r="AW442" s="12" t="s">
        <v>4</v>
      </c>
      <c r="AX442" s="12" t="s">
        <v>79</v>
      </c>
      <c r="AY442" s="146" t="s">
        <v>127</v>
      </c>
    </row>
    <row r="443" spans="2:65" s="1" customFormat="1" ht="16.5" customHeight="1">
      <c r="B443" s="32"/>
      <c r="C443" s="159" t="s">
        <v>1122</v>
      </c>
      <c r="D443" s="159" t="s">
        <v>413</v>
      </c>
      <c r="E443" s="160" t="s">
        <v>1123</v>
      </c>
      <c r="F443" s="161" t="s">
        <v>1124</v>
      </c>
      <c r="G443" s="162" t="s">
        <v>132</v>
      </c>
      <c r="H443" s="163">
        <v>597.74</v>
      </c>
      <c r="I443" s="164"/>
      <c r="J443" s="165">
        <f>ROUND(I443*H443,2)</f>
        <v>0</v>
      </c>
      <c r="K443" s="161" t="s">
        <v>133</v>
      </c>
      <c r="L443" s="166"/>
      <c r="M443" s="167" t="s">
        <v>19</v>
      </c>
      <c r="N443" s="168" t="s">
        <v>42</v>
      </c>
      <c r="P443" s="136">
        <f>O443*H443</f>
        <v>0</v>
      </c>
      <c r="Q443" s="136">
        <v>5.1999999999999995E-4</v>
      </c>
      <c r="R443" s="136">
        <f>Q443*H443</f>
        <v>0.31082479999999996</v>
      </c>
      <c r="S443" s="136">
        <v>0</v>
      </c>
      <c r="T443" s="137">
        <f>S443*H443</f>
        <v>0</v>
      </c>
      <c r="AR443" s="138" t="s">
        <v>333</v>
      </c>
      <c r="AT443" s="138" t="s">
        <v>413</v>
      </c>
      <c r="AU443" s="138" t="s">
        <v>81</v>
      </c>
      <c r="AY443" s="17" t="s">
        <v>127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79</v>
      </c>
      <c r="BK443" s="139">
        <f>ROUND(I443*H443,2)</f>
        <v>0</v>
      </c>
      <c r="BL443" s="17" t="s">
        <v>229</v>
      </c>
      <c r="BM443" s="138" t="s">
        <v>1125</v>
      </c>
    </row>
    <row r="444" spans="2:65" s="12" customFormat="1">
      <c r="B444" s="144"/>
      <c r="D444" s="145" t="s">
        <v>138</v>
      </c>
      <c r="F444" s="147" t="s">
        <v>1121</v>
      </c>
      <c r="H444" s="148">
        <v>597.74</v>
      </c>
      <c r="I444" s="149"/>
      <c r="L444" s="144"/>
      <c r="M444" s="150"/>
      <c r="T444" s="151"/>
      <c r="AT444" s="146" t="s">
        <v>138</v>
      </c>
      <c r="AU444" s="146" t="s">
        <v>81</v>
      </c>
      <c r="AV444" s="12" t="s">
        <v>81</v>
      </c>
      <c r="AW444" s="12" t="s">
        <v>4</v>
      </c>
      <c r="AX444" s="12" t="s">
        <v>79</v>
      </c>
      <c r="AY444" s="146" t="s">
        <v>127</v>
      </c>
    </row>
    <row r="445" spans="2:65" s="1" customFormat="1" ht="24.2" customHeight="1">
      <c r="B445" s="32"/>
      <c r="C445" s="127" t="s">
        <v>1126</v>
      </c>
      <c r="D445" s="127" t="s">
        <v>129</v>
      </c>
      <c r="E445" s="128" t="s">
        <v>1127</v>
      </c>
      <c r="F445" s="129" t="s">
        <v>1128</v>
      </c>
      <c r="G445" s="130" t="s">
        <v>132</v>
      </c>
      <c r="H445" s="131">
        <v>543.4</v>
      </c>
      <c r="I445" s="132"/>
      <c r="J445" s="133">
        <f>ROUND(I445*H445,2)</f>
        <v>0</v>
      </c>
      <c r="K445" s="129" t="s">
        <v>133</v>
      </c>
      <c r="L445" s="32"/>
      <c r="M445" s="134" t="s">
        <v>19</v>
      </c>
      <c r="N445" s="135" t="s">
        <v>42</v>
      </c>
      <c r="P445" s="136">
        <f>O445*H445</f>
        <v>0</v>
      </c>
      <c r="Q445" s="136">
        <v>0</v>
      </c>
      <c r="R445" s="136">
        <f>Q445*H445</f>
        <v>0</v>
      </c>
      <c r="S445" s="136">
        <v>0</v>
      </c>
      <c r="T445" s="137">
        <f>S445*H445</f>
        <v>0</v>
      </c>
      <c r="AR445" s="138" t="s">
        <v>229</v>
      </c>
      <c r="AT445" s="138" t="s">
        <v>129</v>
      </c>
      <c r="AU445" s="138" t="s">
        <v>81</v>
      </c>
      <c r="AY445" s="17" t="s">
        <v>127</v>
      </c>
      <c r="BE445" s="139">
        <f>IF(N445="základní",J445,0)</f>
        <v>0</v>
      </c>
      <c r="BF445" s="139">
        <f>IF(N445="snížená",J445,0)</f>
        <v>0</v>
      </c>
      <c r="BG445" s="139">
        <f>IF(N445="zákl. přenesená",J445,0)</f>
        <v>0</v>
      </c>
      <c r="BH445" s="139">
        <f>IF(N445="sníž. přenesená",J445,0)</f>
        <v>0</v>
      </c>
      <c r="BI445" s="139">
        <f>IF(N445="nulová",J445,0)</f>
        <v>0</v>
      </c>
      <c r="BJ445" s="17" t="s">
        <v>79</v>
      </c>
      <c r="BK445" s="139">
        <f>ROUND(I445*H445,2)</f>
        <v>0</v>
      </c>
      <c r="BL445" s="17" t="s">
        <v>229</v>
      </c>
      <c r="BM445" s="138" t="s">
        <v>1129</v>
      </c>
    </row>
    <row r="446" spans="2:65" s="1" customFormat="1">
      <c r="B446" s="32"/>
      <c r="D446" s="140" t="s">
        <v>136</v>
      </c>
      <c r="F446" s="141" t="s">
        <v>1130</v>
      </c>
      <c r="I446" s="142"/>
      <c r="L446" s="32"/>
      <c r="M446" s="143"/>
      <c r="T446" s="51"/>
      <c r="AT446" s="17" t="s">
        <v>136</v>
      </c>
      <c r="AU446" s="17" t="s">
        <v>81</v>
      </c>
    </row>
    <row r="447" spans="2:65" s="12" customFormat="1">
      <c r="B447" s="144"/>
      <c r="D447" s="145" t="s">
        <v>138</v>
      </c>
      <c r="E447" s="146" t="s">
        <v>19</v>
      </c>
      <c r="F447" s="147" t="s">
        <v>1116</v>
      </c>
      <c r="H447" s="148">
        <v>543.4</v>
      </c>
      <c r="I447" s="149"/>
      <c r="L447" s="144"/>
      <c r="M447" s="150"/>
      <c r="T447" s="151"/>
      <c r="AT447" s="146" t="s">
        <v>138</v>
      </c>
      <c r="AU447" s="146" t="s">
        <v>81</v>
      </c>
      <c r="AV447" s="12" t="s">
        <v>81</v>
      </c>
      <c r="AW447" s="12" t="s">
        <v>33</v>
      </c>
      <c r="AX447" s="12" t="s">
        <v>79</v>
      </c>
      <c r="AY447" s="146" t="s">
        <v>127</v>
      </c>
    </row>
    <row r="448" spans="2:65" s="1" customFormat="1" ht="16.5" customHeight="1">
      <c r="B448" s="32"/>
      <c r="C448" s="159" t="s">
        <v>1131</v>
      </c>
      <c r="D448" s="159" t="s">
        <v>413</v>
      </c>
      <c r="E448" s="160" t="s">
        <v>1132</v>
      </c>
      <c r="F448" s="161" t="s">
        <v>1133</v>
      </c>
      <c r="G448" s="162" t="s">
        <v>132</v>
      </c>
      <c r="H448" s="163">
        <v>1141.1400000000001</v>
      </c>
      <c r="I448" s="164"/>
      <c r="J448" s="165">
        <f>ROUND(I448*H448,2)</f>
        <v>0</v>
      </c>
      <c r="K448" s="161" t="s">
        <v>133</v>
      </c>
      <c r="L448" s="166"/>
      <c r="M448" s="167" t="s">
        <v>19</v>
      </c>
      <c r="N448" s="168" t="s">
        <v>42</v>
      </c>
      <c r="P448" s="136">
        <f>O448*H448</f>
        <v>0</v>
      </c>
      <c r="Q448" s="136">
        <v>3.0400000000000002E-3</v>
      </c>
      <c r="R448" s="136">
        <f>Q448*H448</f>
        <v>3.4690656000000004</v>
      </c>
      <c r="S448" s="136">
        <v>0</v>
      </c>
      <c r="T448" s="137">
        <f>S448*H448</f>
        <v>0</v>
      </c>
      <c r="AR448" s="138" t="s">
        <v>333</v>
      </c>
      <c r="AT448" s="138" t="s">
        <v>413</v>
      </c>
      <c r="AU448" s="138" t="s">
        <v>81</v>
      </c>
      <c r="AY448" s="17" t="s">
        <v>127</v>
      </c>
      <c r="BE448" s="139">
        <f>IF(N448="základní",J448,0)</f>
        <v>0</v>
      </c>
      <c r="BF448" s="139">
        <f>IF(N448="snížená",J448,0)</f>
        <v>0</v>
      </c>
      <c r="BG448" s="139">
        <f>IF(N448="zákl. přenesená",J448,0)</f>
        <v>0</v>
      </c>
      <c r="BH448" s="139">
        <f>IF(N448="sníž. přenesená",J448,0)</f>
        <v>0</v>
      </c>
      <c r="BI448" s="139">
        <f>IF(N448="nulová",J448,0)</f>
        <v>0</v>
      </c>
      <c r="BJ448" s="17" t="s">
        <v>79</v>
      </c>
      <c r="BK448" s="139">
        <f>ROUND(I448*H448,2)</f>
        <v>0</v>
      </c>
      <c r="BL448" s="17" t="s">
        <v>229</v>
      </c>
      <c r="BM448" s="138" t="s">
        <v>1134</v>
      </c>
    </row>
    <row r="449" spans="2:65" s="12" customFormat="1">
      <c r="B449" s="144"/>
      <c r="D449" s="145" t="s">
        <v>138</v>
      </c>
      <c r="F449" s="147" t="s">
        <v>1135</v>
      </c>
      <c r="H449" s="148">
        <v>1141.1400000000001</v>
      </c>
      <c r="I449" s="149"/>
      <c r="L449" s="144"/>
      <c r="M449" s="150"/>
      <c r="T449" s="151"/>
      <c r="AT449" s="146" t="s">
        <v>138</v>
      </c>
      <c r="AU449" s="146" t="s">
        <v>81</v>
      </c>
      <c r="AV449" s="12" t="s">
        <v>81</v>
      </c>
      <c r="AW449" s="12" t="s">
        <v>4</v>
      </c>
      <c r="AX449" s="12" t="s">
        <v>79</v>
      </c>
      <c r="AY449" s="146" t="s">
        <v>127</v>
      </c>
    </row>
    <row r="450" spans="2:65" s="1" customFormat="1" ht="24.2" customHeight="1">
      <c r="B450" s="32"/>
      <c r="C450" s="127" t="s">
        <v>1136</v>
      </c>
      <c r="D450" s="127" t="s">
        <v>129</v>
      </c>
      <c r="E450" s="128" t="s">
        <v>1137</v>
      </c>
      <c r="F450" s="129" t="s">
        <v>1138</v>
      </c>
      <c r="G450" s="130" t="s">
        <v>132</v>
      </c>
      <c r="H450" s="131">
        <v>4.68</v>
      </c>
      <c r="I450" s="132"/>
      <c r="J450" s="133">
        <f>ROUND(I450*H450,2)</f>
        <v>0</v>
      </c>
      <c r="K450" s="129" t="s">
        <v>133</v>
      </c>
      <c r="L450" s="32"/>
      <c r="M450" s="134" t="s">
        <v>19</v>
      </c>
      <c r="N450" s="135" t="s">
        <v>42</v>
      </c>
      <c r="P450" s="136">
        <f>O450*H450</f>
        <v>0</v>
      </c>
      <c r="Q450" s="136">
        <v>6.0000000000000001E-3</v>
      </c>
      <c r="R450" s="136">
        <f>Q450*H450</f>
        <v>2.8079999999999997E-2</v>
      </c>
      <c r="S450" s="136">
        <v>0</v>
      </c>
      <c r="T450" s="137">
        <f>S450*H450</f>
        <v>0</v>
      </c>
      <c r="AR450" s="138" t="s">
        <v>229</v>
      </c>
      <c r="AT450" s="138" t="s">
        <v>129</v>
      </c>
      <c r="AU450" s="138" t="s">
        <v>81</v>
      </c>
      <c r="AY450" s="17" t="s">
        <v>127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79</v>
      </c>
      <c r="BK450" s="139">
        <f>ROUND(I450*H450,2)</f>
        <v>0</v>
      </c>
      <c r="BL450" s="17" t="s">
        <v>229</v>
      </c>
      <c r="BM450" s="138" t="s">
        <v>1139</v>
      </c>
    </row>
    <row r="451" spans="2:65" s="1" customFormat="1">
      <c r="B451" s="32"/>
      <c r="D451" s="140" t="s">
        <v>136</v>
      </c>
      <c r="F451" s="141" t="s">
        <v>1140</v>
      </c>
      <c r="I451" s="142"/>
      <c r="L451" s="32"/>
      <c r="M451" s="143"/>
      <c r="T451" s="51"/>
      <c r="AT451" s="17" t="s">
        <v>136</v>
      </c>
      <c r="AU451" s="17" t="s">
        <v>81</v>
      </c>
    </row>
    <row r="452" spans="2:65" s="12" customFormat="1">
      <c r="B452" s="144"/>
      <c r="D452" s="145" t="s">
        <v>138</v>
      </c>
      <c r="E452" s="146" t="s">
        <v>19</v>
      </c>
      <c r="F452" s="147" t="s">
        <v>1141</v>
      </c>
      <c r="H452" s="148">
        <v>4.68</v>
      </c>
      <c r="I452" s="149"/>
      <c r="L452" s="144"/>
      <c r="M452" s="150"/>
      <c r="T452" s="151"/>
      <c r="AT452" s="146" t="s">
        <v>138</v>
      </c>
      <c r="AU452" s="146" t="s">
        <v>81</v>
      </c>
      <c r="AV452" s="12" t="s">
        <v>81</v>
      </c>
      <c r="AW452" s="12" t="s">
        <v>33</v>
      </c>
      <c r="AX452" s="12" t="s">
        <v>79</v>
      </c>
      <c r="AY452" s="146" t="s">
        <v>127</v>
      </c>
    </row>
    <row r="453" spans="2:65" s="1" customFormat="1" ht="16.5" customHeight="1">
      <c r="B453" s="32"/>
      <c r="C453" s="159" t="s">
        <v>1142</v>
      </c>
      <c r="D453" s="159" t="s">
        <v>413</v>
      </c>
      <c r="E453" s="160" t="s">
        <v>1143</v>
      </c>
      <c r="F453" s="161" t="s">
        <v>1144</v>
      </c>
      <c r="G453" s="162" t="s">
        <v>132</v>
      </c>
      <c r="H453" s="163">
        <v>5.1479999999999997</v>
      </c>
      <c r="I453" s="164"/>
      <c r="J453" s="165">
        <f>ROUND(I453*H453,2)</f>
        <v>0</v>
      </c>
      <c r="K453" s="161" t="s">
        <v>133</v>
      </c>
      <c r="L453" s="166"/>
      <c r="M453" s="167" t="s">
        <v>19</v>
      </c>
      <c r="N453" s="168" t="s">
        <v>42</v>
      </c>
      <c r="P453" s="136">
        <f>O453*H453</f>
        <v>0</v>
      </c>
      <c r="Q453" s="136">
        <v>1.8E-3</v>
      </c>
      <c r="R453" s="136">
        <f>Q453*H453</f>
        <v>9.2663999999999993E-3</v>
      </c>
      <c r="S453" s="136">
        <v>0</v>
      </c>
      <c r="T453" s="137">
        <f>S453*H453</f>
        <v>0</v>
      </c>
      <c r="AR453" s="138" t="s">
        <v>333</v>
      </c>
      <c r="AT453" s="138" t="s">
        <v>413</v>
      </c>
      <c r="AU453" s="138" t="s">
        <v>81</v>
      </c>
      <c r="AY453" s="17" t="s">
        <v>127</v>
      </c>
      <c r="BE453" s="139">
        <f>IF(N453="základní",J453,0)</f>
        <v>0</v>
      </c>
      <c r="BF453" s="139">
        <f>IF(N453="snížená",J453,0)</f>
        <v>0</v>
      </c>
      <c r="BG453" s="139">
        <f>IF(N453="zákl. přenesená",J453,0)</f>
        <v>0</v>
      </c>
      <c r="BH453" s="139">
        <f>IF(N453="sníž. přenesená",J453,0)</f>
        <v>0</v>
      </c>
      <c r="BI453" s="139">
        <f>IF(N453="nulová",J453,0)</f>
        <v>0</v>
      </c>
      <c r="BJ453" s="17" t="s">
        <v>79</v>
      </c>
      <c r="BK453" s="139">
        <f>ROUND(I453*H453,2)</f>
        <v>0</v>
      </c>
      <c r="BL453" s="17" t="s">
        <v>229</v>
      </c>
      <c r="BM453" s="138" t="s">
        <v>1145</v>
      </c>
    </row>
    <row r="454" spans="2:65" s="12" customFormat="1">
      <c r="B454" s="144"/>
      <c r="D454" s="145" t="s">
        <v>138</v>
      </c>
      <c r="F454" s="147" t="s">
        <v>1146</v>
      </c>
      <c r="H454" s="148">
        <v>5.1479999999999997</v>
      </c>
      <c r="I454" s="149"/>
      <c r="L454" s="144"/>
      <c r="M454" s="150"/>
      <c r="T454" s="151"/>
      <c r="AT454" s="146" t="s">
        <v>138</v>
      </c>
      <c r="AU454" s="146" t="s">
        <v>81</v>
      </c>
      <c r="AV454" s="12" t="s">
        <v>81</v>
      </c>
      <c r="AW454" s="12" t="s">
        <v>4</v>
      </c>
      <c r="AX454" s="12" t="s">
        <v>79</v>
      </c>
      <c r="AY454" s="146" t="s">
        <v>127</v>
      </c>
    </row>
    <row r="455" spans="2:65" s="1" customFormat="1" ht="24.2" customHeight="1">
      <c r="B455" s="32"/>
      <c r="C455" s="127" t="s">
        <v>1147</v>
      </c>
      <c r="D455" s="127" t="s">
        <v>129</v>
      </c>
      <c r="E455" s="128" t="s">
        <v>1148</v>
      </c>
      <c r="F455" s="129" t="s">
        <v>1149</v>
      </c>
      <c r="G455" s="130" t="s">
        <v>132</v>
      </c>
      <c r="H455" s="131">
        <v>2522</v>
      </c>
      <c r="I455" s="132"/>
      <c r="J455" s="133">
        <f>ROUND(I455*H455,2)</f>
        <v>0</v>
      </c>
      <c r="K455" s="129" t="s">
        <v>133</v>
      </c>
      <c r="L455" s="32"/>
      <c r="M455" s="134" t="s">
        <v>19</v>
      </c>
      <c r="N455" s="135" t="s">
        <v>42</v>
      </c>
      <c r="P455" s="136">
        <f>O455*H455</f>
        <v>0</v>
      </c>
      <c r="Q455" s="136">
        <v>0</v>
      </c>
      <c r="R455" s="136">
        <f>Q455*H455</f>
        <v>0</v>
      </c>
      <c r="S455" s="136">
        <v>0</v>
      </c>
      <c r="T455" s="137">
        <f>S455*H455</f>
        <v>0</v>
      </c>
      <c r="AR455" s="138" t="s">
        <v>229</v>
      </c>
      <c r="AT455" s="138" t="s">
        <v>129</v>
      </c>
      <c r="AU455" s="138" t="s">
        <v>81</v>
      </c>
      <c r="AY455" s="17" t="s">
        <v>127</v>
      </c>
      <c r="BE455" s="139">
        <f>IF(N455="základní",J455,0)</f>
        <v>0</v>
      </c>
      <c r="BF455" s="139">
        <f>IF(N455="snížená",J455,0)</f>
        <v>0</v>
      </c>
      <c r="BG455" s="139">
        <f>IF(N455="zákl. přenesená",J455,0)</f>
        <v>0</v>
      </c>
      <c r="BH455" s="139">
        <f>IF(N455="sníž. přenesená",J455,0)</f>
        <v>0</v>
      </c>
      <c r="BI455" s="139">
        <f>IF(N455="nulová",J455,0)</f>
        <v>0</v>
      </c>
      <c r="BJ455" s="17" t="s">
        <v>79</v>
      </c>
      <c r="BK455" s="139">
        <f>ROUND(I455*H455,2)</f>
        <v>0</v>
      </c>
      <c r="BL455" s="17" t="s">
        <v>229</v>
      </c>
      <c r="BM455" s="138" t="s">
        <v>1150</v>
      </c>
    </row>
    <row r="456" spans="2:65" s="1" customFormat="1">
      <c r="B456" s="32"/>
      <c r="D456" s="140" t="s">
        <v>136</v>
      </c>
      <c r="F456" s="141" t="s">
        <v>1151</v>
      </c>
      <c r="I456" s="142"/>
      <c r="L456" s="32"/>
      <c r="M456" s="143"/>
      <c r="T456" s="51"/>
      <c r="AT456" s="17" t="s">
        <v>136</v>
      </c>
      <c r="AU456" s="17" t="s">
        <v>81</v>
      </c>
    </row>
    <row r="457" spans="2:65" s="12" customFormat="1">
      <c r="B457" s="144"/>
      <c r="D457" s="145" t="s">
        <v>138</v>
      </c>
      <c r="E457" s="146" t="s">
        <v>19</v>
      </c>
      <c r="F457" s="147" t="s">
        <v>1152</v>
      </c>
      <c r="H457" s="148">
        <v>790</v>
      </c>
      <c r="I457" s="149"/>
      <c r="L457" s="144"/>
      <c r="M457" s="150"/>
      <c r="T457" s="151"/>
      <c r="AT457" s="146" t="s">
        <v>138</v>
      </c>
      <c r="AU457" s="146" t="s">
        <v>81</v>
      </c>
      <c r="AV457" s="12" t="s">
        <v>81</v>
      </c>
      <c r="AW457" s="12" t="s">
        <v>33</v>
      </c>
      <c r="AX457" s="12" t="s">
        <v>71</v>
      </c>
      <c r="AY457" s="146" t="s">
        <v>127</v>
      </c>
    </row>
    <row r="458" spans="2:65" s="12" customFormat="1">
      <c r="B458" s="144"/>
      <c r="D458" s="145" t="s">
        <v>138</v>
      </c>
      <c r="E458" s="146" t="s">
        <v>19</v>
      </c>
      <c r="F458" s="147" t="s">
        <v>1153</v>
      </c>
      <c r="H458" s="148">
        <v>790</v>
      </c>
      <c r="I458" s="149"/>
      <c r="L458" s="144"/>
      <c r="M458" s="150"/>
      <c r="T458" s="151"/>
      <c r="AT458" s="146" t="s">
        <v>138</v>
      </c>
      <c r="AU458" s="146" t="s">
        <v>81</v>
      </c>
      <c r="AV458" s="12" t="s">
        <v>81</v>
      </c>
      <c r="AW458" s="12" t="s">
        <v>33</v>
      </c>
      <c r="AX458" s="12" t="s">
        <v>71</v>
      </c>
      <c r="AY458" s="146" t="s">
        <v>127</v>
      </c>
    </row>
    <row r="459" spans="2:65" s="12" customFormat="1">
      <c r="B459" s="144"/>
      <c r="D459" s="145" t="s">
        <v>138</v>
      </c>
      <c r="E459" s="146" t="s">
        <v>19</v>
      </c>
      <c r="F459" s="147" t="s">
        <v>1154</v>
      </c>
      <c r="H459" s="148">
        <v>790</v>
      </c>
      <c r="I459" s="149"/>
      <c r="L459" s="144"/>
      <c r="M459" s="150"/>
      <c r="T459" s="151"/>
      <c r="AT459" s="146" t="s">
        <v>138</v>
      </c>
      <c r="AU459" s="146" t="s">
        <v>81</v>
      </c>
      <c r="AV459" s="12" t="s">
        <v>81</v>
      </c>
      <c r="AW459" s="12" t="s">
        <v>33</v>
      </c>
      <c r="AX459" s="12" t="s">
        <v>71</v>
      </c>
      <c r="AY459" s="146" t="s">
        <v>127</v>
      </c>
    </row>
    <row r="460" spans="2:65" s="12" customFormat="1">
      <c r="B460" s="144"/>
      <c r="D460" s="145" t="s">
        <v>138</v>
      </c>
      <c r="E460" s="146" t="s">
        <v>19</v>
      </c>
      <c r="F460" s="147" t="s">
        <v>1155</v>
      </c>
      <c r="H460" s="148">
        <v>47</v>
      </c>
      <c r="I460" s="149"/>
      <c r="L460" s="144"/>
      <c r="M460" s="150"/>
      <c r="T460" s="151"/>
      <c r="AT460" s="146" t="s">
        <v>138</v>
      </c>
      <c r="AU460" s="146" t="s">
        <v>81</v>
      </c>
      <c r="AV460" s="12" t="s">
        <v>81</v>
      </c>
      <c r="AW460" s="12" t="s">
        <v>33</v>
      </c>
      <c r="AX460" s="12" t="s">
        <v>71</v>
      </c>
      <c r="AY460" s="146" t="s">
        <v>127</v>
      </c>
    </row>
    <row r="461" spans="2:65" s="12" customFormat="1">
      <c r="B461" s="144"/>
      <c r="D461" s="145" t="s">
        <v>138</v>
      </c>
      <c r="E461" s="146" t="s">
        <v>19</v>
      </c>
      <c r="F461" s="147" t="s">
        <v>1156</v>
      </c>
      <c r="H461" s="148">
        <v>47</v>
      </c>
      <c r="I461" s="149"/>
      <c r="L461" s="144"/>
      <c r="M461" s="150"/>
      <c r="T461" s="151"/>
      <c r="AT461" s="146" t="s">
        <v>138</v>
      </c>
      <c r="AU461" s="146" t="s">
        <v>81</v>
      </c>
      <c r="AV461" s="12" t="s">
        <v>81</v>
      </c>
      <c r="AW461" s="12" t="s">
        <v>33</v>
      </c>
      <c r="AX461" s="12" t="s">
        <v>71</v>
      </c>
      <c r="AY461" s="146" t="s">
        <v>127</v>
      </c>
    </row>
    <row r="462" spans="2:65" s="12" customFormat="1">
      <c r="B462" s="144"/>
      <c r="D462" s="145" t="s">
        <v>138</v>
      </c>
      <c r="E462" s="146" t="s">
        <v>19</v>
      </c>
      <c r="F462" s="147" t="s">
        <v>1157</v>
      </c>
      <c r="H462" s="148">
        <v>29</v>
      </c>
      <c r="I462" s="149"/>
      <c r="L462" s="144"/>
      <c r="M462" s="150"/>
      <c r="T462" s="151"/>
      <c r="AT462" s="146" t="s">
        <v>138</v>
      </c>
      <c r="AU462" s="146" t="s">
        <v>81</v>
      </c>
      <c r="AV462" s="12" t="s">
        <v>81</v>
      </c>
      <c r="AW462" s="12" t="s">
        <v>33</v>
      </c>
      <c r="AX462" s="12" t="s">
        <v>71</v>
      </c>
      <c r="AY462" s="146" t="s">
        <v>127</v>
      </c>
    </row>
    <row r="463" spans="2:65" s="12" customFormat="1">
      <c r="B463" s="144"/>
      <c r="D463" s="145" t="s">
        <v>138</v>
      </c>
      <c r="E463" s="146" t="s">
        <v>19</v>
      </c>
      <c r="F463" s="147" t="s">
        <v>1158</v>
      </c>
      <c r="H463" s="148">
        <v>29</v>
      </c>
      <c r="I463" s="149"/>
      <c r="L463" s="144"/>
      <c r="M463" s="150"/>
      <c r="T463" s="151"/>
      <c r="AT463" s="146" t="s">
        <v>138</v>
      </c>
      <c r="AU463" s="146" t="s">
        <v>81</v>
      </c>
      <c r="AV463" s="12" t="s">
        <v>81</v>
      </c>
      <c r="AW463" s="12" t="s">
        <v>33</v>
      </c>
      <c r="AX463" s="12" t="s">
        <v>71</v>
      </c>
      <c r="AY463" s="146" t="s">
        <v>127</v>
      </c>
    </row>
    <row r="464" spans="2:65" s="13" customFormat="1">
      <c r="B464" s="152"/>
      <c r="D464" s="145" t="s">
        <v>138</v>
      </c>
      <c r="E464" s="153" t="s">
        <v>19</v>
      </c>
      <c r="F464" s="154" t="s">
        <v>152</v>
      </c>
      <c r="H464" s="155">
        <v>2522</v>
      </c>
      <c r="I464" s="156"/>
      <c r="L464" s="152"/>
      <c r="M464" s="157"/>
      <c r="T464" s="158"/>
      <c r="AT464" s="153" t="s">
        <v>138</v>
      </c>
      <c r="AU464" s="153" t="s">
        <v>81</v>
      </c>
      <c r="AV464" s="13" t="s">
        <v>134</v>
      </c>
      <c r="AW464" s="13" t="s">
        <v>33</v>
      </c>
      <c r="AX464" s="13" t="s">
        <v>79</v>
      </c>
      <c r="AY464" s="153" t="s">
        <v>127</v>
      </c>
    </row>
    <row r="465" spans="2:65" s="1" customFormat="1" ht="16.5" customHeight="1">
      <c r="B465" s="32"/>
      <c r="C465" s="159" t="s">
        <v>1159</v>
      </c>
      <c r="D465" s="159" t="s">
        <v>413</v>
      </c>
      <c r="E465" s="160" t="s">
        <v>1160</v>
      </c>
      <c r="F465" s="161" t="s">
        <v>1161</v>
      </c>
      <c r="G465" s="162" t="s">
        <v>132</v>
      </c>
      <c r="H465" s="163">
        <v>1821.6</v>
      </c>
      <c r="I465" s="164"/>
      <c r="J465" s="165">
        <f>ROUND(I465*H465,2)</f>
        <v>0</v>
      </c>
      <c r="K465" s="161" t="s">
        <v>133</v>
      </c>
      <c r="L465" s="166"/>
      <c r="M465" s="167" t="s">
        <v>19</v>
      </c>
      <c r="N465" s="168" t="s">
        <v>42</v>
      </c>
      <c r="P465" s="136">
        <f>O465*H465</f>
        <v>0</v>
      </c>
      <c r="Q465" s="136">
        <v>4.7999999999999996E-3</v>
      </c>
      <c r="R465" s="136">
        <f>Q465*H465</f>
        <v>8.7436799999999995</v>
      </c>
      <c r="S465" s="136">
        <v>0</v>
      </c>
      <c r="T465" s="137">
        <f>S465*H465</f>
        <v>0</v>
      </c>
      <c r="AR465" s="138" t="s">
        <v>333</v>
      </c>
      <c r="AT465" s="138" t="s">
        <v>413</v>
      </c>
      <c r="AU465" s="138" t="s">
        <v>81</v>
      </c>
      <c r="AY465" s="17" t="s">
        <v>127</v>
      </c>
      <c r="BE465" s="139">
        <f>IF(N465="základní",J465,0)</f>
        <v>0</v>
      </c>
      <c r="BF465" s="139">
        <f>IF(N465="snížená",J465,0)</f>
        <v>0</v>
      </c>
      <c r="BG465" s="139">
        <f>IF(N465="zákl. přenesená",J465,0)</f>
        <v>0</v>
      </c>
      <c r="BH465" s="139">
        <f>IF(N465="sníž. přenesená",J465,0)</f>
        <v>0</v>
      </c>
      <c r="BI465" s="139">
        <f>IF(N465="nulová",J465,0)</f>
        <v>0</v>
      </c>
      <c r="BJ465" s="17" t="s">
        <v>79</v>
      </c>
      <c r="BK465" s="139">
        <f>ROUND(I465*H465,2)</f>
        <v>0</v>
      </c>
      <c r="BL465" s="17" t="s">
        <v>229</v>
      </c>
      <c r="BM465" s="138" t="s">
        <v>1162</v>
      </c>
    </row>
    <row r="466" spans="2:65" s="12" customFormat="1">
      <c r="B466" s="144"/>
      <c r="D466" s="145" t="s">
        <v>138</v>
      </c>
      <c r="E466" s="146" t="s">
        <v>19</v>
      </c>
      <c r="F466" s="147" t="s">
        <v>1152</v>
      </c>
      <c r="H466" s="148">
        <v>790</v>
      </c>
      <c r="I466" s="149"/>
      <c r="L466" s="144"/>
      <c r="M466" s="150"/>
      <c r="T466" s="151"/>
      <c r="AT466" s="146" t="s">
        <v>138</v>
      </c>
      <c r="AU466" s="146" t="s">
        <v>81</v>
      </c>
      <c r="AV466" s="12" t="s">
        <v>81</v>
      </c>
      <c r="AW466" s="12" t="s">
        <v>33</v>
      </c>
      <c r="AX466" s="12" t="s">
        <v>71</v>
      </c>
      <c r="AY466" s="146" t="s">
        <v>127</v>
      </c>
    </row>
    <row r="467" spans="2:65" s="12" customFormat="1">
      <c r="B467" s="144"/>
      <c r="D467" s="145" t="s">
        <v>138</v>
      </c>
      <c r="E467" s="146" t="s">
        <v>19</v>
      </c>
      <c r="F467" s="147" t="s">
        <v>1153</v>
      </c>
      <c r="H467" s="148">
        <v>790</v>
      </c>
      <c r="I467" s="149"/>
      <c r="L467" s="144"/>
      <c r="M467" s="150"/>
      <c r="T467" s="151"/>
      <c r="AT467" s="146" t="s">
        <v>138</v>
      </c>
      <c r="AU467" s="146" t="s">
        <v>81</v>
      </c>
      <c r="AV467" s="12" t="s">
        <v>81</v>
      </c>
      <c r="AW467" s="12" t="s">
        <v>33</v>
      </c>
      <c r="AX467" s="12" t="s">
        <v>71</v>
      </c>
      <c r="AY467" s="146" t="s">
        <v>127</v>
      </c>
    </row>
    <row r="468" spans="2:65" s="12" customFormat="1">
      <c r="B468" s="144"/>
      <c r="D468" s="145" t="s">
        <v>138</v>
      </c>
      <c r="E468" s="146" t="s">
        <v>19</v>
      </c>
      <c r="F468" s="147" t="s">
        <v>1155</v>
      </c>
      <c r="H468" s="148">
        <v>47</v>
      </c>
      <c r="I468" s="149"/>
      <c r="L468" s="144"/>
      <c r="M468" s="150"/>
      <c r="T468" s="151"/>
      <c r="AT468" s="146" t="s">
        <v>138</v>
      </c>
      <c r="AU468" s="146" t="s">
        <v>81</v>
      </c>
      <c r="AV468" s="12" t="s">
        <v>81</v>
      </c>
      <c r="AW468" s="12" t="s">
        <v>33</v>
      </c>
      <c r="AX468" s="12" t="s">
        <v>71</v>
      </c>
      <c r="AY468" s="146" t="s">
        <v>127</v>
      </c>
    </row>
    <row r="469" spans="2:65" s="12" customFormat="1">
      <c r="B469" s="144"/>
      <c r="D469" s="145" t="s">
        <v>138</v>
      </c>
      <c r="E469" s="146" t="s">
        <v>19</v>
      </c>
      <c r="F469" s="147" t="s">
        <v>1157</v>
      </c>
      <c r="H469" s="148">
        <v>29</v>
      </c>
      <c r="I469" s="149"/>
      <c r="L469" s="144"/>
      <c r="M469" s="150"/>
      <c r="T469" s="151"/>
      <c r="AT469" s="146" t="s">
        <v>138</v>
      </c>
      <c r="AU469" s="146" t="s">
        <v>81</v>
      </c>
      <c r="AV469" s="12" t="s">
        <v>81</v>
      </c>
      <c r="AW469" s="12" t="s">
        <v>33</v>
      </c>
      <c r="AX469" s="12" t="s">
        <v>71</v>
      </c>
      <c r="AY469" s="146" t="s">
        <v>127</v>
      </c>
    </row>
    <row r="470" spans="2:65" s="13" customFormat="1">
      <c r="B470" s="152"/>
      <c r="D470" s="145" t="s">
        <v>138</v>
      </c>
      <c r="E470" s="153" t="s">
        <v>19</v>
      </c>
      <c r="F470" s="154" t="s">
        <v>152</v>
      </c>
      <c r="H470" s="155">
        <v>1656</v>
      </c>
      <c r="I470" s="156"/>
      <c r="L470" s="152"/>
      <c r="M470" s="157"/>
      <c r="T470" s="158"/>
      <c r="AT470" s="153" t="s">
        <v>138</v>
      </c>
      <c r="AU470" s="153" t="s">
        <v>81</v>
      </c>
      <c r="AV470" s="13" t="s">
        <v>134</v>
      </c>
      <c r="AW470" s="13" t="s">
        <v>33</v>
      </c>
      <c r="AX470" s="13" t="s">
        <v>79</v>
      </c>
      <c r="AY470" s="153" t="s">
        <v>127</v>
      </c>
    </row>
    <row r="471" spans="2:65" s="12" customFormat="1">
      <c r="B471" s="144"/>
      <c r="D471" s="145" t="s">
        <v>138</v>
      </c>
      <c r="F471" s="147" t="s">
        <v>1163</v>
      </c>
      <c r="H471" s="148">
        <v>1821.6</v>
      </c>
      <c r="I471" s="149"/>
      <c r="L471" s="144"/>
      <c r="M471" s="150"/>
      <c r="T471" s="151"/>
      <c r="AT471" s="146" t="s">
        <v>138</v>
      </c>
      <c r="AU471" s="146" t="s">
        <v>81</v>
      </c>
      <c r="AV471" s="12" t="s">
        <v>81</v>
      </c>
      <c r="AW471" s="12" t="s">
        <v>4</v>
      </c>
      <c r="AX471" s="12" t="s">
        <v>79</v>
      </c>
      <c r="AY471" s="146" t="s">
        <v>127</v>
      </c>
    </row>
    <row r="472" spans="2:65" s="1" customFormat="1" ht="16.5" customHeight="1">
      <c r="B472" s="32"/>
      <c r="C472" s="159" t="s">
        <v>1164</v>
      </c>
      <c r="D472" s="159" t="s">
        <v>413</v>
      </c>
      <c r="E472" s="160" t="s">
        <v>1165</v>
      </c>
      <c r="F472" s="161" t="s">
        <v>1166</v>
      </c>
      <c r="G472" s="162" t="s">
        <v>132</v>
      </c>
      <c r="H472" s="163">
        <v>952.6</v>
      </c>
      <c r="I472" s="164"/>
      <c r="J472" s="165">
        <f>ROUND(I472*H472,2)</f>
        <v>0</v>
      </c>
      <c r="K472" s="161" t="s">
        <v>133</v>
      </c>
      <c r="L472" s="166"/>
      <c r="M472" s="167" t="s">
        <v>19</v>
      </c>
      <c r="N472" s="168" t="s">
        <v>42</v>
      </c>
      <c r="P472" s="136">
        <f>O472*H472</f>
        <v>0</v>
      </c>
      <c r="Q472" s="136">
        <v>5.4000000000000003E-3</v>
      </c>
      <c r="R472" s="136">
        <f>Q472*H472</f>
        <v>5.1440400000000004</v>
      </c>
      <c r="S472" s="136">
        <v>0</v>
      </c>
      <c r="T472" s="137">
        <f>S472*H472</f>
        <v>0</v>
      </c>
      <c r="AR472" s="138" t="s">
        <v>333</v>
      </c>
      <c r="AT472" s="138" t="s">
        <v>413</v>
      </c>
      <c r="AU472" s="138" t="s">
        <v>81</v>
      </c>
      <c r="AY472" s="17" t="s">
        <v>127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7" t="s">
        <v>79</v>
      </c>
      <c r="BK472" s="139">
        <f>ROUND(I472*H472,2)</f>
        <v>0</v>
      </c>
      <c r="BL472" s="17" t="s">
        <v>229</v>
      </c>
      <c r="BM472" s="138" t="s">
        <v>1167</v>
      </c>
    </row>
    <row r="473" spans="2:65" s="12" customFormat="1">
      <c r="B473" s="144"/>
      <c r="D473" s="145" t="s">
        <v>138</v>
      </c>
      <c r="E473" s="146" t="s">
        <v>19</v>
      </c>
      <c r="F473" s="147" t="s">
        <v>1154</v>
      </c>
      <c r="H473" s="148">
        <v>790</v>
      </c>
      <c r="I473" s="149"/>
      <c r="L473" s="144"/>
      <c r="M473" s="150"/>
      <c r="T473" s="151"/>
      <c r="AT473" s="146" t="s">
        <v>138</v>
      </c>
      <c r="AU473" s="146" t="s">
        <v>81</v>
      </c>
      <c r="AV473" s="12" t="s">
        <v>81</v>
      </c>
      <c r="AW473" s="12" t="s">
        <v>33</v>
      </c>
      <c r="AX473" s="12" t="s">
        <v>71</v>
      </c>
      <c r="AY473" s="146" t="s">
        <v>127</v>
      </c>
    </row>
    <row r="474" spans="2:65" s="12" customFormat="1">
      <c r="B474" s="144"/>
      <c r="D474" s="145" t="s">
        <v>138</v>
      </c>
      <c r="E474" s="146" t="s">
        <v>19</v>
      </c>
      <c r="F474" s="147" t="s">
        <v>1156</v>
      </c>
      <c r="H474" s="148">
        <v>47</v>
      </c>
      <c r="I474" s="149"/>
      <c r="L474" s="144"/>
      <c r="M474" s="150"/>
      <c r="T474" s="151"/>
      <c r="AT474" s="146" t="s">
        <v>138</v>
      </c>
      <c r="AU474" s="146" t="s">
        <v>81</v>
      </c>
      <c r="AV474" s="12" t="s">
        <v>81</v>
      </c>
      <c r="AW474" s="12" t="s">
        <v>33</v>
      </c>
      <c r="AX474" s="12" t="s">
        <v>71</v>
      </c>
      <c r="AY474" s="146" t="s">
        <v>127</v>
      </c>
    </row>
    <row r="475" spans="2:65" s="12" customFormat="1">
      <c r="B475" s="144"/>
      <c r="D475" s="145" t="s">
        <v>138</v>
      </c>
      <c r="E475" s="146" t="s">
        <v>19</v>
      </c>
      <c r="F475" s="147" t="s">
        <v>1158</v>
      </c>
      <c r="H475" s="148">
        <v>29</v>
      </c>
      <c r="I475" s="149"/>
      <c r="L475" s="144"/>
      <c r="M475" s="150"/>
      <c r="T475" s="151"/>
      <c r="AT475" s="146" t="s">
        <v>138</v>
      </c>
      <c r="AU475" s="146" t="s">
        <v>81</v>
      </c>
      <c r="AV475" s="12" t="s">
        <v>81</v>
      </c>
      <c r="AW475" s="12" t="s">
        <v>33</v>
      </c>
      <c r="AX475" s="12" t="s">
        <v>71</v>
      </c>
      <c r="AY475" s="146" t="s">
        <v>127</v>
      </c>
    </row>
    <row r="476" spans="2:65" s="13" customFormat="1">
      <c r="B476" s="152"/>
      <c r="D476" s="145" t="s">
        <v>138</v>
      </c>
      <c r="E476" s="153" t="s">
        <v>19</v>
      </c>
      <c r="F476" s="154" t="s">
        <v>152</v>
      </c>
      <c r="H476" s="155">
        <v>866</v>
      </c>
      <c r="I476" s="156"/>
      <c r="L476" s="152"/>
      <c r="M476" s="157"/>
      <c r="T476" s="158"/>
      <c r="AT476" s="153" t="s">
        <v>138</v>
      </c>
      <c r="AU476" s="153" t="s">
        <v>81</v>
      </c>
      <c r="AV476" s="13" t="s">
        <v>134</v>
      </c>
      <c r="AW476" s="13" t="s">
        <v>33</v>
      </c>
      <c r="AX476" s="13" t="s">
        <v>79</v>
      </c>
      <c r="AY476" s="153" t="s">
        <v>127</v>
      </c>
    </row>
    <row r="477" spans="2:65" s="12" customFormat="1">
      <c r="B477" s="144"/>
      <c r="D477" s="145" t="s">
        <v>138</v>
      </c>
      <c r="F477" s="147" t="s">
        <v>1168</v>
      </c>
      <c r="H477" s="148">
        <v>952.6</v>
      </c>
      <c r="I477" s="149"/>
      <c r="L477" s="144"/>
      <c r="M477" s="150"/>
      <c r="T477" s="151"/>
      <c r="AT477" s="146" t="s">
        <v>138</v>
      </c>
      <c r="AU477" s="146" t="s">
        <v>81</v>
      </c>
      <c r="AV477" s="12" t="s">
        <v>81</v>
      </c>
      <c r="AW477" s="12" t="s">
        <v>4</v>
      </c>
      <c r="AX477" s="12" t="s">
        <v>79</v>
      </c>
      <c r="AY477" s="146" t="s">
        <v>127</v>
      </c>
    </row>
    <row r="478" spans="2:65" s="1" customFormat="1" ht="24.2" customHeight="1">
      <c r="B478" s="32"/>
      <c r="C478" s="127" t="s">
        <v>1169</v>
      </c>
      <c r="D478" s="127" t="s">
        <v>129</v>
      </c>
      <c r="E478" s="128" t="s">
        <v>1170</v>
      </c>
      <c r="F478" s="129" t="s">
        <v>1171</v>
      </c>
      <c r="G478" s="130" t="s">
        <v>132</v>
      </c>
      <c r="H478" s="131">
        <v>1102.4480000000001</v>
      </c>
      <c r="I478" s="132"/>
      <c r="J478" s="133">
        <f>ROUND(I478*H478,2)</f>
        <v>0</v>
      </c>
      <c r="K478" s="129" t="s">
        <v>133</v>
      </c>
      <c r="L478" s="32"/>
      <c r="M478" s="134" t="s">
        <v>19</v>
      </c>
      <c r="N478" s="135" t="s">
        <v>42</v>
      </c>
      <c r="P478" s="136">
        <f>O478*H478</f>
        <v>0</v>
      </c>
      <c r="Q478" s="136">
        <v>0</v>
      </c>
      <c r="R478" s="136">
        <f>Q478*H478</f>
        <v>0</v>
      </c>
      <c r="S478" s="136">
        <v>0</v>
      </c>
      <c r="T478" s="137">
        <f>S478*H478</f>
        <v>0</v>
      </c>
      <c r="AR478" s="138" t="s">
        <v>229</v>
      </c>
      <c r="AT478" s="138" t="s">
        <v>129</v>
      </c>
      <c r="AU478" s="138" t="s">
        <v>81</v>
      </c>
      <c r="AY478" s="17" t="s">
        <v>127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79</v>
      </c>
      <c r="BK478" s="139">
        <f>ROUND(I478*H478,2)</f>
        <v>0</v>
      </c>
      <c r="BL478" s="17" t="s">
        <v>229</v>
      </c>
      <c r="BM478" s="138" t="s">
        <v>1172</v>
      </c>
    </row>
    <row r="479" spans="2:65" s="1" customFormat="1">
      <c r="B479" s="32"/>
      <c r="D479" s="140" t="s">
        <v>136</v>
      </c>
      <c r="F479" s="141" t="s">
        <v>1173</v>
      </c>
      <c r="I479" s="142"/>
      <c r="L479" s="32"/>
      <c r="M479" s="143"/>
      <c r="T479" s="51"/>
      <c r="AT479" s="17" t="s">
        <v>136</v>
      </c>
      <c r="AU479" s="17" t="s">
        <v>81</v>
      </c>
    </row>
    <row r="480" spans="2:65" s="12" customFormat="1">
      <c r="B480" s="144"/>
      <c r="D480" s="145" t="s">
        <v>138</v>
      </c>
      <c r="E480" s="146" t="s">
        <v>19</v>
      </c>
      <c r="F480" s="147" t="s">
        <v>653</v>
      </c>
      <c r="H480" s="148">
        <v>15.648</v>
      </c>
      <c r="I480" s="149"/>
      <c r="L480" s="144"/>
      <c r="M480" s="150"/>
      <c r="T480" s="151"/>
      <c r="AT480" s="146" t="s">
        <v>138</v>
      </c>
      <c r="AU480" s="146" t="s">
        <v>81</v>
      </c>
      <c r="AV480" s="12" t="s">
        <v>81</v>
      </c>
      <c r="AW480" s="12" t="s">
        <v>33</v>
      </c>
      <c r="AX480" s="12" t="s">
        <v>71</v>
      </c>
      <c r="AY480" s="146" t="s">
        <v>127</v>
      </c>
    </row>
    <row r="481" spans="2:65" s="12" customFormat="1">
      <c r="B481" s="144"/>
      <c r="D481" s="145" t="s">
        <v>138</v>
      </c>
      <c r="E481" s="146" t="s">
        <v>19</v>
      </c>
      <c r="F481" s="147" t="s">
        <v>1174</v>
      </c>
      <c r="H481" s="148">
        <v>1086.8</v>
      </c>
      <c r="I481" s="149"/>
      <c r="L481" s="144"/>
      <c r="M481" s="150"/>
      <c r="T481" s="151"/>
      <c r="AT481" s="146" t="s">
        <v>138</v>
      </c>
      <c r="AU481" s="146" t="s">
        <v>81</v>
      </c>
      <c r="AV481" s="12" t="s">
        <v>81</v>
      </c>
      <c r="AW481" s="12" t="s">
        <v>33</v>
      </c>
      <c r="AX481" s="12" t="s">
        <v>71</v>
      </c>
      <c r="AY481" s="146" t="s">
        <v>127</v>
      </c>
    </row>
    <row r="482" spans="2:65" s="13" customFormat="1">
      <c r="B482" s="152"/>
      <c r="D482" s="145" t="s">
        <v>138</v>
      </c>
      <c r="E482" s="153" t="s">
        <v>19</v>
      </c>
      <c r="F482" s="154" t="s">
        <v>152</v>
      </c>
      <c r="H482" s="155">
        <v>1102.4479999999999</v>
      </c>
      <c r="I482" s="156"/>
      <c r="L482" s="152"/>
      <c r="M482" s="157"/>
      <c r="T482" s="158"/>
      <c r="AT482" s="153" t="s">
        <v>138</v>
      </c>
      <c r="AU482" s="153" t="s">
        <v>81</v>
      </c>
      <c r="AV482" s="13" t="s">
        <v>134</v>
      </c>
      <c r="AW482" s="13" t="s">
        <v>33</v>
      </c>
      <c r="AX482" s="13" t="s">
        <v>79</v>
      </c>
      <c r="AY482" s="153" t="s">
        <v>127</v>
      </c>
    </row>
    <row r="483" spans="2:65" s="1" customFormat="1" ht="16.5" customHeight="1">
      <c r="B483" s="32"/>
      <c r="C483" s="159" t="s">
        <v>1175</v>
      </c>
      <c r="D483" s="159" t="s">
        <v>413</v>
      </c>
      <c r="E483" s="160" t="s">
        <v>1176</v>
      </c>
      <c r="F483" s="161" t="s">
        <v>1177</v>
      </c>
      <c r="G483" s="162" t="s">
        <v>132</v>
      </c>
      <c r="H483" s="163">
        <v>1284.903</v>
      </c>
      <c r="I483" s="164"/>
      <c r="J483" s="165">
        <f>ROUND(I483*H483,2)</f>
        <v>0</v>
      </c>
      <c r="K483" s="161" t="s">
        <v>133</v>
      </c>
      <c r="L483" s="166"/>
      <c r="M483" s="167" t="s">
        <v>19</v>
      </c>
      <c r="N483" s="168" t="s">
        <v>42</v>
      </c>
      <c r="P483" s="136">
        <f>O483*H483</f>
        <v>0</v>
      </c>
      <c r="Q483" s="136">
        <v>4.0000000000000002E-4</v>
      </c>
      <c r="R483" s="136">
        <f>Q483*H483</f>
        <v>0.51396120000000001</v>
      </c>
      <c r="S483" s="136">
        <v>0</v>
      </c>
      <c r="T483" s="137">
        <f>S483*H483</f>
        <v>0</v>
      </c>
      <c r="AR483" s="138" t="s">
        <v>333</v>
      </c>
      <c r="AT483" s="138" t="s">
        <v>413</v>
      </c>
      <c r="AU483" s="138" t="s">
        <v>81</v>
      </c>
      <c r="AY483" s="17" t="s">
        <v>127</v>
      </c>
      <c r="BE483" s="139">
        <f>IF(N483="základní",J483,0)</f>
        <v>0</v>
      </c>
      <c r="BF483" s="139">
        <f>IF(N483="snížená",J483,0)</f>
        <v>0</v>
      </c>
      <c r="BG483" s="139">
        <f>IF(N483="zákl. přenesená",J483,0)</f>
        <v>0</v>
      </c>
      <c r="BH483" s="139">
        <f>IF(N483="sníž. přenesená",J483,0)</f>
        <v>0</v>
      </c>
      <c r="BI483" s="139">
        <f>IF(N483="nulová",J483,0)</f>
        <v>0</v>
      </c>
      <c r="BJ483" s="17" t="s">
        <v>79</v>
      </c>
      <c r="BK483" s="139">
        <f>ROUND(I483*H483,2)</f>
        <v>0</v>
      </c>
      <c r="BL483" s="17" t="s">
        <v>229</v>
      </c>
      <c r="BM483" s="138" t="s">
        <v>1178</v>
      </c>
    </row>
    <row r="484" spans="2:65" s="12" customFormat="1">
      <c r="B484" s="144"/>
      <c r="D484" s="145" t="s">
        <v>138</v>
      </c>
      <c r="F484" s="147" t="s">
        <v>1179</v>
      </c>
      <c r="H484" s="148">
        <v>1284.903</v>
      </c>
      <c r="I484" s="149"/>
      <c r="L484" s="144"/>
      <c r="M484" s="150"/>
      <c r="T484" s="151"/>
      <c r="AT484" s="146" t="s">
        <v>138</v>
      </c>
      <c r="AU484" s="146" t="s">
        <v>81</v>
      </c>
      <c r="AV484" s="12" t="s">
        <v>81</v>
      </c>
      <c r="AW484" s="12" t="s">
        <v>4</v>
      </c>
      <c r="AX484" s="12" t="s">
        <v>79</v>
      </c>
      <c r="AY484" s="146" t="s">
        <v>127</v>
      </c>
    </row>
    <row r="485" spans="2:65" s="1" customFormat="1" ht="24.2" customHeight="1">
      <c r="B485" s="32"/>
      <c r="C485" s="127" t="s">
        <v>1180</v>
      </c>
      <c r="D485" s="127" t="s">
        <v>129</v>
      </c>
      <c r="E485" s="128" t="s">
        <v>1181</v>
      </c>
      <c r="F485" s="129" t="s">
        <v>1182</v>
      </c>
      <c r="G485" s="130" t="s">
        <v>425</v>
      </c>
      <c r="H485" s="169"/>
      <c r="I485" s="132"/>
      <c r="J485" s="133">
        <f>ROUND(I485*H485,2)</f>
        <v>0</v>
      </c>
      <c r="K485" s="129" t="s">
        <v>133</v>
      </c>
      <c r="L485" s="32"/>
      <c r="M485" s="134" t="s">
        <v>19</v>
      </c>
      <c r="N485" s="135" t="s">
        <v>42</v>
      </c>
      <c r="P485" s="136">
        <f>O485*H485</f>
        <v>0</v>
      </c>
      <c r="Q485" s="136">
        <v>0</v>
      </c>
      <c r="R485" s="136">
        <f>Q485*H485</f>
        <v>0</v>
      </c>
      <c r="S485" s="136">
        <v>0</v>
      </c>
      <c r="T485" s="137">
        <f>S485*H485</f>
        <v>0</v>
      </c>
      <c r="AR485" s="138" t="s">
        <v>229</v>
      </c>
      <c r="AT485" s="138" t="s">
        <v>129</v>
      </c>
      <c r="AU485" s="138" t="s">
        <v>81</v>
      </c>
      <c r="AY485" s="17" t="s">
        <v>127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7" t="s">
        <v>79</v>
      </c>
      <c r="BK485" s="139">
        <f>ROUND(I485*H485,2)</f>
        <v>0</v>
      </c>
      <c r="BL485" s="17" t="s">
        <v>229</v>
      </c>
      <c r="BM485" s="138" t="s">
        <v>1183</v>
      </c>
    </row>
    <row r="486" spans="2:65" s="1" customFormat="1">
      <c r="B486" s="32"/>
      <c r="D486" s="140" t="s">
        <v>136</v>
      </c>
      <c r="F486" s="141" t="s">
        <v>1184</v>
      </c>
      <c r="I486" s="142"/>
      <c r="L486" s="32"/>
      <c r="M486" s="143"/>
      <c r="T486" s="51"/>
      <c r="AT486" s="17" t="s">
        <v>136</v>
      </c>
      <c r="AU486" s="17" t="s">
        <v>81</v>
      </c>
    </row>
    <row r="487" spans="2:65" s="11" customFormat="1" ht="22.9" customHeight="1">
      <c r="B487" s="115"/>
      <c r="D487" s="116" t="s">
        <v>70</v>
      </c>
      <c r="E487" s="125" t="s">
        <v>428</v>
      </c>
      <c r="F487" s="125" t="s">
        <v>429</v>
      </c>
      <c r="I487" s="118"/>
      <c r="J487" s="126">
        <f>BK487</f>
        <v>0</v>
      </c>
      <c r="L487" s="115"/>
      <c r="M487" s="120"/>
      <c r="P487" s="121">
        <f>SUM(P488:P490)</f>
        <v>0</v>
      </c>
      <c r="R487" s="121">
        <f>SUM(R488:R490)</f>
        <v>0</v>
      </c>
      <c r="T487" s="122">
        <f>SUM(T488:T490)</f>
        <v>0</v>
      </c>
      <c r="AR487" s="116" t="s">
        <v>81</v>
      </c>
      <c r="AT487" s="123" t="s">
        <v>70</v>
      </c>
      <c r="AU487" s="123" t="s">
        <v>79</v>
      </c>
      <c r="AY487" s="116" t="s">
        <v>127</v>
      </c>
      <c r="BK487" s="124">
        <f>SUM(BK488:BK490)</f>
        <v>0</v>
      </c>
    </row>
    <row r="488" spans="2:65" s="1" customFormat="1" ht="16.5" customHeight="1">
      <c r="B488" s="32"/>
      <c r="C488" s="127" t="s">
        <v>1185</v>
      </c>
      <c r="D488" s="127" t="s">
        <v>129</v>
      </c>
      <c r="E488" s="128" t="s">
        <v>431</v>
      </c>
      <c r="F488" s="129" t="s">
        <v>1186</v>
      </c>
      <c r="G488" s="130" t="s">
        <v>191</v>
      </c>
      <c r="H488" s="131">
        <v>1</v>
      </c>
      <c r="I488" s="132">
        <f>zdravotechnika!J150</f>
        <v>0</v>
      </c>
      <c r="J488" s="133">
        <f>ROUND(I488*H488,2)</f>
        <v>0</v>
      </c>
      <c r="K488" s="129" t="s">
        <v>19</v>
      </c>
      <c r="L488" s="32"/>
      <c r="M488" s="134" t="s">
        <v>19</v>
      </c>
      <c r="N488" s="135" t="s">
        <v>42</v>
      </c>
      <c r="P488" s="136">
        <f>O488*H488</f>
        <v>0</v>
      </c>
      <c r="Q488" s="136">
        <v>0</v>
      </c>
      <c r="R488" s="136">
        <f>Q488*H488</f>
        <v>0</v>
      </c>
      <c r="S488" s="136">
        <v>0</v>
      </c>
      <c r="T488" s="137">
        <f>S488*H488</f>
        <v>0</v>
      </c>
      <c r="AR488" s="138" t="s">
        <v>229</v>
      </c>
      <c r="AT488" s="138" t="s">
        <v>129</v>
      </c>
      <c r="AU488" s="138" t="s">
        <v>81</v>
      </c>
      <c r="AY488" s="17" t="s">
        <v>127</v>
      </c>
      <c r="BE488" s="139">
        <f>IF(N488="základní",J488,0)</f>
        <v>0</v>
      </c>
      <c r="BF488" s="139">
        <f>IF(N488="snížená",J488,0)</f>
        <v>0</v>
      </c>
      <c r="BG488" s="139">
        <f>IF(N488="zákl. přenesená",J488,0)</f>
        <v>0</v>
      </c>
      <c r="BH488" s="139">
        <f>IF(N488="sníž. přenesená",J488,0)</f>
        <v>0</v>
      </c>
      <c r="BI488" s="139">
        <f>IF(N488="nulová",J488,0)</f>
        <v>0</v>
      </c>
      <c r="BJ488" s="17" t="s">
        <v>79</v>
      </c>
      <c r="BK488" s="139">
        <f>ROUND(I488*H488,2)</f>
        <v>0</v>
      </c>
      <c r="BL488" s="17" t="s">
        <v>229</v>
      </c>
      <c r="BM488" s="138" t="s">
        <v>1187</v>
      </c>
    </row>
    <row r="489" spans="2:65" s="1" customFormat="1" ht="16.5" customHeight="1">
      <c r="B489" s="32"/>
      <c r="C489" s="127" t="s">
        <v>1188</v>
      </c>
      <c r="D489" s="127" t="s">
        <v>129</v>
      </c>
      <c r="E489" s="128" t="s">
        <v>1189</v>
      </c>
      <c r="F489" s="129" t="s">
        <v>1190</v>
      </c>
      <c r="G489" s="130" t="s">
        <v>191</v>
      </c>
      <c r="H489" s="131">
        <v>1</v>
      </c>
      <c r="I489" s="132">
        <f>plyn!H15</f>
        <v>0</v>
      </c>
      <c r="J489" s="133">
        <f>ROUND(I489*H489,2)</f>
        <v>0</v>
      </c>
      <c r="K489" s="129" t="s">
        <v>19</v>
      </c>
      <c r="L489" s="32"/>
      <c r="M489" s="134" t="s">
        <v>19</v>
      </c>
      <c r="N489" s="135" t="s">
        <v>42</v>
      </c>
      <c r="P489" s="136">
        <f>O489*H489</f>
        <v>0</v>
      </c>
      <c r="Q489" s="136">
        <v>0</v>
      </c>
      <c r="R489" s="136">
        <f>Q489*H489</f>
        <v>0</v>
      </c>
      <c r="S489" s="136">
        <v>0</v>
      </c>
      <c r="T489" s="137">
        <f>S489*H489</f>
        <v>0</v>
      </c>
      <c r="AR489" s="138" t="s">
        <v>229</v>
      </c>
      <c r="AT489" s="138" t="s">
        <v>129</v>
      </c>
      <c r="AU489" s="138" t="s">
        <v>81</v>
      </c>
      <c r="AY489" s="17" t="s">
        <v>127</v>
      </c>
      <c r="BE489" s="139">
        <f>IF(N489="základní",J489,0)</f>
        <v>0</v>
      </c>
      <c r="BF489" s="139">
        <f>IF(N489="snížená",J489,0)</f>
        <v>0</v>
      </c>
      <c r="BG489" s="139">
        <f>IF(N489="zákl. přenesená",J489,0)</f>
        <v>0</v>
      </c>
      <c r="BH489" s="139">
        <f>IF(N489="sníž. přenesená",J489,0)</f>
        <v>0</v>
      </c>
      <c r="BI489" s="139">
        <f>IF(N489="nulová",J489,0)</f>
        <v>0</v>
      </c>
      <c r="BJ489" s="17" t="s">
        <v>79</v>
      </c>
      <c r="BK489" s="139">
        <f>ROUND(I489*H489,2)</f>
        <v>0</v>
      </c>
      <c r="BL489" s="17" t="s">
        <v>229</v>
      </c>
      <c r="BM489" s="138" t="s">
        <v>1191</v>
      </c>
    </row>
    <row r="490" spans="2:65" s="1" customFormat="1" ht="16.5" customHeight="1">
      <c r="B490" s="32"/>
      <c r="C490" s="127" t="s">
        <v>1192</v>
      </c>
      <c r="D490" s="127" t="s">
        <v>129</v>
      </c>
      <c r="E490" s="128" t="s">
        <v>1193</v>
      </c>
      <c r="F490" s="129" t="s">
        <v>1194</v>
      </c>
      <c r="G490" s="130" t="s">
        <v>425</v>
      </c>
      <c r="H490" s="169"/>
      <c r="I490" s="132"/>
      <c r="J490" s="133">
        <f>ROUND(I490*H490,2)</f>
        <v>0</v>
      </c>
      <c r="K490" s="129" t="s">
        <v>19</v>
      </c>
      <c r="L490" s="32"/>
      <c r="M490" s="134" t="s">
        <v>19</v>
      </c>
      <c r="N490" s="135" t="s">
        <v>42</v>
      </c>
      <c r="P490" s="136">
        <f>O490*H490</f>
        <v>0</v>
      </c>
      <c r="Q490" s="136">
        <v>0</v>
      </c>
      <c r="R490" s="136">
        <f>Q490*H490</f>
        <v>0</v>
      </c>
      <c r="S490" s="136">
        <v>0</v>
      </c>
      <c r="T490" s="137">
        <f>S490*H490</f>
        <v>0</v>
      </c>
      <c r="AR490" s="138" t="s">
        <v>229</v>
      </c>
      <c r="AT490" s="138" t="s">
        <v>129</v>
      </c>
      <c r="AU490" s="138" t="s">
        <v>81</v>
      </c>
      <c r="AY490" s="17" t="s">
        <v>127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7" t="s">
        <v>79</v>
      </c>
      <c r="BK490" s="139">
        <f>ROUND(I490*H490,2)</f>
        <v>0</v>
      </c>
      <c r="BL490" s="17" t="s">
        <v>229</v>
      </c>
      <c r="BM490" s="138" t="s">
        <v>1195</v>
      </c>
    </row>
    <row r="491" spans="2:65" s="11" customFormat="1" ht="22.9" customHeight="1">
      <c r="B491" s="115"/>
      <c r="D491" s="116" t="s">
        <v>70</v>
      </c>
      <c r="E491" s="125" t="s">
        <v>434</v>
      </c>
      <c r="F491" s="125" t="s">
        <v>435</v>
      </c>
      <c r="I491" s="118"/>
      <c r="J491" s="126">
        <f>BK491</f>
        <v>0</v>
      </c>
      <c r="L491" s="115"/>
      <c r="M491" s="120"/>
      <c r="P491" s="121">
        <f>SUM(P492:P493)</f>
        <v>0</v>
      </c>
      <c r="R491" s="121">
        <f>SUM(R492:R493)</f>
        <v>0</v>
      </c>
      <c r="T491" s="122">
        <f>SUM(T492:T493)</f>
        <v>0</v>
      </c>
      <c r="AR491" s="116" t="s">
        <v>81</v>
      </c>
      <c r="AT491" s="123" t="s">
        <v>70</v>
      </c>
      <c r="AU491" s="123" t="s">
        <v>79</v>
      </c>
      <c r="AY491" s="116" t="s">
        <v>127</v>
      </c>
      <c r="BK491" s="124">
        <f>SUM(BK492:BK493)</f>
        <v>0</v>
      </c>
    </row>
    <row r="492" spans="2:65" s="1" customFormat="1" ht="16.5" customHeight="1">
      <c r="B492" s="32"/>
      <c r="C492" s="127" t="s">
        <v>1196</v>
      </c>
      <c r="D492" s="127" t="s">
        <v>129</v>
      </c>
      <c r="E492" s="128" t="s">
        <v>437</v>
      </c>
      <c r="F492" s="129" t="s">
        <v>1197</v>
      </c>
      <c r="G492" s="130" t="s">
        <v>191</v>
      </c>
      <c r="H492" s="131">
        <v>1</v>
      </c>
      <c r="I492" s="132">
        <f>vytapeni!I113</f>
        <v>0</v>
      </c>
      <c r="J492" s="133">
        <f>ROUND(I492*H492,2)</f>
        <v>0</v>
      </c>
      <c r="K492" s="129" t="s">
        <v>19</v>
      </c>
      <c r="L492" s="32"/>
      <c r="M492" s="134" t="s">
        <v>19</v>
      </c>
      <c r="N492" s="135" t="s">
        <v>42</v>
      </c>
      <c r="P492" s="136">
        <f>O492*H492</f>
        <v>0</v>
      </c>
      <c r="Q492" s="136">
        <v>0</v>
      </c>
      <c r="R492" s="136">
        <f>Q492*H492</f>
        <v>0</v>
      </c>
      <c r="S492" s="136">
        <v>0</v>
      </c>
      <c r="T492" s="137">
        <f>S492*H492</f>
        <v>0</v>
      </c>
      <c r="AR492" s="138" t="s">
        <v>229</v>
      </c>
      <c r="AT492" s="138" t="s">
        <v>129</v>
      </c>
      <c r="AU492" s="138" t="s">
        <v>81</v>
      </c>
      <c r="AY492" s="17" t="s">
        <v>127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79</v>
      </c>
      <c r="BK492" s="139">
        <f>ROUND(I492*H492,2)</f>
        <v>0</v>
      </c>
      <c r="BL492" s="17" t="s">
        <v>229</v>
      </c>
      <c r="BM492" s="138" t="s">
        <v>1198</v>
      </c>
    </row>
    <row r="493" spans="2:65" s="1" customFormat="1" ht="16.5" customHeight="1">
      <c r="B493" s="32"/>
      <c r="C493" s="127" t="s">
        <v>1199</v>
      </c>
      <c r="D493" s="127" t="s">
        <v>129</v>
      </c>
      <c r="E493" s="128" t="s">
        <v>1200</v>
      </c>
      <c r="F493" s="129" t="s">
        <v>1194</v>
      </c>
      <c r="G493" s="130" t="s">
        <v>425</v>
      </c>
      <c r="H493" s="169"/>
      <c r="I493" s="132"/>
      <c r="J493" s="133">
        <f>ROUND(I493*H493,2)</f>
        <v>0</v>
      </c>
      <c r="K493" s="129" t="s">
        <v>19</v>
      </c>
      <c r="L493" s="32"/>
      <c r="M493" s="134" t="s">
        <v>19</v>
      </c>
      <c r="N493" s="135" t="s">
        <v>42</v>
      </c>
      <c r="P493" s="136">
        <f>O493*H493</f>
        <v>0</v>
      </c>
      <c r="Q493" s="136">
        <v>0</v>
      </c>
      <c r="R493" s="136">
        <f>Q493*H493</f>
        <v>0</v>
      </c>
      <c r="S493" s="136">
        <v>0</v>
      </c>
      <c r="T493" s="137">
        <f>S493*H493</f>
        <v>0</v>
      </c>
      <c r="AR493" s="138" t="s">
        <v>229</v>
      </c>
      <c r="AT493" s="138" t="s">
        <v>129</v>
      </c>
      <c r="AU493" s="138" t="s">
        <v>81</v>
      </c>
      <c r="AY493" s="17" t="s">
        <v>127</v>
      </c>
      <c r="BE493" s="139">
        <f>IF(N493="základní",J493,0)</f>
        <v>0</v>
      </c>
      <c r="BF493" s="139">
        <f>IF(N493="snížená",J493,0)</f>
        <v>0</v>
      </c>
      <c r="BG493" s="139">
        <f>IF(N493="zákl. přenesená",J493,0)</f>
        <v>0</v>
      </c>
      <c r="BH493" s="139">
        <f>IF(N493="sníž. přenesená",J493,0)</f>
        <v>0</v>
      </c>
      <c r="BI493" s="139">
        <f>IF(N493="nulová",J493,0)</f>
        <v>0</v>
      </c>
      <c r="BJ493" s="17" t="s">
        <v>79</v>
      </c>
      <c r="BK493" s="139">
        <f>ROUND(I493*H493,2)</f>
        <v>0</v>
      </c>
      <c r="BL493" s="17" t="s">
        <v>229</v>
      </c>
      <c r="BM493" s="138" t="s">
        <v>1201</v>
      </c>
    </row>
    <row r="494" spans="2:65" s="11" customFormat="1" ht="22.9" customHeight="1">
      <c r="B494" s="115"/>
      <c r="D494" s="116" t="s">
        <v>70</v>
      </c>
      <c r="E494" s="125" t="s">
        <v>440</v>
      </c>
      <c r="F494" s="125" t="s">
        <v>1202</v>
      </c>
      <c r="I494" s="118"/>
      <c r="J494" s="126">
        <f>BK494</f>
        <v>0</v>
      </c>
      <c r="L494" s="115"/>
      <c r="M494" s="120"/>
      <c r="P494" s="121">
        <f>SUM(P495:P498)</f>
        <v>0</v>
      </c>
      <c r="R494" s="121">
        <f>SUM(R495:R498)</f>
        <v>0</v>
      </c>
      <c r="T494" s="122">
        <f>SUM(T495:T498)</f>
        <v>0</v>
      </c>
      <c r="AR494" s="116" t="s">
        <v>81</v>
      </c>
      <c r="AT494" s="123" t="s">
        <v>70</v>
      </c>
      <c r="AU494" s="123" t="s">
        <v>79</v>
      </c>
      <c r="AY494" s="116" t="s">
        <v>127</v>
      </c>
      <c r="BK494" s="124">
        <f>SUM(BK495:BK498)</f>
        <v>0</v>
      </c>
    </row>
    <row r="495" spans="2:65" s="1" customFormat="1" ht="16.5" customHeight="1">
      <c r="B495" s="32"/>
      <c r="C495" s="127" t="s">
        <v>1203</v>
      </c>
      <c r="D495" s="127" t="s">
        <v>129</v>
      </c>
      <c r="E495" s="128" t="s">
        <v>443</v>
      </c>
      <c r="F495" s="129" t="s">
        <v>1204</v>
      </c>
      <c r="G495" s="130" t="s">
        <v>191</v>
      </c>
      <c r="H495" s="131">
        <v>1</v>
      </c>
      <c r="I495" s="132">
        <f>elektroinstalace!F113</f>
        <v>0</v>
      </c>
      <c r="J495" s="133">
        <f>ROUND(I495*H495,2)</f>
        <v>0</v>
      </c>
      <c r="K495" s="129" t="s">
        <v>19</v>
      </c>
      <c r="L495" s="32"/>
      <c r="M495" s="134" t="s">
        <v>19</v>
      </c>
      <c r="N495" s="135" t="s">
        <v>42</v>
      </c>
      <c r="P495" s="136">
        <f>O495*H495</f>
        <v>0</v>
      </c>
      <c r="Q495" s="136">
        <v>0</v>
      </c>
      <c r="R495" s="136">
        <f>Q495*H495</f>
        <v>0</v>
      </c>
      <c r="S495" s="136">
        <v>0</v>
      </c>
      <c r="T495" s="137">
        <f>S495*H495</f>
        <v>0</v>
      </c>
      <c r="AR495" s="138" t="s">
        <v>229</v>
      </c>
      <c r="AT495" s="138" t="s">
        <v>129</v>
      </c>
      <c r="AU495" s="138" t="s">
        <v>81</v>
      </c>
      <c r="AY495" s="17" t="s">
        <v>127</v>
      </c>
      <c r="BE495" s="139">
        <f>IF(N495="základní",J495,0)</f>
        <v>0</v>
      </c>
      <c r="BF495" s="139">
        <f>IF(N495="snížená",J495,0)</f>
        <v>0</v>
      </c>
      <c r="BG495" s="139">
        <f>IF(N495="zákl. přenesená",J495,0)</f>
        <v>0</v>
      </c>
      <c r="BH495" s="139">
        <f>IF(N495="sníž. přenesená",J495,0)</f>
        <v>0</v>
      </c>
      <c r="BI495" s="139">
        <f>IF(N495="nulová",J495,0)</f>
        <v>0</v>
      </c>
      <c r="BJ495" s="17" t="s">
        <v>79</v>
      </c>
      <c r="BK495" s="139">
        <f>ROUND(I495*H495,2)</f>
        <v>0</v>
      </c>
      <c r="BL495" s="17" t="s">
        <v>229</v>
      </c>
      <c r="BM495" s="138" t="s">
        <v>1205</v>
      </c>
    </row>
    <row r="496" spans="2:65" s="1" customFormat="1" ht="16.5" customHeight="1">
      <c r="B496" s="32"/>
      <c r="C496" s="127" t="s">
        <v>1206</v>
      </c>
      <c r="D496" s="127" t="s">
        <v>129</v>
      </c>
      <c r="E496" s="128" t="s">
        <v>447</v>
      </c>
      <c r="F496" s="129" t="s">
        <v>1207</v>
      </c>
      <c r="G496" s="130" t="s">
        <v>191</v>
      </c>
      <c r="H496" s="131">
        <v>1</v>
      </c>
      <c r="I496" s="132">
        <f>slaboproud!E127</f>
        <v>0</v>
      </c>
      <c r="J496" s="133">
        <f>ROUND(I496*H496,2)</f>
        <v>0</v>
      </c>
      <c r="K496" s="129" t="s">
        <v>19</v>
      </c>
      <c r="L496" s="32"/>
      <c r="M496" s="134" t="s">
        <v>19</v>
      </c>
      <c r="N496" s="135" t="s">
        <v>42</v>
      </c>
      <c r="P496" s="136">
        <f>O496*H496</f>
        <v>0</v>
      </c>
      <c r="Q496" s="136">
        <v>0</v>
      </c>
      <c r="R496" s="136">
        <f>Q496*H496</f>
        <v>0</v>
      </c>
      <c r="S496" s="136">
        <v>0</v>
      </c>
      <c r="T496" s="137">
        <f>S496*H496</f>
        <v>0</v>
      </c>
      <c r="AR496" s="138" t="s">
        <v>229</v>
      </c>
      <c r="AT496" s="138" t="s">
        <v>129</v>
      </c>
      <c r="AU496" s="138" t="s">
        <v>81</v>
      </c>
      <c r="AY496" s="17" t="s">
        <v>127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7" t="s">
        <v>79</v>
      </c>
      <c r="BK496" s="139">
        <f>ROUND(I496*H496,2)</f>
        <v>0</v>
      </c>
      <c r="BL496" s="17" t="s">
        <v>229</v>
      </c>
      <c r="BM496" s="138" t="s">
        <v>1208</v>
      </c>
    </row>
    <row r="497" spans="2:65" s="1" customFormat="1" ht="16.5" customHeight="1">
      <c r="B497" s="32"/>
      <c r="C497" s="127" t="s">
        <v>1209</v>
      </c>
      <c r="D497" s="127" t="s">
        <v>129</v>
      </c>
      <c r="E497" s="128" t="s">
        <v>1210</v>
      </c>
      <c r="F497" s="129" t="s">
        <v>1194</v>
      </c>
      <c r="G497" s="130" t="s">
        <v>425</v>
      </c>
      <c r="H497" s="169"/>
      <c r="I497" s="132"/>
      <c r="J497" s="133">
        <f>ROUND(I497*H497,2)</f>
        <v>0</v>
      </c>
      <c r="K497" s="129" t="s">
        <v>19</v>
      </c>
      <c r="L497" s="32"/>
      <c r="M497" s="134" t="s">
        <v>19</v>
      </c>
      <c r="N497" s="135" t="s">
        <v>42</v>
      </c>
      <c r="P497" s="136">
        <f>O497*H497</f>
        <v>0</v>
      </c>
      <c r="Q497" s="136">
        <v>0</v>
      </c>
      <c r="R497" s="136">
        <f>Q497*H497</f>
        <v>0</v>
      </c>
      <c r="S497" s="136">
        <v>0</v>
      </c>
      <c r="T497" s="137">
        <f>S497*H497</f>
        <v>0</v>
      </c>
      <c r="AR497" s="138" t="s">
        <v>229</v>
      </c>
      <c r="AT497" s="138" t="s">
        <v>129</v>
      </c>
      <c r="AU497" s="138" t="s">
        <v>81</v>
      </c>
      <c r="AY497" s="17" t="s">
        <v>127</v>
      </c>
      <c r="BE497" s="139">
        <f>IF(N497="základní",J497,0)</f>
        <v>0</v>
      </c>
      <c r="BF497" s="139">
        <f>IF(N497="snížená",J497,0)</f>
        <v>0</v>
      </c>
      <c r="BG497" s="139">
        <f>IF(N497="zákl. přenesená",J497,0)</f>
        <v>0</v>
      </c>
      <c r="BH497" s="139">
        <f>IF(N497="sníž. přenesená",J497,0)</f>
        <v>0</v>
      </c>
      <c r="BI497" s="139">
        <f>IF(N497="nulová",J497,0)</f>
        <v>0</v>
      </c>
      <c r="BJ497" s="17" t="s">
        <v>79</v>
      </c>
      <c r="BK497" s="139">
        <f>ROUND(I497*H497,2)</f>
        <v>0</v>
      </c>
      <c r="BL497" s="17" t="s">
        <v>229</v>
      </c>
      <c r="BM497" s="138" t="s">
        <v>1211</v>
      </c>
    </row>
    <row r="498" spans="2:65" s="1" customFormat="1" ht="16.5" customHeight="1">
      <c r="B498" s="32"/>
      <c r="C498" s="127" t="s">
        <v>1212</v>
      </c>
      <c r="D498" s="127" t="s">
        <v>129</v>
      </c>
      <c r="E498" s="128" t="s">
        <v>1213</v>
      </c>
      <c r="F498" s="129" t="s">
        <v>1214</v>
      </c>
      <c r="G498" s="130" t="s">
        <v>191</v>
      </c>
      <c r="H498" s="131">
        <v>1</v>
      </c>
      <c r="I498" s="132"/>
      <c r="J498" s="133">
        <f>ROUND(I498*H498,2)</f>
        <v>0</v>
      </c>
      <c r="K498" s="129" t="s">
        <v>19</v>
      </c>
      <c r="L498" s="32"/>
      <c r="M498" s="134" t="s">
        <v>19</v>
      </c>
      <c r="N498" s="135" t="s">
        <v>42</v>
      </c>
      <c r="P498" s="136">
        <f>O498*H498</f>
        <v>0</v>
      </c>
      <c r="Q498" s="136">
        <v>0</v>
      </c>
      <c r="R498" s="136">
        <f>Q498*H498</f>
        <v>0</v>
      </c>
      <c r="S498" s="136">
        <v>0</v>
      </c>
      <c r="T498" s="137">
        <f>S498*H498</f>
        <v>0</v>
      </c>
      <c r="AR498" s="138" t="s">
        <v>229</v>
      </c>
      <c r="AT498" s="138" t="s">
        <v>129</v>
      </c>
      <c r="AU498" s="138" t="s">
        <v>81</v>
      </c>
      <c r="AY498" s="17" t="s">
        <v>127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79</v>
      </c>
      <c r="BK498" s="139">
        <f>ROUND(I498*H498,2)</f>
        <v>0</v>
      </c>
      <c r="BL498" s="17" t="s">
        <v>229</v>
      </c>
      <c r="BM498" s="138" t="s">
        <v>1215</v>
      </c>
    </row>
    <row r="499" spans="2:65" s="11" customFormat="1" ht="22.9" customHeight="1">
      <c r="B499" s="115"/>
      <c r="D499" s="116" t="s">
        <v>70</v>
      </c>
      <c r="E499" s="125" t="s">
        <v>450</v>
      </c>
      <c r="F499" s="125" t="s">
        <v>451</v>
      </c>
      <c r="I499" s="118"/>
      <c r="J499" s="126">
        <f>BK499</f>
        <v>0</v>
      </c>
      <c r="L499" s="115"/>
      <c r="M499" s="120"/>
      <c r="P499" s="121">
        <f>SUM(P500:P502)</f>
        <v>0</v>
      </c>
      <c r="R499" s="121">
        <f>SUM(R500:R502)</f>
        <v>0</v>
      </c>
      <c r="T499" s="122">
        <f>SUM(T500:T502)</f>
        <v>0</v>
      </c>
      <c r="AR499" s="116" t="s">
        <v>81</v>
      </c>
      <c r="AT499" s="123" t="s">
        <v>70</v>
      </c>
      <c r="AU499" s="123" t="s">
        <v>79</v>
      </c>
      <c r="AY499" s="116" t="s">
        <v>127</v>
      </c>
      <c r="BK499" s="124">
        <f>SUM(BK500:BK502)</f>
        <v>0</v>
      </c>
    </row>
    <row r="500" spans="2:65" s="1" customFormat="1" ht="16.5" customHeight="1">
      <c r="B500" s="32"/>
      <c r="C500" s="127" t="s">
        <v>1216</v>
      </c>
      <c r="D500" s="127" t="s">
        <v>129</v>
      </c>
      <c r="E500" s="128" t="s">
        <v>1217</v>
      </c>
      <c r="F500" s="129" t="s">
        <v>1218</v>
      </c>
      <c r="G500" s="130" t="s">
        <v>191</v>
      </c>
      <c r="H500" s="131">
        <v>1</v>
      </c>
      <c r="I500" s="132">
        <f>klimatizace!J53</f>
        <v>0</v>
      </c>
      <c r="J500" s="133">
        <f>ROUND(I500*H500,2)</f>
        <v>0</v>
      </c>
      <c r="K500" s="129" t="s">
        <v>19</v>
      </c>
      <c r="L500" s="32"/>
      <c r="M500" s="134" t="s">
        <v>19</v>
      </c>
      <c r="N500" s="135" t="s">
        <v>42</v>
      </c>
      <c r="P500" s="136">
        <f>O500*H500</f>
        <v>0</v>
      </c>
      <c r="Q500" s="136">
        <v>0</v>
      </c>
      <c r="R500" s="136">
        <f>Q500*H500</f>
        <v>0</v>
      </c>
      <c r="S500" s="136">
        <v>0</v>
      </c>
      <c r="T500" s="137">
        <f>S500*H500</f>
        <v>0</v>
      </c>
      <c r="AR500" s="138" t="s">
        <v>229</v>
      </c>
      <c r="AT500" s="138" t="s">
        <v>129</v>
      </c>
      <c r="AU500" s="138" t="s">
        <v>81</v>
      </c>
      <c r="AY500" s="17" t="s">
        <v>127</v>
      </c>
      <c r="BE500" s="139">
        <f>IF(N500="základní",J500,0)</f>
        <v>0</v>
      </c>
      <c r="BF500" s="139">
        <f>IF(N500="snížená",J500,0)</f>
        <v>0</v>
      </c>
      <c r="BG500" s="139">
        <f>IF(N500="zákl. přenesená",J500,0)</f>
        <v>0</v>
      </c>
      <c r="BH500" s="139">
        <f>IF(N500="sníž. přenesená",J500,0)</f>
        <v>0</v>
      </c>
      <c r="BI500" s="139">
        <f>IF(N500="nulová",J500,0)</f>
        <v>0</v>
      </c>
      <c r="BJ500" s="17" t="s">
        <v>79</v>
      </c>
      <c r="BK500" s="139">
        <f>ROUND(I500*H500,2)</f>
        <v>0</v>
      </c>
      <c r="BL500" s="17" t="s">
        <v>229</v>
      </c>
      <c r="BM500" s="138" t="s">
        <v>1219</v>
      </c>
    </row>
    <row r="501" spans="2:65" s="1" customFormat="1" ht="16.5" customHeight="1">
      <c r="B501" s="32"/>
      <c r="C501" s="127" t="s">
        <v>1220</v>
      </c>
      <c r="D501" s="127" t="s">
        <v>129</v>
      </c>
      <c r="E501" s="128" t="s">
        <v>1221</v>
      </c>
      <c r="F501" s="129" t="s">
        <v>1222</v>
      </c>
      <c r="G501" s="130" t="s">
        <v>191</v>
      </c>
      <c r="H501" s="131">
        <v>2</v>
      </c>
      <c r="I501" s="132"/>
      <c r="J501" s="133">
        <f>ROUND(I501*H501,2)</f>
        <v>0</v>
      </c>
      <c r="K501" s="129" t="s">
        <v>19</v>
      </c>
      <c r="L501" s="32"/>
      <c r="M501" s="134" t="s">
        <v>19</v>
      </c>
      <c r="N501" s="135" t="s">
        <v>42</v>
      </c>
      <c r="P501" s="136">
        <f>O501*H501</f>
        <v>0</v>
      </c>
      <c r="Q501" s="136">
        <v>0</v>
      </c>
      <c r="R501" s="136">
        <f>Q501*H501</f>
        <v>0</v>
      </c>
      <c r="S501" s="136">
        <v>0</v>
      </c>
      <c r="T501" s="137">
        <f>S501*H501</f>
        <v>0</v>
      </c>
      <c r="AR501" s="138" t="s">
        <v>229</v>
      </c>
      <c r="AT501" s="138" t="s">
        <v>129</v>
      </c>
      <c r="AU501" s="138" t="s">
        <v>81</v>
      </c>
      <c r="AY501" s="17" t="s">
        <v>127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79</v>
      </c>
      <c r="BK501" s="139">
        <f>ROUND(I501*H501,2)</f>
        <v>0</v>
      </c>
      <c r="BL501" s="17" t="s">
        <v>229</v>
      </c>
      <c r="BM501" s="138" t="s">
        <v>1223</v>
      </c>
    </row>
    <row r="502" spans="2:65" s="1" customFormat="1" ht="16.5" customHeight="1">
      <c r="B502" s="32"/>
      <c r="C502" s="127" t="s">
        <v>1224</v>
      </c>
      <c r="D502" s="127" t="s">
        <v>129</v>
      </c>
      <c r="E502" s="128" t="s">
        <v>1225</v>
      </c>
      <c r="F502" s="129" t="s">
        <v>1194</v>
      </c>
      <c r="G502" s="130" t="s">
        <v>425</v>
      </c>
      <c r="H502" s="169"/>
      <c r="I502" s="132"/>
      <c r="J502" s="133">
        <f>ROUND(I502*H502,2)</f>
        <v>0</v>
      </c>
      <c r="K502" s="129" t="s">
        <v>19</v>
      </c>
      <c r="L502" s="32"/>
      <c r="M502" s="134" t="s">
        <v>19</v>
      </c>
      <c r="N502" s="135" t="s">
        <v>42</v>
      </c>
      <c r="P502" s="136">
        <f>O502*H502</f>
        <v>0</v>
      </c>
      <c r="Q502" s="136">
        <v>0</v>
      </c>
      <c r="R502" s="136">
        <f>Q502*H502</f>
        <v>0</v>
      </c>
      <c r="S502" s="136">
        <v>0</v>
      </c>
      <c r="T502" s="137">
        <f>S502*H502</f>
        <v>0</v>
      </c>
      <c r="AR502" s="138" t="s">
        <v>229</v>
      </c>
      <c r="AT502" s="138" t="s">
        <v>129</v>
      </c>
      <c r="AU502" s="138" t="s">
        <v>81</v>
      </c>
      <c r="AY502" s="17" t="s">
        <v>127</v>
      </c>
      <c r="BE502" s="139">
        <f>IF(N502="základní",J502,0)</f>
        <v>0</v>
      </c>
      <c r="BF502" s="139">
        <f>IF(N502="snížená",J502,0)</f>
        <v>0</v>
      </c>
      <c r="BG502" s="139">
        <f>IF(N502="zákl. přenesená",J502,0)</f>
        <v>0</v>
      </c>
      <c r="BH502" s="139">
        <f>IF(N502="sníž. přenesená",J502,0)</f>
        <v>0</v>
      </c>
      <c r="BI502" s="139">
        <f>IF(N502="nulová",J502,0)</f>
        <v>0</v>
      </c>
      <c r="BJ502" s="17" t="s">
        <v>79</v>
      </c>
      <c r="BK502" s="139">
        <f>ROUND(I502*H502,2)</f>
        <v>0</v>
      </c>
      <c r="BL502" s="17" t="s">
        <v>229</v>
      </c>
      <c r="BM502" s="138" t="s">
        <v>1226</v>
      </c>
    </row>
    <row r="503" spans="2:65" s="11" customFormat="1" ht="22.9" customHeight="1">
      <c r="B503" s="115"/>
      <c r="D503" s="116" t="s">
        <v>70</v>
      </c>
      <c r="E503" s="125" t="s">
        <v>456</v>
      </c>
      <c r="F503" s="125" t="s">
        <v>457</v>
      </c>
      <c r="I503" s="118"/>
      <c r="J503" s="126">
        <f>BK503</f>
        <v>0</v>
      </c>
      <c r="L503" s="115"/>
      <c r="M503" s="120"/>
      <c r="P503" s="121">
        <f>SUM(P504:P614)</f>
        <v>0</v>
      </c>
      <c r="R503" s="121">
        <f>SUM(R504:R614)</f>
        <v>80.643453960000016</v>
      </c>
      <c r="T503" s="122">
        <f>SUM(T504:T614)</f>
        <v>0</v>
      </c>
      <c r="AR503" s="116" t="s">
        <v>81</v>
      </c>
      <c r="AT503" s="123" t="s">
        <v>70</v>
      </c>
      <c r="AU503" s="123" t="s">
        <v>79</v>
      </c>
      <c r="AY503" s="116" t="s">
        <v>127</v>
      </c>
      <c r="BK503" s="124">
        <f>SUM(BK504:BK614)</f>
        <v>0</v>
      </c>
    </row>
    <row r="504" spans="2:65" s="1" customFormat="1" ht="16.5" customHeight="1">
      <c r="B504" s="32"/>
      <c r="C504" s="127" t="s">
        <v>1227</v>
      </c>
      <c r="D504" s="127" t="s">
        <v>129</v>
      </c>
      <c r="E504" s="128" t="s">
        <v>1228</v>
      </c>
      <c r="F504" s="129" t="s">
        <v>1229</v>
      </c>
      <c r="G504" s="130" t="s">
        <v>147</v>
      </c>
      <c r="H504" s="131">
        <v>28.068999999999999</v>
      </c>
      <c r="I504" s="132"/>
      <c r="J504" s="133">
        <f>ROUND(I504*H504,2)</f>
        <v>0</v>
      </c>
      <c r="K504" s="129" t="s">
        <v>133</v>
      </c>
      <c r="L504" s="32"/>
      <c r="M504" s="134" t="s">
        <v>19</v>
      </c>
      <c r="N504" s="135" t="s">
        <v>42</v>
      </c>
      <c r="P504" s="136">
        <f>O504*H504</f>
        <v>0</v>
      </c>
      <c r="Q504" s="136">
        <v>0</v>
      </c>
      <c r="R504" s="136">
        <f>Q504*H504</f>
        <v>0</v>
      </c>
      <c r="S504" s="136">
        <v>0</v>
      </c>
      <c r="T504" s="137">
        <f>S504*H504</f>
        <v>0</v>
      </c>
      <c r="AR504" s="138" t="s">
        <v>229</v>
      </c>
      <c r="AT504" s="138" t="s">
        <v>129</v>
      </c>
      <c r="AU504" s="138" t="s">
        <v>81</v>
      </c>
      <c r="AY504" s="17" t="s">
        <v>127</v>
      </c>
      <c r="BE504" s="139">
        <f>IF(N504="základní",J504,0)</f>
        <v>0</v>
      </c>
      <c r="BF504" s="139">
        <f>IF(N504="snížená",J504,0)</f>
        <v>0</v>
      </c>
      <c r="BG504" s="139">
        <f>IF(N504="zákl. přenesená",J504,0)</f>
        <v>0</v>
      </c>
      <c r="BH504" s="139">
        <f>IF(N504="sníž. přenesená",J504,0)</f>
        <v>0</v>
      </c>
      <c r="BI504" s="139">
        <f>IF(N504="nulová",J504,0)</f>
        <v>0</v>
      </c>
      <c r="BJ504" s="17" t="s">
        <v>79</v>
      </c>
      <c r="BK504" s="139">
        <f>ROUND(I504*H504,2)</f>
        <v>0</v>
      </c>
      <c r="BL504" s="17" t="s">
        <v>229</v>
      </c>
      <c r="BM504" s="138" t="s">
        <v>1230</v>
      </c>
    </row>
    <row r="505" spans="2:65" s="1" customFormat="1">
      <c r="B505" s="32"/>
      <c r="D505" s="140" t="s">
        <v>136</v>
      </c>
      <c r="F505" s="141" t="s">
        <v>1231</v>
      </c>
      <c r="I505" s="142"/>
      <c r="L505" s="32"/>
      <c r="M505" s="143"/>
      <c r="T505" s="51"/>
      <c r="AT505" s="17" t="s">
        <v>136</v>
      </c>
      <c r="AU505" s="17" t="s">
        <v>81</v>
      </c>
    </row>
    <row r="506" spans="2:65" s="12" customFormat="1">
      <c r="B506" s="144"/>
      <c r="D506" s="145" t="s">
        <v>138</v>
      </c>
      <c r="E506" s="146" t="s">
        <v>19</v>
      </c>
      <c r="F506" s="147" t="s">
        <v>1232</v>
      </c>
      <c r="H506" s="148">
        <v>17.745000000000001</v>
      </c>
      <c r="I506" s="149"/>
      <c r="L506" s="144"/>
      <c r="M506" s="150"/>
      <c r="T506" s="151"/>
      <c r="AT506" s="146" t="s">
        <v>138</v>
      </c>
      <c r="AU506" s="146" t="s">
        <v>81</v>
      </c>
      <c r="AV506" s="12" t="s">
        <v>81</v>
      </c>
      <c r="AW506" s="12" t="s">
        <v>33</v>
      </c>
      <c r="AX506" s="12" t="s">
        <v>71</v>
      </c>
      <c r="AY506" s="146" t="s">
        <v>127</v>
      </c>
    </row>
    <row r="507" spans="2:65" s="12" customFormat="1">
      <c r="B507" s="144"/>
      <c r="D507" s="145" t="s">
        <v>138</v>
      </c>
      <c r="E507" s="146" t="s">
        <v>19</v>
      </c>
      <c r="F507" s="147" t="s">
        <v>1233</v>
      </c>
      <c r="H507" s="148">
        <v>4.8220000000000001</v>
      </c>
      <c r="I507" s="149"/>
      <c r="L507" s="144"/>
      <c r="M507" s="150"/>
      <c r="T507" s="151"/>
      <c r="AT507" s="146" t="s">
        <v>138</v>
      </c>
      <c r="AU507" s="146" t="s">
        <v>81</v>
      </c>
      <c r="AV507" s="12" t="s">
        <v>81</v>
      </c>
      <c r="AW507" s="12" t="s">
        <v>33</v>
      </c>
      <c r="AX507" s="12" t="s">
        <v>71</v>
      </c>
      <c r="AY507" s="146" t="s">
        <v>127</v>
      </c>
    </row>
    <row r="508" spans="2:65" s="12" customFormat="1">
      <c r="B508" s="144"/>
      <c r="D508" s="145" t="s">
        <v>138</v>
      </c>
      <c r="E508" s="146" t="s">
        <v>19</v>
      </c>
      <c r="F508" s="147" t="s">
        <v>1234</v>
      </c>
      <c r="H508" s="148">
        <v>1.393</v>
      </c>
      <c r="I508" s="149"/>
      <c r="L508" s="144"/>
      <c r="M508" s="150"/>
      <c r="T508" s="151"/>
      <c r="AT508" s="146" t="s">
        <v>138</v>
      </c>
      <c r="AU508" s="146" t="s">
        <v>81</v>
      </c>
      <c r="AV508" s="12" t="s">
        <v>81</v>
      </c>
      <c r="AW508" s="12" t="s">
        <v>33</v>
      </c>
      <c r="AX508" s="12" t="s">
        <v>71</v>
      </c>
      <c r="AY508" s="146" t="s">
        <v>127</v>
      </c>
    </row>
    <row r="509" spans="2:65" s="12" customFormat="1">
      <c r="B509" s="144"/>
      <c r="D509" s="145" t="s">
        <v>138</v>
      </c>
      <c r="E509" s="146" t="s">
        <v>19</v>
      </c>
      <c r="F509" s="147" t="s">
        <v>1235</v>
      </c>
      <c r="H509" s="148">
        <v>4.109</v>
      </c>
      <c r="I509" s="149"/>
      <c r="L509" s="144"/>
      <c r="M509" s="150"/>
      <c r="T509" s="151"/>
      <c r="AT509" s="146" t="s">
        <v>138</v>
      </c>
      <c r="AU509" s="146" t="s">
        <v>81</v>
      </c>
      <c r="AV509" s="12" t="s">
        <v>81</v>
      </c>
      <c r="AW509" s="12" t="s">
        <v>33</v>
      </c>
      <c r="AX509" s="12" t="s">
        <v>71</v>
      </c>
      <c r="AY509" s="146" t="s">
        <v>127</v>
      </c>
    </row>
    <row r="510" spans="2:65" s="13" customFormat="1">
      <c r="B510" s="152"/>
      <c r="D510" s="145" t="s">
        <v>138</v>
      </c>
      <c r="E510" s="153" t="s">
        <v>19</v>
      </c>
      <c r="F510" s="154" t="s">
        <v>152</v>
      </c>
      <c r="H510" s="155">
        <v>28.069000000000003</v>
      </c>
      <c r="I510" s="156"/>
      <c r="L510" s="152"/>
      <c r="M510" s="157"/>
      <c r="T510" s="158"/>
      <c r="AT510" s="153" t="s">
        <v>138</v>
      </c>
      <c r="AU510" s="153" t="s">
        <v>81</v>
      </c>
      <c r="AV510" s="13" t="s">
        <v>134</v>
      </c>
      <c r="AW510" s="13" t="s">
        <v>33</v>
      </c>
      <c r="AX510" s="13" t="s">
        <v>79</v>
      </c>
      <c r="AY510" s="153" t="s">
        <v>127</v>
      </c>
    </row>
    <row r="511" spans="2:65" s="1" customFormat="1" ht="24.2" customHeight="1">
      <c r="B511" s="32"/>
      <c r="C511" s="127" t="s">
        <v>1236</v>
      </c>
      <c r="D511" s="127" t="s">
        <v>129</v>
      </c>
      <c r="E511" s="128" t="s">
        <v>1237</v>
      </c>
      <c r="F511" s="129" t="s">
        <v>1238</v>
      </c>
      <c r="G511" s="130" t="s">
        <v>147</v>
      </c>
      <c r="H511" s="131">
        <v>32.213000000000001</v>
      </c>
      <c r="I511" s="132"/>
      <c r="J511" s="133">
        <f>ROUND(I511*H511,2)</f>
        <v>0</v>
      </c>
      <c r="K511" s="129" t="s">
        <v>133</v>
      </c>
      <c r="L511" s="32"/>
      <c r="M511" s="134" t="s">
        <v>19</v>
      </c>
      <c r="N511" s="135" t="s">
        <v>42</v>
      </c>
      <c r="P511" s="136">
        <f>O511*H511</f>
        <v>0</v>
      </c>
      <c r="Q511" s="136">
        <v>1.08E-3</v>
      </c>
      <c r="R511" s="136">
        <f>Q511*H511</f>
        <v>3.4790040000000001E-2</v>
      </c>
      <c r="S511" s="136">
        <v>0</v>
      </c>
      <c r="T511" s="137">
        <f>S511*H511</f>
        <v>0</v>
      </c>
      <c r="AR511" s="138" t="s">
        <v>229</v>
      </c>
      <c r="AT511" s="138" t="s">
        <v>129</v>
      </c>
      <c r="AU511" s="138" t="s">
        <v>81</v>
      </c>
      <c r="AY511" s="17" t="s">
        <v>127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79</v>
      </c>
      <c r="BK511" s="139">
        <f>ROUND(I511*H511,2)</f>
        <v>0</v>
      </c>
      <c r="BL511" s="17" t="s">
        <v>229</v>
      </c>
      <c r="BM511" s="138" t="s">
        <v>1239</v>
      </c>
    </row>
    <row r="512" spans="2:65" s="1" customFormat="1">
      <c r="B512" s="32"/>
      <c r="D512" s="140" t="s">
        <v>136</v>
      </c>
      <c r="F512" s="141" t="s">
        <v>1240</v>
      </c>
      <c r="I512" s="142"/>
      <c r="L512" s="32"/>
      <c r="M512" s="143"/>
      <c r="T512" s="51"/>
      <c r="AT512" s="17" t="s">
        <v>136</v>
      </c>
      <c r="AU512" s="17" t="s">
        <v>81</v>
      </c>
    </row>
    <row r="513" spans="2:65" s="12" customFormat="1">
      <c r="B513" s="144"/>
      <c r="D513" s="145" t="s">
        <v>138</v>
      </c>
      <c r="E513" s="146" t="s">
        <v>19</v>
      </c>
      <c r="F513" s="147" t="s">
        <v>1232</v>
      </c>
      <c r="H513" s="148">
        <v>17.745000000000001</v>
      </c>
      <c r="I513" s="149"/>
      <c r="L513" s="144"/>
      <c r="M513" s="150"/>
      <c r="T513" s="151"/>
      <c r="AT513" s="146" t="s">
        <v>138</v>
      </c>
      <c r="AU513" s="146" t="s">
        <v>81</v>
      </c>
      <c r="AV513" s="12" t="s">
        <v>81</v>
      </c>
      <c r="AW513" s="12" t="s">
        <v>33</v>
      </c>
      <c r="AX513" s="12" t="s">
        <v>71</v>
      </c>
      <c r="AY513" s="146" t="s">
        <v>127</v>
      </c>
    </row>
    <row r="514" spans="2:65" s="12" customFormat="1">
      <c r="B514" s="144"/>
      <c r="D514" s="145" t="s">
        <v>138</v>
      </c>
      <c r="E514" s="146" t="s">
        <v>19</v>
      </c>
      <c r="F514" s="147" t="s">
        <v>1233</v>
      </c>
      <c r="H514" s="148">
        <v>4.8220000000000001</v>
      </c>
      <c r="I514" s="149"/>
      <c r="L514" s="144"/>
      <c r="M514" s="150"/>
      <c r="T514" s="151"/>
      <c r="AT514" s="146" t="s">
        <v>138</v>
      </c>
      <c r="AU514" s="146" t="s">
        <v>81</v>
      </c>
      <c r="AV514" s="12" t="s">
        <v>81</v>
      </c>
      <c r="AW514" s="12" t="s">
        <v>33</v>
      </c>
      <c r="AX514" s="12" t="s">
        <v>71</v>
      </c>
      <c r="AY514" s="146" t="s">
        <v>127</v>
      </c>
    </row>
    <row r="515" spans="2:65" s="12" customFormat="1">
      <c r="B515" s="144"/>
      <c r="D515" s="145" t="s">
        <v>138</v>
      </c>
      <c r="E515" s="146" t="s">
        <v>19</v>
      </c>
      <c r="F515" s="147" t="s">
        <v>1234</v>
      </c>
      <c r="H515" s="148">
        <v>1.393</v>
      </c>
      <c r="I515" s="149"/>
      <c r="L515" s="144"/>
      <c r="M515" s="150"/>
      <c r="T515" s="151"/>
      <c r="AT515" s="146" t="s">
        <v>138</v>
      </c>
      <c r="AU515" s="146" t="s">
        <v>81</v>
      </c>
      <c r="AV515" s="12" t="s">
        <v>81</v>
      </c>
      <c r="AW515" s="12" t="s">
        <v>33</v>
      </c>
      <c r="AX515" s="12" t="s">
        <v>71</v>
      </c>
      <c r="AY515" s="146" t="s">
        <v>127</v>
      </c>
    </row>
    <row r="516" spans="2:65" s="12" customFormat="1">
      <c r="B516" s="144"/>
      <c r="D516" s="145" t="s">
        <v>138</v>
      </c>
      <c r="E516" s="146" t="s">
        <v>19</v>
      </c>
      <c r="F516" s="147" t="s">
        <v>1235</v>
      </c>
      <c r="H516" s="148">
        <v>4.109</v>
      </c>
      <c r="I516" s="149"/>
      <c r="L516" s="144"/>
      <c r="M516" s="150"/>
      <c r="T516" s="151"/>
      <c r="AT516" s="146" t="s">
        <v>138</v>
      </c>
      <c r="AU516" s="146" t="s">
        <v>81</v>
      </c>
      <c r="AV516" s="12" t="s">
        <v>81</v>
      </c>
      <c r="AW516" s="12" t="s">
        <v>33</v>
      </c>
      <c r="AX516" s="12" t="s">
        <v>71</v>
      </c>
      <c r="AY516" s="146" t="s">
        <v>127</v>
      </c>
    </row>
    <row r="517" spans="2:65" s="12" customFormat="1">
      <c r="B517" s="144"/>
      <c r="D517" s="145" t="s">
        <v>138</v>
      </c>
      <c r="E517" s="146" t="s">
        <v>19</v>
      </c>
      <c r="F517" s="147" t="s">
        <v>1241</v>
      </c>
      <c r="H517" s="148">
        <v>4.1440000000000001</v>
      </c>
      <c r="I517" s="149"/>
      <c r="L517" s="144"/>
      <c r="M517" s="150"/>
      <c r="T517" s="151"/>
      <c r="AT517" s="146" t="s">
        <v>138</v>
      </c>
      <c r="AU517" s="146" t="s">
        <v>81</v>
      </c>
      <c r="AV517" s="12" t="s">
        <v>81</v>
      </c>
      <c r="AW517" s="12" t="s">
        <v>33</v>
      </c>
      <c r="AX517" s="12" t="s">
        <v>71</v>
      </c>
      <c r="AY517" s="146" t="s">
        <v>127</v>
      </c>
    </row>
    <row r="518" spans="2:65" s="13" customFormat="1">
      <c r="B518" s="152"/>
      <c r="D518" s="145" t="s">
        <v>138</v>
      </c>
      <c r="E518" s="153" t="s">
        <v>19</v>
      </c>
      <c r="F518" s="154" t="s">
        <v>152</v>
      </c>
      <c r="H518" s="155">
        <v>32.213000000000001</v>
      </c>
      <c r="I518" s="156"/>
      <c r="L518" s="152"/>
      <c r="M518" s="157"/>
      <c r="T518" s="158"/>
      <c r="AT518" s="153" t="s">
        <v>138</v>
      </c>
      <c r="AU518" s="153" t="s">
        <v>81</v>
      </c>
      <c r="AV518" s="13" t="s">
        <v>134</v>
      </c>
      <c r="AW518" s="13" t="s">
        <v>33</v>
      </c>
      <c r="AX518" s="13" t="s">
        <v>79</v>
      </c>
      <c r="AY518" s="153" t="s">
        <v>127</v>
      </c>
    </row>
    <row r="519" spans="2:65" s="1" customFormat="1" ht="37.9" customHeight="1">
      <c r="B519" s="32"/>
      <c r="C519" s="127" t="s">
        <v>1242</v>
      </c>
      <c r="D519" s="127" t="s">
        <v>129</v>
      </c>
      <c r="E519" s="128" t="s">
        <v>1243</v>
      </c>
      <c r="F519" s="129" t="s">
        <v>1244</v>
      </c>
      <c r="G519" s="130" t="s">
        <v>257</v>
      </c>
      <c r="H519" s="131">
        <v>1170.2</v>
      </c>
      <c r="I519" s="132"/>
      <c r="J519" s="133">
        <f>ROUND(I519*H519,2)</f>
        <v>0</v>
      </c>
      <c r="K519" s="129" t="s">
        <v>133</v>
      </c>
      <c r="L519" s="32"/>
      <c r="M519" s="134" t="s">
        <v>19</v>
      </c>
      <c r="N519" s="135" t="s">
        <v>42</v>
      </c>
      <c r="P519" s="136">
        <f>O519*H519</f>
        <v>0</v>
      </c>
      <c r="Q519" s="136">
        <v>0</v>
      </c>
      <c r="R519" s="136">
        <f>Q519*H519</f>
        <v>0</v>
      </c>
      <c r="S519" s="136">
        <v>0</v>
      </c>
      <c r="T519" s="137">
        <f>S519*H519</f>
        <v>0</v>
      </c>
      <c r="AR519" s="138" t="s">
        <v>229</v>
      </c>
      <c r="AT519" s="138" t="s">
        <v>129</v>
      </c>
      <c r="AU519" s="138" t="s">
        <v>81</v>
      </c>
      <c r="AY519" s="17" t="s">
        <v>127</v>
      </c>
      <c r="BE519" s="139">
        <f>IF(N519="základní",J519,0)</f>
        <v>0</v>
      </c>
      <c r="BF519" s="139">
        <f>IF(N519="snížená",J519,0)</f>
        <v>0</v>
      </c>
      <c r="BG519" s="139">
        <f>IF(N519="zákl. přenesená",J519,0)</f>
        <v>0</v>
      </c>
      <c r="BH519" s="139">
        <f>IF(N519="sníž. přenesená",J519,0)</f>
        <v>0</v>
      </c>
      <c r="BI519" s="139">
        <f>IF(N519="nulová",J519,0)</f>
        <v>0</v>
      </c>
      <c r="BJ519" s="17" t="s">
        <v>79</v>
      </c>
      <c r="BK519" s="139">
        <f>ROUND(I519*H519,2)</f>
        <v>0</v>
      </c>
      <c r="BL519" s="17" t="s">
        <v>229</v>
      </c>
      <c r="BM519" s="138" t="s">
        <v>1245</v>
      </c>
    </row>
    <row r="520" spans="2:65" s="1" customFormat="1">
      <c r="B520" s="32"/>
      <c r="D520" s="140" t="s">
        <v>136</v>
      </c>
      <c r="F520" s="141" t="s">
        <v>1246</v>
      </c>
      <c r="I520" s="142"/>
      <c r="L520" s="32"/>
      <c r="M520" s="143"/>
      <c r="T520" s="51"/>
      <c r="AT520" s="17" t="s">
        <v>136</v>
      </c>
      <c r="AU520" s="17" t="s">
        <v>81</v>
      </c>
    </row>
    <row r="521" spans="2:65" s="12" customFormat="1">
      <c r="B521" s="144"/>
      <c r="D521" s="145" t="s">
        <v>138</v>
      </c>
      <c r="E521" s="146" t="s">
        <v>19</v>
      </c>
      <c r="F521" s="147" t="s">
        <v>1247</v>
      </c>
      <c r="H521" s="148">
        <v>924.2</v>
      </c>
      <c r="I521" s="149"/>
      <c r="L521" s="144"/>
      <c r="M521" s="150"/>
      <c r="T521" s="151"/>
      <c r="AT521" s="146" t="s">
        <v>138</v>
      </c>
      <c r="AU521" s="146" t="s">
        <v>81</v>
      </c>
      <c r="AV521" s="12" t="s">
        <v>81</v>
      </c>
      <c r="AW521" s="12" t="s">
        <v>33</v>
      </c>
      <c r="AX521" s="12" t="s">
        <v>71</v>
      </c>
      <c r="AY521" s="146" t="s">
        <v>127</v>
      </c>
    </row>
    <row r="522" spans="2:65" s="12" customFormat="1">
      <c r="B522" s="144"/>
      <c r="D522" s="145" t="s">
        <v>138</v>
      </c>
      <c r="E522" s="146" t="s">
        <v>19</v>
      </c>
      <c r="F522" s="147" t="s">
        <v>1248</v>
      </c>
      <c r="H522" s="148">
        <v>246</v>
      </c>
      <c r="I522" s="149"/>
      <c r="L522" s="144"/>
      <c r="M522" s="150"/>
      <c r="T522" s="151"/>
      <c r="AT522" s="146" t="s">
        <v>138</v>
      </c>
      <c r="AU522" s="146" t="s">
        <v>81</v>
      </c>
      <c r="AV522" s="12" t="s">
        <v>81</v>
      </c>
      <c r="AW522" s="12" t="s">
        <v>33</v>
      </c>
      <c r="AX522" s="12" t="s">
        <v>71</v>
      </c>
      <c r="AY522" s="146" t="s">
        <v>127</v>
      </c>
    </row>
    <row r="523" spans="2:65" s="13" customFormat="1">
      <c r="B523" s="152"/>
      <c r="D523" s="145" t="s">
        <v>138</v>
      </c>
      <c r="E523" s="153" t="s">
        <v>19</v>
      </c>
      <c r="F523" s="154" t="s">
        <v>152</v>
      </c>
      <c r="H523" s="155">
        <v>1170.2</v>
      </c>
      <c r="I523" s="156"/>
      <c r="L523" s="152"/>
      <c r="M523" s="157"/>
      <c r="T523" s="158"/>
      <c r="AT523" s="153" t="s">
        <v>138</v>
      </c>
      <c r="AU523" s="153" t="s">
        <v>81</v>
      </c>
      <c r="AV523" s="13" t="s">
        <v>134</v>
      </c>
      <c r="AW523" s="13" t="s">
        <v>33</v>
      </c>
      <c r="AX523" s="13" t="s">
        <v>79</v>
      </c>
      <c r="AY523" s="153" t="s">
        <v>127</v>
      </c>
    </row>
    <row r="524" spans="2:65" s="1" customFormat="1" ht="16.5" customHeight="1">
      <c r="B524" s="32"/>
      <c r="C524" s="159" t="s">
        <v>1249</v>
      </c>
      <c r="D524" s="159" t="s">
        <v>413</v>
      </c>
      <c r="E524" s="160" t="s">
        <v>1250</v>
      </c>
      <c r="F524" s="161" t="s">
        <v>1251</v>
      </c>
      <c r="G524" s="162" t="s">
        <v>147</v>
      </c>
      <c r="H524" s="163">
        <v>24.824000000000002</v>
      </c>
      <c r="I524" s="164"/>
      <c r="J524" s="165">
        <f>ROUND(I524*H524,2)</f>
        <v>0</v>
      </c>
      <c r="K524" s="161" t="s">
        <v>133</v>
      </c>
      <c r="L524" s="166"/>
      <c r="M524" s="167" t="s">
        <v>19</v>
      </c>
      <c r="N524" s="168" t="s">
        <v>42</v>
      </c>
      <c r="P524" s="136">
        <f>O524*H524</f>
        <v>0</v>
      </c>
      <c r="Q524" s="136">
        <v>0.55000000000000004</v>
      </c>
      <c r="R524" s="136">
        <f>Q524*H524</f>
        <v>13.653200000000002</v>
      </c>
      <c r="S524" s="136">
        <v>0</v>
      </c>
      <c r="T524" s="137">
        <f>S524*H524</f>
        <v>0</v>
      </c>
      <c r="AR524" s="138" t="s">
        <v>333</v>
      </c>
      <c r="AT524" s="138" t="s">
        <v>413</v>
      </c>
      <c r="AU524" s="138" t="s">
        <v>81</v>
      </c>
      <c r="AY524" s="17" t="s">
        <v>127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7" t="s">
        <v>79</v>
      </c>
      <c r="BK524" s="139">
        <f>ROUND(I524*H524,2)</f>
        <v>0</v>
      </c>
      <c r="BL524" s="17" t="s">
        <v>229</v>
      </c>
      <c r="BM524" s="138" t="s">
        <v>1252</v>
      </c>
    </row>
    <row r="525" spans="2:65" s="12" customFormat="1">
      <c r="B525" s="144"/>
      <c r="D525" s="145" t="s">
        <v>138</v>
      </c>
      <c r="E525" s="146" t="s">
        <v>19</v>
      </c>
      <c r="F525" s="147" t="s">
        <v>1232</v>
      </c>
      <c r="H525" s="148">
        <v>17.745000000000001</v>
      </c>
      <c r="I525" s="149"/>
      <c r="L525" s="144"/>
      <c r="M525" s="150"/>
      <c r="T525" s="151"/>
      <c r="AT525" s="146" t="s">
        <v>138</v>
      </c>
      <c r="AU525" s="146" t="s">
        <v>81</v>
      </c>
      <c r="AV525" s="12" t="s">
        <v>81</v>
      </c>
      <c r="AW525" s="12" t="s">
        <v>33</v>
      </c>
      <c r="AX525" s="12" t="s">
        <v>71</v>
      </c>
      <c r="AY525" s="146" t="s">
        <v>127</v>
      </c>
    </row>
    <row r="526" spans="2:65" s="12" customFormat="1">
      <c r="B526" s="144"/>
      <c r="D526" s="145" t="s">
        <v>138</v>
      </c>
      <c r="E526" s="146" t="s">
        <v>19</v>
      </c>
      <c r="F526" s="147" t="s">
        <v>1233</v>
      </c>
      <c r="H526" s="148">
        <v>4.8220000000000001</v>
      </c>
      <c r="I526" s="149"/>
      <c r="L526" s="144"/>
      <c r="M526" s="150"/>
      <c r="T526" s="151"/>
      <c r="AT526" s="146" t="s">
        <v>138</v>
      </c>
      <c r="AU526" s="146" t="s">
        <v>81</v>
      </c>
      <c r="AV526" s="12" t="s">
        <v>81</v>
      </c>
      <c r="AW526" s="12" t="s">
        <v>33</v>
      </c>
      <c r="AX526" s="12" t="s">
        <v>71</v>
      </c>
      <c r="AY526" s="146" t="s">
        <v>127</v>
      </c>
    </row>
    <row r="527" spans="2:65" s="13" customFormat="1">
      <c r="B527" s="152"/>
      <c r="D527" s="145" t="s">
        <v>138</v>
      </c>
      <c r="E527" s="153" t="s">
        <v>19</v>
      </c>
      <c r="F527" s="154" t="s">
        <v>152</v>
      </c>
      <c r="H527" s="155">
        <v>22.567</v>
      </c>
      <c r="I527" s="156"/>
      <c r="L527" s="152"/>
      <c r="M527" s="157"/>
      <c r="T527" s="158"/>
      <c r="AT527" s="153" t="s">
        <v>138</v>
      </c>
      <c r="AU527" s="153" t="s">
        <v>81</v>
      </c>
      <c r="AV527" s="13" t="s">
        <v>134</v>
      </c>
      <c r="AW527" s="13" t="s">
        <v>33</v>
      </c>
      <c r="AX527" s="13" t="s">
        <v>79</v>
      </c>
      <c r="AY527" s="153" t="s">
        <v>127</v>
      </c>
    </row>
    <row r="528" spans="2:65" s="12" customFormat="1">
      <c r="B528" s="144"/>
      <c r="D528" s="145" t="s">
        <v>138</v>
      </c>
      <c r="F528" s="147" t="s">
        <v>1253</v>
      </c>
      <c r="H528" s="148">
        <v>24.824000000000002</v>
      </c>
      <c r="I528" s="149"/>
      <c r="L528" s="144"/>
      <c r="M528" s="150"/>
      <c r="T528" s="151"/>
      <c r="AT528" s="146" t="s">
        <v>138</v>
      </c>
      <c r="AU528" s="146" t="s">
        <v>81</v>
      </c>
      <c r="AV528" s="12" t="s">
        <v>81</v>
      </c>
      <c r="AW528" s="12" t="s">
        <v>4</v>
      </c>
      <c r="AX528" s="12" t="s">
        <v>79</v>
      </c>
      <c r="AY528" s="146" t="s">
        <v>127</v>
      </c>
    </row>
    <row r="529" spans="2:65" s="1" customFormat="1" ht="37.9" customHeight="1">
      <c r="B529" s="32"/>
      <c r="C529" s="127" t="s">
        <v>1254</v>
      </c>
      <c r="D529" s="127" t="s">
        <v>129</v>
      </c>
      <c r="E529" s="128" t="s">
        <v>1255</v>
      </c>
      <c r="F529" s="129" t="s">
        <v>1256</v>
      </c>
      <c r="G529" s="130" t="s">
        <v>257</v>
      </c>
      <c r="H529" s="131">
        <v>54.4</v>
      </c>
      <c r="I529" s="132"/>
      <c r="J529" s="133">
        <f>ROUND(I529*H529,2)</f>
        <v>0</v>
      </c>
      <c r="K529" s="129" t="s">
        <v>133</v>
      </c>
      <c r="L529" s="32"/>
      <c r="M529" s="134" t="s">
        <v>19</v>
      </c>
      <c r="N529" s="135" t="s">
        <v>42</v>
      </c>
      <c r="P529" s="136">
        <f>O529*H529</f>
        <v>0</v>
      </c>
      <c r="Q529" s="136">
        <v>0</v>
      </c>
      <c r="R529" s="136">
        <f>Q529*H529</f>
        <v>0</v>
      </c>
      <c r="S529" s="136">
        <v>0</v>
      </c>
      <c r="T529" s="137">
        <f>S529*H529</f>
        <v>0</v>
      </c>
      <c r="AR529" s="138" t="s">
        <v>229</v>
      </c>
      <c r="AT529" s="138" t="s">
        <v>129</v>
      </c>
      <c r="AU529" s="138" t="s">
        <v>81</v>
      </c>
      <c r="AY529" s="17" t="s">
        <v>127</v>
      </c>
      <c r="BE529" s="139">
        <f>IF(N529="základní",J529,0)</f>
        <v>0</v>
      </c>
      <c r="BF529" s="139">
        <f>IF(N529="snížená",J529,0)</f>
        <v>0</v>
      </c>
      <c r="BG529" s="139">
        <f>IF(N529="zákl. přenesená",J529,0)</f>
        <v>0</v>
      </c>
      <c r="BH529" s="139">
        <f>IF(N529="sníž. přenesená",J529,0)</f>
        <v>0</v>
      </c>
      <c r="BI529" s="139">
        <f>IF(N529="nulová",J529,0)</f>
        <v>0</v>
      </c>
      <c r="BJ529" s="17" t="s">
        <v>79</v>
      </c>
      <c r="BK529" s="139">
        <f>ROUND(I529*H529,2)</f>
        <v>0</v>
      </c>
      <c r="BL529" s="17" t="s">
        <v>229</v>
      </c>
      <c r="BM529" s="138" t="s">
        <v>1257</v>
      </c>
    </row>
    <row r="530" spans="2:65" s="1" customFormat="1">
      <c r="B530" s="32"/>
      <c r="D530" s="140" t="s">
        <v>136</v>
      </c>
      <c r="F530" s="141" t="s">
        <v>1258</v>
      </c>
      <c r="I530" s="142"/>
      <c r="L530" s="32"/>
      <c r="M530" s="143"/>
      <c r="T530" s="51"/>
      <c r="AT530" s="17" t="s">
        <v>136</v>
      </c>
      <c r="AU530" s="17" t="s">
        <v>81</v>
      </c>
    </row>
    <row r="531" spans="2:65" s="12" customFormat="1">
      <c r="B531" s="144"/>
      <c r="D531" s="145" t="s">
        <v>138</v>
      </c>
      <c r="E531" s="146" t="s">
        <v>19</v>
      </c>
      <c r="F531" s="147" t="s">
        <v>1259</v>
      </c>
      <c r="H531" s="148">
        <v>54.4</v>
      </c>
      <c r="I531" s="149"/>
      <c r="L531" s="144"/>
      <c r="M531" s="150"/>
      <c r="T531" s="151"/>
      <c r="AT531" s="146" t="s">
        <v>138</v>
      </c>
      <c r="AU531" s="146" t="s">
        <v>81</v>
      </c>
      <c r="AV531" s="12" t="s">
        <v>81</v>
      </c>
      <c r="AW531" s="12" t="s">
        <v>33</v>
      </c>
      <c r="AX531" s="12" t="s">
        <v>79</v>
      </c>
      <c r="AY531" s="146" t="s">
        <v>127</v>
      </c>
    </row>
    <row r="532" spans="2:65" s="1" customFormat="1" ht="16.5" customHeight="1">
      <c r="B532" s="32"/>
      <c r="C532" s="159" t="s">
        <v>1260</v>
      </c>
      <c r="D532" s="159" t="s">
        <v>413</v>
      </c>
      <c r="E532" s="160" t="s">
        <v>1261</v>
      </c>
      <c r="F532" s="161" t="s">
        <v>1262</v>
      </c>
      <c r="G532" s="162" t="s">
        <v>147</v>
      </c>
      <c r="H532" s="163">
        <v>1.532</v>
      </c>
      <c r="I532" s="164"/>
      <c r="J532" s="165">
        <f>ROUND(I532*H532,2)</f>
        <v>0</v>
      </c>
      <c r="K532" s="161" t="s">
        <v>133</v>
      </c>
      <c r="L532" s="166"/>
      <c r="M532" s="167" t="s">
        <v>19</v>
      </c>
      <c r="N532" s="168" t="s">
        <v>42</v>
      </c>
      <c r="P532" s="136">
        <f>O532*H532</f>
        <v>0</v>
      </c>
      <c r="Q532" s="136">
        <v>0.55000000000000004</v>
      </c>
      <c r="R532" s="136">
        <f>Q532*H532</f>
        <v>0.84260000000000013</v>
      </c>
      <c r="S532" s="136">
        <v>0</v>
      </c>
      <c r="T532" s="137">
        <f>S532*H532</f>
        <v>0</v>
      </c>
      <c r="AR532" s="138" t="s">
        <v>333</v>
      </c>
      <c r="AT532" s="138" t="s">
        <v>413</v>
      </c>
      <c r="AU532" s="138" t="s">
        <v>81</v>
      </c>
      <c r="AY532" s="17" t="s">
        <v>127</v>
      </c>
      <c r="BE532" s="139">
        <f>IF(N532="základní",J532,0)</f>
        <v>0</v>
      </c>
      <c r="BF532" s="139">
        <f>IF(N532="snížená",J532,0)</f>
        <v>0</v>
      </c>
      <c r="BG532" s="139">
        <f>IF(N532="zákl. přenesená",J532,0)</f>
        <v>0</v>
      </c>
      <c r="BH532" s="139">
        <f>IF(N532="sníž. přenesená",J532,0)</f>
        <v>0</v>
      </c>
      <c r="BI532" s="139">
        <f>IF(N532="nulová",J532,0)</f>
        <v>0</v>
      </c>
      <c r="BJ532" s="17" t="s">
        <v>79</v>
      </c>
      <c r="BK532" s="139">
        <f>ROUND(I532*H532,2)</f>
        <v>0</v>
      </c>
      <c r="BL532" s="17" t="s">
        <v>229</v>
      </c>
      <c r="BM532" s="138" t="s">
        <v>1263</v>
      </c>
    </row>
    <row r="533" spans="2:65" s="12" customFormat="1">
      <c r="B533" s="144"/>
      <c r="D533" s="145" t="s">
        <v>138</v>
      </c>
      <c r="E533" s="146" t="s">
        <v>19</v>
      </c>
      <c r="F533" s="147" t="s">
        <v>1234</v>
      </c>
      <c r="H533" s="148">
        <v>1.393</v>
      </c>
      <c r="I533" s="149"/>
      <c r="L533" s="144"/>
      <c r="M533" s="150"/>
      <c r="T533" s="151"/>
      <c r="AT533" s="146" t="s">
        <v>138</v>
      </c>
      <c r="AU533" s="146" t="s">
        <v>81</v>
      </c>
      <c r="AV533" s="12" t="s">
        <v>81</v>
      </c>
      <c r="AW533" s="12" t="s">
        <v>33</v>
      </c>
      <c r="AX533" s="12" t="s">
        <v>79</v>
      </c>
      <c r="AY533" s="146" t="s">
        <v>127</v>
      </c>
    </row>
    <row r="534" spans="2:65" s="12" customFormat="1">
      <c r="B534" s="144"/>
      <c r="D534" s="145" t="s">
        <v>138</v>
      </c>
      <c r="F534" s="147" t="s">
        <v>1264</v>
      </c>
      <c r="H534" s="148">
        <v>1.532</v>
      </c>
      <c r="I534" s="149"/>
      <c r="L534" s="144"/>
      <c r="M534" s="150"/>
      <c r="T534" s="151"/>
      <c r="AT534" s="146" t="s">
        <v>138</v>
      </c>
      <c r="AU534" s="146" t="s">
        <v>81</v>
      </c>
      <c r="AV534" s="12" t="s">
        <v>81</v>
      </c>
      <c r="AW534" s="12" t="s">
        <v>4</v>
      </c>
      <c r="AX534" s="12" t="s">
        <v>79</v>
      </c>
      <c r="AY534" s="146" t="s">
        <v>127</v>
      </c>
    </row>
    <row r="535" spans="2:65" s="1" customFormat="1" ht="37.9" customHeight="1">
      <c r="B535" s="32"/>
      <c r="C535" s="127" t="s">
        <v>1265</v>
      </c>
      <c r="D535" s="127" t="s">
        <v>129</v>
      </c>
      <c r="E535" s="128" t="s">
        <v>1266</v>
      </c>
      <c r="F535" s="129" t="s">
        <v>1267</v>
      </c>
      <c r="G535" s="130" t="s">
        <v>257</v>
      </c>
      <c r="H535" s="131">
        <v>128.4</v>
      </c>
      <c r="I535" s="132"/>
      <c r="J535" s="133">
        <f>ROUND(I535*H535,2)</f>
        <v>0</v>
      </c>
      <c r="K535" s="129" t="s">
        <v>133</v>
      </c>
      <c r="L535" s="32"/>
      <c r="M535" s="134" t="s">
        <v>19</v>
      </c>
      <c r="N535" s="135" t="s">
        <v>42</v>
      </c>
      <c r="P535" s="136">
        <f>O535*H535</f>
        <v>0</v>
      </c>
      <c r="Q535" s="136">
        <v>0</v>
      </c>
      <c r="R535" s="136">
        <f>Q535*H535</f>
        <v>0</v>
      </c>
      <c r="S535" s="136">
        <v>0</v>
      </c>
      <c r="T535" s="137">
        <f>S535*H535</f>
        <v>0</v>
      </c>
      <c r="AR535" s="138" t="s">
        <v>229</v>
      </c>
      <c r="AT535" s="138" t="s">
        <v>129</v>
      </c>
      <c r="AU535" s="138" t="s">
        <v>81</v>
      </c>
      <c r="AY535" s="17" t="s">
        <v>127</v>
      </c>
      <c r="BE535" s="139">
        <f>IF(N535="základní",J535,0)</f>
        <v>0</v>
      </c>
      <c r="BF535" s="139">
        <f>IF(N535="snížená",J535,0)</f>
        <v>0</v>
      </c>
      <c r="BG535" s="139">
        <f>IF(N535="zákl. přenesená",J535,0)</f>
        <v>0</v>
      </c>
      <c r="BH535" s="139">
        <f>IF(N535="sníž. přenesená",J535,0)</f>
        <v>0</v>
      </c>
      <c r="BI535" s="139">
        <f>IF(N535="nulová",J535,0)</f>
        <v>0</v>
      </c>
      <c r="BJ535" s="17" t="s">
        <v>79</v>
      </c>
      <c r="BK535" s="139">
        <f>ROUND(I535*H535,2)</f>
        <v>0</v>
      </c>
      <c r="BL535" s="17" t="s">
        <v>229</v>
      </c>
      <c r="BM535" s="138" t="s">
        <v>1268</v>
      </c>
    </row>
    <row r="536" spans="2:65" s="1" customFormat="1">
      <c r="B536" s="32"/>
      <c r="D536" s="140" t="s">
        <v>136</v>
      </c>
      <c r="F536" s="141" t="s">
        <v>1269</v>
      </c>
      <c r="I536" s="142"/>
      <c r="L536" s="32"/>
      <c r="M536" s="143"/>
      <c r="T536" s="51"/>
      <c r="AT536" s="17" t="s">
        <v>136</v>
      </c>
      <c r="AU536" s="17" t="s">
        <v>81</v>
      </c>
    </row>
    <row r="537" spans="2:65" s="12" customFormat="1">
      <c r="B537" s="144"/>
      <c r="D537" s="145" t="s">
        <v>138</v>
      </c>
      <c r="E537" s="146" t="s">
        <v>19</v>
      </c>
      <c r="F537" s="147" t="s">
        <v>1270</v>
      </c>
      <c r="H537" s="148">
        <v>128.4</v>
      </c>
      <c r="I537" s="149"/>
      <c r="L537" s="144"/>
      <c r="M537" s="150"/>
      <c r="T537" s="151"/>
      <c r="AT537" s="146" t="s">
        <v>138</v>
      </c>
      <c r="AU537" s="146" t="s">
        <v>81</v>
      </c>
      <c r="AV537" s="12" t="s">
        <v>81</v>
      </c>
      <c r="AW537" s="12" t="s">
        <v>33</v>
      </c>
      <c r="AX537" s="12" t="s">
        <v>79</v>
      </c>
      <c r="AY537" s="146" t="s">
        <v>127</v>
      </c>
    </row>
    <row r="538" spans="2:65" s="1" customFormat="1" ht="16.5" customHeight="1">
      <c r="B538" s="32"/>
      <c r="C538" s="159" t="s">
        <v>1271</v>
      </c>
      <c r="D538" s="159" t="s">
        <v>413</v>
      </c>
      <c r="E538" s="160" t="s">
        <v>1272</v>
      </c>
      <c r="F538" s="161" t="s">
        <v>1273</v>
      </c>
      <c r="G538" s="162" t="s">
        <v>147</v>
      </c>
      <c r="H538" s="163">
        <v>4.5199999999999996</v>
      </c>
      <c r="I538" s="164"/>
      <c r="J538" s="165">
        <f>ROUND(I538*H538,2)</f>
        <v>0</v>
      </c>
      <c r="K538" s="161" t="s">
        <v>133</v>
      </c>
      <c r="L538" s="166"/>
      <c r="M538" s="167" t="s">
        <v>19</v>
      </c>
      <c r="N538" s="168" t="s">
        <v>42</v>
      </c>
      <c r="P538" s="136">
        <f>O538*H538</f>
        <v>0</v>
      </c>
      <c r="Q538" s="136">
        <v>0.55000000000000004</v>
      </c>
      <c r="R538" s="136">
        <f>Q538*H538</f>
        <v>2.4859999999999998</v>
      </c>
      <c r="S538" s="136">
        <v>0</v>
      </c>
      <c r="T538" s="137">
        <f>S538*H538</f>
        <v>0</v>
      </c>
      <c r="AR538" s="138" t="s">
        <v>333</v>
      </c>
      <c r="AT538" s="138" t="s">
        <v>413</v>
      </c>
      <c r="AU538" s="138" t="s">
        <v>81</v>
      </c>
      <c r="AY538" s="17" t="s">
        <v>127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79</v>
      </c>
      <c r="BK538" s="139">
        <f>ROUND(I538*H538,2)</f>
        <v>0</v>
      </c>
      <c r="BL538" s="17" t="s">
        <v>229</v>
      </c>
      <c r="BM538" s="138" t="s">
        <v>1274</v>
      </c>
    </row>
    <row r="539" spans="2:65" s="12" customFormat="1">
      <c r="B539" s="144"/>
      <c r="D539" s="145" t="s">
        <v>138</v>
      </c>
      <c r="E539" s="146" t="s">
        <v>19</v>
      </c>
      <c r="F539" s="147" t="s">
        <v>1235</v>
      </c>
      <c r="H539" s="148">
        <v>4.109</v>
      </c>
      <c r="I539" s="149"/>
      <c r="L539" s="144"/>
      <c r="M539" s="150"/>
      <c r="T539" s="151"/>
      <c r="AT539" s="146" t="s">
        <v>138</v>
      </c>
      <c r="AU539" s="146" t="s">
        <v>81</v>
      </c>
      <c r="AV539" s="12" t="s">
        <v>81</v>
      </c>
      <c r="AW539" s="12" t="s">
        <v>33</v>
      </c>
      <c r="AX539" s="12" t="s">
        <v>79</v>
      </c>
      <c r="AY539" s="146" t="s">
        <v>127</v>
      </c>
    </row>
    <row r="540" spans="2:65" s="12" customFormat="1">
      <c r="B540" s="144"/>
      <c r="D540" s="145" t="s">
        <v>138</v>
      </c>
      <c r="F540" s="147" t="s">
        <v>1275</v>
      </c>
      <c r="H540" s="148">
        <v>4.5199999999999996</v>
      </c>
      <c r="I540" s="149"/>
      <c r="L540" s="144"/>
      <c r="M540" s="150"/>
      <c r="T540" s="151"/>
      <c r="AT540" s="146" t="s">
        <v>138</v>
      </c>
      <c r="AU540" s="146" t="s">
        <v>81</v>
      </c>
      <c r="AV540" s="12" t="s">
        <v>81</v>
      </c>
      <c r="AW540" s="12" t="s">
        <v>4</v>
      </c>
      <c r="AX540" s="12" t="s">
        <v>79</v>
      </c>
      <c r="AY540" s="146" t="s">
        <v>127</v>
      </c>
    </row>
    <row r="541" spans="2:65" s="1" customFormat="1" ht="37.9" customHeight="1">
      <c r="B541" s="32"/>
      <c r="C541" s="127" t="s">
        <v>1276</v>
      </c>
      <c r="D541" s="127" t="s">
        <v>129</v>
      </c>
      <c r="E541" s="128" t="s">
        <v>1277</v>
      </c>
      <c r="F541" s="129" t="s">
        <v>1278</v>
      </c>
      <c r="G541" s="130" t="s">
        <v>257</v>
      </c>
      <c r="H541" s="131">
        <v>740</v>
      </c>
      <c r="I541" s="132"/>
      <c r="J541" s="133">
        <f>ROUND(I541*H541,2)</f>
        <v>0</v>
      </c>
      <c r="K541" s="129" t="s">
        <v>133</v>
      </c>
      <c r="L541" s="32"/>
      <c r="M541" s="134" t="s">
        <v>19</v>
      </c>
      <c r="N541" s="135" t="s">
        <v>42</v>
      </c>
      <c r="P541" s="136">
        <f>O541*H541</f>
        <v>0</v>
      </c>
      <c r="Q541" s="136">
        <v>0</v>
      </c>
      <c r="R541" s="136">
        <f>Q541*H541</f>
        <v>0</v>
      </c>
      <c r="S541" s="136">
        <v>0</v>
      </c>
      <c r="T541" s="137">
        <f>S541*H541</f>
        <v>0</v>
      </c>
      <c r="AR541" s="138" t="s">
        <v>229</v>
      </c>
      <c r="AT541" s="138" t="s">
        <v>129</v>
      </c>
      <c r="AU541" s="138" t="s">
        <v>81</v>
      </c>
      <c r="AY541" s="17" t="s">
        <v>127</v>
      </c>
      <c r="BE541" s="139">
        <f>IF(N541="základní",J541,0)</f>
        <v>0</v>
      </c>
      <c r="BF541" s="139">
        <f>IF(N541="snížená",J541,0)</f>
        <v>0</v>
      </c>
      <c r="BG541" s="139">
        <f>IF(N541="zákl. přenesená",J541,0)</f>
        <v>0</v>
      </c>
      <c r="BH541" s="139">
        <f>IF(N541="sníž. přenesená",J541,0)</f>
        <v>0</v>
      </c>
      <c r="BI541" s="139">
        <f>IF(N541="nulová",J541,0)</f>
        <v>0</v>
      </c>
      <c r="BJ541" s="17" t="s">
        <v>79</v>
      </c>
      <c r="BK541" s="139">
        <f>ROUND(I541*H541,2)</f>
        <v>0</v>
      </c>
      <c r="BL541" s="17" t="s">
        <v>229</v>
      </c>
      <c r="BM541" s="138" t="s">
        <v>1279</v>
      </c>
    </row>
    <row r="542" spans="2:65" s="1" customFormat="1">
      <c r="B542" s="32"/>
      <c r="D542" s="140" t="s">
        <v>136</v>
      </c>
      <c r="F542" s="141" t="s">
        <v>1280</v>
      </c>
      <c r="I542" s="142"/>
      <c r="L542" s="32"/>
      <c r="M542" s="143"/>
      <c r="T542" s="51"/>
      <c r="AT542" s="17" t="s">
        <v>136</v>
      </c>
      <c r="AU542" s="17" t="s">
        <v>81</v>
      </c>
    </row>
    <row r="543" spans="2:65" s="12" customFormat="1">
      <c r="B543" s="144"/>
      <c r="D543" s="145" t="s">
        <v>138</v>
      </c>
      <c r="E543" s="146" t="s">
        <v>19</v>
      </c>
      <c r="F543" s="147" t="s">
        <v>1281</v>
      </c>
      <c r="H543" s="148">
        <v>740</v>
      </c>
      <c r="I543" s="149"/>
      <c r="L543" s="144"/>
      <c r="M543" s="150"/>
      <c r="T543" s="151"/>
      <c r="AT543" s="146" t="s">
        <v>138</v>
      </c>
      <c r="AU543" s="146" t="s">
        <v>81</v>
      </c>
      <c r="AV543" s="12" t="s">
        <v>81</v>
      </c>
      <c r="AW543" s="12" t="s">
        <v>33</v>
      </c>
      <c r="AX543" s="12" t="s">
        <v>79</v>
      </c>
      <c r="AY543" s="146" t="s">
        <v>127</v>
      </c>
    </row>
    <row r="544" spans="2:65" s="1" customFormat="1" ht="16.5" customHeight="1">
      <c r="B544" s="32"/>
      <c r="C544" s="159" t="s">
        <v>1282</v>
      </c>
      <c r="D544" s="159" t="s">
        <v>413</v>
      </c>
      <c r="E544" s="160" t="s">
        <v>1283</v>
      </c>
      <c r="F544" s="161" t="s">
        <v>1284</v>
      </c>
      <c r="G544" s="162" t="s">
        <v>147</v>
      </c>
      <c r="H544" s="163">
        <v>4.5579999999999998</v>
      </c>
      <c r="I544" s="164"/>
      <c r="J544" s="165">
        <f>ROUND(I544*H544,2)</f>
        <v>0</v>
      </c>
      <c r="K544" s="161" t="s">
        <v>133</v>
      </c>
      <c r="L544" s="166"/>
      <c r="M544" s="167" t="s">
        <v>19</v>
      </c>
      <c r="N544" s="168" t="s">
        <v>42</v>
      </c>
      <c r="P544" s="136">
        <f>O544*H544</f>
        <v>0</v>
      </c>
      <c r="Q544" s="136">
        <v>0.44</v>
      </c>
      <c r="R544" s="136">
        <f>Q544*H544</f>
        <v>2.0055199999999997</v>
      </c>
      <c r="S544" s="136">
        <v>0</v>
      </c>
      <c r="T544" s="137">
        <f>S544*H544</f>
        <v>0</v>
      </c>
      <c r="AR544" s="138" t="s">
        <v>333</v>
      </c>
      <c r="AT544" s="138" t="s">
        <v>413</v>
      </c>
      <c r="AU544" s="138" t="s">
        <v>81</v>
      </c>
      <c r="AY544" s="17" t="s">
        <v>127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79</v>
      </c>
      <c r="BK544" s="139">
        <f>ROUND(I544*H544,2)</f>
        <v>0</v>
      </c>
      <c r="BL544" s="17" t="s">
        <v>229</v>
      </c>
      <c r="BM544" s="138" t="s">
        <v>1285</v>
      </c>
    </row>
    <row r="545" spans="2:65" s="12" customFormat="1">
      <c r="B545" s="144"/>
      <c r="D545" s="145" t="s">
        <v>138</v>
      </c>
      <c r="E545" s="146" t="s">
        <v>19</v>
      </c>
      <c r="F545" s="147" t="s">
        <v>1241</v>
      </c>
      <c r="H545" s="148">
        <v>4.1440000000000001</v>
      </c>
      <c r="I545" s="149"/>
      <c r="L545" s="144"/>
      <c r="M545" s="150"/>
      <c r="T545" s="151"/>
      <c r="AT545" s="146" t="s">
        <v>138</v>
      </c>
      <c r="AU545" s="146" t="s">
        <v>81</v>
      </c>
      <c r="AV545" s="12" t="s">
        <v>81</v>
      </c>
      <c r="AW545" s="12" t="s">
        <v>33</v>
      </c>
      <c r="AX545" s="12" t="s">
        <v>79</v>
      </c>
      <c r="AY545" s="146" t="s">
        <v>127</v>
      </c>
    </row>
    <row r="546" spans="2:65" s="12" customFormat="1">
      <c r="B546" s="144"/>
      <c r="D546" s="145" t="s">
        <v>138</v>
      </c>
      <c r="F546" s="147" t="s">
        <v>1286</v>
      </c>
      <c r="H546" s="148">
        <v>4.5579999999999998</v>
      </c>
      <c r="I546" s="149"/>
      <c r="L546" s="144"/>
      <c r="M546" s="150"/>
      <c r="T546" s="151"/>
      <c r="AT546" s="146" t="s">
        <v>138</v>
      </c>
      <c r="AU546" s="146" t="s">
        <v>81</v>
      </c>
      <c r="AV546" s="12" t="s">
        <v>81</v>
      </c>
      <c r="AW546" s="12" t="s">
        <v>4</v>
      </c>
      <c r="AX546" s="12" t="s">
        <v>79</v>
      </c>
      <c r="AY546" s="146" t="s">
        <v>127</v>
      </c>
    </row>
    <row r="547" spans="2:65" s="1" customFormat="1" ht="37.9" customHeight="1">
      <c r="B547" s="32"/>
      <c r="C547" s="127" t="s">
        <v>1287</v>
      </c>
      <c r="D547" s="127" t="s">
        <v>129</v>
      </c>
      <c r="E547" s="128" t="s">
        <v>1288</v>
      </c>
      <c r="F547" s="129" t="s">
        <v>1289</v>
      </c>
      <c r="G547" s="130" t="s">
        <v>257</v>
      </c>
      <c r="H547" s="131">
        <v>650</v>
      </c>
      <c r="I547" s="132"/>
      <c r="J547" s="133">
        <f>ROUND(I547*H547,2)</f>
        <v>0</v>
      </c>
      <c r="K547" s="129" t="s">
        <v>133</v>
      </c>
      <c r="L547" s="32"/>
      <c r="M547" s="134" t="s">
        <v>19</v>
      </c>
      <c r="N547" s="135" t="s">
        <v>42</v>
      </c>
      <c r="P547" s="136">
        <f>O547*H547</f>
        <v>0</v>
      </c>
      <c r="Q547" s="136">
        <v>0</v>
      </c>
      <c r="R547" s="136">
        <f>Q547*H547</f>
        <v>0</v>
      </c>
      <c r="S547" s="136">
        <v>0</v>
      </c>
      <c r="T547" s="137">
        <f>S547*H547</f>
        <v>0</v>
      </c>
      <c r="AR547" s="138" t="s">
        <v>229</v>
      </c>
      <c r="AT547" s="138" t="s">
        <v>129</v>
      </c>
      <c r="AU547" s="138" t="s">
        <v>81</v>
      </c>
      <c r="AY547" s="17" t="s">
        <v>127</v>
      </c>
      <c r="BE547" s="139">
        <f>IF(N547="základní",J547,0)</f>
        <v>0</v>
      </c>
      <c r="BF547" s="139">
        <f>IF(N547="snížená",J547,0)</f>
        <v>0</v>
      </c>
      <c r="BG547" s="139">
        <f>IF(N547="zákl. přenesená",J547,0)</f>
        <v>0</v>
      </c>
      <c r="BH547" s="139">
        <f>IF(N547="sníž. přenesená",J547,0)</f>
        <v>0</v>
      </c>
      <c r="BI547" s="139">
        <f>IF(N547="nulová",J547,0)</f>
        <v>0</v>
      </c>
      <c r="BJ547" s="17" t="s">
        <v>79</v>
      </c>
      <c r="BK547" s="139">
        <f>ROUND(I547*H547,2)</f>
        <v>0</v>
      </c>
      <c r="BL547" s="17" t="s">
        <v>229</v>
      </c>
      <c r="BM547" s="138" t="s">
        <v>1290</v>
      </c>
    </row>
    <row r="548" spans="2:65" s="1" customFormat="1">
      <c r="B548" s="32"/>
      <c r="D548" s="140" t="s">
        <v>136</v>
      </c>
      <c r="F548" s="141" t="s">
        <v>1291</v>
      </c>
      <c r="I548" s="142"/>
      <c r="L548" s="32"/>
      <c r="M548" s="143"/>
      <c r="T548" s="51"/>
      <c r="AT548" s="17" t="s">
        <v>136</v>
      </c>
      <c r="AU548" s="17" t="s">
        <v>81</v>
      </c>
    </row>
    <row r="549" spans="2:65" s="12" customFormat="1">
      <c r="B549" s="144"/>
      <c r="D549" s="145" t="s">
        <v>138</v>
      </c>
      <c r="E549" s="146" t="s">
        <v>19</v>
      </c>
      <c r="F549" s="147" t="s">
        <v>1292</v>
      </c>
      <c r="H549" s="148">
        <v>650</v>
      </c>
      <c r="I549" s="149"/>
      <c r="L549" s="144"/>
      <c r="M549" s="150"/>
      <c r="T549" s="151"/>
      <c r="AT549" s="146" t="s">
        <v>138</v>
      </c>
      <c r="AU549" s="146" t="s">
        <v>81</v>
      </c>
      <c r="AV549" s="12" t="s">
        <v>81</v>
      </c>
      <c r="AW549" s="12" t="s">
        <v>33</v>
      </c>
      <c r="AX549" s="12" t="s">
        <v>79</v>
      </c>
      <c r="AY549" s="146" t="s">
        <v>127</v>
      </c>
    </row>
    <row r="550" spans="2:65" s="1" customFormat="1" ht="16.5" customHeight="1">
      <c r="B550" s="32"/>
      <c r="C550" s="159" t="s">
        <v>1293</v>
      </c>
      <c r="D550" s="159" t="s">
        <v>413</v>
      </c>
      <c r="E550" s="160" t="s">
        <v>1294</v>
      </c>
      <c r="F550" s="161" t="s">
        <v>1295</v>
      </c>
      <c r="G550" s="162" t="s">
        <v>147</v>
      </c>
      <c r="H550" s="163">
        <v>4.0039999999999996</v>
      </c>
      <c r="I550" s="164"/>
      <c r="J550" s="165">
        <f>ROUND(I550*H550,2)</f>
        <v>0</v>
      </c>
      <c r="K550" s="161" t="s">
        <v>133</v>
      </c>
      <c r="L550" s="166"/>
      <c r="M550" s="167" t="s">
        <v>19</v>
      </c>
      <c r="N550" s="168" t="s">
        <v>42</v>
      </c>
      <c r="P550" s="136">
        <f>O550*H550</f>
        <v>0</v>
      </c>
      <c r="Q550" s="136">
        <v>0.44</v>
      </c>
      <c r="R550" s="136">
        <f>Q550*H550</f>
        <v>1.7617599999999998</v>
      </c>
      <c r="S550" s="136">
        <v>0</v>
      </c>
      <c r="T550" s="137">
        <f>S550*H550</f>
        <v>0</v>
      </c>
      <c r="AR550" s="138" t="s">
        <v>333</v>
      </c>
      <c r="AT550" s="138" t="s">
        <v>413</v>
      </c>
      <c r="AU550" s="138" t="s">
        <v>81</v>
      </c>
      <c r="AY550" s="17" t="s">
        <v>127</v>
      </c>
      <c r="BE550" s="139">
        <f>IF(N550="základní",J550,0)</f>
        <v>0</v>
      </c>
      <c r="BF550" s="139">
        <f>IF(N550="snížená",J550,0)</f>
        <v>0</v>
      </c>
      <c r="BG550" s="139">
        <f>IF(N550="zákl. přenesená",J550,0)</f>
        <v>0</v>
      </c>
      <c r="BH550" s="139">
        <f>IF(N550="sníž. přenesená",J550,0)</f>
        <v>0</v>
      </c>
      <c r="BI550" s="139">
        <f>IF(N550="nulová",J550,0)</f>
        <v>0</v>
      </c>
      <c r="BJ550" s="17" t="s">
        <v>79</v>
      </c>
      <c r="BK550" s="139">
        <f>ROUND(I550*H550,2)</f>
        <v>0</v>
      </c>
      <c r="BL550" s="17" t="s">
        <v>229</v>
      </c>
      <c r="BM550" s="138" t="s">
        <v>1296</v>
      </c>
    </row>
    <row r="551" spans="2:65" s="12" customFormat="1">
      <c r="B551" s="144"/>
      <c r="D551" s="145" t="s">
        <v>138</v>
      </c>
      <c r="E551" s="146" t="s">
        <v>19</v>
      </c>
      <c r="F551" s="147" t="s">
        <v>1297</v>
      </c>
      <c r="H551" s="148">
        <v>3.64</v>
      </c>
      <c r="I551" s="149"/>
      <c r="L551" s="144"/>
      <c r="M551" s="150"/>
      <c r="T551" s="151"/>
      <c r="AT551" s="146" t="s">
        <v>138</v>
      </c>
      <c r="AU551" s="146" t="s">
        <v>81</v>
      </c>
      <c r="AV551" s="12" t="s">
        <v>81</v>
      </c>
      <c r="AW551" s="12" t="s">
        <v>33</v>
      </c>
      <c r="AX551" s="12" t="s">
        <v>79</v>
      </c>
      <c r="AY551" s="146" t="s">
        <v>127</v>
      </c>
    </row>
    <row r="552" spans="2:65" s="12" customFormat="1">
      <c r="B552" s="144"/>
      <c r="D552" s="145" t="s">
        <v>138</v>
      </c>
      <c r="F552" s="147" t="s">
        <v>1298</v>
      </c>
      <c r="H552" s="148">
        <v>4.0039999999999996</v>
      </c>
      <c r="I552" s="149"/>
      <c r="L552" s="144"/>
      <c r="M552" s="150"/>
      <c r="T552" s="151"/>
      <c r="AT552" s="146" t="s">
        <v>138</v>
      </c>
      <c r="AU552" s="146" t="s">
        <v>81</v>
      </c>
      <c r="AV552" s="12" t="s">
        <v>81</v>
      </c>
      <c r="AW552" s="12" t="s">
        <v>4</v>
      </c>
      <c r="AX552" s="12" t="s">
        <v>79</v>
      </c>
      <c r="AY552" s="146" t="s">
        <v>127</v>
      </c>
    </row>
    <row r="553" spans="2:65" s="1" customFormat="1" ht="24.2" customHeight="1">
      <c r="B553" s="32"/>
      <c r="C553" s="127" t="s">
        <v>1299</v>
      </c>
      <c r="D553" s="127" t="s">
        <v>129</v>
      </c>
      <c r="E553" s="128" t="s">
        <v>1300</v>
      </c>
      <c r="F553" s="129" t="s">
        <v>1301</v>
      </c>
      <c r="G553" s="130" t="s">
        <v>132</v>
      </c>
      <c r="H553" s="131">
        <v>290.39999999999998</v>
      </c>
      <c r="I553" s="132"/>
      <c r="J553" s="133">
        <f>ROUND(I553*H553,2)</f>
        <v>0</v>
      </c>
      <c r="K553" s="129" t="s">
        <v>133</v>
      </c>
      <c r="L553" s="32"/>
      <c r="M553" s="134" t="s">
        <v>19</v>
      </c>
      <c r="N553" s="135" t="s">
        <v>42</v>
      </c>
      <c r="P553" s="136">
        <f>O553*H553</f>
        <v>0</v>
      </c>
      <c r="Q553" s="136">
        <v>8.0000000000000002E-3</v>
      </c>
      <c r="R553" s="136">
        <f>Q553*H553</f>
        <v>2.3231999999999999</v>
      </c>
      <c r="S553" s="136">
        <v>0</v>
      </c>
      <c r="T553" s="137">
        <f>S553*H553</f>
        <v>0</v>
      </c>
      <c r="AR553" s="138" t="s">
        <v>229</v>
      </c>
      <c r="AT553" s="138" t="s">
        <v>129</v>
      </c>
      <c r="AU553" s="138" t="s">
        <v>81</v>
      </c>
      <c r="AY553" s="17" t="s">
        <v>127</v>
      </c>
      <c r="BE553" s="139">
        <f>IF(N553="základní",J553,0)</f>
        <v>0</v>
      </c>
      <c r="BF553" s="139">
        <f>IF(N553="snížená",J553,0)</f>
        <v>0</v>
      </c>
      <c r="BG553" s="139">
        <f>IF(N553="zákl. přenesená",J553,0)</f>
        <v>0</v>
      </c>
      <c r="BH553" s="139">
        <f>IF(N553="sníž. přenesená",J553,0)</f>
        <v>0</v>
      </c>
      <c r="BI553" s="139">
        <f>IF(N553="nulová",J553,0)</f>
        <v>0</v>
      </c>
      <c r="BJ553" s="17" t="s">
        <v>79</v>
      </c>
      <c r="BK553" s="139">
        <f>ROUND(I553*H553,2)</f>
        <v>0</v>
      </c>
      <c r="BL553" s="17" t="s">
        <v>229</v>
      </c>
      <c r="BM553" s="138" t="s">
        <v>1302</v>
      </c>
    </row>
    <row r="554" spans="2:65" s="1" customFormat="1">
      <c r="B554" s="32"/>
      <c r="D554" s="140" t="s">
        <v>136</v>
      </c>
      <c r="F554" s="141" t="s">
        <v>1303</v>
      </c>
      <c r="I554" s="142"/>
      <c r="L554" s="32"/>
      <c r="M554" s="143"/>
      <c r="T554" s="51"/>
      <c r="AT554" s="17" t="s">
        <v>136</v>
      </c>
      <c r="AU554" s="17" t="s">
        <v>81</v>
      </c>
    </row>
    <row r="555" spans="2:65" s="12" customFormat="1">
      <c r="B555" s="144"/>
      <c r="D555" s="145" t="s">
        <v>138</v>
      </c>
      <c r="E555" s="146" t="s">
        <v>19</v>
      </c>
      <c r="F555" s="147" t="s">
        <v>1304</v>
      </c>
      <c r="H555" s="148">
        <v>290.39999999999998</v>
      </c>
      <c r="I555" s="149"/>
      <c r="L555" s="144"/>
      <c r="M555" s="150"/>
      <c r="T555" s="151"/>
      <c r="AT555" s="146" t="s">
        <v>138</v>
      </c>
      <c r="AU555" s="146" t="s">
        <v>81</v>
      </c>
      <c r="AV555" s="12" t="s">
        <v>81</v>
      </c>
      <c r="AW555" s="12" t="s">
        <v>33</v>
      </c>
      <c r="AX555" s="12" t="s">
        <v>79</v>
      </c>
      <c r="AY555" s="146" t="s">
        <v>127</v>
      </c>
    </row>
    <row r="556" spans="2:65" s="1" customFormat="1" ht="24.2" customHeight="1">
      <c r="B556" s="32"/>
      <c r="C556" s="127" t="s">
        <v>1305</v>
      </c>
      <c r="D556" s="127" t="s">
        <v>129</v>
      </c>
      <c r="E556" s="128" t="s">
        <v>1306</v>
      </c>
      <c r="F556" s="129" t="s">
        <v>1307</v>
      </c>
      <c r="G556" s="130" t="s">
        <v>132</v>
      </c>
      <c r="H556" s="131">
        <v>76</v>
      </c>
      <c r="I556" s="132"/>
      <c r="J556" s="133">
        <f>ROUND(I556*H556,2)</f>
        <v>0</v>
      </c>
      <c r="K556" s="129" t="s">
        <v>133</v>
      </c>
      <c r="L556" s="32"/>
      <c r="M556" s="134" t="s">
        <v>19</v>
      </c>
      <c r="N556" s="135" t="s">
        <v>42</v>
      </c>
      <c r="P556" s="136">
        <f>O556*H556</f>
        <v>0</v>
      </c>
      <c r="Q556" s="136">
        <v>0</v>
      </c>
      <c r="R556" s="136">
        <f>Q556*H556</f>
        <v>0</v>
      </c>
      <c r="S556" s="136">
        <v>0</v>
      </c>
      <c r="T556" s="137">
        <f>S556*H556</f>
        <v>0</v>
      </c>
      <c r="AR556" s="138" t="s">
        <v>229</v>
      </c>
      <c r="AT556" s="138" t="s">
        <v>129</v>
      </c>
      <c r="AU556" s="138" t="s">
        <v>81</v>
      </c>
      <c r="AY556" s="17" t="s">
        <v>127</v>
      </c>
      <c r="BE556" s="139">
        <f>IF(N556="základní",J556,0)</f>
        <v>0</v>
      </c>
      <c r="BF556" s="139">
        <f>IF(N556="snížená",J556,0)</f>
        <v>0</v>
      </c>
      <c r="BG556" s="139">
        <f>IF(N556="zákl. přenesená",J556,0)</f>
        <v>0</v>
      </c>
      <c r="BH556" s="139">
        <f>IF(N556="sníž. přenesená",J556,0)</f>
        <v>0</v>
      </c>
      <c r="BI556" s="139">
        <f>IF(N556="nulová",J556,0)</f>
        <v>0</v>
      </c>
      <c r="BJ556" s="17" t="s">
        <v>79</v>
      </c>
      <c r="BK556" s="139">
        <f>ROUND(I556*H556,2)</f>
        <v>0</v>
      </c>
      <c r="BL556" s="17" t="s">
        <v>229</v>
      </c>
      <c r="BM556" s="138" t="s">
        <v>1308</v>
      </c>
    </row>
    <row r="557" spans="2:65" s="1" customFormat="1">
      <c r="B557" s="32"/>
      <c r="D557" s="140" t="s">
        <v>136</v>
      </c>
      <c r="F557" s="141" t="s">
        <v>1309</v>
      </c>
      <c r="I557" s="142"/>
      <c r="L557" s="32"/>
      <c r="M557" s="143"/>
      <c r="T557" s="51"/>
      <c r="AT557" s="17" t="s">
        <v>136</v>
      </c>
      <c r="AU557" s="17" t="s">
        <v>81</v>
      </c>
    </row>
    <row r="558" spans="2:65" s="12" customFormat="1">
      <c r="B558" s="144"/>
      <c r="D558" s="145" t="s">
        <v>138</v>
      </c>
      <c r="E558" s="146" t="s">
        <v>19</v>
      </c>
      <c r="F558" s="147" t="s">
        <v>1310</v>
      </c>
      <c r="H558" s="148">
        <v>47</v>
      </c>
      <c r="I558" s="149"/>
      <c r="L558" s="144"/>
      <c r="M558" s="150"/>
      <c r="T558" s="151"/>
      <c r="AT558" s="146" t="s">
        <v>138</v>
      </c>
      <c r="AU558" s="146" t="s">
        <v>81</v>
      </c>
      <c r="AV558" s="12" t="s">
        <v>81</v>
      </c>
      <c r="AW558" s="12" t="s">
        <v>33</v>
      </c>
      <c r="AX558" s="12" t="s">
        <v>71</v>
      </c>
      <c r="AY558" s="146" t="s">
        <v>127</v>
      </c>
    </row>
    <row r="559" spans="2:65" s="12" customFormat="1">
      <c r="B559" s="144"/>
      <c r="D559" s="145" t="s">
        <v>138</v>
      </c>
      <c r="E559" s="146" t="s">
        <v>19</v>
      </c>
      <c r="F559" s="147" t="s">
        <v>1311</v>
      </c>
      <c r="H559" s="148">
        <v>29</v>
      </c>
      <c r="I559" s="149"/>
      <c r="L559" s="144"/>
      <c r="M559" s="150"/>
      <c r="T559" s="151"/>
      <c r="AT559" s="146" t="s">
        <v>138</v>
      </c>
      <c r="AU559" s="146" t="s">
        <v>81</v>
      </c>
      <c r="AV559" s="12" t="s">
        <v>81</v>
      </c>
      <c r="AW559" s="12" t="s">
        <v>33</v>
      </c>
      <c r="AX559" s="12" t="s">
        <v>71</v>
      </c>
      <c r="AY559" s="146" t="s">
        <v>127</v>
      </c>
    </row>
    <row r="560" spans="2:65" s="13" customFormat="1">
      <c r="B560" s="152"/>
      <c r="D560" s="145" t="s">
        <v>138</v>
      </c>
      <c r="E560" s="153" t="s">
        <v>19</v>
      </c>
      <c r="F560" s="154" t="s">
        <v>152</v>
      </c>
      <c r="H560" s="155">
        <v>76</v>
      </c>
      <c r="I560" s="156"/>
      <c r="L560" s="152"/>
      <c r="M560" s="157"/>
      <c r="T560" s="158"/>
      <c r="AT560" s="153" t="s">
        <v>138</v>
      </c>
      <c r="AU560" s="153" t="s">
        <v>81</v>
      </c>
      <c r="AV560" s="13" t="s">
        <v>134</v>
      </c>
      <c r="AW560" s="13" t="s">
        <v>33</v>
      </c>
      <c r="AX560" s="13" t="s">
        <v>79</v>
      </c>
      <c r="AY560" s="153" t="s">
        <v>127</v>
      </c>
    </row>
    <row r="561" spans="2:65" s="1" customFormat="1" ht="16.5" customHeight="1">
      <c r="B561" s="32"/>
      <c r="C561" s="159" t="s">
        <v>1312</v>
      </c>
      <c r="D561" s="159" t="s">
        <v>413</v>
      </c>
      <c r="E561" s="160" t="s">
        <v>1313</v>
      </c>
      <c r="F561" s="161" t="s">
        <v>1314</v>
      </c>
      <c r="G561" s="162" t="s">
        <v>132</v>
      </c>
      <c r="H561" s="163">
        <v>83.6</v>
      </c>
      <c r="I561" s="164"/>
      <c r="J561" s="165">
        <f>ROUND(I561*H561,2)</f>
        <v>0</v>
      </c>
      <c r="K561" s="161" t="s">
        <v>133</v>
      </c>
      <c r="L561" s="166"/>
      <c r="M561" s="167" t="s">
        <v>19</v>
      </c>
      <c r="N561" s="168" t="s">
        <v>42</v>
      </c>
      <c r="P561" s="136">
        <f>O561*H561</f>
        <v>0</v>
      </c>
      <c r="Q561" s="136">
        <v>1.49E-2</v>
      </c>
      <c r="R561" s="136">
        <f>Q561*H561</f>
        <v>1.2456399999999999</v>
      </c>
      <c r="S561" s="136">
        <v>0</v>
      </c>
      <c r="T561" s="137">
        <f>S561*H561</f>
        <v>0</v>
      </c>
      <c r="AR561" s="138" t="s">
        <v>333</v>
      </c>
      <c r="AT561" s="138" t="s">
        <v>413</v>
      </c>
      <c r="AU561" s="138" t="s">
        <v>81</v>
      </c>
      <c r="AY561" s="17" t="s">
        <v>127</v>
      </c>
      <c r="BE561" s="139">
        <f>IF(N561="základní",J561,0)</f>
        <v>0</v>
      </c>
      <c r="BF561" s="139">
        <f>IF(N561="snížená",J561,0)</f>
        <v>0</v>
      </c>
      <c r="BG561" s="139">
        <f>IF(N561="zákl. přenesená",J561,0)</f>
        <v>0</v>
      </c>
      <c r="BH561" s="139">
        <f>IF(N561="sníž. přenesená",J561,0)</f>
        <v>0</v>
      </c>
      <c r="BI561" s="139">
        <f>IF(N561="nulová",J561,0)</f>
        <v>0</v>
      </c>
      <c r="BJ561" s="17" t="s">
        <v>79</v>
      </c>
      <c r="BK561" s="139">
        <f>ROUND(I561*H561,2)</f>
        <v>0</v>
      </c>
      <c r="BL561" s="17" t="s">
        <v>229</v>
      </c>
      <c r="BM561" s="138" t="s">
        <v>1315</v>
      </c>
    </row>
    <row r="562" spans="2:65" s="12" customFormat="1">
      <c r="B562" s="144"/>
      <c r="D562" s="145" t="s">
        <v>138</v>
      </c>
      <c r="F562" s="147" t="s">
        <v>1316</v>
      </c>
      <c r="H562" s="148">
        <v>83.6</v>
      </c>
      <c r="I562" s="149"/>
      <c r="L562" s="144"/>
      <c r="M562" s="150"/>
      <c r="T562" s="151"/>
      <c r="AT562" s="146" t="s">
        <v>138</v>
      </c>
      <c r="AU562" s="146" t="s">
        <v>81</v>
      </c>
      <c r="AV562" s="12" t="s">
        <v>81</v>
      </c>
      <c r="AW562" s="12" t="s">
        <v>4</v>
      </c>
      <c r="AX562" s="12" t="s">
        <v>79</v>
      </c>
      <c r="AY562" s="146" t="s">
        <v>127</v>
      </c>
    </row>
    <row r="563" spans="2:65" s="1" customFormat="1" ht="21.75" customHeight="1">
      <c r="B563" s="32"/>
      <c r="C563" s="127" t="s">
        <v>1317</v>
      </c>
      <c r="D563" s="127" t="s">
        <v>129</v>
      </c>
      <c r="E563" s="128" t="s">
        <v>1318</v>
      </c>
      <c r="F563" s="129" t="s">
        <v>1319</v>
      </c>
      <c r="G563" s="130" t="s">
        <v>132</v>
      </c>
      <c r="H563" s="131">
        <v>790</v>
      </c>
      <c r="I563" s="132"/>
      <c r="J563" s="133">
        <f>ROUND(I563*H563,2)</f>
        <v>0</v>
      </c>
      <c r="K563" s="129" t="s">
        <v>133</v>
      </c>
      <c r="L563" s="32"/>
      <c r="M563" s="134" t="s">
        <v>19</v>
      </c>
      <c r="N563" s="135" t="s">
        <v>42</v>
      </c>
      <c r="P563" s="136">
        <f>O563*H563</f>
        <v>0</v>
      </c>
      <c r="Q563" s="136">
        <v>0</v>
      </c>
      <c r="R563" s="136">
        <f>Q563*H563</f>
        <v>0</v>
      </c>
      <c r="S563" s="136">
        <v>0</v>
      </c>
      <c r="T563" s="137">
        <f>S563*H563</f>
        <v>0</v>
      </c>
      <c r="AR563" s="138" t="s">
        <v>229</v>
      </c>
      <c r="AT563" s="138" t="s">
        <v>129</v>
      </c>
      <c r="AU563" s="138" t="s">
        <v>81</v>
      </c>
      <c r="AY563" s="17" t="s">
        <v>127</v>
      </c>
      <c r="BE563" s="139">
        <f>IF(N563="základní",J563,0)</f>
        <v>0</v>
      </c>
      <c r="BF563" s="139">
        <f>IF(N563="snížená",J563,0)</f>
        <v>0</v>
      </c>
      <c r="BG563" s="139">
        <f>IF(N563="zákl. přenesená",J563,0)</f>
        <v>0</v>
      </c>
      <c r="BH563" s="139">
        <f>IF(N563="sníž. přenesená",J563,0)</f>
        <v>0</v>
      </c>
      <c r="BI563" s="139">
        <f>IF(N563="nulová",J563,0)</f>
        <v>0</v>
      </c>
      <c r="BJ563" s="17" t="s">
        <v>79</v>
      </c>
      <c r="BK563" s="139">
        <f>ROUND(I563*H563,2)</f>
        <v>0</v>
      </c>
      <c r="BL563" s="17" t="s">
        <v>229</v>
      </c>
      <c r="BM563" s="138" t="s">
        <v>1320</v>
      </c>
    </row>
    <row r="564" spans="2:65" s="1" customFormat="1">
      <c r="B564" s="32"/>
      <c r="D564" s="140" t="s">
        <v>136</v>
      </c>
      <c r="F564" s="141" t="s">
        <v>1321</v>
      </c>
      <c r="I564" s="142"/>
      <c r="L564" s="32"/>
      <c r="M564" s="143"/>
      <c r="T564" s="51"/>
      <c r="AT564" s="17" t="s">
        <v>136</v>
      </c>
      <c r="AU564" s="17" t="s">
        <v>81</v>
      </c>
    </row>
    <row r="565" spans="2:65" s="12" customFormat="1">
      <c r="B565" s="144"/>
      <c r="D565" s="145" t="s">
        <v>138</v>
      </c>
      <c r="E565" s="146" t="s">
        <v>19</v>
      </c>
      <c r="F565" s="147" t="s">
        <v>1322</v>
      </c>
      <c r="H565" s="148">
        <v>790</v>
      </c>
      <c r="I565" s="149"/>
      <c r="L565" s="144"/>
      <c r="M565" s="150"/>
      <c r="T565" s="151"/>
      <c r="AT565" s="146" t="s">
        <v>138</v>
      </c>
      <c r="AU565" s="146" t="s">
        <v>81</v>
      </c>
      <c r="AV565" s="12" t="s">
        <v>81</v>
      </c>
      <c r="AW565" s="12" t="s">
        <v>33</v>
      </c>
      <c r="AX565" s="12" t="s">
        <v>79</v>
      </c>
      <c r="AY565" s="146" t="s">
        <v>127</v>
      </c>
    </row>
    <row r="566" spans="2:65" s="1" customFormat="1" ht="16.5" customHeight="1">
      <c r="B566" s="32"/>
      <c r="C566" s="159" t="s">
        <v>1323</v>
      </c>
      <c r="D566" s="159" t="s">
        <v>413</v>
      </c>
      <c r="E566" s="160" t="s">
        <v>1324</v>
      </c>
      <c r="F566" s="161" t="s">
        <v>1325</v>
      </c>
      <c r="G566" s="162" t="s">
        <v>147</v>
      </c>
      <c r="H566" s="163">
        <v>8.3420000000000005</v>
      </c>
      <c r="I566" s="164"/>
      <c r="J566" s="165">
        <f>ROUND(I566*H566,2)</f>
        <v>0</v>
      </c>
      <c r="K566" s="161" t="s">
        <v>133</v>
      </c>
      <c r="L566" s="166"/>
      <c r="M566" s="167" t="s">
        <v>19</v>
      </c>
      <c r="N566" s="168" t="s">
        <v>42</v>
      </c>
      <c r="P566" s="136">
        <f>O566*H566</f>
        <v>0</v>
      </c>
      <c r="Q566" s="136">
        <v>0.55000000000000004</v>
      </c>
      <c r="R566" s="136">
        <f>Q566*H566</f>
        <v>4.5881000000000007</v>
      </c>
      <c r="S566" s="136">
        <v>0</v>
      </c>
      <c r="T566" s="137">
        <f>S566*H566</f>
        <v>0</v>
      </c>
      <c r="AR566" s="138" t="s">
        <v>333</v>
      </c>
      <c r="AT566" s="138" t="s">
        <v>413</v>
      </c>
      <c r="AU566" s="138" t="s">
        <v>81</v>
      </c>
      <c r="AY566" s="17" t="s">
        <v>127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79</v>
      </c>
      <c r="BK566" s="139">
        <f>ROUND(I566*H566,2)</f>
        <v>0</v>
      </c>
      <c r="BL566" s="17" t="s">
        <v>229</v>
      </c>
      <c r="BM566" s="138" t="s">
        <v>1326</v>
      </c>
    </row>
    <row r="567" spans="2:65" s="12" customFormat="1">
      <c r="B567" s="144"/>
      <c r="D567" s="145" t="s">
        <v>138</v>
      </c>
      <c r="E567" s="146" t="s">
        <v>19</v>
      </c>
      <c r="F567" s="147" t="s">
        <v>1327</v>
      </c>
      <c r="H567" s="148">
        <v>7.5839999999999996</v>
      </c>
      <c r="I567" s="149"/>
      <c r="L567" s="144"/>
      <c r="M567" s="150"/>
      <c r="T567" s="151"/>
      <c r="AT567" s="146" t="s">
        <v>138</v>
      </c>
      <c r="AU567" s="146" t="s">
        <v>81</v>
      </c>
      <c r="AV567" s="12" t="s">
        <v>81</v>
      </c>
      <c r="AW567" s="12" t="s">
        <v>33</v>
      </c>
      <c r="AX567" s="12" t="s">
        <v>79</v>
      </c>
      <c r="AY567" s="146" t="s">
        <v>127</v>
      </c>
    </row>
    <row r="568" spans="2:65" s="12" customFormat="1">
      <c r="B568" s="144"/>
      <c r="D568" s="145" t="s">
        <v>138</v>
      </c>
      <c r="F568" s="147" t="s">
        <v>1328</v>
      </c>
      <c r="H568" s="148">
        <v>8.3420000000000005</v>
      </c>
      <c r="I568" s="149"/>
      <c r="L568" s="144"/>
      <c r="M568" s="150"/>
      <c r="T568" s="151"/>
      <c r="AT568" s="146" t="s">
        <v>138</v>
      </c>
      <c r="AU568" s="146" t="s">
        <v>81</v>
      </c>
      <c r="AV568" s="12" t="s">
        <v>81</v>
      </c>
      <c r="AW568" s="12" t="s">
        <v>4</v>
      </c>
      <c r="AX568" s="12" t="s">
        <v>79</v>
      </c>
      <c r="AY568" s="146" t="s">
        <v>127</v>
      </c>
    </row>
    <row r="569" spans="2:65" s="1" customFormat="1" ht="16.5" customHeight="1">
      <c r="B569" s="32"/>
      <c r="C569" s="127" t="s">
        <v>1329</v>
      </c>
      <c r="D569" s="127" t="s">
        <v>129</v>
      </c>
      <c r="E569" s="128" t="s">
        <v>1330</v>
      </c>
      <c r="F569" s="129" t="s">
        <v>1331</v>
      </c>
      <c r="G569" s="130" t="s">
        <v>257</v>
      </c>
      <c r="H569" s="131">
        <v>924.2</v>
      </c>
      <c r="I569" s="132"/>
      <c r="J569" s="133">
        <f>ROUND(I569*H569,2)</f>
        <v>0</v>
      </c>
      <c r="K569" s="129" t="s">
        <v>133</v>
      </c>
      <c r="L569" s="32"/>
      <c r="M569" s="134" t="s">
        <v>19</v>
      </c>
      <c r="N569" s="135" t="s">
        <v>42</v>
      </c>
      <c r="P569" s="136">
        <f>O569*H569</f>
        <v>0</v>
      </c>
      <c r="Q569" s="136">
        <v>2.0000000000000002E-5</v>
      </c>
      <c r="R569" s="136">
        <f>Q569*H569</f>
        <v>1.8484000000000004E-2</v>
      </c>
      <c r="S569" s="136">
        <v>0</v>
      </c>
      <c r="T569" s="137">
        <f>S569*H569</f>
        <v>0</v>
      </c>
      <c r="AR569" s="138" t="s">
        <v>229</v>
      </c>
      <c r="AT569" s="138" t="s">
        <v>129</v>
      </c>
      <c r="AU569" s="138" t="s">
        <v>81</v>
      </c>
      <c r="AY569" s="17" t="s">
        <v>127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7" t="s">
        <v>79</v>
      </c>
      <c r="BK569" s="139">
        <f>ROUND(I569*H569,2)</f>
        <v>0</v>
      </c>
      <c r="BL569" s="17" t="s">
        <v>229</v>
      </c>
      <c r="BM569" s="138" t="s">
        <v>1332</v>
      </c>
    </row>
    <row r="570" spans="2:65" s="1" customFormat="1">
      <c r="B570" s="32"/>
      <c r="D570" s="140" t="s">
        <v>136</v>
      </c>
      <c r="F570" s="141" t="s">
        <v>1333</v>
      </c>
      <c r="I570" s="142"/>
      <c r="L570" s="32"/>
      <c r="M570" s="143"/>
      <c r="T570" s="51"/>
      <c r="AT570" s="17" t="s">
        <v>136</v>
      </c>
      <c r="AU570" s="17" t="s">
        <v>81</v>
      </c>
    </row>
    <row r="571" spans="2:65" s="1" customFormat="1" ht="16.5" customHeight="1">
      <c r="B571" s="32"/>
      <c r="C571" s="159" t="s">
        <v>1334</v>
      </c>
      <c r="D571" s="159" t="s">
        <v>413</v>
      </c>
      <c r="E571" s="160" t="s">
        <v>1324</v>
      </c>
      <c r="F571" s="161" t="s">
        <v>1325</v>
      </c>
      <c r="G571" s="162" t="s">
        <v>147</v>
      </c>
      <c r="H571" s="163">
        <v>2.44</v>
      </c>
      <c r="I571" s="164"/>
      <c r="J571" s="165">
        <f>ROUND(I571*H571,2)</f>
        <v>0</v>
      </c>
      <c r="K571" s="161" t="s">
        <v>133</v>
      </c>
      <c r="L571" s="166"/>
      <c r="M571" s="167" t="s">
        <v>19</v>
      </c>
      <c r="N571" s="168" t="s">
        <v>42</v>
      </c>
      <c r="P571" s="136">
        <f>O571*H571</f>
        <v>0</v>
      </c>
      <c r="Q571" s="136">
        <v>0.55000000000000004</v>
      </c>
      <c r="R571" s="136">
        <f>Q571*H571</f>
        <v>1.3420000000000001</v>
      </c>
      <c r="S571" s="136">
        <v>0</v>
      </c>
      <c r="T571" s="137">
        <f>S571*H571</f>
        <v>0</v>
      </c>
      <c r="AR571" s="138" t="s">
        <v>333</v>
      </c>
      <c r="AT571" s="138" t="s">
        <v>413</v>
      </c>
      <c r="AU571" s="138" t="s">
        <v>81</v>
      </c>
      <c r="AY571" s="17" t="s">
        <v>127</v>
      </c>
      <c r="BE571" s="139">
        <f>IF(N571="základní",J571,0)</f>
        <v>0</v>
      </c>
      <c r="BF571" s="139">
        <f>IF(N571="snížená",J571,0)</f>
        <v>0</v>
      </c>
      <c r="BG571" s="139">
        <f>IF(N571="zákl. přenesená",J571,0)</f>
        <v>0</v>
      </c>
      <c r="BH571" s="139">
        <f>IF(N571="sníž. přenesená",J571,0)</f>
        <v>0</v>
      </c>
      <c r="BI571" s="139">
        <f>IF(N571="nulová",J571,0)</f>
        <v>0</v>
      </c>
      <c r="BJ571" s="17" t="s">
        <v>79</v>
      </c>
      <c r="BK571" s="139">
        <f>ROUND(I571*H571,2)</f>
        <v>0</v>
      </c>
      <c r="BL571" s="17" t="s">
        <v>229</v>
      </c>
      <c r="BM571" s="138" t="s">
        <v>1335</v>
      </c>
    </row>
    <row r="572" spans="2:65" s="12" customFormat="1">
      <c r="B572" s="144"/>
      <c r="D572" s="145" t="s">
        <v>138</v>
      </c>
      <c r="E572" s="146" t="s">
        <v>19</v>
      </c>
      <c r="F572" s="147" t="s">
        <v>1336</v>
      </c>
      <c r="H572" s="148">
        <v>2.218</v>
      </c>
      <c r="I572" s="149"/>
      <c r="L572" s="144"/>
      <c r="M572" s="150"/>
      <c r="T572" s="151"/>
      <c r="AT572" s="146" t="s">
        <v>138</v>
      </c>
      <c r="AU572" s="146" t="s">
        <v>81</v>
      </c>
      <c r="AV572" s="12" t="s">
        <v>81</v>
      </c>
      <c r="AW572" s="12" t="s">
        <v>33</v>
      </c>
      <c r="AX572" s="12" t="s">
        <v>79</v>
      </c>
      <c r="AY572" s="146" t="s">
        <v>127</v>
      </c>
    </row>
    <row r="573" spans="2:65" s="12" customFormat="1">
      <c r="B573" s="144"/>
      <c r="D573" s="145" t="s">
        <v>138</v>
      </c>
      <c r="F573" s="147" t="s">
        <v>1337</v>
      </c>
      <c r="H573" s="148">
        <v>2.44</v>
      </c>
      <c r="I573" s="149"/>
      <c r="L573" s="144"/>
      <c r="M573" s="150"/>
      <c r="T573" s="151"/>
      <c r="AT573" s="146" t="s">
        <v>138</v>
      </c>
      <c r="AU573" s="146" t="s">
        <v>81</v>
      </c>
      <c r="AV573" s="12" t="s">
        <v>81</v>
      </c>
      <c r="AW573" s="12" t="s">
        <v>4</v>
      </c>
      <c r="AX573" s="12" t="s">
        <v>79</v>
      </c>
      <c r="AY573" s="146" t="s">
        <v>127</v>
      </c>
    </row>
    <row r="574" spans="2:65" s="1" customFormat="1" ht="21.75" customHeight="1">
      <c r="B574" s="32"/>
      <c r="C574" s="127" t="s">
        <v>1338</v>
      </c>
      <c r="D574" s="127" t="s">
        <v>129</v>
      </c>
      <c r="E574" s="128" t="s">
        <v>1339</v>
      </c>
      <c r="F574" s="129" t="s">
        <v>1340</v>
      </c>
      <c r="G574" s="130" t="s">
        <v>147</v>
      </c>
      <c r="H574" s="131">
        <v>47.095999999999997</v>
      </c>
      <c r="I574" s="132"/>
      <c r="J574" s="133">
        <f>ROUND(I574*H574,2)</f>
        <v>0</v>
      </c>
      <c r="K574" s="129" t="s">
        <v>133</v>
      </c>
      <c r="L574" s="32"/>
      <c r="M574" s="134" t="s">
        <v>19</v>
      </c>
      <c r="N574" s="135" t="s">
        <v>42</v>
      </c>
      <c r="P574" s="136">
        <f>O574*H574</f>
        <v>0</v>
      </c>
      <c r="Q574" s="136">
        <v>2.3369999999999998E-2</v>
      </c>
      <c r="R574" s="136">
        <f>Q574*H574</f>
        <v>1.1006335199999999</v>
      </c>
      <c r="S574" s="136">
        <v>0</v>
      </c>
      <c r="T574" s="137">
        <f>S574*H574</f>
        <v>0</v>
      </c>
      <c r="AR574" s="138" t="s">
        <v>229</v>
      </c>
      <c r="AT574" s="138" t="s">
        <v>129</v>
      </c>
      <c r="AU574" s="138" t="s">
        <v>81</v>
      </c>
      <c r="AY574" s="17" t="s">
        <v>127</v>
      </c>
      <c r="BE574" s="139">
        <f>IF(N574="základní",J574,0)</f>
        <v>0</v>
      </c>
      <c r="BF574" s="139">
        <f>IF(N574="snížená",J574,0)</f>
        <v>0</v>
      </c>
      <c r="BG574" s="139">
        <f>IF(N574="zákl. přenesená",J574,0)</f>
        <v>0</v>
      </c>
      <c r="BH574" s="139">
        <f>IF(N574="sníž. přenesená",J574,0)</f>
        <v>0</v>
      </c>
      <c r="BI574" s="139">
        <f>IF(N574="nulová",J574,0)</f>
        <v>0</v>
      </c>
      <c r="BJ574" s="17" t="s">
        <v>79</v>
      </c>
      <c r="BK574" s="139">
        <f>ROUND(I574*H574,2)</f>
        <v>0</v>
      </c>
      <c r="BL574" s="17" t="s">
        <v>229</v>
      </c>
      <c r="BM574" s="138" t="s">
        <v>1341</v>
      </c>
    </row>
    <row r="575" spans="2:65" s="1" customFormat="1">
      <c r="B575" s="32"/>
      <c r="D575" s="140" t="s">
        <v>136</v>
      </c>
      <c r="F575" s="141" t="s">
        <v>1342</v>
      </c>
      <c r="I575" s="142"/>
      <c r="L575" s="32"/>
      <c r="M575" s="143"/>
      <c r="T575" s="51"/>
      <c r="AT575" s="17" t="s">
        <v>136</v>
      </c>
      <c r="AU575" s="17" t="s">
        <v>81</v>
      </c>
    </row>
    <row r="576" spans="2:65" s="12" customFormat="1">
      <c r="B576" s="144"/>
      <c r="D576" s="145" t="s">
        <v>138</v>
      </c>
      <c r="E576" s="146" t="s">
        <v>19</v>
      </c>
      <c r="F576" s="147" t="s">
        <v>1232</v>
      </c>
      <c r="H576" s="148">
        <v>17.745000000000001</v>
      </c>
      <c r="I576" s="149"/>
      <c r="L576" s="144"/>
      <c r="M576" s="150"/>
      <c r="T576" s="151"/>
      <c r="AT576" s="146" t="s">
        <v>138</v>
      </c>
      <c r="AU576" s="146" t="s">
        <v>81</v>
      </c>
      <c r="AV576" s="12" t="s">
        <v>81</v>
      </c>
      <c r="AW576" s="12" t="s">
        <v>33</v>
      </c>
      <c r="AX576" s="12" t="s">
        <v>71</v>
      </c>
      <c r="AY576" s="146" t="s">
        <v>127</v>
      </c>
    </row>
    <row r="577" spans="2:65" s="12" customFormat="1">
      <c r="B577" s="144"/>
      <c r="D577" s="145" t="s">
        <v>138</v>
      </c>
      <c r="E577" s="146" t="s">
        <v>19</v>
      </c>
      <c r="F577" s="147" t="s">
        <v>1233</v>
      </c>
      <c r="H577" s="148">
        <v>4.8220000000000001</v>
      </c>
      <c r="I577" s="149"/>
      <c r="L577" s="144"/>
      <c r="M577" s="150"/>
      <c r="T577" s="151"/>
      <c r="AT577" s="146" t="s">
        <v>138</v>
      </c>
      <c r="AU577" s="146" t="s">
        <v>81</v>
      </c>
      <c r="AV577" s="12" t="s">
        <v>81</v>
      </c>
      <c r="AW577" s="12" t="s">
        <v>33</v>
      </c>
      <c r="AX577" s="12" t="s">
        <v>71</v>
      </c>
      <c r="AY577" s="146" t="s">
        <v>127</v>
      </c>
    </row>
    <row r="578" spans="2:65" s="12" customFormat="1">
      <c r="B578" s="144"/>
      <c r="D578" s="145" t="s">
        <v>138</v>
      </c>
      <c r="E578" s="146" t="s">
        <v>19</v>
      </c>
      <c r="F578" s="147" t="s">
        <v>1234</v>
      </c>
      <c r="H578" s="148">
        <v>1.393</v>
      </c>
      <c r="I578" s="149"/>
      <c r="L578" s="144"/>
      <c r="M578" s="150"/>
      <c r="T578" s="151"/>
      <c r="AT578" s="146" t="s">
        <v>138</v>
      </c>
      <c r="AU578" s="146" t="s">
        <v>81</v>
      </c>
      <c r="AV578" s="12" t="s">
        <v>81</v>
      </c>
      <c r="AW578" s="12" t="s">
        <v>33</v>
      </c>
      <c r="AX578" s="12" t="s">
        <v>71</v>
      </c>
      <c r="AY578" s="146" t="s">
        <v>127</v>
      </c>
    </row>
    <row r="579" spans="2:65" s="12" customFormat="1">
      <c r="B579" s="144"/>
      <c r="D579" s="145" t="s">
        <v>138</v>
      </c>
      <c r="E579" s="146" t="s">
        <v>19</v>
      </c>
      <c r="F579" s="147" t="s">
        <v>1235</v>
      </c>
      <c r="H579" s="148">
        <v>4.109</v>
      </c>
      <c r="I579" s="149"/>
      <c r="L579" s="144"/>
      <c r="M579" s="150"/>
      <c r="T579" s="151"/>
      <c r="AT579" s="146" t="s">
        <v>138</v>
      </c>
      <c r="AU579" s="146" t="s">
        <v>81</v>
      </c>
      <c r="AV579" s="12" t="s">
        <v>81</v>
      </c>
      <c r="AW579" s="12" t="s">
        <v>33</v>
      </c>
      <c r="AX579" s="12" t="s">
        <v>71</v>
      </c>
      <c r="AY579" s="146" t="s">
        <v>127</v>
      </c>
    </row>
    <row r="580" spans="2:65" s="12" customFormat="1">
      <c r="B580" s="144"/>
      <c r="D580" s="145" t="s">
        <v>138</v>
      </c>
      <c r="E580" s="146" t="s">
        <v>19</v>
      </c>
      <c r="F580" s="147" t="s">
        <v>1241</v>
      </c>
      <c r="H580" s="148">
        <v>4.1440000000000001</v>
      </c>
      <c r="I580" s="149"/>
      <c r="L580" s="144"/>
      <c r="M580" s="150"/>
      <c r="T580" s="151"/>
      <c r="AT580" s="146" t="s">
        <v>138</v>
      </c>
      <c r="AU580" s="146" t="s">
        <v>81</v>
      </c>
      <c r="AV580" s="12" t="s">
        <v>81</v>
      </c>
      <c r="AW580" s="12" t="s">
        <v>33</v>
      </c>
      <c r="AX580" s="12" t="s">
        <v>71</v>
      </c>
      <c r="AY580" s="146" t="s">
        <v>127</v>
      </c>
    </row>
    <row r="581" spans="2:65" s="12" customFormat="1">
      <c r="B581" s="144"/>
      <c r="D581" s="145" t="s">
        <v>138</v>
      </c>
      <c r="E581" s="146" t="s">
        <v>19</v>
      </c>
      <c r="F581" s="147" t="s">
        <v>1343</v>
      </c>
      <c r="H581" s="148">
        <v>7.5839999999999996</v>
      </c>
      <c r="I581" s="149"/>
      <c r="L581" s="144"/>
      <c r="M581" s="150"/>
      <c r="T581" s="151"/>
      <c r="AT581" s="146" t="s">
        <v>138</v>
      </c>
      <c r="AU581" s="146" t="s">
        <v>81</v>
      </c>
      <c r="AV581" s="12" t="s">
        <v>81</v>
      </c>
      <c r="AW581" s="12" t="s">
        <v>33</v>
      </c>
      <c r="AX581" s="12" t="s">
        <v>71</v>
      </c>
      <c r="AY581" s="146" t="s">
        <v>127</v>
      </c>
    </row>
    <row r="582" spans="2:65" s="12" customFormat="1">
      <c r="B582" s="144"/>
      <c r="D582" s="145" t="s">
        <v>138</v>
      </c>
      <c r="E582" s="146" t="s">
        <v>19</v>
      </c>
      <c r="F582" s="147" t="s">
        <v>1336</v>
      </c>
      <c r="H582" s="148">
        <v>2.218</v>
      </c>
      <c r="I582" s="149"/>
      <c r="L582" s="144"/>
      <c r="M582" s="150"/>
      <c r="T582" s="151"/>
      <c r="AT582" s="146" t="s">
        <v>138</v>
      </c>
      <c r="AU582" s="146" t="s">
        <v>81</v>
      </c>
      <c r="AV582" s="12" t="s">
        <v>81</v>
      </c>
      <c r="AW582" s="12" t="s">
        <v>33</v>
      </c>
      <c r="AX582" s="12" t="s">
        <v>71</v>
      </c>
      <c r="AY582" s="146" t="s">
        <v>127</v>
      </c>
    </row>
    <row r="583" spans="2:65" s="12" customFormat="1">
      <c r="B583" s="144"/>
      <c r="D583" s="145" t="s">
        <v>138</v>
      </c>
      <c r="E583" s="146" t="s">
        <v>19</v>
      </c>
      <c r="F583" s="147" t="s">
        <v>1344</v>
      </c>
      <c r="H583" s="148">
        <v>0.98699999999999999</v>
      </c>
      <c r="I583" s="149"/>
      <c r="L583" s="144"/>
      <c r="M583" s="150"/>
      <c r="T583" s="151"/>
      <c r="AT583" s="146" t="s">
        <v>138</v>
      </c>
      <c r="AU583" s="146" t="s">
        <v>81</v>
      </c>
      <c r="AV583" s="12" t="s">
        <v>81</v>
      </c>
      <c r="AW583" s="12" t="s">
        <v>33</v>
      </c>
      <c r="AX583" s="12" t="s">
        <v>71</v>
      </c>
      <c r="AY583" s="146" t="s">
        <v>127</v>
      </c>
    </row>
    <row r="584" spans="2:65" s="12" customFormat="1">
      <c r="B584" s="144"/>
      <c r="D584" s="145" t="s">
        <v>138</v>
      </c>
      <c r="E584" s="146" t="s">
        <v>19</v>
      </c>
      <c r="F584" s="147" t="s">
        <v>1345</v>
      </c>
      <c r="H584" s="148">
        <v>0.60899999999999999</v>
      </c>
      <c r="I584" s="149"/>
      <c r="L584" s="144"/>
      <c r="M584" s="150"/>
      <c r="T584" s="151"/>
      <c r="AT584" s="146" t="s">
        <v>138</v>
      </c>
      <c r="AU584" s="146" t="s">
        <v>81</v>
      </c>
      <c r="AV584" s="12" t="s">
        <v>81</v>
      </c>
      <c r="AW584" s="12" t="s">
        <v>33</v>
      </c>
      <c r="AX584" s="12" t="s">
        <v>71</v>
      </c>
      <c r="AY584" s="146" t="s">
        <v>127</v>
      </c>
    </row>
    <row r="585" spans="2:65" s="12" customFormat="1">
      <c r="B585" s="144"/>
      <c r="D585" s="145" t="s">
        <v>138</v>
      </c>
      <c r="E585" s="146" t="s">
        <v>19</v>
      </c>
      <c r="F585" s="147" t="s">
        <v>1346</v>
      </c>
      <c r="H585" s="148">
        <v>3.4849999999999999</v>
      </c>
      <c r="I585" s="149"/>
      <c r="L585" s="144"/>
      <c r="M585" s="150"/>
      <c r="T585" s="151"/>
      <c r="AT585" s="146" t="s">
        <v>138</v>
      </c>
      <c r="AU585" s="146" t="s">
        <v>81</v>
      </c>
      <c r="AV585" s="12" t="s">
        <v>81</v>
      </c>
      <c r="AW585" s="12" t="s">
        <v>33</v>
      </c>
      <c r="AX585" s="12" t="s">
        <v>71</v>
      </c>
      <c r="AY585" s="146" t="s">
        <v>127</v>
      </c>
    </row>
    <row r="586" spans="2:65" s="13" customFormat="1">
      <c r="B586" s="152"/>
      <c r="D586" s="145" t="s">
        <v>138</v>
      </c>
      <c r="E586" s="153" t="s">
        <v>19</v>
      </c>
      <c r="F586" s="154" t="s">
        <v>152</v>
      </c>
      <c r="H586" s="155">
        <v>47.096000000000004</v>
      </c>
      <c r="I586" s="156"/>
      <c r="L586" s="152"/>
      <c r="M586" s="157"/>
      <c r="T586" s="158"/>
      <c r="AT586" s="153" t="s">
        <v>138</v>
      </c>
      <c r="AU586" s="153" t="s">
        <v>81</v>
      </c>
      <c r="AV586" s="13" t="s">
        <v>134</v>
      </c>
      <c r="AW586" s="13" t="s">
        <v>33</v>
      </c>
      <c r="AX586" s="13" t="s">
        <v>79</v>
      </c>
      <c r="AY586" s="153" t="s">
        <v>127</v>
      </c>
    </row>
    <row r="587" spans="2:65" s="1" customFormat="1" ht="21.75" customHeight="1">
      <c r="B587" s="32"/>
      <c r="C587" s="127" t="s">
        <v>1347</v>
      </c>
      <c r="D587" s="127" t="s">
        <v>129</v>
      </c>
      <c r="E587" s="128" t="s">
        <v>1348</v>
      </c>
      <c r="F587" s="129" t="s">
        <v>1349</v>
      </c>
      <c r="G587" s="130" t="s">
        <v>132</v>
      </c>
      <c r="H587" s="131">
        <v>1086.8</v>
      </c>
      <c r="I587" s="132"/>
      <c r="J587" s="133">
        <f>ROUND(I587*H587,2)</f>
        <v>0</v>
      </c>
      <c r="K587" s="129" t="s">
        <v>133</v>
      </c>
      <c r="L587" s="32"/>
      <c r="M587" s="134" t="s">
        <v>19</v>
      </c>
      <c r="N587" s="135" t="s">
        <v>42</v>
      </c>
      <c r="P587" s="136">
        <f>O587*H587</f>
        <v>0</v>
      </c>
      <c r="Q587" s="136">
        <v>3.0720000000000001E-2</v>
      </c>
      <c r="R587" s="136">
        <f>Q587*H587</f>
        <v>33.386496000000001</v>
      </c>
      <c r="S587" s="136">
        <v>0</v>
      </c>
      <c r="T587" s="137">
        <f>S587*H587</f>
        <v>0</v>
      </c>
      <c r="AR587" s="138" t="s">
        <v>229</v>
      </c>
      <c r="AT587" s="138" t="s">
        <v>129</v>
      </c>
      <c r="AU587" s="138" t="s">
        <v>81</v>
      </c>
      <c r="AY587" s="17" t="s">
        <v>127</v>
      </c>
      <c r="BE587" s="139">
        <f>IF(N587="základní",J587,0)</f>
        <v>0</v>
      </c>
      <c r="BF587" s="139">
        <f>IF(N587="snížená",J587,0)</f>
        <v>0</v>
      </c>
      <c r="BG587" s="139">
        <f>IF(N587="zákl. přenesená",J587,0)</f>
        <v>0</v>
      </c>
      <c r="BH587" s="139">
        <f>IF(N587="sníž. přenesená",J587,0)</f>
        <v>0</v>
      </c>
      <c r="BI587" s="139">
        <f>IF(N587="nulová",J587,0)</f>
        <v>0</v>
      </c>
      <c r="BJ587" s="17" t="s">
        <v>79</v>
      </c>
      <c r="BK587" s="139">
        <f>ROUND(I587*H587,2)</f>
        <v>0</v>
      </c>
      <c r="BL587" s="17" t="s">
        <v>229</v>
      </c>
      <c r="BM587" s="138" t="s">
        <v>1350</v>
      </c>
    </row>
    <row r="588" spans="2:65" s="1" customFormat="1">
      <c r="B588" s="32"/>
      <c r="D588" s="140" t="s">
        <v>136</v>
      </c>
      <c r="F588" s="141" t="s">
        <v>1351</v>
      </c>
      <c r="I588" s="142"/>
      <c r="L588" s="32"/>
      <c r="M588" s="143"/>
      <c r="T588" s="51"/>
      <c r="AT588" s="17" t="s">
        <v>136</v>
      </c>
      <c r="AU588" s="17" t="s">
        <v>81</v>
      </c>
    </row>
    <row r="589" spans="2:65" s="12" customFormat="1">
      <c r="B589" s="144"/>
      <c r="D589" s="145" t="s">
        <v>138</v>
      </c>
      <c r="E589" s="146" t="s">
        <v>19</v>
      </c>
      <c r="F589" s="147" t="s">
        <v>1174</v>
      </c>
      <c r="H589" s="148">
        <v>1086.8</v>
      </c>
      <c r="I589" s="149"/>
      <c r="L589" s="144"/>
      <c r="M589" s="150"/>
      <c r="T589" s="151"/>
      <c r="AT589" s="146" t="s">
        <v>138</v>
      </c>
      <c r="AU589" s="146" t="s">
        <v>81</v>
      </c>
      <c r="AV589" s="12" t="s">
        <v>81</v>
      </c>
      <c r="AW589" s="12" t="s">
        <v>33</v>
      </c>
      <c r="AX589" s="12" t="s">
        <v>79</v>
      </c>
      <c r="AY589" s="146" t="s">
        <v>127</v>
      </c>
    </row>
    <row r="590" spans="2:65" s="1" customFormat="1" ht="24.2" customHeight="1">
      <c r="B590" s="32"/>
      <c r="C590" s="127" t="s">
        <v>1352</v>
      </c>
      <c r="D590" s="127" t="s">
        <v>129</v>
      </c>
      <c r="E590" s="128" t="s">
        <v>1353</v>
      </c>
      <c r="F590" s="129" t="s">
        <v>1354</v>
      </c>
      <c r="G590" s="130" t="s">
        <v>132</v>
      </c>
      <c r="H590" s="131">
        <v>543.4</v>
      </c>
      <c r="I590" s="132"/>
      <c r="J590" s="133">
        <f>ROUND(I590*H590,2)</f>
        <v>0</v>
      </c>
      <c r="K590" s="129" t="s">
        <v>133</v>
      </c>
      <c r="L590" s="32"/>
      <c r="M590" s="134" t="s">
        <v>19</v>
      </c>
      <c r="N590" s="135" t="s">
        <v>42</v>
      </c>
      <c r="P590" s="136">
        <f>O590*H590</f>
        <v>0</v>
      </c>
      <c r="Q590" s="136">
        <v>1.5740000000000001E-2</v>
      </c>
      <c r="R590" s="136">
        <f>Q590*H590</f>
        <v>8.5531159999999993</v>
      </c>
      <c r="S590" s="136">
        <v>0</v>
      </c>
      <c r="T590" s="137">
        <f>S590*H590</f>
        <v>0</v>
      </c>
      <c r="AR590" s="138" t="s">
        <v>229</v>
      </c>
      <c r="AT590" s="138" t="s">
        <v>129</v>
      </c>
      <c r="AU590" s="138" t="s">
        <v>81</v>
      </c>
      <c r="AY590" s="17" t="s">
        <v>127</v>
      </c>
      <c r="BE590" s="139">
        <f>IF(N590="základní",J590,0)</f>
        <v>0</v>
      </c>
      <c r="BF590" s="139">
        <f>IF(N590="snížená",J590,0)</f>
        <v>0</v>
      </c>
      <c r="BG590" s="139">
        <f>IF(N590="zákl. přenesená",J590,0)</f>
        <v>0</v>
      </c>
      <c r="BH590" s="139">
        <f>IF(N590="sníž. přenesená",J590,0)</f>
        <v>0</v>
      </c>
      <c r="BI590" s="139">
        <f>IF(N590="nulová",J590,0)</f>
        <v>0</v>
      </c>
      <c r="BJ590" s="17" t="s">
        <v>79</v>
      </c>
      <c r="BK590" s="139">
        <f>ROUND(I590*H590,2)</f>
        <v>0</v>
      </c>
      <c r="BL590" s="17" t="s">
        <v>229</v>
      </c>
      <c r="BM590" s="138" t="s">
        <v>1355</v>
      </c>
    </row>
    <row r="591" spans="2:65" s="1" customFormat="1">
      <c r="B591" s="32"/>
      <c r="D591" s="140" t="s">
        <v>136</v>
      </c>
      <c r="F591" s="141" t="s">
        <v>1356</v>
      </c>
      <c r="I591" s="142"/>
      <c r="L591" s="32"/>
      <c r="M591" s="143"/>
      <c r="T591" s="51"/>
      <c r="AT591" s="17" t="s">
        <v>136</v>
      </c>
      <c r="AU591" s="17" t="s">
        <v>81</v>
      </c>
    </row>
    <row r="592" spans="2:65" s="12" customFormat="1">
      <c r="B592" s="144"/>
      <c r="D592" s="145" t="s">
        <v>138</v>
      </c>
      <c r="E592" s="146" t="s">
        <v>19</v>
      </c>
      <c r="F592" s="147" t="s">
        <v>1116</v>
      </c>
      <c r="H592" s="148">
        <v>543.4</v>
      </c>
      <c r="I592" s="149"/>
      <c r="L592" s="144"/>
      <c r="M592" s="150"/>
      <c r="T592" s="151"/>
      <c r="AT592" s="146" t="s">
        <v>138</v>
      </c>
      <c r="AU592" s="146" t="s">
        <v>81</v>
      </c>
      <c r="AV592" s="12" t="s">
        <v>81</v>
      </c>
      <c r="AW592" s="12" t="s">
        <v>33</v>
      </c>
      <c r="AX592" s="12" t="s">
        <v>79</v>
      </c>
      <c r="AY592" s="146" t="s">
        <v>127</v>
      </c>
    </row>
    <row r="593" spans="2:65" s="1" customFormat="1" ht="24.2" customHeight="1">
      <c r="B593" s="32"/>
      <c r="C593" s="127" t="s">
        <v>1357</v>
      </c>
      <c r="D593" s="127" t="s">
        <v>129</v>
      </c>
      <c r="E593" s="128" t="s">
        <v>1358</v>
      </c>
      <c r="F593" s="129" t="s">
        <v>1359</v>
      </c>
      <c r="G593" s="130" t="s">
        <v>132</v>
      </c>
      <c r="H593" s="131">
        <v>178.2</v>
      </c>
      <c r="I593" s="132"/>
      <c r="J593" s="133">
        <f>ROUND(I593*H593,2)</f>
        <v>0</v>
      </c>
      <c r="K593" s="129" t="s">
        <v>133</v>
      </c>
      <c r="L593" s="32"/>
      <c r="M593" s="134" t="s">
        <v>19</v>
      </c>
      <c r="N593" s="135" t="s">
        <v>42</v>
      </c>
      <c r="P593" s="136">
        <f>O593*H593</f>
        <v>0</v>
      </c>
      <c r="Q593" s="136">
        <v>1.1310000000000001E-2</v>
      </c>
      <c r="R593" s="136">
        <f>Q593*H593</f>
        <v>2.0154420000000002</v>
      </c>
      <c r="S593" s="136">
        <v>0</v>
      </c>
      <c r="T593" s="137">
        <f>S593*H593</f>
        <v>0</v>
      </c>
      <c r="AR593" s="138" t="s">
        <v>229</v>
      </c>
      <c r="AT593" s="138" t="s">
        <v>129</v>
      </c>
      <c r="AU593" s="138" t="s">
        <v>81</v>
      </c>
      <c r="AY593" s="17" t="s">
        <v>127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79</v>
      </c>
      <c r="BK593" s="139">
        <f>ROUND(I593*H593,2)</f>
        <v>0</v>
      </c>
      <c r="BL593" s="17" t="s">
        <v>229</v>
      </c>
      <c r="BM593" s="138" t="s">
        <v>1360</v>
      </c>
    </row>
    <row r="594" spans="2:65" s="1" customFormat="1">
      <c r="B594" s="32"/>
      <c r="D594" s="140" t="s">
        <v>136</v>
      </c>
      <c r="F594" s="141" t="s">
        <v>1361</v>
      </c>
      <c r="I594" s="142"/>
      <c r="L594" s="32"/>
      <c r="M594" s="143"/>
      <c r="T594" s="51"/>
      <c r="AT594" s="17" t="s">
        <v>136</v>
      </c>
      <c r="AU594" s="17" t="s">
        <v>81</v>
      </c>
    </row>
    <row r="595" spans="2:65" s="12" customFormat="1">
      <c r="B595" s="144"/>
      <c r="D595" s="145" t="s">
        <v>138</v>
      </c>
      <c r="E595" s="146" t="s">
        <v>19</v>
      </c>
      <c r="F595" s="147" t="s">
        <v>1362</v>
      </c>
      <c r="H595" s="148">
        <v>178.2</v>
      </c>
      <c r="I595" s="149"/>
      <c r="L595" s="144"/>
      <c r="M595" s="150"/>
      <c r="T595" s="151"/>
      <c r="AT595" s="146" t="s">
        <v>138</v>
      </c>
      <c r="AU595" s="146" t="s">
        <v>81</v>
      </c>
      <c r="AV595" s="12" t="s">
        <v>81</v>
      </c>
      <c r="AW595" s="12" t="s">
        <v>33</v>
      </c>
      <c r="AX595" s="12" t="s">
        <v>79</v>
      </c>
      <c r="AY595" s="146" t="s">
        <v>127</v>
      </c>
    </row>
    <row r="596" spans="2:65" s="1" customFormat="1" ht="16.5" customHeight="1">
      <c r="B596" s="32"/>
      <c r="C596" s="127" t="s">
        <v>1363</v>
      </c>
      <c r="D596" s="127" t="s">
        <v>129</v>
      </c>
      <c r="E596" s="128" t="s">
        <v>1364</v>
      </c>
      <c r="F596" s="129" t="s">
        <v>1365</v>
      </c>
      <c r="G596" s="130" t="s">
        <v>257</v>
      </c>
      <c r="H596" s="131">
        <v>1404.04</v>
      </c>
      <c r="I596" s="132"/>
      <c r="J596" s="133">
        <f>ROUND(I596*H596,2)</f>
        <v>0</v>
      </c>
      <c r="K596" s="129" t="s">
        <v>133</v>
      </c>
      <c r="L596" s="32"/>
      <c r="M596" s="134" t="s">
        <v>19</v>
      </c>
      <c r="N596" s="135" t="s">
        <v>42</v>
      </c>
      <c r="P596" s="136">
        <f>O596*H596</f>
        <v>0</v>
      </c>
      <c r="Q596" s="136">
        <v>1.0000000000000001E-5</v>
      </c>
      <c r="R596" s="136">
        <f>Q596*H596</f>
        <v>1.4040400000000001E-2</v>
      </c>
      <c r="S596" s="136">
        <v>0</v>
      </c>
      <c r="T596" s="137">
        <f>S596*H596</f>
        <v>0</v>
      </c>
      <c r="AR596" s="138" t="s">
        <v>229</v>
      </c>
      <c r="AT596" s="138" t="s">
        <v>129</v>
      </c>
      <c r="AU596" s="138" t="s">
        <v>81</v>
      </c>
      <c r="AY596" s="17" t="s">
        <v>127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7" t="s">
        <v>79</v>
      </c>
      <c r="BK596" s="139">
        <f>ROUND(I596*H596,2)</f>
        <v>0</v>
      </c>
      <c r="BL596" s="17" t="s">
        <v>229</v>
      </c>
      <c r="BM596" s="138" t="s">
        <v>1366</v>
      </c>
    </row>
    <row r="597" spans="2:65" s="1" customFormat="1">
      <c r="B597" s="32"/>
      <c r="D597" s="140" t="s">
        <v>136</v>
      </c>
      <c r="F597" s="141" t="s">
        <v>1367</v>
      </c>
      <c r="I597" s="142"/>
      <c r="L597" s="32"/>
      <c r="M597" s="143"/>
      <c r="T597" s="51"/>
      <c r="AT597" s="17" t="s">
        <v>136</v>
      </c>
      <c r="AU597" s="17" t="s">
        <v>81</v>
      </c>
    </row>
    <row r="598" spans="2:65" s="12" customFormat="1">
      <c r="B598" s="144"/>
      <c r="D598" s="145" t="s">
        <v>138</v>
      </c>
      <c r="E598" s="146" t="s">
        <v>19</v>
      </c>
      <c r="F598" s="147" t="s">
        <v>1368</v>
      </c>
      <c r="H598" s="148">
        <v>869.44</v>
      </c>
      <c r="I598" s="149"/>
      <c r="L598" s="144"/>
      <c r="M598" s="150"/>
      <c r="T598" s="151"/>
      <c r="AT598" s="146" t="s">
        <v>138</v>
      </c>
      <c r="AU598" s="146" t="s">
        <v>81</v>
      </c>
      <c r="AV598" s="12" t="s">
        <v>81</v>
      </c>
      <c r="AW598" s="12" t="s">
        <v>33</v>
      </c>
      <c r="AX598" s="12" t="s">
        <v>71</v>
      </c>
      <c r="AY598" s="146" t="s">
        <v>127</v>
      </c>
    </row>
    <row r="599" spans="2:65" s="12" customFormat="1">
      <c r="B599" s="144"/>
      <c r="D599" s="145" t="s">
        <v>138</v>
      </c>
      <c r="E599" s="146" t="s">
        <v>19</v>
      </c>
      <c r="F599" s="147" t="s">
        <v>1369</v>
      </c>
      <c r="H599" s="148">
        <v>534.6</v>
      </c>
      <c r="I599" s="149"/>
      <c r="L599" s="144"/>
      <c r="M599" s="150"/>
      <c r="T599" s="151"/>
      <c r="AT599" s="146" t="s">
        <v>138</v>
      </c>
      <c r="AU599" s="146" t="s">
        <v>81</v>
      </c>
      <c r="AV599" s="12" t="s">
        <v>81</v>
      </c>
      <c r="AW599" s="12" t="s">
        <v>33</v>
      </c>
      <c r="AX599" s="12" t="s">
        <v>71</v>
      </c>
      <c r="AY599" s="146" t="s">
        <v>127</v>
      </c>
    </row>
    <row r="600" spans="2:65" s="13" customFormat="1">
      <c r="B600" s="152"/>
      <c r="D600" s="145" t="s">
        <v>138</v>
      </c>
      <c r="E600" s="153" t="s">
        <v>19</v>
      </c>
      <c r="F600" s="154" t="s">
        <v>152</v>
      </c>
      <c r="H600" s="155">
        <v>1404.04</v>
      </c>
      <c r="I600" s="156"/>
      <c r="L600" s="152"/>
      <c r="M600" s="157"/>
      <c r="T600" s="158"/>
      <c r="AT600" s="153" t="s">
        <v>138</v>
      </c>
      <c r="AU600" s="153" t="s">
        <v>81</v>
      </c>
      <c r="AV600" s="13" t="s">
        <v>134</v>
      </c>
      <c r="AW600" s="13" t="s">
        <v>33</v>
      </c>
      <c r="AX600" s="13" t="s">
        <v>79</v>
      </c>
      <c r="AY600" s="153" t="s">
        <v>127</v>
      </c>
    </row>
    <row r="601" spans="2:65" s="1" customFormat="1" ht="16.5" customHeight="1">
      <c r="B601" s="32"/>
      <c r="C601" s="159" t="s">
        <v>1370</v>
      </c>
      <c r="D601" s="159" t="s">
        <v>413</v>
      </c>
      <c r="E601" s="160" t="s">
        <v>1371</v>
      </c>
      <c r="F601" s="161" t="s">
        <v>1372</v>
      </c>
      <c r="G601" s="162" t="s">
        <v>147</v>
      </c>
      <c r="H601" s="163">
        <v>6.12</v>
      </c>
      <c r="I601" s="164"/>
      <c r="J601" s="165">
        <f>ROUND(I601*H601,2)</f>
        <v>0</v>
      </c>
      <c r="K601" s="161" t="s">
        <v>133</v>
      </c>
      <c r="L601" s="166"/>
      <c r="M601" s="167" t="s">
        <v>19</v>
      </c>
      <c r="N601" s="168" t="s">
        <v>42</v>
      </c>
      <c r="P601" s="136">
        <f>O601*H601</f>
        <v>0</v>
      </c>
      <c r="Q601" s="136">
        <v>0.55000000000000004</v>
      </c>
      <c r="R601" s="136">
        <f>Q601*H601</f>
        <v>3.3660000000000005</v>
      </c>
      <c r="S601" s="136">
        <v>0</v>
      </c>
      <c r="T601" s="137">
        <f>S601*H601</f>
        <v>0</v>
      </c>
      <c r="AR601" s="138" t="s">
        <v>333</v>
      </c>
      <c r="AT601" s="138" t="s">
        <v>413</v>
      </c>
      <c r="AU601" s="138" t="s">
        <v>81</v>
      </c>
      <c r="AY601" s="17" t="s">
        <v>127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79</v>
      </c>
      <c r="BK601" s="139">
        <f>ROUND(I601*H601,2)</f>
        <v>0</v>
      </c>
      <c r="BL601" s="17" t="s">
        <v>229</v>
      </c>
      <c r="BM601" s="138" t="s">
        <v>1373</v>
      </c>
    </row>
    <row r="602" spans="2:65" s="12" customFormat="1">
      <c r="B602" s="144"/>
      <c r="D602" s="145" t="s">
        <v>138</v>
      </c>
      <c r="E602" s="146" t="s">
        <v>19</v>
      </c>
      <c r="F602" s="147" t="s">
        <v>1374</v>
      </c>
      <c r="H602" s="148">
        <v>5.5640000000000001</v>
      </c>
      <c r="I602" s="149"/>
      <c r="L602" s="144"/>
      <c r="M602" s="150"/>
      <c r="T602" s="151"/>
      <c r="AT602" s="146" t="s">
        <v>138</v>
      </c>
      <c r="AU602" s="146" t="s">
        <v>81</v>
      </c>
      <c r="AV602" s="12" t="s">
        <v>81</v>
      </c>
      <c r="AW602" s="12" t="s">
        <v>33</v>
      </c>
      <c r="AX602" s="12" t="s">
        <v>79</v>
      </c>
      <c r="AY602" s="146" t="s">
        <v>127</v>
      </c>
    </row>
    <row r="603" spans="2:65" s="12" customFormat="1">
      <c r="B603" s="144"/>
      <c r="D603" s="145" t="s">
        <v>138</v>
      </c>
      <c r="F603" s="147" t="s">
        <v>1375</v>
      </c>
      <c r="H603" s="148">
        <v>6.12</v>
      </c>
      <c r="I603" s="149"/>
      <c r="L603" s="144"/>
      <c r="M603" s="150"/>
      <c r="T603" s="151"/>
      <c r="AT603" s="146" t="s">
        <v>138</v>
      </c>
      <c r="AU603" s="146" t="s">
        <v>81</v>
      </c>
      <c r="AV603" s="12" t="s">
        <v>81</v>
      </c>
      <c r="AW603" s="12" t="s">
        <v>4</v>
      </c>
      <c r="AX603" s="12" t="s">
        <v>79</v>
      </c>
      <c r="AY603" s="146" t="s">
        <v>127</v>
      </c>
    </row>
    <row r="604" spans="2:65" s="1" customFormat="1" ht="16.5" customHeight="1">
      <c r="B604" s="32"/>
      <c r="C604" s="159" t="s">
        <v>1376</v>
      </c>
      <c r="D604" s="159" t="s">
        <v>413</v>
      </c>
      <c r="E604" s="160" t="s">
        <v>1294</v>
      </c>
      <c r="F604" s="161" t="s">
        <v>1295</v>
      </c>
      <c r="G604" s="162" t="s">
        <v>147</v>
      </c>
      <c r="H604" s="163">
        <v>3.593</v>
      </c>
      <c r="I604" s="164"/>
      <c r="J604" s="165">
        <f>ROUND(I604*H604,2)</f>
        <v>0</v>
      </c>
      <c r="K604" s="161" t="s">
        <v>133</v>
      </c>
      <c r="L604" s="166"/>
      <c r="M604" s="167" t="s">
        <v>19</v>
      </c>
      <c r="N604" s="168" t="s">
        <v>42</v>
      </c>
      <c r="P604" s="136">
        <f>O604*H604</f>
        <v>0</v>
      </c>
      <c r="Q604" s="136">
        <v>0.44</v>
      </c>
      <c r="R604" s="136">
        <f>Q604*H604</f>
        <v>1.5809200000000001</v>
      </c>
      <c r="S604" s="136">
        <v>0</v>
      </c>
      <c r="T604" s="137">
        <f>S604*H604</f>
        <v>0</v>
      </c>
      <c r="AR604" s="138" t="s">
        <v>333</v>
      </c>
      <c r="AT604" s="138" t="s">
        <v>413</v>
      </c>
      <c r="AU604" s="138" t="s">
        <v>81</v>
      </c>
      <c r="AY604" s="17" t="s">
        <v>127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7" t="s">
        <v>79</v>
      </c>
      <c r="BK604" s="139">
        <f>ROUND(I604*H604,2)</f>
        <v>0</v>
      </c>
      <c r="BL604" s="17" t="s">
        <v>229</v>
      </c>
      <c r="BM604" s="138" t="s">
        <v>1377</v>
      </c>
    </row>
    <row r="605" spans="2:65" s="12" customFormat="1">
      <c r="B605" s="144"/>
      <c r="D605" s="145" t="s">
        <v>138</v>
      </c>
      <c r="E605" s="146" t="s">
        <v>19</v>
      </c>
      <c r="F605" s="147" t="s">
        <v>1378</v>
      </c>
      <c r="H605" s="148">
        <v>2.9940000000000002</v>
      </c>
      <c r="I605" s="149"/>
      <c r="L605" s="144"/>
      <c r="M605" s="150"/>
      <c r="T605" s="151"/>
      <c r="AT605" s="146" t="s">
        <v>138</v>
      </c>
      <c r="AU605" s="146" t="s">
        <v>81</v>
      </c>
      <c r="AV605" s="12" t="s">
        <v>81</v>
      </c>
      <c r="AW605" s="12" t="s">
        <v>33</v>
      </c>
      <c r="AX605" s="12" t="s">
        <v>79</v>
      </c>
      <c r="AY605" s="146" t="s">
        <v>127</v>
      </c>
    </row>
    <row r="606" spans="2:65" s="12" customFormat="1">
      <c r="B606" s="144"/>
      <c r="D606" s="145" t="s">
        <v>138</v>
      </c>
      <c r="F606" s="147" t="s">
        <v>1379</v>
      </c>
      <c r="H606" s="148">
        <v>3.593</v>
      </c>
      <c r="I606" s="149"/>
      <c r="L606" s="144"/>
      <c r="M606" s="150"/>
      <c r="T606" s="151"/>
      <c r="AT606" s="146" t="s">
        <v>138</v>
      </c>
      <c r="AU606" s="146" t="s">
        <v>81</v>
      </c>
      <c r="AV606" s="12" t="s">
        <v>81</v>
      </c>
      <c r="AW606" s="12" t="s">
        <v>4</v>
      </c>
      <c r="AX606" s="12" t="s">
        <v>79</v>
      </c>
      <c r="AY606" s="146" t="s">
        <v>127</v>
      </c>
    </row>
    <row r="607" spans="2:65" s="1" customFormat="1" ht="16.5" customHeight="1">
      <c r="B607" s="32"/>
      <c r="C607" s="127" t="s">
        <v>1380</v>
      </c>
      <c r="D607" s="127" t="s">
        <v>129</v>
      </c>
      <c r="E607" s="128" t="s">
        <v>1381</v>
      </c>
      <c r="F607" s="129" t="s">
        <v>1382</v>
      </c>
      <c r="G607" s="130" t="s">
        <v>132</v>
      </c>
      <c r="H607" s="131">
        <v>1808.4</v>
      </c>
      <c r="I607" s="132"/>
      <c r="J607" s="133">
        <f>ROUND(I607*H607,2)</f>
        <v>0</v>
      </c>
      <c r="K607" s="129" t="s">
        <v>133</v>
      </c>
      <c r="L607" s="32"/>
      <c r="M607" s="134" t="s">
        <v>19</v>
      </c>
      <c r="N607" s="135" t="s">
        <v>42</v>
      </c>
      <c r="P607" s="136">
        <f>O607*H607</f>
        <v>0</v>
      </c>
      <c r="Q607" s="136">
        <v>1.8000000000000001E-4</v>
      </c>
      <c r="R607" s="136">
        <f>Q607*H607</f>
        <v>0.32551200000000002</v>
      </c>
      <c r="S607" s="136">
        <v>0</v>
      </c>
      <c r="T607" s="137">
        <f>S607*H607</f>
        <v>0</v>
      </c>
      <c r="AR607" s="138" t="s">
        <v>229</v>
      </c>
      <c r="AT607" s="138" t="s">
        <v>129</v>
      </c>
      <c r="AU607" s="138" t="s">
        <v>81</v>
      </c>
      <c r="AY607" s="17" t="s">
        <v>127</v>
      </c>
      <c r="BE607" s="139">
        <f>IF(N607="základní",J607,0)</f>
        <v>0</v>
      </c>
      <c r="BF607" s="139">
        <f>IF(N607="snížená",J607,0)</f>
        <v>0</v>
      </c>
      <c r="BG607" s="139">
        <f>IF(N607="zákl. přenesená",J607,0)</f>
        <v>0</v>
      </c>
      <c r="BH607" s="139">
        <f>IF(N607="sníž. přenesená",J607,0)</f>
        <v>0</v>
      </c>
      <c r="BI607" s="139">
        <f>IF(N607="nulová",J607,0)</f>
        <v>0</v>
      </c>
      <c r="BJ607" s="17" t="s">
        <v>79</v>
      </c>
      <c r="BK607" s="139">
        <f>ROUND(I607*H607,2)</f>
        <v>0</v>
      </c>
      <c r="BL607" s="17" t="s">
        <v>229</v>
      </c>
      <c r="BM607" s="138" t="s">
        <v>1383</v>
      </c>
    </row>
    <row r="608" spans="2:65" s="1" customFormat="1">
      <c r="B608" s="32"/>
      <c r="D608" s="140" t="s">
        <v>136</v>
      </c>
      <c r="F608" s="141" t="s">
        <v>1384</v>
      </c>
      <c r="I608" s="142"/>
      <c r="L608" s="32"/>
      <c r="M608" s="143"/>
      <c r="T608" s="51"/>
      <c r="AT608" s="17" t="s">
        <v>136</v>
      </c>
      <c r="AU608" s="17" t="s">
        <v>81</v>
      </c>
    </row>
    <row r="609" spans="2:65" s="12" customFormat="1">
      <c r="B609" s="144"/>
      <c r="D609" s="145" t="s">
        <v>138</v>
      </c>
      <c r="E609" s="146" t="s">
        <v>19</v>
      </c>
      <c r="F609" s="147" t="s">
        <v>1116</v>
      </c>
      <c r="H609" s="148">
        <v>543.4</v>
      </c>
      <c r="I609" s="149"/>
      <c r="L609" s="144"/>
      <c r="M609" s="150"/>
      <c r="T609" s="151"/>
      <c r="AT609" s="146" t="s">
        <v>138</v>
      </c>
      <c r="AU609" s="146" t="s">
        <v>81</v>
      </c>
      <c r="AV609" s="12" t="s">
        <v>81</v>
      </c>
      <c r="AW609" s="12" t="s">
        <v>33</v>
      </c>
      <c r="AX609" s="12" t="s">
        <v>71</v>
      </c>
      <c r="AY609" s="146" t="s">
        <v>127</v>
      </c>
    </row>
    <row r="610" spans="2:65" s="12" customFormat="1">
      <c r="B610" s="144"/>
      <c r="D610" s="145" t="s">
        <v>138</v>
      </c>
      <c r="E610" s="146" t="s">
        <v>19</v>
      </c>
      <c r="F610" s="147" t="s">
        <v>1385</v>
      </c>
      <c r="H610" s="148">
        <v>1086.8</v>
      </c>
      <c r="I610" s="149"/>
      <c r="L610" s="144"/>
      <c r="M610" s="150"/>
      <c r="T610" s="151"/>
      <c r="AT610" s="146" t="s">
        <v>138</v>
      </c>
      <c r="AU610" s="146" t="s">
        <v>81</v>
      </c>
      <c r="AV610" s="12" t="s">
        <v>81</v>
      </c>
      <c r="AW610" s="12" t="s">
        <v>33</v>
      </c>
      <c r="AX610" s="12" t="s">
        <v>71</v>
      </c>
      <c r="AY610" s="146" t="s">
        <v>127</v>
      </c>
    </row>
    <row r="611" spans="2:65" s="12" customFormat="1">
      <c r="B611" s="144"/>
      <c r="D611" s="145" t="s">
        <v>138</v>
      </c>
      <c r="E611" s="146" t="s">
        <v>19</v>
      </c>
      <c r="F611" s="147" t="s">
        <v>1362</v>
      </c>
      <c r="H611" s="148">
        <v>178.2</v>
      </c>
      <c r="I611" s="149"/>
      <c r="L611" s="144"/>
      <c r="M611" s="150"/>
      <c r="T611" s="151"/>
      <c r="AT611" s="146" t="s">
        <v>138</v>
      </c>
      <c r="AU611" s="146" t="s">
        <v>81</v>
      </c>
      <c r="AV611" s="12" t="s">
        <v>81</v>
      </c>
      <c r="AW611" s="12" t="s">
        <v>33</v>
      </c>
      <c r="AX611" s="12" t="s">
        <v>71</v>
      </c>
      <c r="AY611" s="146" t="s">
        <v>127</v>
      </c>
    </row>
    <row r="612" spans="2:65" s="13" customFormat="1">
      <c r="B612" s="152"/>
      <c r="D612" s="145" t="s">
        <v>138</v>
      </c>
      <c r="E612" s="153" t="s">
        <v>19</v>
      </c>
      <c r="F612" s="154" t="s">
        <v>152</v>
      </c>
      <c r="H612" s="155">
        <v>1808.3999999999999</v>
      </c>
      <c r="I612" s="156"/>
      <c r="L612" s="152"/>
      <c r="M612" s="157"/>
      <c r="T612" s="158"/>
      <c r="AT612" s="153" t="s">
        <v>138</v>
      </c>
      <c r="AU612" s="153" t="s">
        <v>81</v>
      </c>
      <c r="AV612" s="13" t="s">
        <v>134</v>
      </c>
      <c r="AW612" s="13" t="s">
        <v>33</v>
      </c>
      <c r="AX612" s="13" t="s">
        <v>79</v>
      </c>
      <c r="AY612" s="153" t="s">
        <v>127</v>
      </c>
    </row>
    <row r="613" spans="2:65" s="1" customFormat="1" ht="24.2" customHeight="1">
      <c r="B613" s="32"/>
      <c r="C613" s="127" t="s">
        <v>1386</v>
      </c>
      <c r="D613" s="127" t="s">
        <v>129</v>
      </c>
      <c r="E613" s="128" t="s">
        <v>1387</v>
      </c>
      <c r="F613" s="129" t="s">
        <v>1388</v>
      </c>
      <c r="G613" s="130" t="s">
        <v>425</v>
      </c>
      <c r="H613" s="169"/>
      <c r="I613" s="132"/>
      <c r="J613" s="133">
        <f>ROUND(I613*H613,2)</f>
        <v>0</v>
      </c>
      <c r="K613" s="129" t="s">
        <v>133</v>
      </c>
      <c r="L613" s="32"/>
      <c r="M613" s="134" t="s">
        <v>19</v>
      </c>
      <c r="N613" s="135" t="s">
        <v>42</v>
      </c>
      <c r="P613" s="136">
        <f>O613*H613</f>
        <v>0</v>
      </c>
      <c r="Q613" s="136">
        <v>0</v>
      </c>
      <c r="R613" s="136">
        <f>Q613*H613</f>
        <v>0</v>
      </c>
      <c r="S613" s="136">
        <v>0</v>
      </c>
      <c r="T613" s="137">
        <f>S613*H613</f>
        <v>0</v>
      </c>
      <c r="AR613" s="138" t="s">
        <v>229</v>
      </c>
      <c r="AT613" s="138" t="s">
        <v>129</v>
      </c>
      <c r="AU613" s="138" t="s">
        <v>81</v>
      </c>
      <c r="AY613" s="17" t="s">
        <v>127</v>
      </c>
      <c r="BE613" s="139">
        <f>IF(N613="základní",J613,0)</f>
        <v>0</v>
      </c>
      <c r="BF613" s="139">
        <f>IF(N613="snížená",J613,0)</f>
        <v>0</v>
      </c>
      <c r="BG613" s="139">
        <f>IF(N613="zákl. přenesená",J613,0)</f>
        <v>0</v>
      </c>
      <c r="BH613" s="139">
        <f>IF(N613="sníž. přenesená",J613,0)</f>
        <v>0</v>
      </c>
      <c r="BI613" s="139">
        <f>IF(N613="nulová",J613,0)</f>
        <v>0</v>
      </c>
      <c r="BJ613" s="17" t="s">
        <v>79</v>
      </c>
      <c r="BK613" s="139">
        <f>ROUND(I613*H613,2)</f>
        <v>0</v>
      </c>
      <c r="BL613" s="17" t="s">
        <v>229</v>
      </c>
      <c r="BM613" s="138" t="s">
        <v>1389</v>
      </c>
    </row>
    <row r="614" spans="2:65" s="1" customFormat="1">
      <c r="B614" s="32"/>
      <c r="D614" s="140" t="s">
        <v>136</v>
      </c>
      <c r="F614" s="141" t="s">
        <v>1390</v>
      </c>
      <c r="I614" s="142"/>
      <c r="L614" s="32"/>
      <c r="M614" s="143"/>
      <c r="T614" s="51"/>
      <c r="AT614" s="17" t="s">
        <v>136</v>
      </c>
      <c r="AU614" s="17" t="s">
        <v>81</v>
      </c>
    </row>
    <row r="615" spans="2:65" s="11" customFormat="1" ht="22.9" customHeight="1">
      <c r="B615" s="115"/>
      <c r="D615" s="116" t="s">
        <v>70</v>
      </c>
      <c r="E615" s="125" t="s">
        <v>1391</v>
      </c>
      <c r="F615" s="125" t="s">
        <v>1392</v>
      </c>
      <c r="I615" s="118"/>
      <c r="J615" s="126">
        <f>BK615</f>
        <v>0</v>
      </c>
      <c r="L615" s="115"/>
      <c r="M615" s="120"/>
      <c r="P615" s="121">
        <f>SUM(P616:P686)</f>
        <v>0</v>
      </c>
      <c r="R615" s="121">
        <f>SUM(R616:R686)</f>
        <v>65.503849740000007</v>
      </c>
      <c r="T615" s="122">
        <f>SUM(T616:T686)</f>
        <v>0</v>
      </c>
      <c r="AR615" s="116" t="s">
        <v>81</v>
      </c>
      <c r="AT615" s="123" t="s">
        <v>70</v>
      </c>
      <c r="AU615" s="123" t="s">
        <v>79</v>
      </c>
      <c r="AY615" s="116" t="s">
        <v>127</v>
      </c>
      <c r="BK615" s="124">
        <f>SUM(BK616:BK686)</f>
        <v>0</v>
      </c>
    </row>
    <row r="616" spans="2:65" s="1" customFormat="1" ht="33" customHeight="1">
      <c r="B616" s="32"/>
      <c r="C616" s="127" t="s">
        <v>1393</v>
      </c>
      <c r="D616" s="127" t="s">
        <v>129</v>
      </c>
      <c r="E616" s="128" t="s">
        <v>1394</v>
      </c>
      <c r="F616" s="129" t="s">
        <v>1395</v>
      </c>
      <c r="G616" s="130" t="s">
        <v>132</v>
      </c>
      <c r="H616" s="131">
        <v>191.77600000000001</v>
      </c>
      <c r="I616" s="132"/>
      <c r="J616" s="133">
        <f>ROUND(I616*H616,2)</f>
        <v>0</v>
      </c>
      <c r="K616" s="129" t="s">
        <v>133</v>
      </c>
      <c r="L616" s="32"/>
      <c r="M616" s="134" t="s">
        <v>19</v>
      </c>
      <c r="N616" s="135" t="s">
        <v>42</v>
      </c>
      <c r="P616" s="136">
        <f>O616*H616</f>
        <v>0</v>
      </c>
      <c r="Q616" s="136">
        <v>2.5510000000000001E-2</v>
      </c>
      <c r="R616" s="136">
        <f>Q616*H616</f>
        <v>4.8922057600000004</v>
      </c>
      <c r="S616" s="136">
        <v>0</v>
      </c>
      <c r="T616" s="137">
        <f>S616*H616</f>
        <v>0</v>
      </c>
      <c r="AR616" s="138" t="s">
        <v>229</v>
      </c>
      <c r="AT616" s="138" t="s">
        <v>129</v>
      </c>
      <c r="AU616" s="138" t="s">
        <v>81</v>
      </c>
      <c r="AY616" s="17" t="s">
        <v>127</v>
      </c>
      <c r="BE616" s="139">
        <f>IF(N616="základní",J616,0)</f>
        <v>0</v>
      </c>
      <c r="BF616" s="139">
        <f>IF(N616="snížená",J616,0)</f>
        <v>0</v>
      </c>
      <c r="BG616" s="139">
        <f>IF(N616="zákl. přenesená",J616,0)</f>
        <v>0</v>
      </c>
      <c r="BH616" s="139">
        <f>IF(N616="sníž. přenesená",J616,0)</f>
        <v>0</v>
      </c>
      <c r="BI616" s="139">
        <f>IF(N616="nulová",J616,0)</f>
        <v>0</v>
      </c>
      <c r="BJ616" s="17" t="s">
        <v>79</v>
      </c>
      <c r="BK616" s="139">
        <f>ROUND(I616*H616,2)</f>
        <v>0</v>
      </c>
      <c r="BL616" s="17" t="s">
        <v>229</v>
      </c>
      <c r="BM616" s="138" t="s">
        <v>1396</v>
      </c>
    </row>
    <row r="617" spans="2:65" s="1" customFormat="1">
      <c r="B617" s="32"/>
      <c r="D617" s="140" t="s">
        <v>136</v>
      </c>
      <c r="F617" s="141" t="s">
        <v>1397</v>
      </c>
      <c r="I617" s="142"/>
      <c r="L617" s="32"/>
      <c r="M617" s="143"/>
      <c r="T617" s="51"/>
      <c r="AT617" s="17" t="s">
        <v>136</v>
      </c>
      <c r="AU617" s="17" t="s">
        <v>81</v>
      </c>
    </row>
    <row r="618" spans="2:65" s="12" customFormat="1">
      <c r="B618" s="144"/>
      <c r="D618" s="145" t="s">
        <v>138</v>
      </c>
      <c r="E618" s="146" t="s">
        <v>19</v>
      </c>
      <c r="F618" s="147" t="s">
        <v>1398</v>
      </c>
      <c r="H618" s="148">
        <v>191.77600000000001</v>
      </c>
      <c r="I618" s="149"/>
      <c r="L618" s="144"/>
      <c r="M618" s="150"/>
      <c r="T618" s="151"/>
      <c r="AT618" s="146" t="s">
        <v>138</v>
      </c>
      <c r="AU618" s="146" t="s">
        <v>81</v>
      </c>
      <c r="AV618" s="12" t="s">
        <v>81</v>
      </c>
      <c r="AW618" s="12" t="s">
        <v>33</v>
      </c>
      <c r="AX618" s="12" t="s">
        <v>79</v>
      </c>
      <c r="AY618" s="146" t="s">
        <v>127</v>
      </c>
    </row>
    <row r="619" spans="2:65" s="1" customFormat="1" ht="33" customHeight="1">
      <c r="B619" s="32"/>
      <c r="C619" s="127" t="s">
        <v>1399</v>
      </c>
      <c r="D619" s="127" t="s">
        <v>129</v>
      </c>
      <c r="E619" s="128" t="s">
        <v>1400</v>
      </c>
      <c r="F619" s="129" t="s">
        <v>1401</v>
      </c>
      <c r="G619" s="130" t="s">
        <v>132</v>
      </c>
      <c r="H619" s="131">
        <v>72</v>
      </c>
      <c r="I619" s="132"/>
      <c r="J619" s="133">
        <f>ROUND(I619*H619,2)</f>
        <v>0</v>
      </c>
      <c r="K619" s="129" t="s">
        <v>133</v>
      </c>
      <c r="L619" s="32"/>
      <c r="M619" s="134" t="s">
        <v>19</v>
      </c>
      <c r="N619" s="135" t="s">
        <v>42</v>
      </c>
      <c r="P619" s="136">
        <f>O619*H619</f>
        <v>0</v>
      </c>
      <c r="Q619" s="136">
        <v>2.614E-2</v>
      </c>
      <c r="R619" s="136">
        <f>Q619*H619</f>
        <v>1.88208</v>
      </c>
      <c r="S619" s="136">
        <v>0</v>
      </c>
      <c r="T619" s="137">
        <f>S619*H619</f>
        <v>0</v>
      </c>
      <c r="AR619" s="138" t="s">
        <v>229</v>
      </c>
      <c r="AT619" s="138" t="s">
        <v>129</v>
      </c>
      <c r="AU619" s="138" t="s">
        <v>81</v>
      </c>
      <c r="AY619" s="17" t="s">
        <v>127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7" t="s">
        <v>79</v>
      </c>
      <c r="BK619" s="139">
        <f>ROUND(I619*H619,2)</f>
        <v>0</v>
      </c>
      <c r="BL619" s="17" t="s">
        <v>229</v>
      </c>
      <c r="BM619" s="138" t="s">
        <v>1402</v>
      </c>
    </row>
    <row r="620" spans="2:65" s="1" customFormat="1">
      <c r="B620" s="32"/>
      <c r="D620" s="140" t="s">
        <v>136</v>
      </c>
      <c r="F620" s="141" t="s">
        <v>1403</v>
      </c>
      <c r="I620" s="142"/>
      <c r="L620" s="32"/>
      <c r="M620" s="143"/>
      <c r="T620" s="51"/>
      <c r="AT620" s="17" t="s">
        <v>136</v>
      </c>
      <c r="AU620" s="17" t="s">
        <v>81</v>
      </c>
    </row>
    <row r="621" spans="2:65" s="12" customFormat="1">
      <c r="B621" s="144"/>
      <c r="D621" s="145" t="s">
        <v>138</v>
      </c>
      <c r="E621" s="146" t="s">
        <v>19</v>
      </c>
      <c r="F621" s="147" t="s">
        <v>1404</v>
      </c>
      <c r="H621" s="148">
        <v>72</v>
      </c>
      <c r="I621" s="149"/>
      <c r="L621" s="144"/>
      <c r="M621" s="150"/>
      <c r="T621" s="151"/>
      <c r="AT621" s="146" t="s">
        <v>138</v>
      </c>
      <c r="AU621" s="146" t="s">
        <v>81</v>
      </c>
      <c r="AV621" s="12" t="s">
        <v>81</v>
      </c>
      <c r="AW621" s="12" t="s">
        <v>33</v>
      </c>
      <c r="AX621" s="12" t="s">
        <v>79</v>
      </c>
      <c r="AY621" s="146" t="s">
        <v>127</v>
      </c>
    </row>
    <row r="622" spans="2:65" s="1" customFormat="1" ht="33" customHeight="1">
      <c r="B622" s="32"/>
      <c r="C622" s="127" t="s">
        <v>1405</v>
      </c>
      <c r="D622" s="127" t="s">
        <v>129</v>
      </c>
      <c r="E622" s="128" t="s">
        <v>1406</v>
      </c>
      <c r="F622" s="129" t="s">
        <v>1407</v>
      </c>
      <c r="G622" s="130" t="s">
        <v>132</v>
      </c>
      <c r="H622" s="131">
        <v>105.52800000000001</v>
      </c>
      <c r="I622" s="132"/>
      <c r="J622" s="133">
        <f>ROUND(I622*H622,2)</f>
        <v>0</v>
      </c>
      <c r="K622" s="129" t="s">
        <v>133</v>
      </c>
      <c r="L622" s="32"/>
      <c r="M622" s="134" t="s">
        <v>19</v>
      </c>
      <c r="N622" s="135" t="s">
        <v>42</v>
      </c>
      <c r="P622" s="136">
        <f>O622*H622</f>
        <v>0</v>
      </c>
      <c r="Q622" s="136">
        <v>1.1820000000000001E-2</v>
      </c>
      <c r="R622" s="136">
        <f>Q622*H622</f>
        <v>1.2473409600000001</v>
      </c>
      <c r="S622" s="136">
        <v>0</v>
      </c>
      <c r="T622" s="137">
        <f>S622*H622</f>
        <v>0</v>
      </c>
      <c r="AR622" s="138" t="s">
        <v>229</v>
      </c>
      <c r="AT622" s="138" t="s">
        <v>129</v>
      </c>
      <c r="AU622" s="138" t="s">
        <v>81</v>
      </c>
      <c r="AY622" s="17" t="s">
        <v>127</v>
      </c>
      <c r="BE622" s="139">
        <f>IF(N622="základní",J622,0)</f>
        <v>0</v>
      </c>
      <c r="BF622" s="139">
        <f>IF(N622="snížená",J622,0)</f>
        <v>0</v>
      </c>
      <c r="BG622" s="139">
        <f>IF(N622="zákl. přenesená",J622,0)</f>
        <v>0</v>
      </c>
      <c r="BH622" s="139">
        <f>IF(N622="sníž. přenesená",J622,0)</f>
        <v>0</v>
      </c>
      <c r="BI622" s="139">
        <f>IF(N622="nulová",J622,0)</f>
        <v>0</v>
      </c>
      <c r="BJ622" s="17" t="s">
        <v>79</v>
      </c>
      <c r="BK622" s="139">
        <f>ROUND(I622*H622,2)</f>
        <v>0</v>
      </c>
      <c r="BL622" s="17" t="s">
        <v>229</v>
      </c>
      <c r="BM622" s="138" t="s">
        <v>1408</v>
      </c>
    </row>
    <row r="623" spans="2:65" s="1" customFormat="1">
      <c r="B623" s="32"/>
      <c r="D623" s="140" t="s">
        <v>136</v>
      </c>
      <c r="F623" s="141" t="s">
        <v>1409</v>
      </c>
      <c r="I623" s="142"/>
      <c r="L623" s="32"/>
      <c r="M623" s="143"/>
      <c r="T623" s="51"/>
      <c r="AT623" s="17" t="s">
        <v>136</v>
      </c>
      <c r="AU623" s="17" t="s">
        <v>81</v>
      </c>
    </row>
    <row r="624" spans="2:65" s="12" customFormat="1">
      <c r="B624" s="144"/>
      <c r="D624" s="145" t="s">
        <v>138</v>
      </c>
      <c r="E624" s="146" t="s">
        <v>19</v>
      </c>
      <c r="F624" s="147" t="s">
        <v>1410</v>
      </c>
      <c r="H624" s="148">
        <v>105.52800000000001</v>
      </c>
      <c r="I624" s="149"/>
      <c r="L624" s="144"/>
      <c r="M624" s="150"/>
      <c r="T624" s="151"/>
      <c r="AT624" s="146" t="s">
        <v>138</v>
      </c>
      <c r="AU624" s="146" t="s">
        <v>81</v>
      </c>
      <c r="AV624" s="12" t="s">
        <v>81</v>
      </c>
      <c r="AW624" s="12" t="s">
        <v>33</v>
      </c>
      <c r="AX624" s="12" t="s">
        <v>79</v>
      </c>
      <c r="AY624" s="146" t="s">
        <v>127</v>
      </c>
    </row>
    <row r="625" spans="2:65" s="1" customFormat="1" ht="33" customHeight="1">
      <c r="B625" s="32"/>
      <c r="C625" s="127" t="s">
        <v>1411</v>
      </c>
      <c r="D625" s="127" t="s">
        <v>129</v>
      </c>
      <c r="E625" s="128" t="s">
        <v>1412</v>
      </c>
      <c r="F625" s="129" t="s">
        <v>1413</v>
      </c>
      <c r="G625" s="130" t="s">
        <v>132</v>
      </c>
      <c r="H625" s="131">
        <v>15.728</v>
      </c>
      <c r="I625" s="132"/>
      <c r="J625" s="133">
        <f>ROUND(I625*H625,2)</f>
        <v>0</v>
      </c>
      <c r="K625" s="129" t="s">
        <v>133</v>
      </c>
      <c r="L625" s="32"/>
      <c r="M625" s="134" t="s">
        <v>19</v>
      </c>
      <c r="N625" s="135" t="s">
        <v>42</v>
      </c>
      <c r="P625" s="136">
        <f>O625*H625</f>
        <v>0</v>
      </c>
      <c r="Q625" s="136">
        <v>1.324E-2</v>
      </c>
      <c r="R625" s="136">
        <f>Q625*H625</f>
        <v>0.20823871999999999</v>
      </c>
      <c r="S625" s="136">
        <v>0</v>
      </c>
      <c r="T625" s="137">
        <f>S625*H625</f>
        <v>0</v>
      </c>
      <c r="AR625" s="138" t="s">
        <v>229</v>
      </c>
      <c r="AT625" s="138" t="s">
        <v>129</v>
      </c>
      <c r="AU625" s="138" t="s">
        <v>81</v>
      </c>
      <c r="AY625" s="17" t="s">
        <v>127</v>
      </c>
      <c r="BE625" s="139">
        <f>IF(N625="základní",J625,0)</f>
        <v>0</v>
      </c>
      <c r="BF625" s="139">
        <f>IF(N625="snížená",J625,0)</f>
        <v>0</v>
      </c>
      <c r="BG625" s="139">
        <f>IF(N625="zákl. přenesená",J625,0)</f>
        <v>0</v>
      </c>
      <c r="BH625" s="139">
        <f>IF(N625="sníž. přenesená",J625,0)</f>
        <v>0</v>
      </c>
      <c r="BI625" s="139">
        <f>IF(N625="nulová",J625,0)</f>
        <v>0</v>
      </c>
      <c r="BJ625" s="17" t="s">
        <v>79</v>
      </c>
      <c r="BK625" s="139">
        <f>ROUND(I625*H625,2)</f>
        <v>0</v>
      </c>
      <c r="BL625" s="17" t="s">
        <v>229</v>
      </c>
      <c r="BM625" s="138" t="s">
        <v>1414</v>
      </c>
    </row>
    <row r="626" spans="2:65" s="1" customFormat="1">
      <c r="B626" s="32"/>
      <c r="D626" s="140" t="s">
        <v>136</v>
      </c>
      <c r="F626" s="141" t="s">
        <v>1415</v>
      </c>
      <c r="I626" s="142"/>
      <c r="L626" s="32"/>
      <c r="M626" s="143"/>
      <c r="T626" s="51"/>
      <c r="AT626" s="17" t="s">
        <v>136</v>
      </c>
      <c r="AU626" s="17" t="s">
        <v>81</v>
      </c>
    </row>
    <row r="627" spans="2:65" s="12" customFormat="1">
      <c r="B627" s="144"/>
      <c r="D627" s="145" t="s">
        <v>138</v>
      </c>
      <c r="E627" s="146" t="s">
        <v>19</v>
      </c>
      <c r="F627" s="147" t="s">
        <v>1416</v>
      </c>
      <c r="H627" s="148">
        <v>15.728</v>
      </c>
      <c r="I627" s="149"/>
      <c r="L627" s="144"/>
      <c r="M627" s="150"/>
      <c r="T627" s="151"/>
      <c r="AT627" s="146" t="s">
        <v>138</v>
      </c>
      <c r="AU627" s="146" t="s">
        <v>81</v>
      </c>
      <c r="AV627" s="12" t="s">
        <v>81</v>
      </c>
      <c r="AW627" s="12" t="s">
        <v>33</v>
      </c>
      <c r="AX627" s="12" t="s">
        <v>79</v>
      </c>
      <c r="AY627" s="146" t="s">
        <v>127</v>
      </c>
    </row>
    <row r="628" spans="2:65" s="1" customFormat="1" ht="33" customHeight="1">
      <c r="B628" s="32"/>
      <c r="C628" s="127" t="s">
        <v>1417</v>
      </c>
      <c r="D628" s="127" t="s">
        <v>129</v>
      </c>
      <c r="E628" s="128" t="s">
        <v>1418</v>
      </c>
      <c r="F628" s="129" t="s">
        <v>1419</v>
      </c>
      <c r="G628" s="130" t="s">
        <v>132</v>
      </c>
      <c r="H628" s="131">
        <v>13.5</v>
      </c>
      <c r="I628" s="132"/>
      <c r="J628" s="133">
        <f>ROUND(I628*H628,2)</f>
        <v>0</v>
      </c>
      <c r="K628" s="129" t="s">
        <v>133</v>
      </c>
      <c r="L628" s="32"/>
      <c r="M628" s="134" t="s">
        <v>19</v>
      </c>
      <c r="N628" s="135" t="s">
        <v>42</v>
      </c>
      <c r="P628" s="136">
        <f>O628*H628</f>
        <v>0</v>
      </c>
      <c r="Q628" s="136">
        <v>1.213E-2</v>
      </c>
      <c r="R628" s="136">
        <f>Q628*H628</f>
        <v>0.16375500000000001</v>
      </c>
      <c r="S628" s="136">
        <v>0</v>
      </c>
      <c r="T628" s="137">
        <f>S628*H628</f>
        <v>0</v>
      </c>
      <c r="AR628" s="138" t="s">
        <v>229</v>
      </c>
      <c r="AT628" s="138" t="s">
        <v>129</v>
      </c>
      <c r="AU628" s="138" t="s">
        <v>81</v>
      </c>
      <c r="AY628" s="17" t="s">
        <v>127</v>
      </c>
      <c r="BE628" s="139">
        <f>IF(N628="základní",J628,0)</f>
        <v>0</v>
      </c>
      <c r="BF628" s="139">
        <f>IF(N628="snížená",J628,0)</f>
        <v>0</v>
      </c>
      <c r="BG628" s="139">
        <f>IF(N628="zákl. přenesená",J628,0)</f>
        <v>0</v>
      </c>
      <c r="BH628" s="139">
        <f>IF(N628="sníž. přenesená",J628,0)</f>
        <v>0</v>
      </c>
      <c r="BI628" s="139">
        <f>IF(N628="nulová",J628,0)</f>
        <v>0</v>
      </c>
      <c r="BJ628" s="17" t="s">
        <v>79</v>
      </c>
      <c r="BK628" s="139">
        <f>ROUND(I628*H628,2)</f>
        <v>0</v>
      </c>
      <c r="BL628" s="17" t="s">
        <v>229</v>
      </c>
      <c r="BM628" s="138" t="s">
        <v>1420</v>
      </c>
    </row>
    <row r="629" spans="2:65" s="1" customFormat="1">
      <c r="B629" s="32"/>
      <c r="D629" s="140" t="s">
        <v>136</v>
      </c>
      <c r="F629" s="141" t="s">
        <v>1421</v>
      </c>
      <c r="I629" s="142"/>
      <c r="L629" s="32"/>
      <c r="M629" s="143"/>
      <c r="T629" s="51"/>
      <c r="AT629" s="17" t="s">
        <v>136</v>
      </c>
      <c r="AU629" s="17" t="s">
        <v>81</v>
      </c>
    </row>
    <row r="630" spans="2:65" s="12" customFormat="1">
      <c r="B630" s="144"/>
      <c r="D630" s="145" t="s">
        <v>138</v>
      </c>
      <c r="E630" s="146" t="s">
        <v>19</v>
      </c>
      <c r="F630" s="147" t="s">
        <v>1422</v>
      </c>
      <c r="H630" s="148">
        <v>13.5</v>
      </c>
      <c r="I630" s="149"/>
      <c r="L630" s="144"/>
      <c r="M630" s="150"/>
      <c r="T630" s="151"/>
      <c r="AT630" s="146" t="s">
        <v>138</v>
      </c>
      <c r="AU630" s="146" t="s">
        <v>81</v>
      </c>
      <c r="AV630" s="12" t="s">
        <v>81</v>
      </c>
      <c r="AW630" s="12" t="s">
        <v>33</v>
      </c>
      <c r="AX630" s="12" t="s">
        <v>79</v>
      </c>
      <c r="AY630" s="146" t="s">
        <v>127</v>
      </c>
    </row>
    <row r="631" spans="2:65" s="1" customFormat="1" ht="21.75" customHeight="1">
      <c r="B631" s="32"/>
      <c r="C631" s="127" t="s">
        <v>1423</v>
      </c>
      <c r="D631" s="127" t="s">
        <v>129</v>
      </c>
      <c r="E631" s="128" t="s">
        <v>1424</v>
      </c>
      <c r="F631" s="129" t="s">
        <v>1425</v>
      </c>
      <c r="G631" s="130" t="s">
        <v>132</v>
      </c>
      <c r="H631" s="131">
        <v>48.1</v>
      </c>
      <c r="I631" s="132"/>
      <c r="J631" s="133">
        <f>ROUND(I631*H631,2)</f>
        <v>0</v>
      </c>
      <c r="K631" s="129" t="s">
        <v>19</v>
      </c>
      <c r="L631" s="32"/>
      <c r="M631" s="134" t="s">
        <v>19</v>
      </c>
      <c r="N631" s="135" t="s">
        <v>42</v>
      </c>
      <c r="P631" s="136">
        <f>O631*H631</f>
        <v>0</v>
      </c>
      <c r="Q631" s="136">
        <v>1.6400000000000001E-2</v>
      </c>
      <c r="R631" s="136">
        <f>Q631*H631</f>
        <v>0.7888400000000001</v>
      </c>
      <c r="S631" s="136">
        <v>0</v>
      </c>
      <c r="T631" s="137">
        <f>S631*H631</f>
        <v>0</v>
      </c>
      <c r="AR631" s="138" t="s">
        <v>229</v>
      </c>
      <c r="AT631" s="138" t="s">
        <v>129</v>
      </c>
      <c r="AU631" s="138" t="s">
        <v>81</v>
      </c>
      <c r="AY631" s="17" t="s">
        <v>127</v>
      </c>
      <c r="BE631" s="139">
        <f>IF(N631="základní",J631,0)</f>
        <v>0</v>
      </c>
      <c r="BF631" s="139">
        <f>IF(N631="snížená",J631,0)</f>
        <v>0</v>
      </c>
      <c r="BG631" s="139">
        <f>IF(N631="zákl. přenesená",J631,0)</f>
        <v>0</v>
      </c>
      <c r="BH631" s="139">
        <f>IF(N631="sníž. přenesená",J631,0)</f>
        <v>0</v>
      </c>
      <c r="BI631" s="139">
        <f>IF(N631="nulová",J631,0)</f>
        <v>0</v>
      </c>
      <c r="BJ631" s="17" t="s">
        <v>79</v>
      </c>
      <c r="BK631" s="139">
        <f>ROUND(I631*H631,2)</f>
        <v>0</v>
      </c>
      <c r="BL631" s="17" t="s">
        <v>229</v>
      </c>
      <c r="BM631" s="138" t="s">
        <v>1426</v>
      </c>
    </row>
    <row r="632" spans="2:65" s="12" customFormat="1">
      <c r="B632" s="144"/>
      <c r="D632" s="145" t="s">
        <v>138</v>
      </c>
      <c r="E632" s="146" t="s">
        <v>19</v>
      </c>
      <c r="F632" s="147" t="s">
        <v>1427</v>
      </c>
      <c r="H632" s="148">
        <v>48.1</v>
      </c>
      <c r="I632" s="149"/>
      <c r="L632" s="144"/>
      <c r="M632" s="150"/>
      <c r="T632" s="151"/>
      <c r="AT632" s="146" t="s">
        <v>138</v>
      </c>
      <c r="AU632" s="146" t="s">
        <v>81</v>
      </c>
      <c r="AV632" s="12" t="s">
        <v>81</v>
      </c>
      <c r="AW632" s="12" t="s">
        <v>33</v>
      </c>
      <c r="AX632" s="12" t="s">
        <v>79</v>
      </c>
      <c r="AY632" s="146" t="s">
        <v>127</v>
      </c>
    </row>
    <row r="633" spans="2:65" s="1" customFormat="1" ht="24.2" customHeight="1">
      <c r="B633" s="32"/>
      <c r="C633" s="127" t="s">
        <v>1428</v>
      </c>
      <c r="D633" s="127" t="s">
        <v>129</v>
      </c>
      <c r="E633" s="128" t="s">
        <v>1429</v>
      </c>
      <c r="F633" s="129" t="s">
        <v>1430</v>
      </c>
      <c r="G633" s="130" t="s">
        <v>132</v>
      </c>
      <c r="H633" s="131">
        <v>60.06</v>
      </c>
      <c r="I633" s="132"/>
      <c r="J633" s="133">
        <f>ROUND(I633*H633,2)</f>
        <v>0</v>
      </c>
      <c r="K633" s="129" t="s">
        <v>133</v>
      </c>
      <c r="L633" s="32"/>
      <c r="M633" s="134" t="s">
        <v>19</v>
      </c>
      <c r="N633" s="135" t="s">
        <v>42</v>
      </c>
      <c r="P633" s="136">
        <f>O633*H633</f>
        <v>0</v>
      </c>
      <c r="Q633" s="136">
        <v>1.3849999999999999E-2</v>
      </c>
      <c r="R633" s="136">
        <f>Q633*H633</f>
        <v>0.83183099999999999</v>
      </c>
      <c r="S633" s="136">
        <v>0</v>
      </c>
      <c r="T633" s="137">
        <f>S633*H633</f>
        <v>0</v>
      </c>
      <c r="AR633" s="138" t="s">
        <v>229</v>
      </c>
      <c r="AT633" s="138" t="s">
        <v>129</v>
      </c>
      <c r="AU633" s="138" t="s">
        <v>81</v>
      </c>
      <c r="AY633" s="17" t="s">
        <v>127</v>
      </c>
      <c r="BE633" s="139">
        <f>IF(N633="základní",J633,0)</f>
        <v>0</v>
      </c>
      <c r="BF633" s="139">
        <f>IF(N633="snížená",J633,0)</f>
        <v>0</v>
      </c>
      <c r="BG633" s="139">
        <f>IF(N633="zákl. přenesená",J633,0)</f>
        <v>0</v>
      </c>
      <c r="BH633" s="139">
        <f>IF(N633="sníž. přenesená",J633,0)</f>
        <v>0</v>
      </c>
      <c r="BI633" s="139">
        <f>IF(N633="nulová",J633,0)</f>
        <v>0</v>
      </c>
      <c r="BJ633" s="17" t="s">
        <v>79</v>
      </c>
      <c r="BK633" s="139">
        <f>ROUND(I633*H633,2)</f>
        <v>0</v>
      </c>
      <c r="BL633" s="17" t="s">
        <v>229</v>
      </c>
      <c r="BM633" s="138" t="s">
        <v>1431</v>
      </c>
    </row>
    <row r="634" spans="2:65" s="1" customFormat="1">
      <c r="B634" s="32"/>
      <c r="D634" s="140" t="s">
        <v>136</v>
      </c>
      <c r="F634" s="141" t="s">
        <v>1432</v>
      </c>
      <c r="I634" s="142"/>
      <c r="L634" s="32"/>
      <c r="M634" s="143"/>
      <c r="T634" s="51"/>
      <c r="AT634" s="17" t="s">
        <v>136</v>
      </c>
      <c r="AU634" s="17" t="s">
        <v>81</v>
      </c>
    </row>
    <row r="635" spans="2:65" s="12" customFormat="1">
      <c r="B635" s="144"/>
      <c r="D635" s="145" t="s">
        <v>138</v>
      </c>
      <c r="E635" s="146" t="s">
        <v>19</v>
      </c>
      <c r="F635" s="147" t="s">
        <v>1433</v>
      </c>
      <c r="H635" s="148">
        <v>23.66</v>
      </c>
      <c r="I635" s="149"/>
      <c r="L635" s="144"/>
      <c r="M635" s="150"/>
      <c r="T635" s="151"/>
      <c r="AT635" s="146" t="s">
        <v>138</v>
      </c>
      <c r="AU635" s="146" t="s">
        <v>81</v>
      </c>
      <c r="AV635" s="12" t="s">
        <v>81</v>
      </c>
      <c r="AW635" s="12" t="s">
        <v>33</v>
      </c>
      <c r="AX635" s="12" t="s">
        <v>71</v>
      </c>
      <c r="AY635" s="146" t="s">
        <v>127</v>
      </c>
    </row>
    <row r="636" spans="2:65" s="12" customFormat="1">
      <c r="B636" s="144"/>
      <c r="D636" s="145" t="s">
        <v>138</v>
      </c>
      <c r="E636" s="146" t="s">
        <v>19</v>
      </c>
      <c r="F636" s="147" t="s">
        <v>1434</v>
      </c>
      <c r="H636" s="148">
        <v>36.4</v>
      </c>
      <c r="I636" s="149"/>
      <c r="L636" s="144"/>
      <c r="M636" s="150"/>
      <c r="T636" s="151"/>
      <c r="AT636" s="146" t="s">
        <v>138</v>
      </c>
      <c r="AU636" s="146" t="s">
        <v>81</v>
      </c>
      <c r="AV636" s="12" t="s">
        <v>81</v>
      </c>
      <c r="AW636" s="12" t="s">
        <v>33</v>
      </c>
      <c r="AX636" s="12" t="s">
        <v>71</v>
      </c>
      <c r="AY636" s="146" t="s">
        <v>127</v>
      </c>
    </row>
    <row r="637" spans="2:65" s="13" customFormat="1">
      <c r="B637" s="152"/>
      <c r="D637" s="145" t="s">
        <v>138</v>
      </c>
      <c r="E637" s="153" t="s">
        <v>19</v>
      </c>
      <c r="F637" s="154" t="s">
        <v>152</v>
      </c>
      <c r="H637" s="155">
        <v>60.06</v>
      </c>
      <c r="I637" s="156"/>
      <c r="L637" s="152"/>
      <c r="M637" s="157"/>
      <c r="T637" s="158"/>
      <c r="AT637" s="153" t="s">
        <v>138</v>
      </c>
      <c r="AU637" s="153" t="s">
        <v>81</v>
      </c>
      <c r="AV637" s="13" t="s">
        <v>134</v>
      </c>
      <c r="AW637" s="13" t="s">
        <v>33</v>
      </c>
      <c r="AX637" s="13" t="s">
        <v>79</v>
      </c>
      <c r="AY637" s="153" t="s">
        <v>127</v>
      </c>
    </row>
    <row r="638" spans="2:65" s="1" customFormat="1" ht="21.75" customHeight="1">
      <c r="B638" s="32"/>
      <c r="C638" s="127" t="s">
        <v>1435</v>
      </c>
      <c r="D638" s="127" t="s">
        <v>129</v>
      </c>
      <c r="E638" s="128" t="s">
        <v>1436</v>
      </c>
      <c r="F638" s="129" t="s">
        <v>1437</v>
      </c>
      <c r="G638" s="130" t="s">
        <v>132</v>
      </c>
      <c r="H638" s="131">
        <v>178.73</v>
      </c>
      <c r="I638" s="132"/>
      <c r="J638" s="133">
        <f>ROUND(I638*H638,2)</f>
        <v>0</v>
      </c>
      <c r="K638" s="129" t="s">
        <v>19</v>
      </c>
      <c r="L638" s="32"/>
      <c r="M638" s="134" t="s">
        <v>19</v>
      </c>
      <c r="N638" s="135" t="s">
        <v>42</v>
      </c>
      <c r="P638" s="136">
        <f>O638*H638</f>
        <v>0</v>
      </c>
      <c r="Q638" s="136">
        <v>1.525E-2</v>
      </c>
      <c r="R638" s="136">
        <f>Q638*H638</f>
        <v>2.7256324999999997</v>
      </c>
      <c r="S638" s="136">
        <v>0</v>
      </c>
      <c r="T638" s="137">
        <f>S638*H638</f>
        <v>0</v>
      </c>
      <c r="AR638" s="138" t="s">
        <v>229</v>
      </c>
      <c r="AT638" s="138" t="s">
        <v>129</v>
      </c>
      <c r="AU638" s="138" t="s">
        <v>81</v>
      </c>
      <c r="AY638" s="17" t="s">
        <v>127</v>
      </c>
      <c r="BE638" s="139">
        <f>IF(N638="základní",J638,0)</f>
        <v>0</v>
      </c>
      <c r="BF638" s="139">
        <f>IF(N638="snížená",J638,0)</f>
        <v>0</v>
      </c>
      <c r="BG638" s="139">
        <f>IF(N638="zákl. přenesená",J638,0)</f>
        <v>0</v>
      </c>
      <c r="BH638" s="139">
        <f>IF(N638="sníž. přenesená",J638,0)</f>
        <v>0</v>
      </c>
      <c r="BI638" s="139">
        <f>IF(N638="nulová",J638,0)</f>
        <v>0</v>
      </c>
      <c r="BJ638" s="17" t="s">
        <v>79</v>
      </c>
      <c r="BK638" s="139">
        <f>ROUND(I638*H638,2)</f>
        <v>0</v>
      </c>
      <c r="BL638" s="17" t="s">
        <v>229</v>
      </c>
      <c r="BM638" s="138" t="s">
        <v>1438</v>
      </c>
    </row>
    <row r="639" spans="2:65" s="12" customFormat="1">
      <c r="B639" s="144"/>
      <c r="D639" s="145" t="s">
        <v>138</v>
      </c>
      <c r="E639" s="146" t="s">
        <v>19</v>
      </c>
      <c r="F639" s="147" t="s">
        <v>1439</v>
      </c>
      <c r="H639" s="148">
        <v>178.73</v>
      </c>
      <c r="I639" s="149"/>
      <c r="L639" s="144"/>
      <c r="M639" s="150"/>
      <c r="T639" s="151"/>
      <c r="AT639" s="146" t="s">
        <v>138</v>
      </c>
      <c r="AU639" s="146" t="s">
        <v>81</v>
      </c>
      <c r="AV639" s="12" t="s">
        <v>81</v>
      </c>
      <c r="AW639" s="12" t="s">
        <v>33</v>
      </c>
      <c r="AX639" s="12" t="s">
        <v>79</v>
      </c>
      <c r="AY639" s="146" t="s">
        <v>127</v>
      </c>
    </row>
    <row r="640" spans="2:65" s="1" customFormat="1" ht="24.2" customHeight="1">
      <c r="B640" s="32"/>
      <c r="C640" s="127" t="s">
        <v>1440</v>
      </c>
      <c r="D640" s="127" t="s">
        <v>129</v>
      </c>
      <c r="E640" s="128" t="s">
        <v>1441</v>
      </c>
      <c r="F640" s="129" t="s">
        <v>1442</v>
      </c>
      <c r="G640" s="130" t="s">
        <v>132</v>
      </c>
      <c r="H640" s="131">
        <v>650</v>
      </c>
      <c r="I640" s="132"/>
      <c r="J640" s="133">
        <f>ROUND(I640*H640,2)</f>
        <v>0</v>
      </c>
      <c r="K640" s="129" t="s">
        <v>133</v>
      </c>
      <c r="L640" s="32"/>
      <c r="M640" s="134" t="s">
        <v>19</v>
      </c>
      <c r="N640" s="135" t="s">
        <v>42</v>
      </c>
      <c r="P640" s="136">
        <f>O640*H640</f>
        <v>0</v>
      </c>
      <c r="Q640" s="136">
        <v>0</v>
      </c>
      <c r="R640" s="136">
        <f>Q640*H640</f>
        <v>0</v>
      </c>
      <c r="S640" s="136">
        <v>0</v>
      </c>
      <c r="T640" s="137">
        <f>S640*H640</f>
        <v>0</v>
      </c>
      <c r="AR640" s="138" t="s">
        <v>229</v>
      </c>
      <c r="AT640" s="138" t="s">
        <v>129</v>
      </c>
      <c r="AU640" s="138" t="s">
        <v>81</v>
      </c>
      <c r="AY640" s="17" t="s">
        <v>127</v>
      </c>
      <c r="BE640" s="139">
        <f>IF(N640="základní",J640,0)</f>
        <v>0</v>
      </c>
      <c r="BF640" s="139">
        <f>IF(N640="snížená",J640,0)</f>
        <v>0</v>
      </c>
      <c r="BG640" s="139">
        <f>IF(N640="zákl. přenesená",J640,0)</f>
        <v>0</v>
      </c>
      <c r="BH640" s="139">
        <f>IF(N640="sníž. přenesená",J640,0)</f>
        <v>0</v>
      </c>
      <c r="BI640" s="139">
        <f>IF(N640="nulová",J640,0)</f>
        <v>0</v>
      </c>
      <c r="BJ640" s="17" t="s">
        <v>79</v>
      </c>
      <c r="BK640" s="139">
        <f>ROUND(I640*H640,2)</f>
        <v>0</v>
      </c>
      <c r="BL640" s="17" t="s">
        <v>229</v>
      </c>
      <c r="BM640" s="138" t="s">
        <v>1443</v>
      </c>
    </row>
    <row r="641" spans="2:65" s="1" customFormat="1">
      <c r="B641" s="32"/>
      <c r="D641" s="140" t="s">
        <v>136</v>
      </c>
      <c r="F641" s="141" t="s">
        <v>1444</v>
      </c>
      <c r="I641" s="142"/>
      <c r="L641" s="32"/>
      <c r="M641" s="143"/>
      <c r="T641" s="51"/>
      <c r="AT641" s="17" t="s">
        <v>136</v>
      </c>
      <c r="AU641" s="17" t="s">
        <v>81</v>
      </c>
    </row>
    <row r="642" spans="2:65" s="12" customFormat="1">
      <c r="B642" s="144"/>
      <c r="D642" s="145" t="s">
        <v>138</v>
      </c>
      <c r="E642" s="146" t="s">
        <v>19</v>
      </c>
      <c r="F642" s="147" t="s">
        <v>1445</v>
      </c>
      <c r="H642" s="148">
        <v>650</v>
      </c>
      <c r="I642" s="149"/>
      <c r="L642" s="144"/>
      <c r="M642" s="150"/>
      <c r="T642" s="151"/>
      <c r="AT642" s="146" t="s">
        <v>138</v>
      </c>
      <c r="AU642" s="146" t="s">
        <v>81</v>
      </c>
      <c r="AV642" s="12" t="s">
        <v>81</v>
      </c>
      <c r="AW642" s="12" t="s">
        <v>33</v>
      </c>
      <c r="AX642" s="12" t="s">
        <v>79</v>
      </c>
      <c r="AY642" s="146" t="s">
        <v>127</v>
      </c>
    </row>
    <row r="643" spans="2:65" s="1" customFormat="1" ht="16.5" customHeight="1">
      <c r="B643" s="32"/>
      <c r="C643" s="159" t="s">
        <v>1446</v>
      </c>
      <c r="D643" s="159" t="s">
        <v>413</v>
      </c>
      <c r="E643" s="160" t="s">
        <v>1447</v>
      </c>
      <c r="F643" s="161" t="s">
        <v>1448</v>
      </c>
      <c r="G643" s="162" t="s">
        <v>132</v>
      </c>
      <c r="H643" s="163">
        <v>730.27499999999998</v>
      </c>
      <c r="I643" s="164"/>
      <c r="J643" s="165">
        <f>ROUND(I643*H643,2)</f>
        <v>0</v>
      </c>
      <c r="K643" s="161" t="s">
        <v>133</v>
      </c>
      <c r="L643" s="166"/>
      <c r="M643" s="167" t="s">
        <v>19</v>
      </c>
      <c r="N643" s="168" t="s">
        <v>42</v>
      </c>
      <c r="P643" s="136">
        <f>O643*H643</f>
        <v>0</v>
      </c>
      <c r="Q643" s="136">
        <v>8.0000000000000007E-5</v>
      </c>
      <c r="R643" s="136">
        <f>Q643*H643</f>
        <v>5.8422000000000002E-2</v>
      </c>
      <c r="S643" s="136">
        <v>0</v>
      </c>
      <c r="T643" s="137">
        <f>S643*H643</f>
        <v>0</v>
      </c>
      <c r="AR643" s="138" t="s">
        <v>333</v>
      </c>
      <c r="AT643" s="138" t="s">
        <v>413</v>
      </c>
      <c r="AU643" s="138" t="s">
        <v>81</v>
      </c>
      <c r="AY643" s="17" t="s">
        <v>127</v>
      </c>
      <c r="BE643" s="139">
        <f>IF(N643="základní",J643,0)</f>
        <v>0</v>
      </c>
      <c r="BF643" s="139">
        <f>IF(N643="snížená",J643,0)</f>
        <v>0</v>
      </c>
      <c r="BG643" s="139">
        <f>IF(N643="zákl. přenesená",J643,0)</f>
        <v>0</v>
      </c>
      <c r="BH643" s="139">
        <f>IF(N643="sníž. přenesená",J643,0)</f>
        <v>0</v>
      </c>
      <c r="BI643" s="139">
        <f>IF(N643="nulová",J643,0)</f>
        <v>0</v>
      </c>
      <c r="BJ643" s="17" t="s">
        <v>79</v>
      </c>
      <c r="BK643" s="139">
        <f>ROUND(I643*H643,2)</f>
        <v>0</v>
      </c>
      <c r="BL643" s="17" t="s">
        <v>229</v>
      </c>
      <c r="BM643" s="138" t="s">
        <v>1449</v>
      </c>
    </row>
    <row r="644" spans="2:65" s="12" customFormat="1">
      <c r="B644" s="144"/>
      <c r="D644" s="145" t="s">
        <v>138</v>
      </c>
      <c r="F644" s="147" t="s">
        <v>1450</v>
      </c>
      <c r="H644" s="148">
        <v>730.27499999999998</v>
      </c>
      <c r="I644" s="149"/>
      <c r="L644" s="144"/>
      <c r="M644" s="150"/>
      <c r="T644" s="151"/>
      <c r="AT644" s="146" t="s">
        <v>138</v>
      </c>
      <c r="AU644" s="146" t="s">
        <v>81</v>
      </c>
      <c r="AV644" s="12" t="s">
        <v>81</v>
      </c>
      <c r="AW644" s="12" t="s">
        <v>4</v>
      </c>
      <c r="AX644" s="12" t="s">
        <v>79</v>
      </c>
      <c r="AY644" s="146" t="s">
        <v>127</v>
      </c>
    </row>
    <row r="645" spans="2:65" s="1" customFormat="1" ht="49.15" customHeight="1">
      <c r="B645" s="32"/>
      <c r="C645" s="127" t="s">
        <v>1451</v>
      </c>
      <c r="D645" s="127" t="s">
        <v>129</v>
      </c>
      <c r="E645" s="128" t="s">
        <v>1452</v>
      </c>
      <c r="F645" s="129" t="s">
        <v>1453</v>
      </c>
      <c r="G645" s="130" t="s">
        <v>132</v>
      </c>
      <c r="H645" s="131">
        <v>543.4</v>
      </c>
      <c r="I645" s="132"/>
      <c r="J645" s="133">
        <f>ROUND(I645*H645,2)</f>
        <v>0</v>
      </c>
      <c r="K645" s="129" t="s">
        <v>133</v>
      </c>
      <c r="L645" s="32"/>
      <c r="M645" s="134" t="s">
        <v>19</v>
      </c>
      <c r="N645" s="135" t="s">
        <v>42</v>
      </c>
      <c r="P645" s="136">
        <f>O645*H645</f>
        <v>0</v>
      </c>
      <c r="Q645" s="136">
        <v>2.7060000000000001E-2</v>
      </c>
      <c r="R645" s="136">
        <f>Q645*H645</f>
        <v>14.704404</v>
      </c>
      <c r="S645" s="136">
        <v>0</v>
      </c>
      <c r="T645" s="137">
        <f>S645*H645</f>
        <v>0</v>
      </c>
      <c r="AR645" s="138" t="s">
        <v>229</v>
      </c>
      <c r="AT645" s="138" t="s">
        <v>129</v>
      </c>
      <c r="AU645" s="138" t="s">
        <v>81</v>
      </c>
      <c r="AY645" s="17" t="s">
        <v>127</v>
      </c>
      <c r="BE645" s="139">
        <f>IF(N645="základní",J645,0)</f>
        <v>0</v>
      </c>
      <c r="BF645" s="139">
        <f>IF(N645="snížená",J645,0)</f>
        <v>0</v>
      </c>
      <c r="BG645" s="139">
        <f>IF(N645="zákl. přenesená",J645,0)</f>
        <v>0</v>
      </c>
      <c r="BH645" s="139">
        <f>IF(N645="sníž. přenesená",J645,0)</f>
        <v>0</v>
      </c>
      <c r="BI645" s="139">
        <f>IF(N645="nulová",J645,0)</f>
        <v>0</v>
      </c>
      <c r="BJ645" s="17" t="s">
        <v>79</v>
      </c>
      <c r="BK645" s="139">
        <f>ROUND(I645*H645,2)</f>
        <v>0</v>
      </c>
      <c r="BL645" s="17" t="s">
        <v>229</v>
      </c>
      <c r="BM645" s="138" t="s">
        <v>1454</v>
      </c>
    </row>
    <row r="646" spans="2:65" s="1" customFormat="1">
      <c r="B646" s="32"/>
      <c r="D646" s="140" t="s">
        <v>136</v>
      </c>
      <c r="F646" s="141" t="s">
        <v>1455</v>
      </c>
      <c r="I646" s="142"/>
      <c r="L646" s="32"/>
      <c r="M646" s="143"/>
      <c r="T646" s="51"/>
      <c r="AT646" s="17" t="s">
        <v>136</v>
      </c>
      <c r="AU646" s="17" t="s">
        <v>81</v>
      </c>
    </row>
    <row r="647" spans="2:65" s="12" customFormat="1">
      <c r="B647" s="144"/>
      <c r="D647" s="145" t="s">
        <v>138</v>
      </c>
      <c r="E647" s="146" t="s">
        <v>19</v>
      </c>
      <c r="F647" s="147" t="s">
        <v>1456</v>
      </c>
      <c r="H647" s="148">
        <v>543.4</v>
      </c>
      <c r="I647" s="149"/>
      <c r="L647" s="144"/>
      <c r="M647" s="150"/>
      <c r="T647" s="151"/>
      <c r="AT647" s="146" t="s">
        <v>138</v>
      </c>
      <c r="AU647" s="146" t="s">
        <v>81</v>
      </c>
      <c r="AV647" s="12" t="s">
        <v>81</v>
      </c>
      <c r="AW647" s="12" t="s">
        <v>33</v>
      </c>
      <c r="AX647" s="12" t="s">
        <v>79</v>
      </c>
      <c r="AY647" s="146" t="s">
        <v>127</v>
      </c>
    </row>
    <row r="648" spans="2:65" s="1" customFormat="1" ht="16.5" customHeight="1">
      <c r="B648" s="32"/>
      <c r="C648" s="127" t="s">
        <v>1457</v>
      </c>
      <c r="D648" s="127" t="s">
        <v>129</v>
      </c>
      <c r="E648" s="128" t="s">
        <v>1458</v>
      </c>
      <c r="F648" s="129" t="s">
        <v>1459</v>
      </c>
      <c r="G648" s="130" t="s">
        <v>132</v>
      </c>
      <c r="H648" s="131">
        <v>543.4</v>
      </c>
      <c r="I648" s="132"/>
      <c r="J648" s="133">
        <f>ROUND(I648*H648,2)</f>
        <v>0</v>
      </c>
      <c r="K648" s="129" t="s">
        <v>133</v>
      </c>
      <c r="L648" s="32"/>
      <c r="M648" s="134" t="s">
        <v>19</v>
      </c>
      <c r="N648" s="135" t="s">
        <v>42</v>
      </c>
      <c r="P648" s="136">
        <f>O648*H648</f>
        <v>0</v>
      </c>
      <c r="Q648" s="136">
        <v>5.0000000000000001E-3</v>
      </c>
      <c r="R648" s="136">
        <f>Q648*H648</f>
        <v>2.7170000000000001</v>
      </c>
      <c r="S648" s="136">
        <v>0</v>
      </c>
      <c r="T648" s="137">
        <f>S648*H648</f>
        <v>0</v>
      </c>
      <c r="AR648" s="138" t="s">
        <v>229</v>
      </c>
      <c r="AT648" s="138" t="s">
        <v>129</v>
      </c>
      <c r="AU648" s="138" t="s">
        <v>81</v>
      </c>
      <c r="AY648" s="17" t="s">
        <v>127</v>
      </c>
      <c r="BE648" s="139">
        <f>IF(N648="základní",J648,0)</f>
        <v>0</v>
      </c>
      <c r="BF648" s="139">
        <f>IF(N648="snížená",J648,0)</f>
        <v>0</v>
      </c>
      <c r="BG648" s="139">
        <f>IF(N648="zákl. přenesená",J648,0)</f>
        <v>0</v>
      </c>
      <c r="BH648" s="139">
        <f>IF(N648="sníž. přenesená",J648,0)</f>
        <v>0</v>
      </c>
      <c r="BI648" s="139">
        <f>IF(N648="nulová",J648,0)</f>
        <v>0</v>
      </c>
      <c r="BJ648" s="17" t="s">
        <v>79</v>
      </c>
      <c r="BK648" s="139">
        <f>ROUND(I648*H648,2)</f>
        <v>0</v>
      </c>
      <c r="BL648" s="17" t="s">
        <v>229</v>
      </c>
      <c r="BM648" s="138" t="s">
        <v>1460</v>
      </c>
    </row>
    <row r="649" spans="2:65" s="1" customFormat="1">
      <c r="B649" s="32"/>
      <c r="D649" s="140" t="s">
        <v>136</v>
      </c>
      <c r="F649" s="141" t="s">
        <v>1461</v>
      </c>
      <c r="I649" s="142"/>
      <c r="L649" s="32"/>
      <c r="M649" s="143"/>
      <c r="T649" s="51"/>
      <c r="AT649" s="17" t="s">
        <v>136</v>
      </c>
      <c r="AU649" s="17" t="s">
        <v>81</v>
      </c>
    </row>
    <row r="650" spans="2:65" s="12" customFormat="1">
      <c r="B650" s="144"/>
      <c r="D650" s="145" t="s">
        <v>138</v>
      </c>
      <c r="E650" s="146" t="s">
        <v>19</v>
      </c>
      <c r="F650" s="147" t="s">
        <v>1116</v>
      </c>
      <c r="H650" s="148">
        <v>543.4</v>
      </c>
      <c r="I650" s="149"/>
      <c r="L650" s="144"/>
      <c r="M650" s="150"/>
      <c r="T650" s="151"/>
      <c r="AT650" s="146" t="s">
        <v>138</v>
      </c>
      <c r="AU650" s="146" t="s">
        <v>81</v>
      </c>
      <c r="AV650" s="12" t="s">
        <v>81</v>
      </c>
      <c r="AW650" s="12" t="s">
        <v>33</v>
      </c>
      <c r="AX650" s="12" t="s">
        <v>79</v>
      </c>
      <c r="AY650" s="146" t="s">
        <v>127</v>
      </c>
    </row>
    <row r="651" spans="2:65" s="1" customFormat="1" ht="16.5" customHeight="1">
      <c r="B651" s="32"/>
      <c r="C651" s="127" t="s">
        <v>1462</v>
      </c>
      <c r="D651" s="127" t="s">
        <v>129</v>
      </c>
      <c r="E651" s="128" t="s">
        <v>1463</v>
      </c>
      <c r="F651" s="129" t="s">
        <v>1464</v>
      </c>
      <c r="G651" s="130" t="s">
        <v>132</v>
      </c>
      <c r="H651" s="131">
        <v>543.4</v>
      </c>
      <c r="I651" s="132"/>
      <c r="J651" s="133">
        <f>ROUND(I651*H651,2)</f>
        <v>0</v>
      </c>
      <c r="K651" s="129" t="s">
        <v>133</v>
      </c>
      <c r="L651" s="32"/>
      <c r="M651" s="134" t="s">
        <v>19</v>
      </c>
      <c r="N651" s="135" t="s">
        <v>42</v>
      </c>
      <c r="P651" s="136">
        <f>O651*H651</f>
        <v>0</v>
      </c>
      <c r="Q651" s="136">
        <v>5.0000000000000001E-3</v>
      </c>
      <c r="R651" s="136">
        <f>Q651*H651</f>
        <v>2.7170000000000001</v>
      </c>
      <c r="S651" s="136">
        <v>0</v>
      </c>
      <c r="T651" s="137">
        <f>S651*H651</f>
        <v>0</v>
      </c>
      <c r="AR651" s="138" t="s">
        <v>229</v>
      </c>
      <c r="AT651" s="138" t="s">
        <v>129</v>
      </c>
      <c r="AU651" s="138" t="s">
        <v>81</v>
      </c>
      <c r="AY651" s="17" t="s">
        <v>127</v>
      </c>
      <c r="BE651" s="139">
        <f>IF(N651="základní",J651,0)</f>
        <v>0</v>
      </c>
      <c r="BF651" s="139">
        <f>IF(N651="snížená",J651,0)</f>
        <v>0</v>
      </c>
      <c r="BG651" s="139">
        <f>IF(N651="zákl. přenesená",J651,0)</f>
        <v>0</v>
      </c>
      <c r="BH651" s="139">
        <f>IF(N651="sníž. přenesená",J651,0)</f>
        <v>0</v>
      </c>
      <c r="BI651" s="139">
        <f>IF(N651="nulová",J651,0)</f>
        <v>0</v>
      </c>
      <c r="BJ651" s="17" t="s">
        <v>79</v>
      </c>
      <c r="BK651" s="139">
        <f>ROUND(I651*H651,2)</f>
        <v>0</v>
      </c>
      <c r="BL651" s="17" t="s">
        <v>229</v>
      </c>
      <c r="BM651" s="138" t="s">
        <v>1465</v>
      </c>
    </row>
    <row r="652" spans="2:65" s="1" customFormat="1">
      <c r="B652" s="32"/>
      <c r="D652" s="140" t="s">
        <v>136</v>
      </c>
      <c r="F652" s="141" t="s">
        <v>1466</v>
      </c>
      <c r="I652" s="142"/>
      <c r="L652" s="32"/>
      <c r="M652" s="143"/>
      <c r="T652" s="51"/>
      <c r="AT652" s="17" t="s">
        <v>136</v>
      </c>
      <c r="AU652" s="17" t="s">
        <v>81</v>
      </c>
    </row>
    <row r="653" spans="2:65" s="1" customFormat="1" ht="16.5" customHeight="1">
      <c r="B653" s="32"/>
      <c r="C653" s="127" t="s">
        <v>1467</v>
      </c>
      <c r="D653" s="127" t="s">
        <v>129</v>
      </c>
      <c r="E653" s="128" t="s">
        <v>1468</v>
      </c>
      <c r="F653" s="129" t="s">
        <v>1469</v>
      </c>
      <c r="G653" s="130" t="s">
        <v>132</v>
      </c>
      <c r="H653" s="131">
        <v>67.3</v>
      </c>
      <c r="I653" s="132"/>
      <c r="J653" s="133">
        <f>ROUND(I653*H653,2)</f>
        <v>0</v>
      </c>
      <c r="K653" s="129" t="s">
        <v>19</v>
      </c>
      <c r="L653" s="32"/>
      <c r="M653" s="134" t="s">
        <v>19</v>
      </c>
      <c r="N653" s="135" t="s">
        <v>42</v>
      </c>
      <c r="P653" s="136">
        <f>O653*H653</f>
        <v>0</v>
      </c>
      <c r="Q653" s="136">
        <v>1.66E-2</v>
      </c>
      <c r="R653" s="136">
        <f>Q653*H653</f>
        <v>1.1171800000000001</v>
      </c>
      <c r="S653" s="136">
        <v>0</v>
      </c>
      <c r="T653" s="137">
        <f>S653*H653</f>
        <v>0</v>
      </c>
      <c r="AR653" s="138" t="s">
        <v>229</v>
      </c>
      <c r="AT653" s="138" t="s">
        <v>129</v>
      </c>
      <c r="AU653" s="138" t="s">
        <v>81</v>
      </c>
      <c r="AY653" s="17" t="s">
        <v>127</v>
      </c>
      <c r="BE653" s="139">
        <f>IF(N653="základní",J653,0)</f>
        <v>0</v>
      </c>
      <c r="BF653" s="139">
        <f>IF(N653="snížená",J653,0)</f>
        <v>0</v>
      </c>
      <c r="BG653" s="139">
        <f>IF(N653="zákl. přenesená",J653,0)</f>
        <v>0</v>
      </c>
      <c r="BH653" s="139">
        <f>IF(N653="sníž. přenesená",J653,0)</f>
        <v>0</v>
      </c>
      <c r="BI653" s="139">
        <f>IF(N653="nulová",J653,0)</f>
        <v>0</v>
      </c>
      <c r="BJ653" s="17" t="s">
        <v>79</v>
      </c>
      <c r="BK653" s="139">
        <f>ROUND(I653*H653,2)</f>
        <v>0</v>
      </c>
      <c r="BL653" s="17" t="s">
        <v>229</v>
      </c>
      <c r="BM653" s="138" t="s">
        <v>1470</v>
      </c>
    </row>
    <row r="654" spans="2:65" s="12" customFormat="1">
      <c r="B654" s="144"/>
      <c r="D654" s="145" t="s">
        <v>138</v>
      </c>
      <c r="E654" s="146" t="s">
        <v>19</v>
      </c>
      <c r="F654" s="147" t="s">
        <v>1471</v>
      </c>
      <c r="H654" s="148">
        <v>67.3</v>
      </c>
      <c r="I654" s="149"/>
      <c r="L654" s="144"/>
      <c r="M654" s="150"/>
      <c r="T654" s="151"/>
      <c r="AT654" s="146" t="s">
        <v>138</v>
      </c>
      <c r="AU654" s="146" t="s">
        <v>81</v>
      </c>
      <c r="AV654" s="12" t="s">
        <v>81</v>
      </c>
      <c r="AW654" s="12" t="s">
        <v>33</v>
      </c>
      <c r="AX654" s="12" t="s">
        <v>79</v>
      </c>
      <c r="AY654" s="146" t="s">
        <v>127</v>
      </c>
    </row>
    <row r="655" spans="2:65" s="1" customFormat="1" ht="33" customHeight="1">
      <c r="B655" s="32"/>
      <c r="C655" s="127" t="s">
        <v>1472</v>
      </c>
      <c r="D655" s="127" t="s">
        <v>129</v>
      </c>
      <c r="E655" s="128" t="s">
        <v>1473</v>
      </c>
      <c r="F655" s="129" t="s">
        <v>1474</v>
      </c>
      <c r="G655" s="130" t="s">
        <v>132</v>
      </c>
      <c r="H655" s="131">
        <v>650</v>
      </c>
      <c r="I655" s="132"/>
      <c r="J655" s="133">
        <f>ROUND(I655*H655,2)</f>
        <v>0</v>
      </c>
      <c r="K655" s="129" t="s">
        <v>133</v>
      </c>
      <c r="L655" s="32"/>
      <c r="M655" s="134" t="s">
        <v>19</v>
      </c>
      <c r="N655" s="135" t="s">
        <v>42</v>
      </c>
      <c r="P655" s="136">
        <f>O655*H655</f>
        <v>0</v>
      </c>
      <c r="Q655" s="136">
        <v>2.8459999999999999E-2</v>
      </c>
      <c r="R655" s="136">
        <f>Q655*H655</f>
        <v>18.498999999999999</v>
      </c>
      <c r="S655" s="136">
        <v>0</v>
      </c>
      <c r="T655" s="137">
        <f>S655*H655</f>
        <v>0</v>
      </c>
      <c r="AR655" s="138" t="s">
        <v>229</v>
      </c>
      <c r="AT655" s="138" t="s">
        <v>129</v>
      </c>
      <c r="AU655" s="138" t="s">
        <v>81</v>
      </c>
      <c r="AY655" s="17" t="s">
        <v>127</v>
      </c>
      <c r="BE655" s="139">
        <f>IF(N655="základní",J655,0)</f>
        <v>0</v>
      </c>
      <c r="BF655" s="139">
        <f>IF(N655="snížená",J655,0)</f>
        <v>0</v>
      </c>
      <c r="BG655" s="139">
        <f>IF(N655="zákl. přenesená",J655,0)</f>
        <v>0</v>
      </c>
      <c r="BH655" s="139">
        <f>IF(N655="sníž. přenesená",J655,0)</f>
        <v>0</v>
      </c>
      <c r="BI655" s="139">
        <f>IF(N655="nulová",J655,0)</f>
        <v>0</v>
      </c>
      <c r="BJ655" s="17" t="s">
        <v>79</v>
      </c>
      <c r="BK655" s="139">
        <f>ROUND(I655*H655,2)</f>
        <v>0</v>
      </c>
      <c r="BL655" s="17" t="s">
        <v>229</v>
      </c>
      <c r="BM655" s="138" t="s">
        <v>1475</v>
      </c>
    </row>
    <row r="656" spans="2:65" s="1" customFormat="1">
      <c r="B656" s="32"/>
      <c r="D656" s="140" t="s">
        <v>136</v>
      </c>
      <c r="F656" s="141" t="s">
        <v>1476</v>
      </c>
      <c r="I656" s="142"/>
      <c r="L656" s="32"/>
      <c r="M656" s="143"/>
      <c r="T656" s="51"/>
      <c r="AT656" s="17" t="s">
        <v>136</v>
      </c>
      <c r="AU656" s="17" t="s">
        <v>81</v>
      </c>
    </row>
    <row r="657" spans="2:65" s="12" customFormat="1">
      <c r="B657" s="144"/>
      <c r="D657" s="145" t="s">
        <v>138</v>
      </c>
      <c r="E657" s="146" t="s">
        <v>19</v>
      </c>
      <c r="F657" s="147" t="s">
        <v>1445</v>
      </c>
      <c r="H657" s="148">
        <v>650</v>
      </c>
      <c r="I657" s="149"/>
      <c r="L657" s="144"/>
      <c r="M657" s="150"/>
      <c r="T657" s="151"/>
      <c r="AT657" s="146" t="s">
        <v>138</v>
      </c>
      <c r="AU657" s="146" t="s">
        <v>81</v>
      </c>
      <c r="AV657" s="12" t="s">
        <v>81</v>
      </c>
      <c r="AW657" s="12" t="s">
        <v>33</v>
      </c>
      <c r="AX657" s="12" t="s">
        <v>79</v>
      </c>
      <c r="AY657" s="146" t="s">
        <v>127</v>
      </c>
    </row>
    <row r="658" spans="2:65" s="1" customFormat="1" ht="21.75" customHeight="1">
      <c r="B658" s="32"/>
      <c r="C658" s="127" t="s">
        <v>1477</v>
      </c>
      <c r="D658" s="127" t="s">
        <v>129</v>
      </c>
      <c r="E658" s="128" t="s">
        <v>1478</v>
      </c>
      <c r="F658" s="129" t="s">
        <v>1479</v>
      </c>
      <c r="G658" s="130" t="s">
        <v>304</v>
      </c>
      <c r="H658" s="131">
        <v>8</v>
      </c>
      <c r="I658" s="132"/>
      <c r="J658" s="133">
        <f>ROUND(I658*H658,2)</f>
        <v>0</v>
      </c>
      <c r="K658" s="129" t="s">
        <v>133</v>
      </c>
      <c r="L658" s="32"/>
      <c r="M658" s="134" t="s">
        <v>19</v>
      </c>
      <c r="N658" s="135" t="s">
        <v>42</v>
      </c>
      <c r="P658" s="136">
        <f>O658*H658</f>
        <v>0</v>
      </c>
      <c r="Q658" s="136">
        <v>2.2000000000000001E-4</v>
      </c>
      <c r="R658" s="136">
        <f>Q658*H658</f>
        <v>1.7600000000000001E-3</v>
      </c>
      <c r="S658" s="136">
        <v>0</v>
      </c>
      <c r="T658" s="137">
        <f>S658*H658</f>
        <v>0</v>
      </c>
      <c r="AR658" s="138" t="s">
        <v>229</v>
      </c>
      <c r="AT658" s="138" t="s">
        <v>129</v>
      </c>
      <c r="AU658" s="138" t="s">
        <v>81</v>
      </c>
      <c r="AY658" s="17" t="s">
        <v>127</v>
      </c>
      <c r="BE658" s="139">
        <f>IF(N658="základní",J658,0)</f>
        <v>0</v>
      </c>
      <c r="BF658" s="139">
        <f>IF(N658="snížená",J658,0)</f>
        <v>0</v>
      </c>
      <c r="BG658" s="139">
        <f>IF(N658="zákl. přenesená",J658,0)</f>
        <v>0</v>
      </c>
      <c r="BH658" s="139">
        <f>IF(N658="sníž. přenesená",J658,0)</f>
        <v>0</v>
      </c>
      <c r="BI658" s="139">
        <f>IF(N658="nulová",J658,0)</f>
        <v>0</v>
      </c>
      <c r="BJ658" s="17" t="s">
        <v>79</v>
      </c>
      <c r="BK658" s="139">
        <f>ROUND(I658*H658,2)</f>
        <v>0</v>
      </c>
      <c r="BL658" s="17" t="s">
        <v>229</v>
      </c>
      <c r="BM658" s="138" t="s">
        <v>1480</v>
      </c>
    </row>
    <row r="659" spans="2:65" s="1" customFormat="1">
      <c r="B659" s="32"/>
      <c r="D659" s="140" t="s">
        <v>136</v>
      </c>
      <c r="F659" s="141" t="s">
        <v>1481</v>
      </c>
      <c r="I659" s="142"/>
      <c r="L659" s="32"/>
      <c r="M659" s="143"/>
      <c r="T659" s="51"/>
      <c r="AT659" s="17" t="s">
        <v>136</v>
      </c>
      <c r="AU659" s="17" t="s">
        <v>81</v>
      </c>
    </row>
    <row r="660" spans="2:65" s="12" customFormat="1">
      <c r="B660" s="144"/>
      <c r="D660" s="145" t="s">
        <v>138</v>
      </c>
      <c r="E660" s="146" t="s">
        <v>19</v>
      </c>
      <c r="F660" s="147" t="s">
        <v>1482</v>
      </c>
      <c r="H660" s="148">
        <v>6</v>
      </c>
      <c r="I660" s="149"/>
      <c r="L660" s="144"/>
      <c r="M660" s="150"/>
      <c r="T660" s="151"/>
      <c r="AT660" s="146" t="s">
        <v>138</v>
      </c>
      <c r="AU660" s="146" t="s">
        <v>81</v>
      </c>
      <c r="AV660" s="12" t="s">
        <v>81</v>
      </c>
      <c r="AW660" s="12" t="s">
        <v>33</v>
      </c>
      <c r="AX660" s="12" t="s">
        <v>71</v>
      </c>
      <c r="AY660" s="146" t="s">
        <v>127</v>
      </c>
    </row>
    <row r="661" spans="2:65" s="12" customFormat="1">
      <c r="B661" s="144"/>
      <c r="D661" s="145" t="s">
        <v>138</v>
      </c>
      <c r="E661" s="146" t="s">
        <v>19</v>
      </c>
      <c r="F661" s="147" t="s">
        <v>1483</v>
      </c>
      <c r="H661" s="148">
        <v>2</v>
      </c>
      <c r="I661" s="149"/>
      <c r="L661" s="144"/>
      <c r="M661" s="150"/>
      <c r="T661" s="151"/>
      <c r="AT661" s="146" t="s">
        <v>138</v>
      </c>
      <c r="AU661" s="146" t="s">
        <v>81</v>
      </c>
      <c r="AV661" s="12" t="s">
        <v>81</v>
      </c>
      <c r="AW661" s="12" t="s">
        <v>33</v>
      </c>
      <c r="AX661" s="12" t="s">
        <v>71</v>
      </c>
      <c r="AY661" s="146" t="s">
        <v>127</v>
      </c>
    </row>
    <row r="662" spans="2:65" s="13" customFormat="1">
      <c r="B662" s="152"/>
      <c r="D662" s="145" t="s">
        <v>138</v>
      </c>
      <c r="E662" s="153" t="s">
        <v>19</v>
      </c>
      <c r="F662" s="154" t="s">
        <v>152</v>
      </c>
      <c r="H662" s="155">
        <v>8</v>
      </c>
      <c r="I662" s="156"/>
      <c r="L662" s="152"/>
      <c r="M662" s="157"/>
      <c r="T662" s="158"/>
      <c r="AT662" s="153" t="s">
        <v>138</v>
      </c>
      <c r="AU662" s="153" t="s">
        <v>81</v>
      </c>
      <c r="AV662" s="13" t="s">
        <v>134</v>
      </c>
      <c r="AW662" s="13" t="s">
        <v>33</v>
      </c>
      <c r="AX662" s="13" t="s">
        <v>79</v>
      </c>
      <c r="AY662" s="153" t="s">
        <v>127</v>
      </c>
    </row>
    <row r="663" spans="2:65" s="1" customFormat="1" ht="21.75" customHeight="1">
      <c r="B663" s="32"/>
      <c r="C663" s="159" t="s">
        <v>1484</v>
      </c>
      <c r="D663" s="159" t="s">
        <v>413</v>
      </c>
      <c r="E663" s="160" t="s">
        <v>1485</v>
      </c>
      <c r="F663" s="161" t="s">
        <v>1486</v>
      </c>
      <c r="G663" s="162" t="s">
        <v>304</v>
      </c>
      <c r="H663" s="163">
        <v>6</v>
      </c>
      <c r="I663" s="164"/>
      <c r="J663" s="165">
        <f>ROUND(I663*H663,2)</f>
        <v>0</v>
      </c>
      <c r="K663" s="161" t="s">
        <v>133</v>
      </c>
      <c r="L663" s="166"/>
      <c r="M663" s="167" t="s">
        <v>19</v>
      </c>
      <c r="N663" s="168" t="s">
        <v>42</v>
      </c>
      <c r="P663" s="136">
        <f>O663*H663</f>
        <v>0</v>
      </c>
      <c r="Q663" s="136">
        <v>1.225E-2</v>
      </c>
      <c r="R663" s="136">
        <f>Q663*H663</f>
        <v>7.350000000000001E-2</v>
      </c>
      <c r="S663" s="136">
        <v>0</v>
      </c>
      <c r="T663" s="137">
        <f>S663*H663</f>
        <v>0</v>
      </c>
      <c r="AR663" s="138" t="s">
        <v>333</v>
      </c>
      <c r="AT663" s="138" t="s">
        <v>413</v>
      </c>
      <c r="AU663" s="138" t="s">
        <v>81</v>
      </c>
      <c r="AY663" s="17" t="s">
        <v>127</v>
      </c>
      <c r="BE663" s="139">
        <f>IF(N663="základní",J663,0)</f>
        <v>0</v>
      </c>
      <c r="BF663" s="139">
        <f>IF(N663="snížená",J663,0)</f>
        <v>0</v>
      </c>
      <c r="BG663" s="139">
        <f>IF(N663="zákl. přenesená",J663,0)</f>
        <v>0</v>
      </c>
      <c r="BH663" s="139">
        <f>IF(N663="sníž. přenesená",J663,0)</f>
        <v>0</v>
      </c>
      <c r="BI663" s="139">
        <f>IF(N663="nulová",J663,0)</f>
        <v>0</v>
      </c>
      <c r="BJ663" s="17" t="s">
        <v>79</v>
      </c>
      <c r="BK663" s="139">
        <f>ROUND(I663*H663,2)</f>
        <v>0</v>
      </c>
      <c r="BL663" s="17" t="s">
        <v>229</v>
      </c>
      <c r="BM663" s="138" t="s">
        <v>1487</v>
      </c>
    </row>
    <row r="664" spans="2:65" s="1" customFormat="1" ht="21.75" customHeight="1">
      <c r="B664" s="32"/>
      <c r="C664" s="159" t="s">
        <v>1488</v>
      </c>
      <c r="D664" s="159" t="s">
        <v>413</v>
      </c>
      <c r="E664" s="160" t="s">
        <v>1489</v>
      </c>
      <c r="F664" s="161" t="s">
        <v>1490</v>
      </c>
      <c r="G664" s="162" t="s">
        <v>304</v>
      </c>
      <c r="H664" s="163">
        <v>2</v>
      </c>
      <c r="I664" s="164"/>
      <c r="J664" s="165">
        <f>ROUND(I664*H664,2)</f>
        <v>0</v>
      </c>
      <c r="K664" s="161" t="s">
        <v>133</v>
      </c>
      <c r="L664" s="166"/>
      <c r="M664" s="167" t="s">
        <v>19</v>
      </c>
      <c r="N664" s="168" t="s">
        <v>42</v>
      </c>
      <c r="P664" s="136">
        <f>O664*H664</f>
        <v>0</v>
      </c>
      <c r="Q664" s="136">
        <v>1.272E-2</v>
      </c>
      <c r="R664" s="136">
        <f>Q664*H664</f>
        <v>2.5440000000000001E-2</v>
      </c>
      <c r="S664" s="136">
        <v>0</v>
      </c>
      <c r="T664" s="137">
        <f>S664*H664</f>
        <v>0</v>
      </c>
      <c r="AR664" s="138" t="s">
        <v>333</v>
      </c>
      <c r="AT664" s="138" t="s">
        <v>413</v>
      </c>
      <c r="AU664" s="138" t="s">
        <v>81</v>
      </c>
      <c r="AY664" s="17" t="s">
        <v>127</v>
      </c>
      <c r="BE664" s="139">
        <f>IF(N664="základní",J664,0)</f>
        <v>0</v>
      </c>
      <c r="BF664" s="139">
        <f>IF(N664="snížená",J664,0)</f>
        <v>0</v>
      </c>
      <c r="BG664" s="139">
        <f>IF(N664="zákl. přenesená",J664,0)</f>
        <v>0</v>
      </c>
      <c r="BH664" s="139">
        <f>IF(N664="sníž. přenesená",J664,0)</f>
        <v>0</v>
      </c>
      <c r="BI664" s="139">
        <f>IF(N664="nulová",J664,0)</f>
        <v>0</v>
      </c>
      <c r="BJ664" s="17" t="s">
        <v>79</v>
      </c>
      <c r="BK664" s="139">
        <f>ROUND(I664*H664,2)</f>
        <v>0</v>
      </c>
      <c r="BL664" s="17" t="s">
        <v>229</v>
      </c>
      <c r="BM664" s="138" t="s">
        <v>1491</v>
      </c>
    </row>
    <row r="665" spans="2:65" s="1" customFormat="1" ht="24.2" customHeight="1">
      <c r="B665" s="32"/>
      <c r="C665" s="127" t="s">
        <v>1492</v>
      </c>
      <c r="D665" s="127" t="s">
        <v>129</v>
      </c>
      <c r="E665" s="128" t="s">
        <v>1493</v>
      </c>
      <c r="F665" s="129" t="s">
        <v>1494</v>
      </c>
      <c r="G665" s="130" t="s">
        <v>257</v>
      </c>
      <c r="H665" s="131">
        <v>147.12</v>
      </c>
      <c r="I665" s="132"/>
      <c r="J665" s="133">
        <f>ROUND(I665*H665,2)</f>
        <v>0</v>
      </c>
      <c r="K665" s="129" t="s">
        <v>133</v>
      </c>
      <c r="L665" s="32"/>
      <c r="M665" s="134" t="s">
        <v>19</v>
      </c>
      <c r="N665" s="135" t="s">
        <v>42</v>
      </c>
      <c r="P665" s="136">
        <f>O665*H665</f>
        <v>0</v>
      </c>
      <c r="Q665" s="136">
        <v>5.5399999999999998E-3</v>
      </c>
      <c r="R665" s="136">
        <f>Q665*H665</f>
        <v>0.81504480000000001</v>
      </c>
      <c r="S665" s="136">
        <v>0</v>
      </c>
      <c r="T665" s="137">
        <f>S665*H665</f>
        <v>0</v>
      </c>
      <c r="AR665" s="138" t="s">
        <v>229</v>
      </c>
      <c r="AT665" s="138" t="s">
        <v>129</v>
      </c>
      <c r="AU665" s="138" t="s">
        <v>81</v>
      </c>
      <c r="AY665" s="17" t="s">
        <v>127</v>
      </c>
      <c r="BE665" s="139">
        <f>IF(N665="základní",J665,0)</f>
        <v>0</v>
      </c>
      <c r="BF665" s="139">
        <f>IF(N665="snížená",J665,0)</f>
        <v>0</v>
      </c>
      <c r="BG665" s="139">
        <f>IF(N665="zákl. přenesená",J665,0)</f>
        <v>0</v>
      </c>
      <c r="BH665" s="139">
        <f>IF(N665="sníž. přenesená",J665,0)</f>
        <v>0</v>
      </c>
      <c r="BI665" s="139">
        <f>IF(N665="nulová",J665,0)</f>
        <v>0</v>
      </c>
      <c r="BJ665" s="17" t="s">
        <v>79</v>
      </c>
      <c r="BK665" s="139">
        <f>ROUND(I665*H665,2)</f>
        <v>0</v>
      </c>
      <c r="BL665" s="17" t="s">
        <v>229</v>
      </c>
      <c r="BM665" s="138" t="s">
        <v>1495</v>
      </c>
    </row>
    <row r="666" spans="2:65" s="1" customFormat="1">
      <c r="B666" s="32"/>
      <c r="D666" s="140" t="s">
        <v>136</v>
      </c>
      <c r="F666" s="141" t="s">
        <v>1496</v>
      </c>
      <c r="I666" s="142"/>
      <c r="L666" s="32"/>
      <c r="M666" s="143"/>
      <c r="T666" s="51"/>
      <c r="AT666" s="17" t="s">
        <v>136</v>
      </c>
      <c r="AU666" s="17" t="s">
        <v>81</v>
      </c>
    </row>
    <row r="667" spans="2:65" s="12" customFormat="1">
      <c r="B667" s="144"/>
      <c r="D667" s="145" t="s">
        <v>138</v>
      </c>
      <c r="E667" s="146" t="s">
        <v>19</v>
      </c>
      <c r="F667" s="147" t="s">
        <v>1497</v>
      </c>
      <c r="H667" s="148">
        <v>137.12</v>
      </c>
      <c r="I667" s="149"/>
      <c r="L667" s="144"/>
      <c r="M667" s="150"/>
      <c r="T667" s="151"/>
      <c r="AT667" s="146" t="s">
        <v>138</v>
      </c>
      <c r="AU667" s="146" t="s">
        <v>81</v>
      </c>
      <c r="AV667" s="12" t="s">
        <v>81</v>
      </c>
      <c r="AW667" s="12" t="s">
        <v>33</v>
      </c>
      <c r="AX667" s="12" t="s">
        <v>71</v>
      </c>
      <c r="AY667" s="146" t="s">
        <v>127</v>
      </c>
    </row>
    <row r="668" spans="2:65" s="12" customFormat="1">
      <c r="B668" s="144"/>
      <c r="D668" s="145" t="s">
        <v>138</v>
      </c>
      <c r="E668" s="146" t="s">
        <v>19</v>
      </c>
      <c r="F668" s="147" t="s">
        <v>1498</v>
      </c>
      <c r="H668" s="148">
        <v>10</v>
      </c>
      <c r="I668" s="149"/>
      <c r="L668" s="144"/>
      <c r="M668" s="150"/>
      <c r="T668" s="151"/>
      <c r="AT668" s="146" t="s">
        <v>138</v>
      </c>
      <c r="AU668" s="146" t="s">
        <v>81</v>
      </c>
      <c r="AV668" s="12" t="s">
        <v>81</v>
      </c>
      <c r="AW668" s="12" t="s">
        <v>33</v>
      </c>
      <c r="AX668" s="12" t="s">
        <v>71</v>
      </c>
      <c r="AY668" s="146" t="s">
        <v>127</v>
      </c>
    </row>
    <row r="669" spans="2:65" s="13" customFormat="1">
      <c r="B669" s="152"/>
      <c r="D669" s="145" t="s">
        <v>138</v>
      </c>
      <c r="E669" s="153" t="s">
        <v>19</v>
      </c>
      <c r="F669" s="154" t="s">
        <v>152</v>
      </c>
      <c r="H669" s="155">
        <v>147.12</v>
      </c>
      <c r="I669" s="156"/>
      <c r="L669" s="152"/>
      <c r="M669" s="157"/>
      <c r="T669" s="158"/>
      <c r="AT669" s="153" t="s">
        <v>138</v>
      </c>
      <c r="AU669" s="153" t="s">
        <v>81</v>
      </c>
      <c r="AV669" s="13" t="s">
        <v>134</v>
      </c>
      <c r="AW669" s="13" t="s">
        <v>33</v>
      </c>
      <c r="AX669" s="13" t="s">
        <v>79</v>
      </c>
      <c r="AY669" s="153" t="s">
        <v>127</v>
      </c>
    </row>
    <row r="670" spans="2:65" s="1" customFormat="1" ht="24.2" customHeight="1">
      <c r="B670" s="32"/>
      <c r="C670" s="127" t="s">
        <v>1499</v>
      </c>
      <c r="D670" s="127" t="s">
        <v>129</v>
      </c>
      <c r="E670" s="128" t="s">
        <v>1500</v>
      </c>
      <c r="F670" s="129" t="s">
        <v>1501</v>
      </c>
      <c r="G670" s="130" t="s">
        <v>257</v>
      </c>
      <c r="H670" s="131">
        <v>10.5</v>
      </c>
      <c r="I670" s="132"/>
      <c r="J670" s="133">
        <f>ROUND(I670*H670,2)</f>
        <v>0</v>
      </c>
      <c r="K670" s="129" t="s">
        <v>133</v>
      </c>
      <c r="L670" s="32"/>
      <c r="M670" s="134" t="s">
        <v>19</v>
      </c>
      <c r="N670" s="135" t="s">
        <v>42</v>
      </c>
      <c r="P670" s="136">
        <f>O670*H670</f>
        <v>0</v>
      </c>
      <c r="Q670" s="136">
        <v>2.9989999999999999E-2</v>
      </c>
      <c r="R670" s="136">
        <f>Q670*H670</f>
        <v>0.31489499999999998</v>
      </c>
      <c r="S670" s="136">
        <v>0</v>
      </c>
      <c r="T670" s="137">
        <f>S670*H670</f>
        <v>0</v>
      </c>
      <c r="AR670" s="138" t="s">
        <v>229</v>
      </c>
      <c r="AT670" s="138" t="s">
        <v>129</v>
      </c>
      <c r="AU670" s="138" t="s">
        <v>81</v>
      </c>
      <c r="AY670" s="17" t="s">
        <v>127</v>
      </c>
      <c r="BE670" s="139">
        <f>IF(N670="základní",J670,0)</f>
        <v>0</v>
      </c>
      <c r="BF670" s="139">
        <f>IF(N670="snížená",J670,0)</f>
        <v>0</v>
      </c>
      <c r="BG670" s="139">
        <f>IF(N670="zákl. přenesená",J670,0)</f>
        <v>0</v>
      </c>
      <c r="BH670" s="139">
        <f>IF(N670="sníž. přenesená",J670,0)</f>
        <v>0</v>
      </c>
      <c r="BI670" s="139">
        <f>IF(N670="nulová",J670,0)</f>
        <v>0</v>
      </c>
      <c r="BJ670" s="17" t="s">
        <v>79</v>
      </c>
      <c r="BK670" s="139">
        <f>ROUND(I670*H670,2)</f>
        <v>0</v>
      </c>
      <c r="BL670" s="17" t="s">
        <v>229</v>
      </c>
      <c r="BM670" s="138" t="s">
        <v>1502</v>
      </c>
    </row>
    <row r="671" spans="2:65" s="1" customFormat="1">
      <c r="B671" s="32"/>
      <c r="D671" s="140" t="s">
        <v>136</v>
      </c>
      <c r="F671" s="141" t="s">
        <v>1503</v>
      </c>
      <c r="I671" s="142"/>
      <c r="L671" s="32"/>
      <c r="M671" s="143"/>
      <c r="T671" s="51"/>
      <c r="AT671" s="17" t="s">
        <v>136</v>
      </c>
      <c r="AU671" s="17" t="s">
        <v>81</v>
      </c>
    </row>
    <row r="672" spans="2:65" s="12" customFormat="1">
      <c r="B672" s="144"/>
      <c r="D672" s="145" t="s">
        <v>138</v>
      </c>
      <c r="E672" s="146" t="s">
        <v>19</v>
      </c>
      <c r="F672" s="147" t="s">
        <v>1504</v>
      </c>
      <c r="H672" s="148">
        <v>10.5</v>
      </c>
      <c r="I672" s="149"/>
      <c r="L672" s="144"/>
      <c r="M672" s="150"/>
      <c r="T672" s="151"/>
      <c r="AT672" s="146" t="s">
        <v>138</v>
      </c>
      <c r="AU672" s="146" t="s">
        <v>81</v>
      </c>
      <c r="AV672" s="12" t="s">
        <v>81</v>
      </c>
      <c r="AW672" s="12" t="s">
        <v>33</v>
      </c>
      <c r="AX672" s="12" t="s">
        <v>79</v>
      </c>
      <c r="AY672" s="146" t="s">
        <v>127</v>
      </c>
    </row>
    <row r="673" spans="2:65" s="1" customFormat="1" ht="24.2" customHeight="1">
      <c r="B673" s="32"/>
      <c r="C673" s="127" t="s">
        <v>1505</v>
      </c>
      <c r="D673" s="127" t="s">
        <v>129</v>
      </c>
      <c r="E673" s="128" t="s">
        <v>1506</v>
      </c>
      <c r="F673" s="129" t="s">
        <v>1507</v>
      </c>
      <c r="G673" s="130" t="s">
        <v>257</v>
      </c>
      <c r="H673" s="131">
        <v>1121.0640000000001</v>
      </c>
      <c r="I673" s="132"/>
      <c r="J673" s="133">
        <f>ROUND(I673*H673,2)</f>
        <v>0</v>
      </c>
      <c r="K673" s="129" t="s">
        <v>133</v>
      </c>
      <c r="L673" s="32"/>
      <c r="M673" s="134" t="s">
        <v>19</v>
      </c>
      <c r="N673" s="135" t="s">
        <v>42</v>
      </c>
      <c r="P673" s="136">
        <f>O673*H673</f>
        <v>0</v>
      </c>
      <c r="Q673" s="136">
        <v>0</v>
      </c>
      <c r="R673" s="136">
        <f>Q673*H673</f>
        <v>0</v>
      </c>
      <c r="S673" s="136">
        <v>0</v>
      </c>
      <c r="T673" s="137">
        <f>S673*H673</f>
        <v>0</v>
      </c>
      <c r="AR673" s="138" t="s">
        <v>229</v>
      </c>
      <c r="AT673" s="138" t="s">
        <v>129</v>
      </c>
      <c r="AU673" s="138" t="s">
        <v>81</v>
      </c>
      <c r="AY673" s="17" t="s">
        <v>127</v>
      </c>
      <c r="BE673" s="139">
        <f>IF(N673="základní",J673,0)</f>
        <v>0</v>
      </c>
      <c r="BF673" s="139">
        <f>IF(N673="snížená",J673,0)</f>
        <v>0</v>
      </c>
      <c r="BG673" s="139">
        <f>IF(N673="zákl. přenesená",J673,0)</f>
        <v>0</v>
      </c>
      <c r="BH673" s="139">
        <f>IF(N673="sníž. přenesená",J673,0)</f>
        <v>0</v>
      </c>
      <c r="BI673" s="139">
        <f>IF(N673="nulová",J673,0)</f>
        <v>0</v>
      </c>
      <c r="BJ673" s="17" t="s">
        <v>79</v>
      </c>
      <c r="BK673" s="139">
        <f>ROUND(I673*H673,2)</f>
        <v>0</v>
      </c>
      <c r="BL673" s="17" t="s">
        <v>229</v>
      </c>
      <c r="BM673" s="138" t="s">
        <v>1508</v>
      </c>
    </row>
    <row r="674" spans="2:65" s="1" customFormat="1">
      <c r="B674" s="32"/>
      <c r="D674" s="140" t="s">
        <v>136</v>
      </c>
      <c r="F674" s="141" t="s">
        <v>1509</v>
      </c>
      <c r="I674" s="142"/>
      <c r="L674" s="32"/>
      <c r="M674" s="143"/>
      <c r="T674" s="51"/>
      <c r="AT674" s="17" t="s">
        <v>136</v>
      </c>
      <c r="AU674" s="17" t="s">
        <v>81</v>
      </c>
    </row>
    <row r="675" spans="2:65" s="12" customFormat="1">
      <c r="B675" s="144"/>
      <c r="D675" s="145" t="s">
        <v>138</v>
      </c>
      <c r="E675" s="146" t="s">
        <v>19</v>
      </c>
      <c r="F675" s="147" t="s">
        <v>1510</v>
      </c>
      <c r="H675" s="148">
        <v>560.53200000000004</v>
      </c>
      <c r="I675" s="149"/>
      <c r="L675" s="144"/>
      <c r="M675" s="150"/>
      <c r="T675" s="151"/>
      <c r="AT675" s="146" t="s">
        <v>138</v>
      </c>
      <c r="AU675" s="146" t="s">
        <v>81</v>
      </c>
      <c r="AV675" s="12" t="s">
        <v>81</v>
      </c>
      <c r="AW675" s="12" t="s">
        <v>33</v>
      </c>
      <c r="AX675" s="12" t="s">
        <v>71</v>
      </c>
      <c r="AY675" s="146" t="s">
        <v>127</v>
      </c>
    </row>
    <row r="676" spans="2:65" s="12" customFormat="1">
      <c r="B676" s="144"/>
      <c r="D676" s="145" t="s">
        <v>138</v>
      </c>
      <c r="E676" s="146" t="s">
        <v>19</v>
      </c>
      <c r="F676" s="147" t="s">
        <v>1511</v>
      </c>
      <c r="H676" s="148">
        <v>560.53200000000004</v>
      </c>
      <c r="I676" s="149"/>
      <c r="L676" s="144"/>
      <c r="M676" s="150"/>
      <c r="T676" s="151"/>
      <c r="AT676" s="146" t="s">
        <v>138</v>
      </c>
      <c r="AU676" s="146" t="s">
        <v>81</v>
      </c>
      <c r="AV676" s="12" t="s">
        <v>81</v>
      </c>
      <c r="AW676" s="12" t="s">
        <v>33</v>
      </c>
      <c r="AX676" s="12" t="s">
        <v>71</v>
      </c>
      <c r="AY676" s="146" t="s">
        <v>127</v>
      </c>
    </row>
    <row r="677" spans="2:65" s="13" customFormat="1">
      <c r="B677" s="152"/>
      <c r="D677" s="145" t="s">
        <v>138</v>
      </c>
      <c r="E677" s="153" t="s">
        <v>19</v>
      </c>
      <c r="F677" s="154" t="s">
        <v>152</v>
      </c>
      <c r="H677" s="155">
        <v>1121.0640000000001</v>
      </c>
      <c r="I677" s="156"/>
      <c r="L677" s="152"/>
      <c r="M677" s="157"/>
      <c r="T677" s="158"/>
      <c r="AT677" s="153" t="s">
        <v>138</v>
      </c>
      <c r="AU677" s="153" t="s">
        <v>81</v>
      </c>
      <c r="AV677" s="13" t="s">
        <v>134</v>
      </c>
      <c r="AW677" s="13" t="s">
        <v>33</v>
      </c>
      <c r="AX677" s="13" t="s">
        <v>79</v>
      </c>
      <c r="AY677" s="153" t="s">
        <v>127</v>
      </c>
    </row>
    <row r="678" spans="2:65" s="1" customFormat="1" ht="16.5" customHeight="1">
      <c r="B678" s="32"/>
      <c r="C678" s="159" t="s">
        <v>1512</v>
      </c>
      <c r="D678" s="159" t="s">
        <v>413</v>
      </c>
      <c r="E678" s="160" t="s">
        <v>1513</v>
      </c>
      <c r="F678" s="161" t="s">
        <v>1514</v>
      </c>
      <c r="G678" s="162" t="s">
        <v>147</v>
      </c>
      <c r="H678" s="163">
        <v>26.637</v>
      </c>
      <c r="I678" s="164"/>
      <c r="J678" s="165">
        <f>ROUND(I678*H678,2)</f>
        <v>0</v>
      </c>
      <c r="K678" s="161" t="s">
        <v>19</v>
      </c>
      <c r="L678" s="166"/>
      <c r="M678" s="167" t="s">
        <v>19</v>
      </c>
      <c r="N678" s="168" t="s">
        <v>42</v>
      </c>
      <c r="P678" s="136">
        <f>O678*H678</f>
        <v>0</v>
      </c>
      <c r="Q678" s="136">
        <v>0.44</v>
      </c>
      <c r="R678" s="136">
        <f>Q678*H678</f>
        <v>11.720280000000001</v>
      </c>
      <c r="S678" s="136">
        <v>0</v>
      </c>
      <c r="T678" s="137">
        <f>S678*H678</f>
        <v>0</v>
      </c>
      <c r="AR678" s="138" t="s">
        <v>333</v>
      </c>
      <c r="AT678" s="138" t="s">
        <v>413</v>
      </c>
      <c r="AU678" s="138" t="s">
        <v>81</v>
      </c>
      <c r="AY678" s="17" t="s">
        <v>127</v>
      </c>
      <c r="BE678" s="139">
        <f>IF(N678="základní",J678,0)</f>
        <v>0</v>
      </c>
      <c r="BF678" s="139">
        <f>IF(N678="snížená",J678,0)</f>
        <v>0</v>
      </c>
      <c r="BG678" s="139">
        <f>IF(N678="zákl. přenesená",J678,0)</f>
        <v>0</v>
      </c>
      <c r="BH678" s="139">
        <f>IF(N678="sníž. přenesená",J678,0)</f>
        <v>0</v>
      </c>
      <c r="BI678" s="139">
        <f>IF(N678="nulová",J678,0)</f>
        <v>0</v>
      </c>
      <c r="BJ678" s="17" t="s">
        <v>79</v>
      </c>
      <c r="BK678" s="139">
        <f>ROUND(I678*H678,2)</f>
        <v>0</v>
      </c>
      <c r="BL678" s="17" t="s">
        <v>229</v>
      </c>
      <c r="BM678" s="138" t="s">
        <v>1515</v>
      </c>
    </row>
    <row r="679" spans="2:65" s="12" customFormat="1">
      <c r="B679" s="144"/>
      <c r="D679" s="145" t="s">
        <v>138</v>
      </c>
      <c r="E679" s="146" t="s">
        <v>19</v>
      </c>
      <c r="F679" s="147" t="s">
        <v>1516</v>
      </c>
      <c r="H679" s="148">
        <v>15.134</v>
      </c>
      <c r="I679" s="149"/>
      <c r="L679" s="144"/>
      <c r="M679" s="150"/>
      <c r="T679" s="151"/>
      <c r="AT679" s="146" t="s">
        <v>138</v>
      </c>
      <c r="AU679" s="146" t="s">
        <v>81</v>
      </c>
      <c r="AV679" s="12" t="s">
        <v>81</v>
      </c>
      <c r="AW679" s="12" t="s">
        <v>33</v>
      </c>
      <c r="AX679" s="12" t="s">
        <v>71</v>
      </c>
      <c r="AY679" s="146" t="s">
        <v>127</v>
      </c>
    </row>
    <row r="680" spans="2:65" s="12" customFormat="1">
      <c r="B680" s="144"/>
      <c r="D680" s="145" t="s">
        <v>138</v>
      </c>
      <c r="E680" s="146" t="s">
        <v>19</v>
      </c>
      <c r="F680" s="147" t="s">
        <v>1517</v>
      </c>
      <c r="H680" s="148">
        <v>9.0809999999999995</v>
      </c>
      <c r="I680" s="149"/>
      <c r="L680" s="144"/>
      <c r="M680" s="150"/>
      <c r="T680" s="151"/>
      <c r="AT680" s="146" t="s">
        <v>138</v>
      </c>
      <c r="AU680" s="146" t="s">
        <v>81</v>
      </c>
      <c r="AV680" s="12" t="s">
        <v>81</v>
      </c>
      <c r="AW680" s="12" t="s">
        <v>33</v>
      </c>
      <c r="AX680" s="12" t="s">
        <v>71</v>
      </c>
      <c r="AY680" s="146" t="s">
        <v>127</v>
      </c>
    </row>
    <row r="681" spans="2:65" s="13" customFormat="1">
      <c r="B681" s="152"/>
      <c r="D681" s="145" t="s">
        <v>138</v>
      </c>
      <c r="E681" s="153" t="s">
        <v>19</v>
      </c>
      <c r="F681" s="154" t="s">
        <v>152</v>
      </c>
      <c r="H681" s="155">
        <v>24.215</v>
      </c>
      <c r="I681" s="156"/>
      <c r="L681" s="152"/>
      <c r="M681" s="157"/>
      <c r="T681" s="158"/>
      <c r="AT681" s="153" t="s">
        <v>138</v>
      </c>
      <c r="AU681" s="153" t="s">
        <v>81</v>
      </c>
      <c r="AV681" s="13" t="s">
        <v>134</v>
      </c>
      <c r="AW681" s="13" t="s">
        <v>33</v>
      </c>
      <c r="AX681" s="13" t="s">
        <v>79</v>
      </c>
      <c r="AY681" s="153" t="s">
        <v>127</v>
      </c>
    </row>
    <row r="682" spans="2:65" s="12" customFormat="1">
      <c r="B682" s="144"/>
      <c r="D682" s="145" t="s">
        <v>138</v>
      </c>
      <c r="F682" s="147" t="s">
        <v>1518</v>
      </c>
      <c r="H682" s="148">
        <v>26.637</v>
      </c>
      <c r="I682" s="149"/>
      <c r="L682" s="144"/>
      <c r="M682" s="150"/>
      <c r="T682" s="151"/>
      <c r="AT682" s="146" t="s">
        <v>138</v>
      </c>
      <c r="AU682" s="146" t="s">
        <v>81</v>
      </c>
      <c r="AV682" s="12" t="s">
        <v>81</v>
      </c>
      <c r="AW682" s="12" t="s">
        <v>4</v>
      </c>
      <c r="AX682" s="12" t="s">
        <v>79</v>
      </c>
      <c r="AY682" s="146" t="s">
        <v>127</v>
      </c>
    </row>
    <row r="683" spans="2:65" s="1" customFormat="1" ht="16.5" customHeight="1">
      <c r="B683" s="32"/>
      <c r="C683" s="127" t="s">
        <v>1519</v>
      </c>
      <c r="D683" s="127" t="s">
        <v>129</v>
      </c>
      <c r="E683" s="128" t="s">
        <v>1520</v>
      </c>
      <c r="F683" s="129" t="s">
        <v>1521</v>
      </c>
      <c r="G683" s="130" t="s">
        <v>191</v>
      </c>
      <c r="H683" s="131">
        <v>8</v>
      </c>
      <c r="I683" s="132"/>
      <c r="J683" s="133">
        <f>ROUND(I683*H683,2)</f>
        <v>0</v>
      </c>
      <c r="K683" s="129" t="s">
        <v>19</v>
      </c>
      <c r="L683" s="32"/>
      <c r="M683" s="134" t="s">
        <v>19</v>
      </c>
      <c r="N683" s="135" t="s">
        <v>42</v>
      </c>
      <c r="P683" s="136">
        <f>O683*H683</f>
        <v>0</v>
      </c>
      <c r="Q683" s="136">
        <v>0</v>
      </c>
      <c r="R683" s="136">
        <f>Q683*H683</f>
        <v>0</v>
      </c>
      <c r="S683" s="136">
        <v>0</v>
      </c>
      <c r="T683" s="137">
        <f>S683*H683</f>
        <v>0</v>
      </c>
      <c r="AR683" s="138" t="s">
        <v>229</v>
      </c>
      <c r="AT683" s="138" t="s">
        <v>129</v>
      </c>
      <c r="AU683" s="138" t="s">
        <v>81</v>
      </c>
      <c r="AY683" s="17" t="s">
        <v>127</v>
      </c>
      <c r="BE683" s="139">
        <f>IF(N683="základní",J683,0)</f>
        <v>0</v>
      </c>
      <c r="BF683" s="139">
        <f>IF(N683="snížená",J683,0)</f>
        <v>0</v>
      </c>
      <c r="BG683" s="139">
        <f>IF(N683="zákl. přenesená",J683,0)</f>
        <v>0</v>
      </c>
      <c r="BH683" s="139">
        <f>IF(N683="sníž. přenesená",J683,0)</f>
        <v>0</v>
      </c>
      <c r="BI683" s="139">
        <f>IF(N683="nulová",J683,0)</f>
        <v>0</v>
      </c>
      <c r="BJ683" s="17" t="s">
        <v>79</v>
      </c>
      <c r="BK683" s="139">
        <f>ROUND(I683*H683,2)</f>
        <v>0</v>
      </c>
      <c r="BL683" s="17" t="s">
        <v>229</v>
      </c>
      <c r="BM683" s="138" t="s">
        <v>1522</v>
      </c>
    </row>
    <row r="684" spans="2:65" s="1" customFormat="1" ht="16.5" customHeight="1">
      <c r="B684" s="32"/>
      <c r="C684" s="127" t="s">
        <v>1523</v>
      </c>
      <c r="D684" s="127" t="s">
        <v>129</v>
      </c>
      <c r="E684" s="128" t="s">
        <v>1524</v>
      </c>
      <c r="F684" s="129" t="s">
        <v>1525</v>
      </c>
      <c r="G684" s="130" t="s">
        <v>191</v>
      </c>
      <c r="H684" s="131">
        <v>4</v>
      </c>
      <c r="I684" s="132"/>
      <c r="J684" s="133">
        <f>ROUND(I684*H684,2)</f>
        <v>0</v>
      </c>
      <c r="K684" s="129" t="s">
        <v>19</v>
      </c>
      <c r="L684" s="32"/>
      <c r="M684" s="134" t="s">
        <v>19</v>
      </c>
      <c r="N684" s="135" t="s">
        <v>42</v>
      </c>
      <c r="P684" s="136">
        <f>O684*H684</f>
        <v>0</v>
      </c>
      <c r="Q684" s="136">
        <v>0</v>
      </c>
      <c r="R684" s="136">
        <f>Q684*H684</f>
        <v>0</v>
      </c>
      <c r="S684" s="136">
        <v>0</v>
      </c>
      <c r="T684" s="137">
        <f>S684*H684</f>
        <v>0</v>
      </c>
      <c r="AR684" s="138" t="s">
        <v>229</v>
      </c>
      <c r="AT684" s="138" t="s">
        <v>129</v>
      </c>
      <c r="AU684" s="138" t="s">
        <v>81</v>
      </c>
      <c r="AY684" s="17" t="s">
        <v>127</v>
      </c>
      <c r="BE684" s="139">
        <f>IF(N684="základní",J684,0)</f>
        <v>0</v>
      </c>
      <c r="BF684" s="139">
        <f>IF(N684="snížená",J684,0)</f>
        <v>0</v>
      </c>
      <c r="BG684" s="139">
        <f>IF(N684="zákl. přenesená",J684,0)</f>
        <v>0</v>
      </c>
      <c r="BH684" s="139">
        <f>IF(N684="sníž. přenesená",J684,0)</f>
        <v>0</v>
      </c>
      <c r="BI684" s="139">
        <f>IF(N684="nulová",J684,0)</f>
        <v>0</v>
      </c>
      <c r="BJ684" s="17" t="s">
        <v>79</v>
      </c>
      <c r="BK684" s="139">
        <f>ROUND(I684*H684,2)</f>
        <v>0</v>
      </c>
      <c r="BL684" s="17" t="s">
        <v>229</v>
      </c>
      <c r="BM684" s="138" t="s">
        <v>1526</v>
      </c>
    </row>
    <row r="685" spans="2:65" s="1" customFormat="1" ht="24.2" customHeight="1">
      <c r="B685" s="32"/>
      <c r="C685" s="127" t="s">
        <v>1527</v>
      </c>
      <c r="D685" s="127" t="s">
        <v>129</v>
      </c>
      <c r="E685" s="128" t="s">
        <v>1528</v>
      </c>
      <c r="F685" s="129" t="s">
        <v>1529</v>
      </c>
      <c r="G685" s="130" t="s">
        <v>425</v>
      </c>
      <c r="H685" s="169"/>
      <c r="I685" s="132"/>
      <c r="J685" s="133">
        <f>ROUND(I685*H685,2)</f>
        <v>0</v>
      </c>
      <c r="K685" s="129" t="s">
        <v>133</v>
      </c>
      <c r="L685" s="32"/>
      <c r="M685" s="134" t="s">
        <v>19</v>
      </c>
      <c r="N685" s="135" t="s">
        <v>42</v>
      </c>
      <c r="P685" s="136">
        <f>O685*H685</f>
        <v>0</v>
      </c>
      <c r="Q685" s="136">
        <v>0</v>
      </c>
      <c r="R685" s="136">
        <f>Q685*H685</f>
        <v>0</v>
      </c>
      <c r="S685" s="136">
        <v>0</v>
      </c>
      <c r="T685" s="137">
        <f>S685*H685</f>
        <v>0</v>
      </c>
      <c r="AR685" s="138" t="s">
        <v>229</v>
      </c>
      <c r="AT685" s="138" t="s">
        <v>129</v>
      </c>
      <c r="AU685" s="138" t="s">
        <v>81</v>
      </c>
      <c r="AY685" s="17" t="s">
        <v>127</v>
      </c>
      <c r="BE685" s="139">
        <f>IF(N685="základní",J685,0)</f>
        <v>0</v>
      </c>
      <c r="BF685" s="139">
        <f>IF(N685="snížená",J685,0)</f>
        <v>0</v>
      </c>
      <c r="BG685" s="139">
        <f>IF(N685="zákl. přenesená",J685,0)</f>
        <v>0</v>
      </c>
      <c r="BH685" s="139">
        <f>IF(N685="sníž. přenesená",J685,0)</f>
        <v>0</v>
      </c>
      <c r="BI685" s="139">
        <f>IF(N685="nulová",J685,0)</f>
        <v>0</v>
      </c>
      <c r="BJ685" s="17" t="s">
        <v>79</v>
      </c>
      <c r="BK685" s="139">
        <f>ROUND(I685*H685,2)</f>
        <v>0</v>
      </c>
      <c r="BL685" s="17" t="s">
        <v>229</v>
      </c>
      <c r="BM685" s="138" t="s">
        <v>1530</v>
      </c>
    </row>
    <row r="686" spans="2:65" s="1" customFormat="1">
      <c r="B686" s="32"/>
      <c r="D686" s="140" t="s">
        <v>136</v>
      </c>
      <c r="F686" s="141" t="s">
        <v>1531</v>
      </c>
      <c r="I686" s="142"/>
      <c r="L686" s="32"/>
      <c r="M686" s="143"/>
      <c r="T686" s="51"/>
      <c r="AT686" s="17" t="s">
        <v>136</v>
      </c>
      <c r="AU686" s="17" t="s">
        <v>81</v>
      </c>
    </row>
    <row r="687" spans="2:65" s="11" customFormat="1" ht="22.9" customHeight="1">
      <c r="B687" s="115"/>
      <c r="D687" s="116" t="s">
        <v>70</v>
      </c>
      <c r="E687" s="125" t="s">
        <v>499</v>
      </c>
      <c r="F687" s="125" t="s">
        <v>500</v>
      </c>
      <c r="I687" s="118"/>
      <c r="J687" s="126">
        <f>BK687</f>
        <v>0</v>
      </c>
      <c r="L687" s="115"/>
      <c r="M687" s="120"/>
      <c r="P687" s="121">
        <f>SUM(P688:P749)</f>
        <v>0</v>
      </c>
      <c r="R687" s="121">
        <f>SUM(R688:R749)</f>
        <v>2.9389479999999999</v>
      </c>
      <c r="T687" s="122">
        <f>SUM(T688:T749)</f>
        <v>0</v>
      </c>
      <c r="AR687" s="116" t="s">
        <v>81</v>
      </c>
      <c r="AT687" s="123" t="s">
        <v>70</v>
      </c>
      <c r="AU687" s="123" t="s">
        <v>79</v>
      </c>
      <c r="AY687" s="116" t="s">
        <v>127</v>
      </c>
      <c r="BK687" s="124">
        <f>SUM(BK688:BK749)</f>
        <v>0</v>
      </c>
    </row>
    <row r="688" spans="2:65" s="1" customFormat="1" ht="16.5" customHeight="1">
      <c r="B688" s="32"/>
      <c r="C688" s="127" t="s">
        <v>1532</v>
      </c>
      <c r="D688" s="127" t="s">
        <v>129</v>
      </c>
      <c r="E688" s="128" t="s">
        <v>1533</v>
      </c>
      <c r="F688" s="129" t="s">
        <v>1534</v>
      </c>
      <c r="G688" s="130" t="s">
        <v>132</v>
      </c>
      <c r="H688" s="131">
        <v>76</v>
      </c>
      <c r="I688" s="132"/>
      <c r="J688" s="133">
        <f>ROUND(I688*H688,2)</f>
        <v>0</v>
      </c>
      <c r="K688" s="129" t="s">
        <v>133</v>
      </c>
      <c r="L688" s="32"/>
      <c r="M688" s="134" t="s">
        <v>19</v>
      </c>
      <c r="N688" s="135" t="s">
        <v>42</v>
      </c>
      <c r="P688" s="136">
        <f>O688*H688</f>
        <v>0</v>
      </c>
      <c r="Q688" s="136">
        <v>0</v>
      </c>
      <c r="R688" s="136">
        <f>Q688*H688</f>
        <v>0</v>
      </c>
      <c r="S688" s="136">
        <v>0</v>
      </c>
      <c r="T688" s="137">
        <f>S688*H688</f>
        <v>0</v>
      </c>
      <c r="AR688" s="138" t="s">
        <v>229</v>
      </c>
      <c r="AT688" s="138" t="s">
        <v>129</v>
      </c>
      <c r="AU688" s="138" t="s">
        <v>81</v>
      </c>
      <c r="AY688" s="17" t="s">
        <v>127</v>
      </c>
      <c r="BE688" s="139">
        <f>IF(N688="základní",J688,0)</f>
        <v>0</v>
      </c>
      <c r="BF688" s="139">
        <f>IF(N688="snížená",J688,0)</f>
        <v>0</v>
      </c>
      <c r="BG688" s="139">
        <f>IF(N688="zákl. přenesená",J688,0)</f>
        <v>0</v>
      </c>
      <c r="BH688" s="139">
        <f>IF(N688="sníž. přenesená",J688,0)</f>
        <v>0</v>
      </c>
      <c r="BI688" s="139">
        <f>IF(N688="nulová",J688,0)</f>
        <v>0</v>
      </c>
      <c r="BJ688" s="17" t="s">
        <v>79</v>
      </c>
      <c r="BK688" s="139">
        <f>ROUND(I688*H688,2)</f>
        <v>0</v>
      </c>
      <c r="BL688" s="17" t="s">
        <v>229</v>
      </c>
      <c r="BM688" s="138" t="s">
        <v>1535</v>
      </c>
    </row>
    <row r="689" spans="2:65" s="1" customFormat="1">
      <c r="B689" s="32"/>
      <c r="D689" s="140" t="s">
        <v>136</v>
      </c>
      <c r="F689" s="141" t="s">
        <v>1536</v>
      </c>
      <c r="I689" s="142"/>
      <c r="L689" s="32"/>
      <c r="M689" s="143"/>
      <c r="T689" s="51"/>
      <c r="AT689" s="17" t="s">
        <v>136</v>
      </c>
      <c r="AU689" s="17" t="s">
        <v>81</v>
      </c>
    </row>
    <row r="690" spans="2:65" s="12" customFormat="1">
      <c r="B690" s="144"/>
      <c r="D690" s="145" t="s">
        <v>138</v>
      </c>
      <c r="E690" s="146" t="s">
        <v>19</v>
      </c>
      <c r="F690" s="147" t="s">
        <v>1310</v>
      </c>
      <c r="H690" s="148">
        <v>47</v>
      </c>
      <c r="I690" s="149"/>
      <c r="L690" s="144"/>
      <c r="M690" s="150"/>
      <c r="T690" s="151"/>
      <c r="AT690" s="146" t="s">
        <v>138</v>
      </c>
      <c r="AU690" s="146" t="s">
        <v>81</v>
      </c>
      <c r="AV690" s="12" t="s">
        <v>81</v>
      </c>
      <c r="AW690" s="12" t="s">
        <v>33</v>
      </c>
      <c r="AX690" s="12" t="s">
        <v>71</v>
      </c>
      <c r="AY690" s="146" t="s">
        <v>127</v>
      </c>
    </row>
    <row r="691" spans="2:65" s="12" customFormat="1">
      <c r="B691" s="144"/>
      <c r="D691" s="145" t="s">
        <v>138</v>
      </c>
      <c r="E691" s="146" t="s">
        <v>19</v>
      </c>
      <c r="F691" s="147" t="s">
        <v>1311</v>
      </c>
      <c r="H691" s="148">
        <v>29</v>
      </c>
      <c r="I691" s="149"/>
      <c r="L691" s="144"/>
      <c r="M691" s="150"/>
      <c r="T691" s="151"/>
      <c r="AT691" s="146" t="s">
        <v>138</v>
      </c>
      <c r="AU691" s="146" t="s">
        <v>81</v>
      </c>
      <c r="AV691" s="12" t="s">
        <v>81</v>
      </c>
      <c r="AW691" s="12" t="s">
        <v>33</v>
      </c>
      <c r="AX691" s="12" t="s">
        <v>71</v>
      </c>
      <c r="AY691" s="146" t="s">
        <v>127</v>
      </c>
    </row>
    <row r="692" spans="2:65" s="13" customFormat="1">
      <c r="B692" s="152"/>
      <c r="D692" s="145" t="s">
        <v>138</v>
      </c>
      <c r="E692" s="153" t="s">
        <v>19</v>
      </c>
      <c r="F692" s="154" t="s">
        <v>152</v>
      </c>
      <c r="H692" s="155">
        <v>76</v>
      </c>
      <c r="I692" s="156"/>
      <c r="L692" s="152"/>
      <c r="M692" s="157"/>
      <c r="T692" s="158"/>
      <c r="AT692" s="153" t="s">
        <v>138</v>
      </c>
      <c r="AU692" s="153" t="s">
        <v>81</v>
      </c>
      <c r="AV692" s="13" t="s">
        <v>134</v>
      </c>
      <c r="AW692" s="13" t="s">
        <v>33</v>
      </c>
      <c r="AX692" s="13" t="s">
        <v>79</v>
      </c>
      <c r="AY692" s="153" t="s">
        <v>127</v>
      </c>
    </row>
    <row r="693" spans="2:65" s="1" customFormat="1" ht="16.5" customHeight="1">
      <c r="B693" s="32"/>
      <c r="C693" s="159" t="s">
        <v>1537</v>
      </c>
      <c r="D693" s="159" t="s">
        <v>413</v>
      </c>
      <c r="E693" s="160" t="s">
        <v>1538</v>
      </c>
      <c r="F693" s="161" t="s">
        <v>1539</v>
      </c>
      <c r="G693" s="162" t="s">
        <v>132</v>
      </c>
      <c r="H693" s="163">
        <v>87.4</v>
      </c>
      <c r="I693" s="164"/>
      <c r="J693" s="165">
        <f>ROUND(I693*H693,2)</f>
        <v>0</v>
      </c>
      <c r="K693" s="161" t="s">
        <v>133</v>
      </c>
      <c r="L693" s="166"/>
      <c r="M693" s="167" t="s">
        <v>19</v>
      </c>
      <c r="N693" s="168" t="s">
        <v>42</v>
      </c>
      <c r="P693" s="136">
        <f>O693*H693</f>
        <v>0</v>
      </c>
      <c r="Q693" s="136">
        <v>5.0000000000000001E-4</v>
      </c>
      <c r="R693" s="136">
        <f>Q693*H693</f>
        <v>4.3700000000000003E-2</v>
      </c>
      <c r="S693" s="136">
        <v>0</v>
      </c>
      <c r="T693" s="137">
        <f>S693*H693</f>
        <v>0</v>
      </c>
      <c r="AR693" s="138" t="s">
        <v>333</v>
      </c>
      <c r="AT693" s="138" t="s">
        <v>413</v>
      </c>
      <c r="AU693" s="138" t="s">
        <v>81</v>
      </c>
      <c r="AY693" s="17" t="s">
        <v>127</v>
      </c>
      <c r="BE693" s="139">
        <f>IF(N693="základní",J693,0)</f>
        <v>0</v>
      </c>
      <c r="BF693" s="139">
        <f>IF(N693="snížená",J693,0)</f>
        <v>0</v>
      </c>
      <c r="BG693" s="139">
        <f>IF(N693="zákl. přenesená",J693,0)</f>
        <v>0</v>
      </c>
      <c r="BH693" s="139">
        <f>IF(N693="sníž. přenesená",J693,0)</f>
        <v>0</v>
      </c>
      <c r="BI693" s="139">
        <f>IF(N693="nulová",J693,0)</f>
        <v>0</v>
      </c>
      <c r="BJ693" s="17" t="s">
        <v>79</v>
      </c>
      <c r="BK693" s="139">
        <f>ROUND(I693*H693,2)</f>
        <v>0</v>
      </c>
      <c r="BL693" s="17" t="s">
        <v>229</v>
      </c>
      <c r="BM693" s="138" t="s">
        <v>1540</v>
      </c>
    </row>
    <row r="694" spans="2:65" s="12" customFormat="1">
      <c r="B694" s="144"/>
      <c r="D694" s="145" t="s">
        <v>138</v>
      </c>
      <c r="F694" s="147" t="s">
        <v>1541</v>
      </c>
      <c r="H694" s="148">
        <v>87.4</v>
      </c>
      <c r="I694" s="149"/>
      <c r="L694" s="144"/>
      <c r="M694" s="150"/>
      <c r="T694" s="151"/>
      <c r="AT694" s="146" t="s">
        <v>138</v>
      </c>
      <c r="AU694" s="146" t="s">
        <v>81</v>
      </c>
      <c r="AV694" s="12" t="s">
        <v>81</v>
      </c>
      <c r="AW694" s="12" t="s">
        <v>4</v>
      </c>
      <c r="AX694" s="12" t="s">
        <v>79</v>
      </c>
      <c r="AY694" s="146" t="s">
        <v>127</v>
      </c>
    </row>
    <row r="695" spans="2:65" s="1" customFormat="1" ht="24.2" customHeight="1">
      <c r="B695" s="32"/>
      <c r="C695" s="127" t="s">
        <v>1542</v>
      </c>
      <c r="D695" s="127" t="s">
        <v>129</v>
      </c>
      <c r="E695" s="128" t="s">
        <v>1543</v>
      </c>
      <c r="F695" s="129" t="s">
        <v>1544</v>
      </c>
      <c r="G695" s="130" t="s">
        <v>132</v>
      </c>
      <c r="H695" s="131">
        <v>76</v>
      </c>
      <c r="I695" s="132"/>
      <c r="J695" s="133">
        <f>ROUND(I695*H695,2)</f>
        <v>0</v>
      </c>
      <c r="K695" s="129" t="s">
        <v>133</v>
      </c>
      <c r="L695" s="32"/>
      <c r="M695" s="134" t="s">
        <v>19</v>
      </c>
      <c r="N695" s="135" t="s">
        <v>42</v>
      </c>
      <c r="P695" s="136">
        <f>O695*H695</f>
        <v>0</v>
      </c>
      <c r="Q695" s="136">
        <v>6.7000000000000002E-3</v>
      </c>
      <c r="R695" s="136">
        <f>Q695*H695</f>
        <v>0.50919999999999999</v>
      </c>
      <c r="S695" s="136">
        <v>0</v>
      </c>
      <c r="T695" s="137">
        <f>S695*H695</f>
        <v>0</v>
      </c>
      <c r="AR695" s="138" t="s">
        <v>229</v>
      </c>
      <c r="AT695" s="138" t="s">
        <v>129</v>
      </c>
      <c r="AU695" s="138" t="s">
        <v>81</v>
      </c>
      <c r="AY695" s="17" t="s">
        <v>127</v>
      </c>
      <c r="BE695" s="139">
        <f>IF(N695="základní",J695,0)</f>
        <v>0</v>
      </c>
      <c r="BF695" s="139">
        <f>IF(N695="snížená",J695,0)</f>
        <v>0</v>
      </c>
      <c r="BG695" s="139">
        <f>IF(N695="zákl. přenesená",J695,0)</f>
        <v>0</v>
      </c>
      <c r="BH695" s="139">
        <f>IF(N695="sníž. přenesená",J695,0)</f>
        <v>0</v>
      </c>
      <c r="BI695" s="139">
        <f>IF(N695="nulová",J695,0)</f>
        <v>0</v>
      </c>
      <c r="BJ695" s="17" t="s">
        <v>79</v>
      </c>
      <c r="BK695" s="139">
        <f>ROUND(I695*H695,2)</f>
        <v>0</v>
      </c>
      <c r="BL695" s="17" t="s">
        <v>229</v>
      </c>
      <c r="BM695" s="138" t="s">
        <v>1545</v>
      </c>
    </row>
    <row r="696" spans="2:65" s="1" customFormat="1">
      <c r="B696" s="32"/>
      <c r="D696" s="140" t="s">
        <v>136</v>
      </c>
      <c r="F696" s="141" t="s">
        <v>1546</v>
      </c>
      <c r="I696" s="142"/>
      <c r="L696" s="32"/>
      <c r="M696" s="143"/>
      <c r="T696" s="51"/>
      <c r="AT696" s="17" t="s">
        <v>136</v>
      </c>
      <c r="AU696" s="17" t="s">
        <v>81</v>
      </c>
    </row>
    <row r="697" spans="2:65" s="12" customFormat="1">
      <c r="B697" s="144"/>
      <c r="D697" s="145" t="s">
        <v>138</v>
      </c>
      <c r="E697" s="146" t="s">
        <v>19</v>
      </c>
      <c r="F697" s="147" t="s">
        <v>1310</v>
      </c>
      <c r="H697" s="148">
        <v>47</v>
      </c>
      <c r="I697" s="149"/>
      <c r="L697" s="144"/>
      <c r="M697" s="150"/>
      <c r="T697" s="151"/>
      <c r="AT697" s="146" t="s">
        <v>138</v>
      </c>
      <c r="AU697" s="146" t="s">
        <v>81</v>
      </c>
      <c r="AV697" s="12" t="s">
        <v>81</v>
      </c>
      <c r="AW697" s="12" t="s">
        <v>33</v>
      </c>
      <c r="AX697" s="12" t="s">
        <v>71</v>
      </c>
      <c r="AY697" s="146" t="s">
        <v>127</v>
      </c>
    </row>
    <row r="698" spans="2:65" s="12" customFormat="1">
      <c r="B698" s="144"/>
      <c r="D698" s="145" t="s">
        <v>138</v>
      </c>
      <c r="E698" s="146" t="s">
        <v>19</v>
      </c>
      <c r="F698" s="147" t="s">
        <v>1311</v>
      </c>
      <c r="H698" s="148">
        <v>29</v>
      </c>
      <c r="I698" s="149"/>
      <c r="L698" s="144"/>
      <c r="M698" s="150"/>
      <c r="T698" s="151"/>
      <c r="AT698" s="146" t="s">
        <v>138</v>
      </c>
      <c r="AU698" s="146" t="s">
        <v>81</v>
      </c>
      <c r="AV698" s="12" t="s">
        <v>81</v>
      </c>
      <c r="AW698" s="12" t="s">
        <v>33</v>
      </c>
      <c r="AX698" s="12" t="s">
        <v>71</v>
      </c>
      <c r="AY698" s="146" t="s">
        <v>127</v>
      </c>
    </row>
    <row r="699" spans="2:65" s="13" customFormat="1">
      <c r="B699" s="152"/>
      <c r="D699" s="145" t="s">
        <v>138</v>
      </c>
      <c r="E699" s="153" t="s">
        <v>19</v>
      </c>
      <c r="F699" s="154" t="s">
        <v>152</v>
      </c>
      <c r="H699" s="155">
        <v>76</v>
      </c>
      <c r="I699" s="156"/>
      <c r="L699" s="152"/>
      <c r="M699" s="157"/>
      <c r="T699" s="158"/>
      <c r="AT699" s="153" t="s">
        <v>138</v>
      </c>
      <c r="AU699" s="153" t="s">
        <v>81</v>
      </c>
      <c r="AV699" s="13" t="s">
        <v>134</v>
      </c>
      <c r="AW699" s="13" t="s">
        <v>33</v>
      </c>
      <c r="AX699" s="13" t="s">
        <v>79</v>
      </c>
      <c r="AY699" s="153" t="s">
        <v>127</v>
      </c>
    </row>
    <row r="700" spans="2:65" s="1" customFormat="1" ht="24.2" customHeight="1">
      <c r="B700" s="32"/>
      <c r="C700" s="127" t="s">
        <v>1547</v>
      </c>
      <c r="D700" s="127" t="s">
        <v>129</v>
      </c>
      <c r="E700" s="128" t="s">
        <v>1548</v>
      </c>
      <c r="F700" s="129" t="s">
        <v>1549</v>
      </c>
      <c r="G700" s="130" t="s">
        <v>132</v>
      </c>
      <c r="H700" s="131">
        <v>76</v>
      </c>
      <c r="I700" s="132"/>
      <c r="J700" s="133">
        <f>ROUND(I700*H700,2)</f>
        <v>0</v>
      </c>
      <c r="K700" s="129" t="s">
        <v>133</v>
      </c>
      <c r="L700" s="32"/>
      <c r="M700" s="134" t="s">
        <v>19</v>
      </c>
      <c r="N700" s="135" t="s">
        <v>42</v>
      </c>
      <c r="P700" s="136">
        <f>O700*H700</f>
        <v>0</v>
      </c>
      <c r="Q700" s="136">
        <v>3.4000000000000002E-4</v>
      </c>
      <c r="R700" s="136">
        <f>Q700*H700</f>
        <v>2.5840000000000002E-2</v>
      </c>
      <c r="S700" s="136">
        <v>0</v>
      </c>
      <c r="T700" s="137">
        <f>S700*H700</f>
        <v>0</v>
      </c>
      <c r="AR700" s="138" t="s">
        <v>229</v>
      </c>
      <c r="AT700" s="138" t="s">
        <v>129</v>
      </c>
      <c r="AU700" s="138" t="s">
        <v>81</v>
      </c>
      <c r="AY700" s="17" t="s">
        <v>127</v>
      </c>
      <c r="BE700" s="139">
        <f>IF(N700="základní",J700,0)</f>
        <v>0</v>
      </c>
      <c r="BF700" s="139">
        <f>IF(N700="snížená",J700,0)</f>
        <v>0</v>
      </c>
      <c r="BG700" s="139">
        <f>IF(N700="zákl. přenesená",J700,0)</f>
        <v>0</v>
      </c>
      <c r="BH700" s="139">
        <f>IF(N700="sníž. přenesená",J700,0)</f>
        <v>0</v>
      </c>
      <c r="BI700" s="139">
        <f>IF(N700="nulová",J700,0)</f>
        <v>0</v>
      </c>
      <c r="BJ700" s="17" t="s">
        <v>79</v>
      </c>
      <c r="BK700" s="139">
        <f>ROUND(I700*H700,2)</f>
        <v>0</v>
      </c>
      <c r="BL700" s="17" t="s">
        <v>229</v>
      </c>
      <c r="BM700" s="138" t="s">
        <v>1550</v>
      </c>
    </row>
    <row r="701" spans="2:65" s="1" customFormat="1">
      <c r="B701" s="32"/>
      <c r="D701" s="140" t="s">
        <v>136</v>
      </c>
      <c r="F701" s="141" t="s">
        <v>1551</v>
      </c>
      <c r="I701" s="142"/>
      <c r="L701" s="32"/>
      <c r="M701" s="143"/>
      <c r="T701" s="51"/>
      <c r="AT701" s="17" t="s">
        <v>136</v>
      </c>
      <c r="AU701" s="17" t="s">
        <v>81</v>
      </c>
    </row>
    <row r="702" spans="2:65" s="12" customFormat="1">
      <c r="B702" s="144"/>
      <c r="D702" s="145" t="s">
        <v>138</v>
      </c>
      <c r="E702" s="146" t="s">
        <v>19</v>
      </c>
      <c r="F702" s="147" t="s">
        <v>1310</v>
      </c>
      <c r="H702" s="148">
        <v>47</v>
      </c>
      <c r="I702" s="149"/>
      <c r="L702" s="144"/>
      <c r="M702" s="150"/>
      <c r="T702" s="151"/>
      <c r="AT702" s="146" t="s">
        <v>138</v>
      </c>
      <c r="AU702" s="146" t="s">
        <v>81</v>
      </c>
      <c r="AV702" s="12" t="s">
        <v>81</v>
      </c>
      <c r="AW702" s="12" t="s">
        <v>33</v>
      </c>
      <c r="AX702" s="12" t="s">
        <v>71</v>
      </c>
      <c r="AY702" s="146" t="s">
        <v>127</v>
      </c>
    </row>
    <row r="703" spans="2:65" s="12" customFormat="1">
      <c r="B703" s="144"/>
      <c r="D703" s="145" t="s">
        <v>138</v>
      </c>
      <c r="E703" s="146" t="s">
        <v>19</v>
      </c>
      <c r="F703" s="147" t="s">
        <v>1311</v>
      </c>
      <c r="H703" s="148">
        <v>29</v>
      </c>
      <c r="I703" s="149"/>
      <c r="L703" s="144"/>
      <c r="M703" s="150"/>
      <c r="T703" s="151"/>
      <c r="AT703" s="146" t="s">
        <v>138</v>
      </c>
      <c r="AU703" s="146" t="s">
        <v>81</v>
      </c>
      <c r="AV703" s="12" t="s">
        <v>81</v>
      </c>
      <c r="AW703" s="12" t="s">
        <v>33</v>
      </c>
      <c r="AX703" s="12" t="s">
        <v>71</v>
      </c>
      <c r="AY703" s="146" t="s">
        <v>127</v>
      </c>
    </row>
    <row r="704" spans="2:65" s="13" customFormat="1">
      <c r="B704" s="152"/>
      <c r="D704" s="145" t="s">
        <v>138</v>
      </c>
      <c r="E704" s="153" t="s">
        <v>19</v>
      </c>
      <c r="F704" s="154" t="s">
        <v>152</v>
      </c>
      <c r="H704" s="155">
        <v>76</v>
      </c>
      <c r="I704" s="156"/>
      <c r="L704" s="152"/>
      <c r="M704" s="157"/>
      <c r="T704" s="158"/>
      <c r="AT704" s="153" t="s">
        <v>138</v>
      </c>
      <c r="AU704" s="153" t="s">
        <v>81</v>
      </c>
      <c r="AV704" s="13" t="s">
        <v>134</v>
      </c>
      <c r="AW704" s="13" t="s">
        <v>33</v>
      </c>
      <c r="AX704" s="13" t="s">
        <v>79</v>
      </c>
      <c r="AY704" s="153" t="s">
        <v>127</v>
      </c>
    </row>
    <row r="705" spans="2:65" s="1" customFormat="1" ht="16.5" customHeight="1">
      <c r="B705" s="32"/>
      <c r="C705" s="127" t="s">
        <v>1552</v>
      </c>
      <c r="D705" s="127" t="s">
        <v>129</v>
      </c>
      <c r="E705" s="128" t="s">
        <v>1553</v>
      </c>
      <c r="F705" s="129" t="s">
        <v>1554</v>
      </c>
      <c r="G705" s="130" t="s">
        <v>257</v>
      </c>
      <c r="H705" s="131">
        <v>30.7</v>
      </c>
      <c r="I705" s="132"/>
      <c r="J705" s="133">
        <f>ROUND(I705*H705,2)</f>
        <v>0</v>
      </c>
      <c r="K705" s="129" t="s">
        <v>133</v>
      </c>
      <c r="L705" s="32"/>
      <c r="M705" s="134" t="s">
        <v>19</v>
      </c>
      <c r="N705" s="135" t="s">
        <v>42</v>
      </c>
      <c r="P705" s="136">
        <f>O705*H705</f>
        <v>0</v>
      </c>
      <c r="Q705" s="136">
        <v>2.82E-3</v>
      </c>
      <c r="R705" s="136">
        <f>Q705*H705</f>
        <v>8.6573999999999998E-2</v>
      </c>
      <c r="S705" s="136">
        <v>0</v>
      </c>
      <c r="T705" s="137">
        <f>S705*H705</f>
        <v>0</v>
      </c>
      <c r="AR705" s="138" t="s">
        <v>229</v>
      </c>
      <c r="AT705" s="138" t="s">
        <v>129</v>
      </c>
      <c r="AU705" s="138" t="s">
        <v>81</v>
      </c>
      <c r="AY705" s="17" t="s">
        <v>127</v>
      </c>
      <c r="BE705" s="139">
        <f>IF(N705="základní",J705,0)</f>
        <v>0</v>
      </c>
      <c r="BF705" s="139">
        <f>IF(N705="snížená",J705,0)</f>
        <v>0</v>
      </c>
      <c r="BG705" s="139">
        <f>IF(N705="zákl. přenesená",J705,0)</f>
        <v>0</v>
      </c>
      <c r="BH705" s="139">
        <f>IF(N705="sníž. přenesená",J705,0)</f>
        <v>0</v>
      </c>
      <c r="BI705" s="139">
        <f>IF(N705="nulová",J705,0)</f>
        <v>0</v>
      </c>
      <c r="BJ705" s="17" t="s">
        <v>79</v>
      </c>
      <c r="BK705" s="139">
        <f>ROUND(I705*H705,2)</f>
        <v>0</v>
      </c>
      <c r="BL705" s="17" t="s">
        <v>229</v>
      </c>
      <c r="BM705" s="138" t="s">
        <v>1555</v>
      </c>
    </row>
    <row r="706" spans="2:65" s="1" customFormat="1">
      <c r="B706" s="32"/>
      <c r="D706" s="140" t="s">
        <v>136</v>
      </c>
      <c r="F706" s="141" t="s">
        <v>1556</v>
      </c>
      <c r="I706" s="142"/>
      <c r="L706" s="32"/>
      <c r="M706" s="143"/>
      <c r="T706" s="51"/>
      <c r="AT706" s="17" t="s">
        <v>136</v>
      </c>
      <c r="AU706" s="17" t="s">
        <v>81</v>
      </c>
    </row>
    <row r="707" spans="2:65" s="12" customFormat="1">
      <c r="B707" s="144"/>
      <c r="D707" s="145" t="s">
        <v>138</v>
      </c>
      <c r="E707" s="146" t="s">
        <v>19</v>
      </c>
      <c r="F707" s="147" t="s">
        <v>1557</v>
      </c>
      <c r="H707" s="148">
        <v>30.7</v>
      </c>
      <c r="I707" s="149"/>
      <c r="L707" s="144"/>
      <c r="M707" s="150"/>
      <c r="T707" s="151"/>
      <c r="AT707" s="146" t="s">
        <v>138</v>
      </c>
      <c r="AU707" s="146" t="s">
        <v>81</v>
      </c>
      <c r="AV707" s="12" t="s">
        <v>81</v>
      </c>
      <c r="AW707" s="12" t="s">
        <v>33</v>
      </c>
      <c r="AX707" s="12" t="s">
        <v>79</v>
      </c>
      <c r="AY707" s="146" t="s">
        <v>127</v>
      </c>
    </row>
    <row r="708" spans="2:65" s="1" customFormat="1" ht="16.5" customHeight="1">
      <c r="B708" s="32"/>
      <c r="C708" s="127" t="s">
        <v>1558</v>
      </c>
      <c r="D708" s="127" t="s">
        <v>129</v>
      </c>
      <c r="E708" s="128" t="s">
        <v>1559</v>
      </c>
      <c r="F708" s="129" t="s">
        <v>1560</v>
      </c>
      <c r="G708" s="130" t="s">
        <v>257</v>
      </c>
      <c r="H708" s="131">
        <v>14.2</v>
      </c>
      <c r="I708" s="132"/>
      <c r="J708" s="133">
        <f>ROUND(I708*H708,2)</f>
        <v>0</v>
      </c>
      <c r="K708" s="129" t="s">
        <v>19</v>
      </c>
      <c r="L708" s="32"/>
      <c r="M708" s="134" t="s">
        <v>19</v>
      </c>
      <c r="N708" s="135" t="s">
        <v>42</v>
      </c>
      <c r="P708" s="136">
        <f>O708*H708</f>
        <v>0</v>
      </c>
      <c r="Q708" s="136">
        <v>2.82E-3</v>
      </c>
      <c r="R708" s="136">
        <f>Q708*H708</f>
        <v>4.0043999999999996E-2</v>
      </c>
      <c r="S708" s="136">
        <v>0</v>
      </c>
      <c r="T708" s="137">
        <f>S708*H708</f>
        <v>0</v>
      </c>
      <c r="AR708" s="138" t="s">
        <v>229</v>
      </c>
      <c r="AT708" s="138" t="s">
        <v>129</v>
      </c>
      <c r="AU708" s="138" t="s">
        <v>81</v>
      </c>
      <c r="AY708" s="17" t="s">
        <v>127</v>
      </c>
      <c r="BE708" s="139">
        <f>IF(N708="základní",J708,0)</f>
        <v>0</v>
      </c>
      <c r="BF708" s="139">
        <f>IF(N708="snížená",J708,0)</f>
        <v>0</v>
      </c>
      <c r="BG708" s="139">
        <f>IF(N708="zákl. přenesená",J708,0)</f>
        <v>0</v>
      </c>
      <c r="BH708" s="139">
        <f>IF(N708="sníž. přenesená",J708,0)</f>
        <v>0</v>
      </c>
      <c r="BI708" s="139">
        <f>IF(N708="nulová",J708,0)</f>
        <v>0</v>
      </c>
      <c r="BJ708" s="17" t="s">
        <v>79</v>
      </c>
      <c r="BK708" s="139">
        <f>ROUND(I708*H708,2)</f>
        <v>0</v>
      </c>
      <c r="BL708" s="17" t="s">
        <v>229</v>
      </c>
      <c r="BM708" s="138" t="s">
        <v>1561</v>
      </c>
    </row>
    <row r="709" spans="2:65" s="12" customFormat="1">
      <c r="B709" s="144"/>
      <c r="D709" s="145" t="s">
        <v>138</v>
      </c>
      <c r="E709" s="146" t="s">
        <v>19</v>
      </c>
      <c r="F709" s="147" t="s">
        <v>1562</v>
      </c>
      <c r="H709" s="148">
        <v>14.2</v>
      </c>
      <c r="I709" s="149"/>
      <c r="L709" s="144"/>
      <c r="M709" s="150"/>
      <c r="T709" s="151"/>
      <c r="AT709" s="146" t="s">
        <v>138</v>
      </c>
      <c r="AU709" s="146" t="s">
        <v>81</v>
      </c>
      <c r="AV709" s="12" t="s">
        <v>81</v>
      </c>
      <c r="AW709" s="12" t="s">
        <v>33</v>
      </c>
      <c r="AX709" s="12" t="s">
        <v>79</v>
      </c>
      <c r="AY709" s="146" t="s">
        <v>127</v>
      </c>
    </row>
    <row r="710" spans="2:65" s="1" customFormat="1" ht="16.5" customHeight="1">
      <c r="B710" s="32"/>
      <c r="C710" s="127" t="s">
        <v>1563</v>
      </c>
      <c r="D710" s="127" t="s">
        <v>129</v>
      </c>
      <c r="E710" s="128" t="s">
        <v>1564</v>
      </c>
      <c r="F710" s="129" t="s">
        <v>1565</v>
      </c>
      <c r="G710" s="130" t="s">
        <v>257</v>
      </c>
      <c r="H710" s="131">
        <v>22.4</v>
      </c>
      <c r="I710" s="132"/>
      <c r="J710" s="133">
        <f>ROUND(I710*H710,2)</f>
        <v>0</v>
      </c>
      <c r="K710" s="129" t="s">
        <v>133</v>
      </c>
      <c r="L710" s="32"/>
      <c r="M710" s="134" t="s">
        <v>19</v>
      </c>
      <c r="N710" s="135" t="s">
        <v>42</v>
      </c>
      <c r="P710" s="136">
        <f>O710*H710</f>
        <v>0</v>
      </c>
      <c r="Q710" s="136">
        <v>1.4300000000000001E-3</v>
      </c>
      <c r="R710" s="136">
        <f>Q710*H710</f>
        <v>3.2031999999999998E-2</v>
      </c>
      <c r="S710" s="136">
        <v>0</v>
      </c>
      <c r="T710" s="137">
        <f>S710*H710</f>
        <v>0</v>
      </c>
      <c r="AR710" s="138" t="s">
        <v>229</v>
      </c>
      <c r="AT710" s="138" t="s">
        <v>129</v>
      </c>
      <c r="AU710" s="138" t="s">
        <v>81</v>
      </c>
      <c r="AY710" s="17" t="s">
        <v>127</v>
      </c>
      <c r="BE710" s="139">
        <f>IF(N710="základní",J710,0)</f>
        <v>0</v>
      </c>
      <c r="BF710" s="139">
        <f>IF(N710="snížená",J710,0)</f>
        <v>0</v>
      </c>
      <c r="BG710" s="139">
        <f>IF(N710="zákl. přenesená",J710,0)</f>
        <v>0</v>
      </c>
      <c r="BH710" s="139">
        <f>IF(N710="sníž. přenesená",J710,0)</f>
        <v>0</v>
      </c>
      <c r="BI710" s="139">
        <f>IF(N710="nulová",J710,0)</f>
        <v>0</v>
      </c>
      <c r="BJ710" s="17" t="s">
        <v>79</v>
      </c>
      <c r="BK710" s="139">
        <f>ROUND(I710*H710,2)</f>
        <v>0</v>
      </c>
      <c r="BL710" s="17" t="s">
        <v>229</v>
      </c>
      <c r="BM710" s="138" t="s">
        <v>1566</v>
      </c>
    </row>
    <row r="711" spans="2:65" s="1" customFormat="1">
      <c r="B711" s="32"/>
      <c r="D711" s="140" t="s">
        <v>136</v>
      </c>
      <c r="F711" s="141" t="s">
        <v>1567</v>
      </c>
      <c r="I711" s="142"/>
      <c r="L711" s="32"/>
      <c r="M711" s="143"/>
      <c r="T711" s="51"/>
      <c r="AT711" s="17" t="s">
        <v>136</v>
      </c>
      <c r="AU711" s="17" t="s">
        <v>81</v>
      </c>
    </row>
    <row r="712" spans="2:65" s="12" customFormat="1">
      <c r="B712" s="144"/>
      <c r="D712" s="145" t="s">
        <v>138</v>
      </c>
      <c r="E712" s="146" t="s">
        <v>19</v>
      </c>
      <c r="F712" s="147" t="s">
        <v>1568</v>
      </c>
      <c r="H712" s="148">
        <v>22.4</v>
      </c>
      <c r="I712" s="149"/>
      <c r="L712" s="144"/>
      <c r="M712" s="150"/>
      <c r="T712" s="151"/>
      <c r="AT712" s="146" t="s">
        <v>138</v>
      </c>
      <c r="AU712" s="146" t="s">
        <v>81</v>
      </c>
      <c r="AV712" s="12" t="s">
        <v>81</v>
      </c>
      <c r="AW712" s="12" t="s">
        <v>33</v>
      </c>
      <c r="AX712" s="12" t="s">
        <v>79</v>
      </c>
      <c r="AY712" s="146" t="s">
        <v>127</v>
      </c>
    </row>
    <row r="713" spans="2:65" s="1" customFormat="1" ht="21.75" customHeight="1">
      <c r="B713" s="32"/>
      <c r="C713" s="127" t="s">
        <v>1569</v>
      </c>
      <c r="D713" s="127" t="s">
        <v>129</v>
      </c>
      <c r="E713" s="128" t="s">
        <v>1570</v>
      </c>
      <c r="F713" s="129" t="s">
        <v>1571</v>
      </c>
      <c r="G713" s="130" t="s">
        <v>257</v>
      </c>
      <c r="H713" s="131">
        <v>122</v>
      </c>
      <c r="I713" s="132"/>
      <c r="J713" s="133">
        <f>ROUND(I713*H713,2)</f>
        <v>0</v>
      </c>
      <c r="K713" s="129" t="s">
        <v>133</v>
      </c>
      <c r="L713" s="32"/>
      <c r="M713" s="134" t="s">
        <v>19</v>
      </c>
      <c r="N713" s="135" t="s">
        <v>42</v>
      </c>
      <c r="P713" s="136">
        <f>O713*H713</f>
        <v>0</v>
      </c>
      <c r="Q713" s="136">
        <v>3.8700000000000002E-3</v>
      </c>
      <c r="R713" s="136">
        <f>Q713*H713</f>
        <v>0.47214</v>
      </c>
      <c r="S713" s="136">
        <v>0</v>
      </c>
      <c r="T713" s="137">
        <f>S713*H713</f>
        <v>0</v>
      </c>
      <c r="AR713" s="138" t="s">
        <v>229</v>
      </c>
      <c r="AT713" s="138" t="s">
        <v>129</v>
      </c>
      <c r="AU713" s="138" t="s">
        <v>81</v>
      </c>
      <c r="AY713" s="17" t="s">
        <v>127</v>
      </c>
      <c r="BE713" s="139">
        <f>IF(N713="základní",J713,0)</f>
        <v>0</v>
      </c>
      <c r="BF713" s="139">
        <f>IF(N713="snížená",J713,0)</f>
        <v>0</v>
      </c>
      <c r="BG713" s="139">
        <f>IF(N713="zákl. přenesená",J713,0)</f>
        <v>0</v>
      </c>
      <c r="BH713" s="139">
        <f>IF(N713="sníž. přenesená",J713,0)</f>
        <v>0</v>
      </c>
      <c r="BI713" s="139">
        <f>IF(N713="nulová",J713,0)</f>
        <v>0</v>
      </c>
      <c r="BJ713" s="17" t="s">
        <v>79</v>
      </c>
      <c r="BK713" s="139">
        <f>ROUND(I713*H713,2)</f>
        <v>0</v>
      </c>
      <c r="BL713" s="17" t="s">
        <v>229</v>
      </c>
      <c r="BM713" s="138" t="s">
        <v>1572</v>
      </c>
    </row>
    <row r="714" spans="2:65" s="1" customFormat="1">
      <c r="B714" s="32"/>
      <c r="D714" s="140" t="s">
        <v>136</v>
      </c>
      <c r="F714" s="141" t="s">
        <v>1573</v>
      </c>
      <c r="I714" s="142"/>
      <c r="L714" s="32"/>
      <c r="M714" s="143"/>
      <c r="T714" s="51"/>
      <c r="AT714" s="17" t="s">
        <v>136</v>
      </c>
      <c r="AU714" s="17" t="s">
        <v>81</v>
      </c>
    </row>
    <row r="715" spans="2:65" s="12" customFormat="1">
      <c r="B715" s="144"/>
      <c r="D715" s="145" t="s">
        <v>138</v>
      </c>
      <c r="E715" s="146" t="s">
        <v>19</v>
      </c>
      <c r="F715" s="147" t="s">
        <v>1574</v>
      </c>
      <c r="H715" s="148">
        <v>122</v>
      </c>
      <c r="I715" s="149"/>
      <c r="L715" s="144"/>
      <c r="M715" s="150"/>
      <c r="T715" s="151"/>
      <c r="AT715" s="146" t="s">
        <v>138</v>
      </c>
      <c r="AU715" s="146" t="s">
        <v>81</v>
      </c>
      <c r="AV715" s="12" t="s">
        <v>81</v>
      </c>
      <c r="AW715" s="12" t="s">
        <v>33</v>
      </c>
      <c r="AX715" s="12" t="s">
        <v>79</v>
      </c>
      <c r="AY715" s="146" t="s">
        <v>127</v>
      </c>
    </row>
    <row r="716" spans="2:65" s="1" customFormat="1" ht="21.75" customHeight="1">
      <c r="B716" s="32"/>
      <c r="C716" s="127" t="s">
        <v>1575</v>
      </c>
      <c r="D716" s="127" t="s">
        <v>129</v>
      </c>
      <c r="E716" s="128" t="s">
        <v>1576</v>
      </c>
      <c r="F716" s="129" t="s">
        <v>1577</v>
      </c>
      <c r="G716" s="130" t="s">
        <v>257</v>
      </c>
      <c r="H716" s="131">
        <v>14.2</v>
      </c>
      <c r="I716" s="132"/>
      <c r="J716" s="133">
        <f>ROUND(I716*H716,2)</f>
        <v>0</v>
      </c>
      <c r="K716" s="129" t="s">
        <v>133</v>
      </c>
      <c r="L716" s="32"/>
      <c r="M716" s="134" t="s">
        <v>19</v>
      </c>
      <c r="N716" s="135" t="s">
        <v>42</v>
      </c>
      <c r="P716" s="136">
        <f>O716*H716</f>
        <v>0</v>
      </c>
      <c r="Q716" s="136">
        <v>4.0699999999999998E-3</v>
      </c>
      <c r="R716" s="136">
        <f>Q716*H716</f>
        <v>5.7793999999999998E-2</v>
      </c>
      <c r="S716" s="136">
        <v>0</v>
      </c>
      <c r="T716" s="137">
        <f>S716*H716</f>
        <v>0</v>
      </c>
      <c r="AR716" s="138" t="s">
        <v>229</v>
      </c>
      <c r="AT716" s="138" t="s">
        <v>129</v>
      </c>
      <c r="AU716" s="138" t="s">
        <v>81</v>
      </c>
      <c r="AY716" s="17" t="s">
        <v>127</v>
      </c>
      <c r="BE716" s="139">
        <f>IF(N716="základní",J716,0)</f>
        <v>0</v>
      </c>
      <c r="BF716" s="139">
        <f>IF(N716="snížená",J716,0)</f>
        <v>0</v>
      </c>
      <c r="BG716" s="139">
        <f>IF(N716="zákl. přenesená",J716,0)</f>
        <v>0</v>
      </c>
      <c r="BH716" s="139">
        <f>IF(N716="sníž. přenesená",J716,0)</f>
        <v>0</v>
      </c>
      <c r="BI716" s="139">
        <f>IF(N716="nulová",J716,0)</f>
        <v>0</v>
      </c>
      <c r="BJ716" s="17" t="s">
        <v>79</v>
      </c>
      <c r="BK716" s="139">
        <f>ROUND(I716*H716,2)</f>
        <v>0</v>
      </c>
      <c r="BL716" s="17" t="s">
        <v>229</v>
      </c>
      <c r="BM716" s="138" t="s">
        <v>1578</v>
      </c>
    </row>
    <row r="717" spans="2:65" s="1" customFormat="1">
      <c r="B717" s="32"/>
      <c r="D717" s="140" t="s">
        <v>136</v>
      </c>
      <c r="F717" s="141" t="s">
        <v>1579</v>
      </c>
      <c r="I717" s="142"/>
      <c r="L717" s="32"/>
      <c r="M717" s="143"/>
      <c r="T717" s="51"/>
      <c r="AT717" s="17" t="s">
        <v>136</v>
      </c>
      <c r="AU717" s="17" t="s">
        <v>81</v>
      </c>
    </row>
    <row r="718" spans="2:65" s="12" customFormat="1">
      <c r="B718" s="144"/>
      <c r="D718" s="145" t="s">
        <v>138</v>
      </c>
      <c r="E718" s="146" t="s">
        <v>19</v>
      </c>
      <c r="F718" s="147" t="s">
        <v>1580</v>
      </c>
      <c r="H718" s="148">
        <v>14.2</v>
      </c>
      <c r="I718" s="149"/>
      <c r="L718" s="144"/>
      <c r="M718" s="150"/>
      <c r="T718" s="151"/>
      <c r="AT718" s="146" t="s">
        <v>138</v>
      </c>
      <c r="AU718" s="146" t="s">
        <v>81</v>
      </c>
      <c r="AV718" s="12" t="s">
        <v>81</v>
      </c>
      <c r="AW718" s="12" t="s">
        <v>33</v>
      </c>
      <c r="AX718" s="12" t="s">
        <v>79</v>
      </c>
      <c r="AY718" s="146" t="s">
        <v>127</v>
      </c>
    </row>
    <row r="719" spans="2:65" s="1" customFormat="1" ht="21.75" customHeight="1">
      <c r="B719" s="32"/>
      <c r="C719" s="127" t="s">
        <v>1581</v>
      </c>
      <c r="D719" s="127" t="s">
        <v>129</v>
      </c>
      <c r="E719" s="128" t="s">
        <v>1582</v>
      </c>
      <c r="F719" s="129" t="s">
        <v>1583</v>
      </c>
      <c r="G719" s="130" t="s">
        <v>257</v>
      </c>
      <c r="H719" s="131">
        <v>121.95</v>
      </c>
      <c r="I719" s="132"/>
      <c r="J719" s="133">
        <f>ROUND(I719*H719,2)</f>
        <v>0</v>
      </c>
      <c r="K719" s="129" t="s">
        <v>19</v>
      </c>
      <c r="L719" s="32"/>
      <c r="M719" s="134" t="s">
        <v>19</v>
      </c>
      <c r="N719" s="135" t="s">
        <v>42</v>
      </c>
      <c r="P719" s="136">
        <f>O719*H719</f>
        <v>0</v>
      </c>
      <c r="Q719" s="136">
        <v>2.4099999999999998E-3</v>
      </c>
      <c r="R719" s="136">
        <f>Q719*H719</f>
        <v>0.29389949999999998</v>
      </c>
      <c r="S719" s="136">
        <v>0</v>
      </c>
      <c r="T719" s="137">
        <f>S719*H719</f>
        <v>0</v>
      </c>
      <c r="AR719" s="138" t="s">
        <v>229</v>
      </c>
      <c r="AT719" s="138" t="s">
        <v>129</v>
      </c>
      <c r="AU719" s="138" t="s">
        <v>81</v>
      </c>
      <c r="AY719" s="17" t="s">
        <v>127</v>
      </c>
      <c r="BE719" s="139">
        <f>IF(N719="základní",J719,0)</f>
        <v>0</v>
      </c>
      <c r="BF719" s="139">
        <f>IF(N719="snížená",J719,0)</f>
        <v>0</v>
      </c>
      <c r="BG719" s="139">
        <f>IF(N719="zákl. přenesená",J719,0)</f>
        <v>0</v>
      </c>
      <c r="BH719" s="139">
        <f>IF(N719="sníž. přenesená",J719,0)</f>
        <v>0</v>
      </c>
      <c r="BI719" s="139">
        <f>IF(N719="nulová",J719,0)</f>
        <v>0</v>
      </c>
      <c r="BJ719" s="17" t="s">
        <v>79</v>
      </c>
      <c r="BK719" s="139">
        <f>ROUND(I719*H719,2)</f>
        <v>0</v>
      </c>
      <c r="BL719" s="17" t="s">
        <v>229</v>
      </c>
      <c r="BM719" s="138" t="s">
        <v>1584</v>
      </c>
    </row>
    <row r="720" spans="2:65" s="12" customFormat="1">
      <c r="B720" s="144"/>
      <c r="D720" s="145" t="s">
        <v>138</v>
      </c>
      <c r="E720" s="146" t="s">
        <v>19</v>
      </c>
      <c r="F720" s="147" t="s">
        <v>1585</v>
      </c>
      <c r="H720" s="148">
        <v>121.95</v>
      </c>
      <c r="I720" s="149"/>
      <c r="L720" s="144"/>
      <c r="M720" s="150"/>
      <c r="T720" s="151"/>
      <c r="AT720" s="146" t="s">
        <v>138</v>
      </c>
      <c r="AU720" s="146" t="s">
        <v>81</v>
      </c>
      <c r="AV720" s="12" t="s">
        <v>81</v>
      </c>
      <c r="AW720" s="12" t="s">
        <v>33</v>
      </c>
      <c r="AX720" s="12" t="s">
        <v>79</v>
      </c>
      <c r="AY720" s="146" t="s">
        <v>127</v>
      </c>
    </row>
    <row r="721" spans="2:65" s="1" customFormat="1" ht="21.75" customHeight="1">
      <c r="B721" s="32"/>
      <c r="C721" s="127" t="s">
        <v>1586</v>
      </c>
      <c r="D721" s="127" t="s">
        <v>129</v>
      </c>
      <c r="E721" s="128" t="s">
        <v>1587</v>
      </c>
      <c r="F721" s="129" t="s">
        <v>1588</v>
      </c>
      <c r="G721" s="130" t="s">
        <v>132</v>
      </c>
      <c r="H721" s="131">
        <v>1.5</v>
      </c>
      <c r="I721" s="132"/>
      <c r="J721" s="133">
        <f>ROUND(I721*H721,2)</f>
        <v>0</v>
      </c>
      <c r="K721" s="129" t="s">
        <v>133</v>
      </c>
      <c r="L721" s="32"/>
      <c r="M721" s="134" t="s">
        <v>19</v>
      </c>
      <c r="N721" s="135" t="s">
        <v>42</v>
      </c>
      <c r="P721" s="136">
        <f>O721*H721</f>
        <v>0</v>
      </c>
      <c r="Q721" s="136">
        <v>7.3499999999999998E-3</v>
      </c>
      <c r="R721" s="136">
        <f>Q721*H721</f>
        <v>1.1025E-2</v>
      </c>
      <c r="S721" s="136">
        <v>0</v>
      </c>
      <c r="T721" s="137">
        <f>S721*H721</f>
        <v>0</v>
      </c>
      <c r="AR721" s="138" t="s">
        <v>229</v>
      </c>
      <c r="AT721" s="138" t="s">
        <v>129</v>
      </c>
      <c r="AU721" s="138" t="s">
        <v>81</v>
      </c>
      <c r="AY721" s="17" t="s">
        <v>127</v>
      </c>
      <c r="BE721" s="139">
        <f>IF(N721="základní",J721,0)</f>
        <v>0</v>
      </c>
      <c r="BF721" s="139">
        <f>IF(N721="snížená",J721,0)</f>
        <v>0</v>
      </c>
      <c r="BG721" s="139">
        <f>IF(N721="zákl. přenesená",J721,0)</f>
        <v>0</v>
      </c>
      <c r="BH721" s="139">
        <f>IF(N721="sníž. přenesená",J721,0)</f>
        <v>0</v>
      </c>
      <c r="BI721" s="139">
        <f>IF(N721="nulová",J721,0)</f>
        <v>0</v>
      </c>
      <c r="BJ721" s="17" t="s">
        <v>79</v>
      </c>
      <c r="BK721" s="139">
        <f>ROUND(I721*H721,2)</f>
        <v>0</v>
      </c>
      <c r="BL721" s="17" t="s">
        <v>229</v>
      </c>
      <c r="BM721" s="138" t="s">
        <v>1589</v>
      </c>
    </row>
    <row r="722" spans="2:65" s="1" customFormat="1">
      <c r="B722" s="32"/>
      <c r="D722" s="140" t="s">
        <v>136</v>
      </c>
      <c r="F722" s="141" t="s">
        <v>1590</v>
      </c>
      <c r="I722" s="142"/>
      <c r="L722" s="32"/>
      <c r="M722" s="143"/>
      <c r="T722" s="51"/>
      <c r="AT722" s="17" t="s">
        <v>136</v>
      </c>
      <c r="AU722" s="17" t="s">
        <v>81</v>
      </c>
    </row>
    <row r="723" spans="2:65" s="12" customFormat="1">
      <c r="B723" s="144"/>
      <c r="D723" s="145" t="s">
        <v>138</v>
      </c>
      <c r="E723" s="146" t="s">
        <v>19</v>
      </c>
      <c r="F723" s="147" t="s">
        <v>1591</v>
      </c>
      <c r="H723" s="148">
        <v>1.5</v>
      </c>
      <c r="I723" s="149"/>
      <c r="L723" s="144"/>
      <c r="M723" s="150"/>
      <c r="T723" s="151"/>
      <c r="AT723" s="146" t="s">
        <v>138</v>
      </c>
      <c r="AU723" s="146" t="s">
        <v>81</v>
      </c>
      <c r="AV723" s="12" t="s">
        <v>81</v>
      </c>
      <c r="AW723" s="12" t="s">
        <v>33</v>
      </c>
      <c r="AX723" s="12" t="s">
        <v>79</v>
      </c>
      <c r="AY723" s="146" t="s">
        <v>127</v>
      </c>
    </row>
    <row r="724" spans="2:65" s="1" customFormat="1" ht="24.2" customHeight="1">
      <c r="B724" s="32"/>
      <c r="C724" s="127" t="s">
        <v>1592</v>
      </c>
      <c r="D724" s="127" t="s">
        <v>129</v>
      </c>
      <c r="E724" s="128" t="s">
        <v>1593</v>
      </c>
      <c r="F724" s="129" t="s">
        <v>1594</v>
      </c>
      <c r="G724" s="130" t="s">
        <v>257</v>
      </c>
      <c r="H724" s="131">
        <v>5.45</v>
      </c>
      <c r="I724" s="132"/>
      <c r="J724" s="133">
        <f>ROUND(I724*H724,2)</f>
        <v>0</v>
      </c>
      <c r="K724" s="129" t="s">
        <v>133</v>
      </c>
      <c r="L724" s="32"/>
      <c r="M724" s="134" t="s">
        <v>19</v>
      </c>
      <c r="N724" s="135" t="s">
        <v>42</v>
      </c>
      <c r="P724" s="136">
        <f>O724*H724</f>
        <v>0</v>
      </c>
      <c r="Q724" s="136">
        <v>1.97E-3</v>
      </c>
      <c r="R724" s="136">
        <f>Q724*H724</f>
        <v>1.07365E-2</v>
      </c>
      <c r="S724" s="136">
        <v>0</v>
      </c>
      <c r="T724" s="137">
        <f>S724*H724</f>
        <v>0</v>
      </c>
      <c r="AR724" s="138" t="s">
        <v>229</v>
      </c>
      <c r="AT724" s="138" t="s">
        <v>129</v>
      </c>
      <c r="AU724" s="138" t="s">
        <v>81</v>
      </c>
      <c r="AY724" s="17" t="s">
        <v>127</v>
      </c>
      <c r="BE724" s="139">
        <f>IF(N724="základní",J724,0)</f>
        <v>0</v>
      </c>
      <c r="BF724" s="139">
        <f>IF(N724="snížená",J724,0)</f>
        <v>0</v>
      </c>
      <c r="BG724" s="139">
        <f>IF(N724="zákl. přenesená",J724,0)</f>
        <v>0</v>
      </c>
      <c r="BH724" s="139">
        <f>IF(N724="sníž. přenesená",J724,0)</f>
        <v>0</v>
      </c>
      <c r="BI724" s="139">
        <f>IF(N724="nulová",J724,0)</f>
        <v>0</v>
      </c>
      <c r="BJ724" s="17" t="s">
        <v>79</v>
      </c>
      <c r="BK724" s="139">
        <f>ROUND(I724*H724,2)</f>
        <v>0</v>
      </c>
      <c r="BL724" s="17" t="s">
        <v>229</v>
      </c>
      <c r="BM724" s="138" t="s">
        <v>1595</v>
      </c>
    </row>
    <row r="725" spans="2:65" s="1" customFormat="1">
      <c r="B725" s="32"/>
      <c r="D725" s="140" t="s">
        <v>136</v>
      </c>
      <c r="F725" s="141" t="s">
        <v>1596</v>
      </c>
      <c r="I725" s="142"/>
      <c r="L725" s="32"/>
      <c r="M725" s="143"/>
      <c r="T725" s="51"/>
      <c r="AT725" s="17" t="s">
        <v>136</v>
      </c>
      <c r="AU725" s="17" t="s">
        <v>81</v>
      </c>
    </row>
    <row r="726" spans="2:65" s="12" customFormat="1">
      <c r="B726" s="144"/>
      <c r="D726" s="145" t="s">
        <v>138</v>
      </c>
      <c r="E726" s="146" t="s">
        <v>19</v>
      </c>
      <c r="F726" s="147" t="s">
        <v>1597</v>
      </c>
      <c r="H726" s="148">
        <v>3.6</v>
      </c>
      <c r="I726" s="149"/>
      <c r="L726" s="144"/>
      <c r="M726" s="150"/>
      <c r="T726" s="151"/>
      <c r="AT726" s="146" t="s">
        <v>138</v>
      </c>
      <c r="AU726" s="146" t="s">
        <v>81</v>
      </c>
      <c r="AV726" s="12" t="s">
        <v>81</v>
      </c>
      <c r="AW726" s="12" t="s">
        <v>33</v>
      </c>
      <c r="AX726" s="12" t="s">
        <v>71</v>
      </c>
      <c r="AY726" s="146" t="s">
        <v>127</v>
      </c>
    </row>
    <row r="727" spans="2:65" s="12" customFormat="1">
      <c r="B727" s="144"/>
      <c r="D727" s="145" t="s">
        <v>138</v>
      </c>
      <c r="E727" s="146" t="s">
        <v>19</v>
      </c>
      <c r="F727" s="147" t="s">
        <v>1598</v>
      </c>
      <c r="H727" s="148">
        <v>1.85</v>
      </c>
      <c r="I727" s="149"/>
      <c r="L727" s="144"/>
      <c r="M727" s="150"/>
      <c r="T727" s="151"/>
      <c r="AT727" s="146" t="s">
        <v>138</v>
      </c>
      <c r="AU727" s="146" t="s">
        <v>81</v>
      </c>
      <c r="AV727" s="12" t="s">
        <v>81</v>
      </c>
      <c r="AW727" s="12" t="s">
        <v>33</v>
      </c>
      <c r="AX727" s="12" t="s">
        <v>71</v>
      </c>
      <c r="AY727" s="146" t="s">
        <v>127</v>
      </c>
    </row>
    <row r="728" spans="2:65" s="13" customFormat="1">
      <c r="B728" s="152"/>
      <c r="D728" s="145" t="s">
        <v>138</v>
      </c>
      <c r="E728" s="153" t="s">
        <v>19</v>
      </c>
      <c r="F728" s="154" t="s">
        <v>152</v>
      </c>
      <c r="H728" s="155">
        <v>5.45</v>
      </c>
      <c r="I728" s="156"/>
      <c r="L728" s="152"/>
      <c r="M728" s="157"/>
      <c r="T728" s="158"/>
      <c r="AT728" s="153" t="s">
        <v>138</v>
      </c>
      <c r="AU728" s="153" t="s">
        <v>81</v>
      </c>
      <c r="AV728" s="13" t="s">
        <v>134</v>
      </c>
      <c r="AW728" s="13" t="s">
        <v>33</v>
      </c>
      <c r="AX728" s="13" t="s">
        <v>79</v>
      </c>
      <c r="AY728" s="153" t="s">
        <v>127</v>
      </c>
    </row>
    <row r="729" spans="2:65" s="1" customFormat="1" ht="24.2" customHeight="1">
      <c r="B729" s="32"/>
      <c r="C729" s="127" t="s">
        <v>1599</v>
      </c>
      <c r="D729" s="127" t="s">
        <v>129</v>
      </c>
      <c r="E729" s="128" t="s">
        <v>1600</v>
      </c>
      <c r="F729" s="129" t="s">
        <v>1601</v>
      </c>
      <c r="G729" s="130" t="s">
        <v>257</v>
      </c>
      <c r="H729" s="131">
        <v>7.3</v>
      </c>
      <c r="I729" s="132"/>
      <c r="J729" s="133">
        <f>ROUND(I729*H729,2)</f>
        <v>0</v>
      </c>
      <c r="K729" s="129" t="s">
        <v>133</v>
      </c>
      <c r="L729" s="32"/>
      <c r="M729" s="134" t="s">
        <v>19</v>
      </c>
      <c r="N729" s="135" t="s">
        <v>42</v>
      </c>
      <c r="P729" s="136">
        <f>O729*H729</f>
        <v>0</v>
      </c>
      <c r="Q729" s="136">
        <v>1.47E-3</v>
      </c>
      <c r="R729" s="136">
        <f>Q729*H729</f>
        <v>1.0730999999999999E-2</v>
      </c>
      <c r="S729" s="136">
        <v>0</v>
      </c>
      <c r="T729" s="137">
        <f>S729*H729</f>
        <v>0</v>
      </c>
      <c r="AR729" s="138" t="s">
        <v>229</v>
      </c>
      <c r="AT729" s="138" t="s">
        <v>129</v>
      </c>
      <c r="AU729" s="138" t="s">
        <v>81</v>
      </c>
      <c r="AY729" s="17" t="s">
        <v>127</v>
      </c>
      <c r="BE729" s="139">
        <f>IF(N729="základní",J729,0)</f>
        <v>0</v>
      </c>
      <c r="BF729" s="139">
        <f>IF(N729="snížená",J729,0)</f>
        <v>0</v>
      </c>
      <c r="BG729" s="139">
        <f>IF(N729="zákl. přenesená",J729,0)</f>
        <v>0</v>
      </c>
      <c r="BH729" s="139">
        <f>IF(N729="sníž. přenesená",J729,0)</f>
        <v>0</v>
      </c>
      <c r="BI729" s="139">
        <f>IF(N729="nulová",J729,0)</f>
        <v>0</v>
      </c>
      <c r="BJ729" s="17" t="s">
        <v>79</v>
      </c>
      <c r="BK729" s="139">
        <f>ROUND(I729*H729,2)</f>
        <v>0</v>
      </c>
      <c r="BL729" s="17" t="s">
        <v>229</v>
      </c>
      <c r="BM729" s="138" t="s">
        <v>1602</v>
      </c>
    </row>
    <row r="730" spans="2:65" s="1" customFormat="1">
      <c r="B730" s="32"/>
      <c r="D730" s="140" t="s">
        <v>136</v>
      </c>
      <c r="F730" s="141" t="s">
        <v>1603</v>
      </c>
      <c r="I730" s="142"/>
      <c r="L730" s="32"/>
      <c r="M730" s="143"/>
      <c r="T730" s="51"/>
      <c r="AT730" s="17" t="s">
        <v>136</v>
      </c>
      <c r="AU730" s="17" t="s">
        <v>81</v>
      </c>
    </row>
    <row r="731" spans="2:65" s="12" customFormat="1">
      <c r="B731" s="144"/>
      <c r="D731" s="145" t="s">
        <v>138</v>
      </c>
      <c r="E731" s="146" t="s">
        <v>19</v>
      </c>
      <c r="F731" s="147" t="s">
        <v>1604</v>
      </c>
      <c r="H731" s="148">
        <v>7.3</v>
      </c>
      <c r="I731" s="149"/>
      <c r="L731" s="144"/>
      <c r="M731" s="150"/>
      <c r="T731" s="151"/>
      <c r="AT731" s="146" t="s">
        <v>138</v>
      </c>
      <c r="AU731" s="146" t="s">
        <v>81</v>
      </c>
      <c r="AV731" s="12" t="s">
        <v>81</v>
      </c>
      <c r="AW731" s="12" t="s">
        <v>33</v>
      </c>
      <c r="AX731" s="12" t="s">
        <v>79</v>
      </c>
      <c r="AY731" s="146" t="s">
        <v>127</v>
      </c>
    </row>
    <row r="732" spans="2:65" s="1" customFormat="1" ht="16.5" customHeight="1">
      <c r="B732" s="32"/>
      <c r="C732" s="127" t="s">
        <v>1605</v>
      </c>
      <c r="D732" s="127" t="s">
        <v>129</v>
      </c>
      <c r="E732" s="128" t="s">
        <v>1606</v>
      </c>
      <c r="F732" s="129" t="s">
        <v>1607</v>
      </c>
      <c r="G732" s="130" t="s">
        <v>304</v>
      </c>
      <c r="H732" s="131">
        <v>11</v>
      </c>
      <c r="I732" s="132"/>
      <c r="J732" s="133">
        <f>ROUND(I732*H732,2)</f>
        <v>0</v>
      </c>
      <c r="K732" s="129" t="s">
        <v>19</v>
      </c>
      <c r="L732" s="32"/>
      <c r="M732" s="134" t="s">
        <v>19</v>
      </c>
      <c r="N732" s="135" t="s">
        <v>42</v>
      </c>
      <c r="P732" s="136">
        <f>O732*H732</f>
        <v>0</v>
      </c>
      <c r="Q732" s="136">
        <v>1.16E-3</v>
      </c>
      <c r="R732" s="136">
        <f>Q732*H732</f>
        <v>1.2760000000000001E-2</v>
      </c>
      <c r="S732" s="136">
        <v>0</v>
      </c>
      <c r="T732" s="137">
        <f>S732*H732</f>
        <v>0</v>
      </c>
      <c r="AR732" s="138" t="s">
        <v>229</v>
      </c>
      <c r="AT732" s="138" t="s">
        <v>129</v>
      </c>
      <c r="AU732" s="138" t="s">
        <v>81</v>
      </c>
      <c r="AY732" s="17" t="s">
        <v>127</v>
      </c>
      <c r="BE732" s="139">
        <f>IF(N732="základní",J732,0)</f>
        <v>0</v>
      </c>
      <c r="BF732" s="139">
        <f>IF(N732="snížená",J732,0)</f>
        <v>0</v>
      </c>
      <c r="BG732" s="139">
        <f>IF(N732="zákl. přenesená",J732,0)</f>
        <v>0</v>
      </c>
      <c r="BH732" s="139">
        <f>IF(N732="sníž. přenesená",J732,0)</f>
        <v>0</v>
      </c>
      <c r="BI732" s="139">
        <f>IF(N732="nulová",J732,0)</f>
        <v>0</v>
      </c>
      <c r="BJ732" s="17" t="s">
        <v>79</v>
      </c>
      <c r="BK732" s="139">
        <f>ROUND(I732*H732,2)</f>
        <v>0</v>
      </c>
      <c r="BL732" s="17" t="s">
        <v>229</v>
      </c>
      <c r="BM732" s="138" t="s">
        <v>1608</v>
      </c>
    </row>
    <row r="733" spans="2:65" s="12" customFormat="1">
      <c r="B733" s="144"/>
      <c r="D733" s="145" t="s">
        <v>138</v>
      </c>
      <c r="E733" s="146" t="s">
        <v>19</v>
      </c>
      <c r="F733" s="147" t="s">
        <v>1609</v>
      </c>
      <c r="H733" s="148">
        <v>11</v>
      </c>
      <c r="I733" s="149"/>
      <c r="L733" s="144"/>
      <c r="M733" s="150"/>
      <c r="T733" s="151"/>
      <c r="AT733" s="146" t="s">
        <v>138</v>
      </c>
      <c r="AU733" s="146" t="s">
        <v>81</v>
      </c>
      <c r="AV733" s="12" t="s">
        <v>81</v>
      </c>
      <c r="AW733" s="12" t="s">
        <v>33</v>
      </c>
      <c r="AX733" s="12" t="s">
        <v>79</v>
      </c>
      <c r="AY733" s="146" t="s">
        <v>127</v>
      </c>
    </row>
    <row r="734" spans="2:65" s="1" customFormat="1" ht="16.5" customHeight="1">
      <c r="B734" s="32"/>
      <c r="C734" s="127" t="s">
        <v>1610</v>
      </c>
      <c r="D734" s="127" t="s">
        <v>129</v>
      </c>
      <c r="E734" s="128" t="s">
        <v>1611</v>
      </c>
      <c r="F734" s="129" t="s">
        <v>1612</v>
      </c>
      <c r="G734" s="130" t="s">
        <v>257</v>
      </c>
      <c r="H734" s="131">
        <v>4.2</v>
      </c>
      <c r="I734" s="132"/>
      <c r="J734" s="133">
        <f>ROUND(I734*H734,2)</f>
        <v>0</v>
      </c>
      <c r="K734" s="129" t="s">
        <v>133</v>
      </c>
      <c r="L734" s="32"/>
      <c r="M734" s="134" t="s">
        <v>19</v>
      </c>
      <c r="N734" s="135" t="s">
        <v>42</v>
      </c>
      <c r="P734" s="136">
        <f>O734*H734</f>
        <v>0</v>
      </c>
      <c r="Q734" s="136">
        <v>2.5899999999999999E-3</v>
      </c>
      <c r="R734" s="136">
        <f>Q734*H734</f>
        <v>1.0878000000000001E-2</v>
      </c>
      <c r="S734" s="136">
        <v>0</v>
      </c>
      <c r="T734" s="137">
        <f>S734*H734</f>
        <v>0</v>
      </c>
      <c r="AR734" s="138" t="s">
        <v>229</v>
      </c>
      <c r="AT734" s="138" t="s">
        <v>129</v>
      </c>
      <c r="AU734" s="138" t="s">
        <v>81</v>
      </c>
      <c r="AY734" s="17" t="s">
        <v>127</v>
      </c>
      <c r="BE734" s="139">
        <f>IF(N734="základní",J734,0)</f>
        <v>0</v>
      </c>
      <c r="BF734" s="139">
        <f>IF(N734="snížená",J734,0)</f>
        <v>0</v>
      </c>
      <c r="BG734" s="139">
        <f>IF(N734="zákl. přenesená",J734,0)</f>
        <v>0</v>
      </c>
      <c r="BH734" s="139">
        <f>IF(N734="sníž. přenesená",J734,0)</f>
        <v>0</v>
      </c>
      <c r="BI734" s="139">
        <f>IF(N734="nulová",J734,0)</f>
        <v>0</v>
      </c>
      <c r="BJ734" s="17" t="s">
        <v>79</v>
      </c>
      <c r="BK734" s="139">
        <f>ROUND(I734*H734,2)</f>
        <v>0</v>
      </c>
      <c r="BL734" s="17" t="s">
        <v>229</v>
      </c>
      <c r="BM734" s="138" t="s">
        <v>1613</v>
      </c>
    </row>
    <row r="735" spans="2:65" s="1" customFormat="1">
      <c r="B735" s="32"/>
      <c r="D735" s="140" t="s">
        <v>136</v>
      </c>
      <c r="F735" s="141" t="s">
        <v>1614</v>
      </c>
      <c r="I735" s="142"/>
      <c r="L735" s="32"/>
      <c r="M735" s="143"/>
      <c r="T735" s="51"/>
      <c r="AT735" s="17" t="s">
        <v>136</v>
      </c>
      <c r="AU735" s="17" t="s">
        <v>81</v>
      </c>
    </row>
    <row r="736" spans="2:65" s="12" customFormat="1">
      <c r="B736" s="144"/>
      <c r="D736" s="145" t="s">
        <v>138</v>
      </c>
      <c r="E736" s="146" t="s">
        <v>19</v>
      </c>
      <c r="F736" s="147" t="s">
        <v>1615</v>
      </c>
      <c r="H736" s="148">
        <v>4.2</v>
      </c>
      <c r="I736" s="149"/>
      <c r="L736" s="144"/>
      <c r="M736" s="150"/>
      <c r="T736" s="151"/>
      <c r="AT736" s="146" t="s">
        <v>138</v>
      </c>
      <c r="AU736" s="146" t="s">
        <v>81</v>
      </c>
      <c r="AV736" s="12" t="s">
        <v>81</v>
      </c>
      <c r="AW736" s="12" t="s">
        <v>33</v>
      </c>
      <c r="AX736" s="12" t="s">
        <v>79</v>
      </c>
      <c r="AY736" s="146" t="s">
        <v>127</v>
      </c>
    </row>
    <row r="737" spans="2:65" s="1" customFormat="1" ht="24.2" customHeight="1">
      <c r="B737" s="32"/>
      <c r="C737" s="127" t="s">
        <v>1616</v>
      </c>
      <c r="D737" s="127" t="s">
        <v>129</v>
      </c>
      <c r="E737" s="128" t="s">
        <v>1617</v>
      </c>
      <c r="F737" s="129" t="s">
        <v>1618</v>
      </c>
      <c r="G737" s="130" t="s">
        <v>304</v>
      </c>
      <c r="H737" s="131">
        <v>5</v>
      </c>
      <c r="I737" s="132"/>
      <c r="J737" s="133">
        <f>ROUND(I737*H737,2)</f>
        <v>0</v>
      </c>
      <c r="K737" s="129" t="s">
        <v>133</v>
      </c>
      <c r="L737" s="32"/>
      <c r="M737" s="134" t="s">
        <v>19</v>
      </c>
      <c r="N737" s="135" t="s">
        <v>42</v>
      </c>
      <c r="P737" s="136">
        <f>O737*H737</f>
        <v>0</v>
      </c>
      <c r="Q737" s="136">
        <v>3.8899999999999998E-3</v>
      </c>
      <c r="R737" s="136">
        <f>Q737*H737</f>
        <v>1.9449999999999999E-2</v>
      </c>
      <c r="S737" s="136">
        <v>0</v>
      </c>
      <c r="T737" s="137">
        <f>S737*H737</f>
        <v>0</v>
      </c>
      <c r="AR737" s="138" t="s">
        <v>229</v>
      </c>
      <c r="AT737" s="138" t="s">
        <v>129</v>
      </c>
      <c r="AU737" s="138" t="s">
        <v>81</v>
      </c>
      <c r="AY737" s="17" t="s">
        <v>127</v>
      </c>
      <c r="BE737" s="139">
        <f>IF(N737="základní",J737,0)</f>
        <v>0</v>
      </c>
      <c r="BF737" s="139">
        <f>IF(N737="snížená",J737,0)</f>
        <v>0</v>
      </c>
      <c r="BG737" s="139">
        <f>IF(N737="zákl. přenesená",J737,0)</f>
        <v>0</v>
      </c>
      <c r="BH737" s="139">
        <f>IF(N737="sníž. přenesená",J737,0)</f>
        <v>0</v>
      </c>
      <c r="BI737" s="139">
        <f>IF(N737="nulová",J737,0)</f>
        <v>0</v>
      </c>
      <c r="BJ737" s="17" t="s">
        <v>79</v>
      </c>
      <c r="BK737" s="139">
        <f>ROUND(I737*H737,2)</f>
        <v>0</v>
      </c>
      <c r="BL737" s="17" t="s">
        <v>229</v>
      </c>
      <c r="BM737" s="138" t="s">
        <v>1619</v>
      </c>
    </row>
    <row r="738" spans="2:65" s="1" customFormat="1">
      <c r="B738" s="32"/>
      <c r="D738" s="140" t="s">
        <v>136</v>
      </c>
      <c r="F738" s="141" t="s">
        <v>1620</v>
      </c>
      <c r="I738" s="142"/>
      <c r="L738" s="32"/>
      <c r="M738" s="143"/>
      <c r="T738" s="51"/>
      <c r="AT738" s="17" t="s">
        <v>136</v>
      </c>
      <c r="AU738" s="17" t="s">
        <v>81</v>
      </c>
    </row>
    <row r="739" spans="2:65" s="12" customFormat="1">
      <c r="B739" s="144"/>
      <c r="D739" s="145" t="s">
        <v>138</v>
      </c>
      <c r="E739" s="146" t="s">
        <v>19</v>
      </c>
      <c r="F739" s="147" t="s">
        <v>1621</v>
      </c>
      <c r="H739" s="148">
        <v>5</v>
      </c>
      <c r="I739" s="149"/>
      <c r="L739" s="144"/>
      <c r="M739" s="150"/>
      <c r="T739" s="151"/>
      <c r="AT739" s="146" t="s">
        <v>138</v>
      </c>
      <c r="AU739" s="146" t="s">
        <v>81</v>
      </c>
      <c r="AV739" s="12" t="s">
        <v>81</v>
      </c>
      <c r="AW739" s="12" t="s">
        <v>33</v>
      </c>
      <c r="AX739" s="12" t="s">
        <v>79</v>
      </c>
      <c r="AY739" s="146" t="s">
        <v>127</v>
      </c>
    </row>
    <row r="740" spans="2:65" s="1" customFormat="1" ht="21.75" customHeight="1">
      <c r="B740" s="32"/>
      <c r="C740" s="127" t="s">
        <v>1622</v>
      </c>
      <c r="D740" s="127" t="s">
        <v>129</v>
      </c>
      <c r="E740" s="128" t="s">
        <v>1623</v>
      </c>
      <c r="F740" s="129" t="s">
        <v>1624</v>
      </c>
      <c r="G740" s="130" t="s">
        <v>257</v>
      </c>
      <c r="H740" s="131">
        <v>122</v>
      </c>
      <c r="I740" s="132"/>
      <c r="J740" s="133">
        <f>ROUND(I740*H740,2)</f>
        <v>0</v>
      </c>
      <c r="K740" s="129" t="s">
        <v>133</v>
      </c>
      <c r="L740" s="32"/>
      <c r="M740" s="134" t="s">
        <v>19</v>
      </c>
      <c r="N740" s="135" t="s">
        <v>42</v>
      </c>
      <c r="P740" s="136">
        <f>O740*H740</f>
        <v>0</v>
      </c>
      <c r="Q740" s="136">
        <v>6.96E-3</v>
      </c>
      <c r="R740" s="136">
        <f>Q740*H740</f>
        <v>0.84911999999999999</v>
      </c>
      <c r="S740" s="136">
        <v>0</v>
      </c>
      <c r="T740" s="137">
        <f>S740*H740</f>
        <v>0</v>
      </c>
      <c r="AR740" s="138" t="s">
        <v>229</v>
      </c>
      <c r="AT740" s="138" t="s">
        <v>129</v>
      </c>
      <c r="AU740" s="138" t="s">
        <v>81</v>
      </c>
      <c r="AY740" s="17" t="s">
        <v>127</v>
      </c>
      <c r="BE740" s="139">
        <f>IF(N740="základní",J740,0)</f>
        <v>0</v>
      </c>
      <c r="BF740" s="139">
        <f>IF(N740="snížená",J740,0)</f>
        <v>0</v>
      </c>
      <c r="BG740" s="139">
        <f>IF(N740="zákl. přenesená",J740,0)</f>
        <v>0</v>
      </c>
      <c r="BH740" s="139">
        <f>IF(N740="sníž. přenesená",J740,0)</f>
        <v>0</v>
      </c>
      <c r="BI740" s="139">
        <f>IF(N740="nulová",J740,0)</f>
        <v>0</v>
      </c>
      <c r="BJ740" s="17" t="s">
        <v>79</v>
      </c>
      <c r="BK740" s="139">
        <f>ROUND(I740*H740,2)</f>
        <v>0</v>
      </c>
      <c r="BL740" s="17" t="s">
        <v>229</v>
      </c>
      <c r="BM740" s="138" t="s">
        <v>1625</v>
      </c>
    </row>
    <row r="741" spans="2:65" s="1" customFormat="1">
      <c r="B741" s="32"/>
      <c r="D741" s="140" t="s">
        <v>136</v>
      </c>
      <c r="F741" s="141" t="s">
        <v>1626</v>
      </c>
      <c r="I741" s="142"/>
      <c r="L741" s="32"/>
      <c r="M741" s="143"/>
      <c r="T741" s="51"/>
      <c r="AT741" s="17" t="s">
        <v>136</v>
      </c>
      <c r="AU741" s="17" t="s">
        <v>81</v>
      </c>
    </row>
    <row r="742" spans="2:65" s="12" customFormat="1">
      <c r="B742" s="144"/>
      <c r="D742" s="145" t="s">
        <v>138</v>
      </c>
      <c r="E742" s="146" t="s">
        <v>19</v>
      </c>
      <c r="F742" s="147" t="s">
        <v>1574</v>
      </c>
      <c r="H742" s="148">
        <v>122</v>
      </c>
      <c r="I742" s="149"/>
      <c r="L742" s="144"/>
      <c r="M742" s="150"/>
      <c r="T742" s="151"/>
      <c r="AT742" s="146" t="s">
        <v>138</v>
      </c>
      <c r="AU742" s="146" t="s">
        <v>81</v>
      </c>
      <c r="AV742" s="12" t="s">
        <v>81</v>
      </c>
      <c r="AW742" s="12" t="s">
        <v>33</v>
      </c>
      <c r="AX742" s="12" t="s">
        <v>79</v>
      </c>
      <c r="AY742" s="146" t="s">
        <v>127</v>
      </c>
    </row>
    <row r="743" spans="2:65" s="1" customFormat="1" ht="16.5" customHeight="1">
      <c r="B743" s="32"/>
      <c r="C743" s="127" t="s">
        <v>1627</v>
      </c>
      <c r="D743" s="127" t="s">
        <v>129</v>
      </c>
      <c r="E743" s="128" t="s">
        <v>1628</v>
      </c>
      <c r="F743" s="129" t="s">
        <v>1629</v>
      </c>
      <c r="G743" s="130" t="s">
        <v>257</v>
      </c>
      <c r="H743" s="131">
        <v>93.6</v>
      </c>
      <c r="I743" s="132"/>
      <c r="J743" s="133">
        <f>ROUND(I743*H743,2)</f>
        <v>0</v>
      </c>
      <c r="K743" s="129" t="s">
        <v>133</v>
      </c>
      <c r="L743" s="32"/>
      <c r="M743" s="134" t="s">
        <v>19</v>
      </c>
      <c r="N743" s="135" t="s">
        <v>42</v>
      </c>
      <c r="P743" s="136">
        <f>O743*H743</f>
        <v>0</v>
      </c>
      <c r="Q743" s="136">
        <v>4.8399999999999997E-3</v>
      </c>
      <c r="R743" s="136">
        <f>Q743*H743</f>
        <v>0.45302399999999993</v>
      </c>
      <c r="S743" s="136">
        <v>0</v>
      </c>
      <c r="T743" s="137">
        <f>S743*H743</f>
        <v>0</v>
      </c>
      <c r="AR743" s="138" t="s">
        <v>229</v>
      </c>
      <c r="AT743" s="138" t="s">
        <v>129</v>
      </c>
      <c r="AU743" s="138" t="s">
        <v>81</v>
      </c>
      <c r="AY743" s="17" t="s">
        <v>127</v>
      </c>
      <c r="BE743" s="139">
        <f>IF(N743="základní",J743,0)</f>
        <v>0</v>
      </c>
      <c r="BF743" s="139">
        <f>IF(N743="snížená",J743,0)</f>
        <v>0</v>
      </c>
      <c r="BG743" s="139">
        <f>IF(N743="zákl. přenesená",J743,0)</f>
        <v>0</v>
      </c>
      <c r="BH743" s="139">
        <f>IF(N743="sníž. přenesená",J743,0)</f>
        <v>0</v>
      </c>
      <c r="BI743" s="139">
        <f>IF(N743="nulová",J743,0)</f>
        <v>0</v>
      </c>
      <c r="BJ743" s="17" t="s">
        <v>79</v>
      </c>
      <c r="BK743" s="139">
        <f>ROUND(I743*H743,2)</f>
        <v>0</v>
      </c>
      <c r="BL743" s="17" t="s">
        <v>229</v>
      </c>
      <c r="BM743" s="138" t="s">
        <v>1630</v>
      </c>
    </row>
    <row r="744" spans="2:65" s="1" customFormat="1">
      <c r="B744" s="32"/>
      <c r="D744" s="140" t="s">
        <v>136</v>
      </c>
      <c r="F744" s="141" t="s">
        <v>1631</v>
      </c>
      <c r="I744" s="142"/>
      <c r="L744" s="32"/>
      <c r="M744" s="143"/>
      <c r="T744" s="51"/>
      <c r="AT744" s="17" t="s">
        <v>136</v>
      </c>
      <c r="AU744" s="17" t="s">
        <v>81</v>
      </c>
    </row>
    <row r="745" spans="2:65" s="12" customFormat="1">
      <c r="B745" s="144"/>
      <c r="D745" s="145" t="s">
        <v>138</v>
      </c>
      <c r="E745" s="146" t="s">
        <v>19</v>
      </c>
      <c r="F745" s="147" t="s">
        <v>1632</v>
      </c>
      <c r="H745" s="148">
        <v>93.6</v>
      </c>
      <c r="I745" s="149"/>
      <c r="L745" s="144"/>
      <c r="M745" s="150"/>
      <c r="T745" s="151"/>
      <c r="AT745" s="146" t="s">
        <v>138</v>
      </c>
      <c r="AU745" s="146" t="s">
        <v>81</v>
      </c>
      <c r="AV745" s="12" t="s">
        <v>81</v>
      </c>
      <c r="AW745" s="12" t="s">
        <v>33</v>
      </c>
      <c r="AX745" s="12" t="s">
        <v>79</v>
      </c>
      <c r="AY745" s="146" t="s">
        <v>127</v>
      </c>
    </row>
    <row r="746" spans="2:65" s="1" customFormat="1" ht="16.5" customHeight="1">
      <c r="B746" s="32"/>
      <c r="C746" s="127" t="s">
        <v>1633</v>
      </c>
      <c r="D746" s="127" t="s">
        <v>129</v>
      </c>
      <c r="E746" s="128" t="s">
        <v>1634</v>
      </c>
      <c r="F746" s="129" t="s">
        <v>1635</v>
      </c>
      <c r="G746" s="130" t="s">
        <v>191</v>
      </c>
      <c r="H746" s="131">
        <v>1</v>
      </c>
      <c r="I746" s="132"/>
      <c r="J746" s="133">
        <f>ROUND(I746*H746,2)</f>
        <v>0</v>
      </c>
      <c r="K746" s="129" t="s">
        <v>19</v>
      </c>
      <c r="L746" s="32"/>
      <c r="M746" s="134" t="s">
        <v>19</v>
      </c>
      <c r="N746" s="135" t="s">
        <v>42</v>
      </c>
      <c r="P746" s="136">
        <f>O746*H746</f>
        <v>0</v>
      </c>
      <c r="Q746" s="136">
        <v>0</v>
      </c>
      <c r="R746" s="136">
        <f>Q746*H746</f>
        <v>0</v>
      </c>
      <c r="S746" s="136">
        <v>0</v>
      </c>
      <c r="T746" s="137">
        <f>S746*H746</f>
        <v>0</v>
      </c>
      <c r="AR746" s="138" t="s">
        <v>229</v>
      </c>
      <c r="AT746" s="138" t="s">
        <v>129</v>
      </c>
      <c r="AU746" s="138" t="s">
        <v>81</v>
      </c>
      <c r="AY746" s="17" t="s">
        <v>127</v>
      </c>
      <c r="BE746" s="139">
        <f>IF(N746="základní",J746,0)</f>
        <v>0</v>
      </c>
      <c r="BF746" s="139">
        <f>IF(N746="snížená",J746,0)</f>
        <v>0</v>
      </c>
      <c r="BG746" s="139">
        <f>IF(N746="zákl. přenesená",J746,0)</f>
        <v>0</v>
      </c>
      <c r="BH746" s="139">
        <f>IF(N746="sníž. přenesená",J746,0)</f>
        <v>0</v>
      </c>
      <c r="BI746" s="139">
        <f>IF(N746="nulová",J746,0)</f>
        <v>0</v>
      </c>
      <c r="BJ746" s="17" t="s">
        <v>79</v>
      </c>
      <c r="BK746" s="139">
        <f>ROUND(I746*H746,2)</f>
        <v>0</v>
      </c>
      <c r="BL746" s="17" t="s">
        <v>229</v>
      </c>
      <c r="BM746" s="138" t="s">
        <v>1636</v>
      </c>
    </row>
    <row r="747" spans="2:65" s="12" customFormat="1">
      <c r="B747" s="144"/>
      <c r="D747" s="145" t="s">
        <v>138</v>
      </c>
      <c r="E747" s="146" t="s">
        <v>19</v>
      </c>
      <c r="F747" s="147" t="s">
        <v>1637</v>
      </c>
      <c r="H747" s="148">
        <v>1</v>
      </c>
      <c r="I747" s="149"/>
      <c r="L747" s="144"/>
      <c r="M747" s="150"/>
      <c r="T747" s="151"/>
      <c r="AT747" s="146" t="s">
        <v>138</v>
      </c>
      <c r="AU747" s="146" t="s">
        <v>81</v>
      </c>
      <c r="AV747" s="12" t="s">
        <v>81</v>
      </c>
      <c r="AW747" s="12" t="s">
        <v>33</v>
      </c>
      <c r="AX747" s="12" t="s">
        <v>79</v>
      </c>
      <c r="AY747" s="146" t="s">
        <v>127</v>
      </c>
    </row>
    <row r="748" spans="2:65" s="1" customFormat="1" ht="24.2" customHeight="1">
      <c r="B748" s="32"/>
      <c r="C748" s="127" t="s">
        <v>1638</v>
      </c>
      <c r="D748" s="127" t="s">
        <v>129</v>
      </c>
      <c r="E748" s="128" t="s">
        <v>1639</v>
      </c>
      <c r="F748" s="129" t="s">
        <v>1640</v>
      </c>
      <c r="G748" s="130" t="s">
        <v>425</v>
      </c>
      <c r="H748" s="169"/>
      <c r="I748" s="132"/>
      <c r="J748" s="133">
        <f>ROUND(I748*H748,2)</f>
        <v>0</v>
      </c>
      <c r="K748" s="129" t="s">
        <v>133</v>
      </c>
      <c r="L748" s="32"/>
      <c r="M748" s="134" t="s">
        <v>19</v>
      </c>
      <c r="N748" s="135" t="s">
        <v>42</v>
      </c>
      <c r="P748" s="136">
        <f>O748*H748</f>
        <v>0</v>
      </c>
      <c r="Q748" s="136">
        <v>0</v>
      </c>
      <c r="R748" s="136">
        <f>Q748*H748</f>
        <v>0</v>
      </c>
      <c r="S748" s="136">
        <v>0</v>
      </c>
      <c r="T748" s="137">
        <f>S748*H748</f>
        <v>0</v>
      </c>
      <c r="AR748" s="138" t="s">
        <v>229</v>
      </c>
      <c r="AT748" s="138" t="s">
        <v>129</v>
      </c>
      <c r="AU748" s="138" t="s">
        <v>81</v>
      </c>
      <c r="AY748" s="17" t="s">
        <v>127</v>
      </c>
      <c r="BE748" s="139">
        <f>IF(N748="základní",J748,0)</f>
        <v>0</v>
      </c>
      <c r="BF748" s="139">
        <f>IF(N748="snížená",J748,0)</f>
        <v>0</v>
      </c>
      <c r="BG748" s="139">
        <f>IF(N748="zákl. přenesená",J748,0)</f>
        <v>0</v>
      </c>
      <c r="BH748" s="139">
        <f>IF(N748="sníž. přenesená",J748,0)</f>
        <v>0</v>
      </c>
      <c r="BI748" s="139">
        <f>IF(N748="nulová",J748,0)</f>
        <v>0</v>
      </c>
      <c r="BJ748" s="17" t="s">
        <v>79</v>
      </c>
      <c r="BK748" s="139">
        <f>ROUND(I748*H748,2)</f>
        <v>0</v>
      </c>
      <c r="BL748" s="17" t="s">
        <v>229</v>
      </c>
      <c r="BM748" s="138" t="s">
        <v>1641</v>
      </c>
    </row>
    <row r="749" spans="2:65" s="1" customFormat="1">
      <c r="B749" s="32"/>
      <c r="D749" s="140" t="s">
        <v>136</v>
      </c>
      <c r="F749" s="141" t="s">
        <v>1642</v>
      </c>
      <c r="I749" s="142"/>
      <c r="L749" s="32"/>
      <c r="M749" s="143"/>
      <c r="T749" s="51"/>
      <c r="AT749" s="17" t="s">
        <v>136</v>
      </c>
      <c r="AU749" s="17" t="s">
        <v>81</v>
      </c>
    </row>
    <row r="750" spans="2:65" s="11" customFormat="1" ht="22.9" customHeight="1">
      <c r="B750" s="115"/>
      <c r="D750" s="116" t="s">
        <v>70</v>
      </c>
      <c r="E750" s="125" t="s">
        <v>562</v>
      </c>
      <c r="F750" s="125" t="s">
        <v>563</v>
      </c>
      <c r="I750" s="118"/>
      <c r="J750" s="126">
        <f>BK750</f>
        <v>0</v>
      </c>
      <c r="L750" s="115"/>
      <c r="M750" s="120"/>
      <c r="P750" s="121">
        <f>SUM(P751:P832)</f>
        <v>0</v>
      </c>
      <c r="R750" s="121">
        <f>SUM(R751:R832)</f>
        <v>41.705561599999996</v>
      </c>
      <c r="T750" s="122">
        <f>SUM(T751:T832)</f>
        <v>0</v>
      </c>
      <c r="AR750" s="116" t="s">
        <v>81</v>
      </c>
      <c r="AT750" s="123" t="s">
        <v>70</v>
      </c>
      <c r="AU750" s="123" t="s">
        <v>79</v>
      </c>
      <c r="AY750" s="116" t="s">
        <v>127</v>
      </c>
      <c r="BK750" s="124">
        <f>SUM(BK751:BK832)</f>
        <v>0</v>
      </c>
    </row>
    <row r="751" spans="2:65" s="1" customFormat="1" ht="16.5" customHeight="1">
      <c r="B751" s="32"/>
      <c r="C751" s="127" t="s">
        <v>1643</v>
      </c>
      <c r="D751" s="127" t="s">
        <v>129</v>
      </c>
      <c r="E751" s="128" t="s">
        <v>1644</v>
      </c>
      <c r="F751" s="129" t="s">
        <v>1645</v>
      </c>
      <c r="G751" s="130" t="s">
        <v>132</v>
      </c>
      <c r="H751" s="131">
        <v>790</v>
      </c>
      <c r="I751" s="132"/>
      <c r="J751" s="133">
        <f>ROUND(I751*H751,2)</f>
        <v>0</v>
      </c>
      <c r="K751" s="129" t="s">
        <v>133</v>
      </c>
      <c r="L751" s="32"/>
      <c r="M751" s="134" t="s">
        <v>19</v>
      </c>
      <c r="N751" s="135" t="s">
        <v>42</v>
      </c>
      <c r="P751" s="136">
        <f>O751*H751</f>
        <v>0</v>
      </c>
      <c r="Q751" s="136">
        <v>0</v>
      </c>
      <c r="R751" s="136">
        <f>Q751*H751</f>
        <v>0</v>
      </c>
      <c r="S751" s="136">
        <v>0</v>
      </c>
      <c r="T751" s="137">
        <f>S751*H751</f>
        <v>0</v>
      </c>
      <c r="AR751" s="138" t="s">
        <v>229</v>
      </c>
      <c r="AT751" s="138" t="s">
        <v>129</v>
      </c>
      <c r="AU751" s="138" t="s">
        <v>81</v>
      </c>
      <c r="AY751" s="17" t="s">
        <v>127</v>
      </c>
      <c r="BE751" s="139">
        <f>IF(N751="základní",J751,0)</f>
        <v>0</v>
      </c>
      <c r="BF751" s="139">
        <f>IF(N751="snížená",J751,0)</f>
        <v>0</v>
      </c>
      <c r="BG751" s="139">
        <f>IF(N751="zákl. přenesená",J751,0)</f>
        <v>0</v>
      </c>
      <c r="BH751" s="139">
        <f>IF(N751="sníž. přenesená",J751,0)</f>
        <v>0</v>
      </c>
      <c r="BI751" s="139">
        <f>IF(N751="nulová",J751,0)</f>
        <v>0</v>
      </c>
      <c r="BJ751" s="17" t="s">
        <v>79</v>
      </c>
      <c r="BK751" s="139">
        <f>ROUND(I751*H751,2)</f>
        <v>0</v>
      </c>
      <c r="BL751" s="17" t="s">
        <v>229</v>
      </c>
      <c r="BM751" s="138" t="s">
        <v>1646</v>
      </c>
    </row>
    <row r="752" spans="2:65" s="1" customFormat="1">
      <c r="B752" s="32"/>
      <c r="D752" s="140" t="s">
        <v>136</v>
      </c>
      <c r="F752" s="141" t="s">
        <v>1647</v>
      </c>
      <c r="I752" s="142"/>
      <c r="L752" s="32"/>
      <c r="M752" s="143"/>
      <c r="T752" s="51"/>
      <c r="AT752" s="17" t="s">
        <v>136</v>
      </c>
      <c r="AU752" s="17" t="s">
        <v>81</v>
      </c>
    </row>
    <row r="753" spans="2:65" s="12" customFormat="1">
      <c r="B753" s="144"/>
      <c r="D753" s="145" t="s">
        <v>138</v>
      </c>
      <c r="E753" s="146" t="s">
        <v>19</v>
      </c>
      <c r="F753" s="147" t="s">
        <v>1322</v>
      </c>
      <c r="H753" s="148">
        <v>790</v>
      </c>
      <c r="I753" s="149"/>
      <c r="L753" s="144"/>
      <c r="M753" s="150"/>
      <c r="T753" s="151"/>
      <c r="AT753" s="146" t="s">
        <v>138</v>
      </c>
      <c r="AU753" s="146" t="s">
        <v>81</v>
      </c>
      <c r="AV753" s="12" t="s">
        <v>81</v>
      </c>
      <c r="AW753" s="12" t="s">
        <v>33</v>
      </c>
      <c r="AX753" s="12" t="s">
        <v>79</v>
      </c>
      <c r="AY753" s="146" t="s">
        <v>127</v>
      </c>
    </row>
    <row r="754" spans="2:65" s="1" customFormat="1" ht="16.5" customHeight="1">
      <c r="B754" s="32"/>
      <c r="C754" s="159" t="s">
        <v>1648</v>
      </c>
      <c r="D754" s="159" t="s">
        <v>413</v>
      </c>
      <c r="E754" s="160" t="s">
        <v>1649</v>
      </c>
      <c r="F754" s="161" t="s">
        <v>1650</v>
      </c>
      <c r="G754" s="162" t="s">
        <v>304</v>
      </c>
      <c r="H754" s="163">
        <v>9480</v>
      </c>
      <c r="I754" s="164"/>
      <c r="J754" s="165">
        <f>ROUND(I754*H754,2)</f>
        <v>0</v>
      </c>
      <c r="K754" s="161" t="s">
        <v>133</v>
      </c>
      <c r="L754" s="166"/>
      <c r="M754" s="167" t="s">
        <v>19</v>
      </c>
      <c r="N754" s="168" t="s">
        <v>42</v>
      </c>
      <c r="P754" s="136">
        <f>O754*H754</f>
        <v>0</v>
      </c>
      <c r="Q754" s="136">
        <v>3.5999999999999999E-3</v>
      </c>
      <c r="R754" s="136">
        <f>Q754*H754</f>
        <v>34.128</v>
      </c>
      <c r="S754" s="136">
        <v>0</v>
      </c>
      <c r="T754" s="137">
        <f>S754*H754</f>
        <v>0</v>
      </c>
      <c r="AR754" s="138" t="s">
        <v>333</v>
      </c>
      <c r="AT754" s="138" t="s">
        <v>413</v>
      </c>
      <c r="AU754" s="138" t="s">
        <v>81</v>
      </c>
      <c r="AY754" s="17" t="s">
        <v>127</v>
      </c>
      <c r="BE754" s="139">
        <f>IF(N754="základní",J754,0)</f>
        <v>0</v>
      </c>
      <c r="BF754" s="139">
        <f>IF(N754="snížená",J754,0)</f>
        <v>0</v>
      </c>
      <c r="BG754" s="139">
        <f>IF(N754="zákl. přenesená",J754,0)</f>
        <v>0</v>
      </c>
      <c r="BH754" s="139">
        <f>IF(N754="sníž. přenesená",J754,0)</f>
        <v>0</v>
      </c>
      <c r="BI754" s="139">
        <f>IF(N754="nulová",J754,0)</f>
        <v>0</v>
      </c>
      <c r="BJ754" s="17" t="s">
        <v>79</v>
      </c>
      <c r="BK754" s="139">
        <f>ROUND(I754*H754,2)</f>
        <v>0</v>
      </c>
      <c r="BL754" s="17" t="s">
        <v>229</v>
      </c>
      <c r="BM754" s="138" t="s">
        <v>1651</v>
      </c>
    </row>
    <row r="755" spans="2:65" s="12" customFormat="1">
      <c r="B755" s="144"/>
      <c r="D755" s="145" t="s">
        <v>138</v>
      </c>
      <c r="F755" s="147" t="s">
        <v>1652</v>
      </c>
      <c r="H755" s="148">
        <v>9480</v>
      </c>
      <c r="I755" s="149"/>
      <c r="L755" s="144"/>
      <c r="M755" s="150"/>
      <c r="T755" s="151"/>
      <c r="AT755" s="146" t="s">
        <v>138</v>
      </c>
      <c r="AU755" s="146" t="s">
        <v>81</v>
      </c>
      <c r="AV755" s="12" t="s">
        <v>81</v>
      </c>
      <c r="AW755" s="12" t="s">
        <v>4</v>
      </c>
      <c r="AX755" s="12" t="s">
        <v>79</v>
      </c>
      <c r="AY755" s="146" t="s">
        <v>127</v>
      </c>
    </row>
    <row r="756" spans="2:65" s="1" customFormat="1" ht="16.5" customHeight="1">
      <c r="B756" s="32"/>
      <c r="C756" s="159" t="s">
        <v>1653</v>
      </c>
      <c r="D756" s="159" t="s">
        <v>413</v>
      </c>
      <c r="E756" s="160" t="s">
        <v>1654</v>
      </c>
      <c r="F756" s="161" t="s">
        <v>1655</v>
      </c>
      <c r="G756" s="162" t="s">
        <v>304</v>
      </c>
      <c r="H756" s="163">
        <v>948</v>
      </c>
      <c r="I756" s="164"/>
      <c r="J756" s="165">
        <f>ROUND(I756*H756,2)</f>
        <v>0</v>
      </c>
      <c r="K756" s="161" t="s">
        <v>133</v>
      </c>
      <c r="L756" s="166"/>
      <c r="M756" s="167" t="s">
        <v>19</v>
      </c>
      <c r="N756" s="168" t="s">
        <v>42</v>
      </c>
      <c r="P756" s="136">
        <f>O756*H756</f>
        <v>0</v>
      </c>
      <c r="Q756" s="136">
        <v>2.2000000000000001E-3</v>
      </c>
      <c r="R756" s="136">
        <f>Q756*H756</f>
        <v>2.0856000000000003</v>
      </c>
      <c r="S756" s="136">
        <v>0</v>
      </c>
      <c r="T756" s="137">
        <f>S756*H756</f>
        <v>0</v>
      </c>
      <c r="AR756" s="138" t="s">
        <v>333</v>
      </c>
      <c r="AT756" s="138" t="s">
        <v>413</v>
      </c>
      <c r="AU756" s="138" t="s">
        <v>81</v>
      </c>
      <c r="AY756" s="17" t="s">
        <v>127</v>
      </c>
      <c r="BE756" s="139">
        <f>IF(N756="základní",J756,0)</f>
        <v>0</v>
      </c>
      <c r="BF756" s="139">
        <f>IF(N756="snížená",J756,0)</f>
        <v>0</v>
      </c>
      <c r="BG756" s="139">
        <f>IF(N756="zákl. přenesená",J756,0)</f>
        <v>0</v>
      </c>
      <c r="BH756" s="139">
        <f>IF(N756="sníž. přenesená",J756,0)</f>
        <v>0</v>
      </c>
      <c r="BI756" s="139">
        <f>IF(N756="nulová",J756,0)</f>
        <v>0</v>
      </c>
      <c r="BJ756" s="17" t="s">
        <v>79</v>
      </c>
      <c r="BK756" s="139">
        <f>ROUND(I756*H756,2)</f>
        <v>0</v>
      </c>
      <c r="BL756" s="17" t="s">
        <v>229</v>
      </c>
      <c r="BM756" s="138" t="s">
        <v>1656</v>
      </c>
    </row>
    <row r="757" spans="2:65" s="12" customFormat="1">
      <c r="B757" s="144"/>
      <c r="D757" s="145" t="s">
        <v>138</v>
      </c>
      <c r="F757" s="147" t="s">
        <v>1657</v>
      </c>
      <c r="H757" s="148">
        <v>948</v>
      </c>
      <c r="I757" s="149"/>
      <c r="L757" s="144"/>
      <c r="M757" s="150"/>
      <c r="T757" s="151"/>
      <c r="AT757" s="146" t="s">
        <v>138</v>
      </c>
      <c r="AU757" s="146" t="s">
        <v>81</v>
      </c>
      <c r="AV757" s="12" t="s">
        <v>81</v>
      </c>
      <c r="AW757" s="12" t="s">
        <v>4</v>
      </c>
      <c r="AX757" s="12" t="s">
        <v>79</v>
      </c>
      <c r="AY757" s="146" t="s">
        <v>127</v>
      </c>
    </row>
    <row r="758" spans="2:65" s="1" customFormat="1" ht="16.5" customHeight="1">
      <c r="B758" s="32"/>
      <c r="C758" s="159" t="s">
        <v>1658</v>
      </c>
      <c r="D758" s="159" t="s">
        <v>413</v>
      </c>
      <c r="E758" s="160" t="s">
        <v>1659</v>
      </c>
      <c r="F758" s="161" t="s">
        <v>1660</v>
      </c>
      <c r="G758" s="162" t="s">
        <v>304</v>
      </c>
      <c r="H758" s="163">
        <v>474</v>
      </c>
      <c r="I758" s="164"/>
      <c r="J758" s="165">
        <f>ROUND(I758*H758,2)</f>
        <v>0</v>
      </c>
      <c r="K758" s="161" t="s">
        <v>133</v>
      </c>
      <c r="L758" s="166"/>
      <c r="M758" s="167" t="s">
        <v>19</v>
      </c>
      <c r="N758" s="168" t="s">
        <v>42</v>
      </c>
      <c r="P758" s="136">
        <f>O758*H758</f>
        <v>0</v>
      </c>
      <c r="Q758" s="136">
        <v>2.8999999999999998E-3</v>
      </c>
      <c r="R758" s="136">
        <f>Q758*H758</f>
        <v>1.3745999999999998</v>
      </c>
      <c r="S758" s="136">
        <v>0</v>
      </c>
      <c r="T758" s="137">
        <f>S758*H758</f>
        <v>0</v>
      </c>
      <c r="AR758" s="138" t="s">
        <v>333</v>
      </c>
      <c r="AT758" s="138" t="s">
        <v>413</v>
      </c>
      <c r="AU758" s="138" t="s">
        <v>81</v>
      </c>
      <c r="AY758" s="17" t="s">
        <v>127</v>
      </c>
      <c r="BE758" s="139">
        <f>IF(N758="základní",J758,0)</f>
        <v>0</v>
      </c>
      <c r="BF758" s="139">
        <f>IF(N758="snížená",J758,0)</f>
        <v>0</v>
      </c>
      <c r="BG758" s="139">
        <f>IF(N758="zákl. přenesená",J758,0)</f>
        <v>0</v>
      </c>
      <c r="BH758" s="139">
        <f>IF(N758="sníž. přenesená",J758,0)</f>
        <v>0</v>
      </c>
      <c r="BI758" s="139">
        <f>IF(N758="nulová",J758,0)</f>
        <v>0</v>
      </c>
      <c r="BJ758" s="17" t="s">
        <v>79</v>
      </c>
      <c r="BK758" s="139">
        <f>ROUND(I758*H758,2)</f>
        <v>0</v>
      </c>
      <c r="BL758" s="17" t="s">
        <v>229</v>
      </c>
      <c r="BM758" s="138" t="s">
        <v>1661</v>
      </c>
    </row>
    <row r="759" spans="2:65" s="12" customFormat="1">
      <c r="B759" s="144"/>
      <c r="D759" s="145" t="s">
        <v>138</v>
      </c>
      <c r="F759" s="147" t="s">
        <v>1662</v>
      </c>
      <c r="H759" s="148">
        <v>474</v>
      </c>
      <c r="I759" s="149"/>
      <c r="L759" s="144"/>
      <c r="M759" s="150"/>
      <c r="T759" s="151"/>
      <c r="AT759" s="146" t="s">
        <v>138</v>
      </c>
      <c r="AU759" s="146" t="s">
        <v>81</v>
      </c>
      <c r="AV759" s="12" t="s">
        <v>81</v>
      </c>
      <c r="AW759" s="12" t="s">
        <v>4</v>
      </c>
      <c r="AX759" s="12" t="s">
        <v>79</v>
      </c>
      <c r="AY759" s="146" t="s">
        <v>127</v>
      </c>
    </row>
    <row r="760" spans="2:65" s="1" customFormat="1" ht="16.5" customHeight="1">
      <c r="B760" s="32"/>
      <c r="C760" s="159" t="s">
        <v>1663</v>
      </c>
      <c r="D760" s="159" t="s">
        <v>413</v>
      </c>
      <c r="E760" s="160" t="s">
        <v>1664</v>
      </c>
      <c r="F760" s="161" t="s">
        <v>1665</v>
      </c>
      <c r="G760" s="162" t="s">
        <v>304</v>
      </c>
      <c r="H760" s="163">
        <v>474</v>
      </c>
      <c r="I760" s="164"/>
      <c r="J760" s="165">
        <f>ROUND(I760*H760,2)</f>
        <v>0</v>
      </c>
      <c r="K760" s="161" t="s">
        <v>133</v>
      </c>
      <c r="L760" s="166"/>
      <c r="M760" s="167" t="s">
        <v>19</v>
      </c>
      <c r="N760" s="168" t="s">
        <v>42</v>
      </c>
      <c r="P760" s="136">
        <f>O760*H760</f>
        <v>0</v>
      </c>
      <c r="Q760" s="136">
        <v>2.8999999999999998E-3</v>
      </c>
      <c r="R760" s="136">
        <f>Q760*H760</f>
        <v>1.3745999999999998</v>
      </c>
      <c r="S760" s="136">
        <v>0</v>
      </c>
      <c r="T760" s="137">
        <f>S760*H760</f>
        <v>0</v>
      </c>
      <c r="AR760" s="138" t="s">
        <v>333</v>
      </c>
      <c r="AT760" s="138" t="s">
        <v>413</v>
      </c>
      <c r="AU760" s="138" t="s">
        <v>81</v>
      </c>
      <c r="AY760" s="17" t="s">
        <v>127</v>
      </c>
      <c r="BE760" s="139">
        <f>IF(N760="základní",J760,0)</f>
        <v>0</v>
      </c>
      <c r="BF760" s="139">
        <f>IF(N760="snížená",J760,0)</f>
        <v>0</v>
      </c>
      <c r="BG760" s="139">
        <f>IF(N760="zákl. přenesená",J760,0)</f>
        <v>0</v>
      </c>
      <c r="BH760" s="139">
        <f>IF(N760="sníž. přenesená",J760,0)</f>
        <v>0</v>
      </c>
      <c r="BI760" s="139">
        <f>IF(N760="nulová",J760,0)</f>
        <v>0</v>
      </c>
      <c r="BJ760" s="17" t="s">
        <v>79</v>
      </c>
      <c r="BK760" s="139">
        <f>ROUND(I760*H760,2)</f>
        <v>0</v>
      </c>
      <c r="BL760" s="17" t="s">
        <v>229</v>
      </c>
      <c r="BM760" s="138" t="s">
        <v>1666</v>
      </c>
    </row>
    <row r="761" spans="2:65" s="12" customFormat="1">
      <c r="B761" s="144"/>
      <c r="D761" s="145" t="s">
        <v>138</v>
      </c>
      <c r="F761" s="147" t="s">
        <v>1662</v>
      </c>
      <c r="H761" s="148">
        <v>474</v>
      </c>
      <c r="I761" s="149"/>
      <c r="L761" s="144"/>
      <c r="M761" s="150"/>
      <c r="T761" s="151"/>
      <c r="AT761" s="146" t="s">
        <v>138</v>
      </c>
      <c r="AU761" s="146" t="s">
        <v>81</v>
      </c>
      <c r="AV761" s="12" t="s">
        <v>81</v>
      </c>
      <c r="AW761" s="12" t="s">
        <v>4</v>
      </c>
      <c r="AX761" s="12" t="s">
        <v>79</v>
      </c>
      <c r="AY761" s="146" t="s">
        <v>127</v>
      </c>
    </row>
    <row r="762" spans="2:65" s="1" customFormat="1" ht="16.5" customHeight="1">
      <c r="B762" s="32"/>
      <c r="C762" s="159" t="s">
        <v>1667</v>
      </c>
      <c r="D762" s="159" t="s">
        <v>413</v>
      </c>
      <c r="E762" s="160" t="s">
        <v>1668</v>
      </c>
      <c r="F762" s="161" t="s">
        <v>1669</v>
      </c>
      <c r="G762" s="162" t="s">
        <v>304</v>
      </c>
      <c r="H762" s="163">
        <v>100</v>
      </c>
      <c r="I762" s="164"/>
      <c r="J762" s="165">
        <f>ROUND(I762*H762,2)</f>
        <v>0</v>
      </c>
      <c r="K762" s="161" t="s">
        <v>133</v>
      </c>
      <c r="L762" s="166"/>
      <c r="M762" s="167" t="s">
        <v>19</v>
      </c>
      <c r="N762" s="168" t="s">
        <v>42</v>
      </c>
      <c r="P762" s="136">
        <f>O762*H762</f>
        <v>0</v>
      </c>
      <c r="Q762" s="136">
        <v>4.1000000000000003E-3</v>
      </c>
      <c r="R762" s="136">
        <f>Q762*H762</f>
        <v>0.41000000000000003</v>
      </c>
      <c r="S762" s="136">
        <v>0</v>
      </c>
      <c r="T762" s="137">
        <f>S762*H762</f>
        <v>0</v>
      </c>
      <c r="AR762" s="138" t="s">
        <v>333</v>
      </c>
      <c r="AT762" s="138" t="s">
        <v>413</v>
      </c>
      <c r="AU762" s="138" t="s">
        <v>81</v>
      </c>
      <c r="AY762" s="17" t="s">
        <v>127</v>
      </c>
      <c r="BE762" s="139">
        <f>IF(N762="základní",J762,0)</f>
        <v>0</v>
      </c>
      <c r="BF762" s="139">
        <f>IF(N762="snížená",J762,0)</f>
        <v>0</v>
      </c>
      <c r="BG762" s="139">
        <f>IF(N762="zákl. přenesená",J762,0)</f>
        <v>0</v>
      </c>
      <c r="BH762" s="139">
        <f>IF(N762="sníž. přenesená",J762,0)</f>
        <v>0</v>
      </c>
      <c r="BI762" s="139">
        <f>IF(N762="nulová",J762,0)</f>
        <v>0</v>
      </c>
      <c r="BJ762" s="17" t="s">
        <v>79</v>
      </c>
      <c r="BK762" s="139">
        <f>ROUND(I762*H762,2)</f>
        <v>0</v>
      </c>
      <c r="BL762" s="17" t="s">
        <v>229</v>
      </c>
      <c r="BM762" s="138" t="s">
        <v>1670</v>
      </c>
    </row>
    <row r="763" spans="2:65" s="1" customFormat="1" ht="16.5" customHeight="1">
      <c r="B763" s="32"/>
      <c r="C763" s="159" t="s">
        <v>1671</v>
      </c>
      <c r="D763" s="159" t="s">
        <v>413</v>
      </c>
      <c r="E763" s="160" t="s">
        <v>1672</v>
      </c>
      <c r="F763" s="161" t="s">
        <v>1673</v>
      </c>
      <c r="G763" s="162" t="s">
        <v>304</v>
      </c>
      <c r="H763" s="163">
        <v>320</v>
      </c>
      <c r="I763" s="164"/>
      <c r="J763" s="165">
        <f>ROUND(I763*H763,2)</f>
        <v>0</v>
      </c>
      <c r="K763" s="161" t="s">
        <v>133</v>
      </c>
      <c r="L763" s="166"/>
      <c r="M763" s="167" t="s">
        <v>19</v>
      </c>
      <c r="N763" s="168" t="s">
        <v>42</v>
      </c>
      <c r="P763" s="136">
        <f>O763*H763</f>
        <v>0</v>
      </c>
      <c r="Q763" s="136">
        <v>3.8E-3</v>
      </c>
      <c r="R763" s="136">
        <f>Q763*H763</f>
        <v>1.216</v>
      </c>
      <c r="S763" s="136">
        <v>0</v>
      </c>
      <c r="T763" s="137">
        <f>S763*H763</f>
        <v>0</v>
      </c>
      <c r="AR763" s="138" t="s">
        <v>333</v>
      </c>
      <c r="AT763" s="138" t="s">
        <v>413</v>
      </c>
      <c r="AU763" s="138" t="s">
        <v>81</v>
      </c>
      <c r="AY763" s="17" t="s">
        <v>127</v>
      </c>
      <c r="BE763" s="139">
        <f>IF(N763="základní",J763,0)</f>
        <v>0</v>
      </c>
      <c r="BF763" s="139">
        <f>IF(N763="snížená",J763,0)</f>
        <v>0</v>
      </c>
      <c r="BG763" s="139">
        <f>IF(N763="zákl. přenesená",J763,0)</f>
        <v>0</v>
      </c>
      <c r="BH763" s="139">
        <f>IF(N763="sníž. přenesená",J763,0)</f>
        <v>0</v>
      </c>
      <c r="BI763" s="139">
        <f>IF(N763="nulová",J763,0)</f>
        <v>0</v>
      </c>
      <c r="BJ763" s="17" t="s">
        <v>79</v>
      </c>
      <c r="BK763" s="139">
        <f>ROUND(I763*H763,2)</f>
        <v>0</v>
      </c>
      <c r="BL763" s="17" t="s">
        <v>229</v>
      </c>
      <c r="BM763" s="138" t="s">
        <v>1674</v>
      </c>
    </row>
    <row r="764" spans="2:65" s="1" customFormat="1" ht="16.5" customHeight="1">
      <c r="B764" s="32"/>
      <c r="C764" s="159" t="s">
        <v>1675</v>
      </c>
      <c r="D764" s="159" t="s">
        <v>413</v>
      </c>
      <c r="E764" s="160" t="s">
        <v>1676</v>
      </c>
      <c r="F764" s="161" t="s">
        <v>1677</v>
      </c>
      <c r="G764" s="162" t="s">
        <v>304</v>
      </c>
      <c r="H764" s="163">
        <v>10</v>
      </c>
      <c r="I764" s="164"/>
      <c r="J764" s="165">
        <f>ROUND(I764*H764,2)</f>
        <v>0</v>
      </c>
      <c r="K764" s="161" t="s">
        <v>133</v>
      </c>
      <c r="L764" s="166"/>
      <c r="M764" s="167" t="s">
        <v>19</v>
      </c>
      <c r="N764" s="168" t="s">
        <v>42</v>
      </c>
      <c r="P764" s="136">
        <f>O764*H764</f>
        <v>0</v>
      </c>
      <c r="Q764" s="136">
        <v>7.0000000000000001E-3</v>
      </c>
      <c r="R764" s="136">
        <f>Q764*H764</f>
        <v>7.0000000000000007E-2</v>
      </c>
      <c r="S764" s="136">
        <v>0</v>
      </c>
      <c r="T764" s="137">
        <f>S764*H764</f>
        <v>0</v>
      </c>
      <c r="AR764" s="138" t="s">
        <v>333</v>
      </c>
      <c r="AT764" s="138" t="s">
        <v>413</v>
      </c>
      <c r="AU764" s="138" t="s">
        <v>81</v>
      </c>
      <c r="AY764" s="17" t="s">
        <v>127</v>
      </c>
      <c r="BE764" s="139">
        <f>IF(N764="základní",J764,0)</f>
        <v>0</v>
      </c>
      <c r="BF764" s="139">
        <f>IF(N764="snížená",J764,0)</f>
        <v>0</v>
      </c>
      <c r="BG764" s="139">
        <f>IF(N764="zákl. přenesená",J764,0)</f>
        <v>0</v>
      </c>
      <c r="BH764" s="139">
        <f>IF(N764="sníž. přenesená",J764,0)</f>
        <v>0</v>
      </c>
      <c r="BI764" s="139">
        <f>IF(N764="nulová",J764,0)</f>
        <v>0</v>
      </c>
      <c r="BJ764" s="17" t="s">
        <v>79</v>
      </c>
      <c r="BK764" s="139">
        <f>ROUND(I764*H764,2)</f>
        <v>0</v>
      </c>
      <c r="BL764" s="17" t="s">
        <v>229</v>
      </c>
      <c r="BM764" s="138" t="s">
        <v>1678</v>
      </c>
    </row>
    <row r="765" spans="2:65" s="1" customFormat="1" ht="16.5" customHeight="1">
      <c r="B765" s="32"/>
      <c r="C765" s="127" t="s">
        <v>1679</v>
      </c>
      <c r="D765" s="127" t="s">
        <v>129</v>
      </c>
      <c r="E765" s="128" t="s">
        <v>1680</v>
      </c>
      <c r="F765" s="129" t="s">
        <v>1681</v>
      </c>
      <c r="G765" s="130" t="s">
        <v>257</v>
      </c>
      <c r="H765" s="131">
        <v>108.65</v>
      </c>
      <c r="I765" s="132"/>
      <c r="J765" s="133">
        <f>ROUND(I765*H765,2)</f>
        <v>0</v>
      </c>
      <c r="K765" s="129" t="s">
        <v>133</v>
      </c>
      <c r="L765" s="32"/>
      <c r="M765" s="134" t="s">
        <v>19</v>
      </c>
      <c r="N765" s="135" t="s">
        <v>42</v>
      </c>
      <c r="P765" s="136">
        <f>O765*H765</f>
        <v>0</v>
      </c>
      <c r="Q765" s="136">
        <v>1.0000000000000001E-5</v>
      </c>
      <c r="R765" s="136">
        <f>Q765*H765</f>
        <v>1.0865000000000002E-3</v>
      </c>
      <c r="S765" s="136">
        <v>0</v>
      </c>
      <c r="T765" s="137">
        <f>S765*H765</f>
        <v>0</v>
      </c>
      <c r="AR765" s="138" t="s">
        <v>229</v>
      </c>
      <c r="AT765" s="138" t="s">
        <v>129</v>
      </c>
      <c r="AU765" s="138" t="s">
        <v>81</v>
      </c>
      <c r="AY765" s="17" t="s">
        <v>127</v>
      </c>
      <c r="BE765" s="139">
        <f>IF(N765="základní",J765,0)</f>
        <v>0</v>
      </c>
      <c r="BF765" s="139">
        <f>IF(N765="snížená",J765,0)</f>
        <v>0</v>
      </c>
      <c r="BG765" s="139">
        <f>IF(N765="zákl. přenesená",J765,0)</f>
        <v>0</v>
      </c>
      <c r="BH765" s="139">
        <f>IF(N765="sníž. přenesená",J765,0)</f>
        <v>0</v>
      </c>
      <c r="BI765" s="139">
        <f>IF(N765="nulová",J765,0)</f>
        <v>0</v>
      </c>
      <c r="BJ765" s="17" t="s">
        <v>79</v>
      </c>
      <c r="BK765" s="139">
        <f>ROUND(I765*H765,2)</f>
        <v>0</v>
      </c>
      <c r="BL765" s="17" t="s">
        <v>229</v>
      </c>
      <c r="BM765" s="138" t="s">
        <v>1682</v>
      </c>
    </row>
    <row r="766" spans="2:65" s="1" customFormat="1">
      <c r="B766" s="32"/>
      <c r="D766" s="140" t="s">
        <v>136</v>
      </c>
      <c r="F766" s="141" t="s">
        <v>1683</v>
      </c>
      <c r="I766" s="142"/>
      <c r="L766" s="32"/>
      <c r="M766" s="143"/>
      <c r="T766" s="51"/>
      <c r="AT766" s="17" t="s">
        <v>136</v>
      </c>
      <c r="AU766" s="17" t="s">
        <v>81</v>
      </c>
    </row>
    <row r="767" spans="2:65" s="12" customFormat="1">
      <c r="B767" s="144"/>
      <c r="D767" s="145" t="s">
        <v>138</v>
      </c>
      <c r="E767" s="146" t="s">
        <v>19</v>
      </c>
      <c r="F767" s="147" t="s">
        <v>1684</v>
      </c>
      <c r="H767" s="148">
        <v>108.65</v>
      </c>
      <c r="I767" s="149"/>
      <c r="L767" s="144"/>
      <c r="M767" s="150"/>
      <c r="T767" s="151"/>
      <c r="AT767" s="146" t="s">
        <v>138</v>
      </c>
      <c r="AU767" s="146" t="s">
        <v>81</v>
      </c>
      <c r="AV767" s="12" t="s">
        <v>81</v>
      </c>
      <c r="AW767" s="12" t="s">
        <v>33</v>
      </c>
      <c r="AX767" s="12" t="s">
        <v>79</v>
      </c>
      <c r="AY767" s="146" t="s">
        <v>127</v>
      </c>
    </row>
    <row r="768" spans="2:65" s="1" customFormat="1" ht="16.5" customHeight="1">
      <c r="B768" s="32"/>
      <c r="C768" s="159" t="s">
        <v>1685</v>
      </c>
      <c r="D768" s="159" t="s">
        <v>413</v>
      </c>
      <c r="E768" s="160" t="s">
        <v>1686</v>
      </c>
      <c r="F768" s="161" t="s">
        <v>1687</v>
      </c>
      <c r="G768" s="162" t="s">
        <v>257</v>
      </c>
      <c r="H768" s="163">
        <v>119.515</v>
      </c>
      <c r="I768" s="164"/>
      <c r="J768" s="165">
        <f>ROUND(I768*H768,2)</f>
        <v>0</v>
      </c>
      <c r="K768" s="161" t="s">
        <v>133</v>
      </c>
      <c r="L768" s="166"/>
      <c r="M768" s="167" t="s">
        <v>19</v>
      </c>
      <c r="N768" s="168" t="s">
        <v>42</v>
      </c>
      <c r="P768" s="136">
        <f>O768*H768</f>
        <v>0</v>
      </c>
      <c r="Q768" s="136">
        <v>1E-4</v>
      </c>
      <c r="R768" s="136">
        <f>Q768*H768</f>
        <v>1.19515E-2</v>
      </c>
      <c r="S768" s="136">
        <v>0</v>
      </c>
      <c r="T768" s="137">
        <f>S768*H768</f>
        <v>0</v>
      </c>
      <c r="AR768" s="138" t="s">
        <v>333</v>
      </c>
      <c r="AT768" s="138" t="s">
        <v>413</v>
      </c>
      <c r="AU768" s="138" t="s">
        <v>81</v>
      </c>
      <c r="AY768" s="17" t="s">
        <v>127</v>
      </c>
      <c r="BE768" s="139">
        <f>IF(N768="základní",J768,0)</f>
        <v>0</v>
      </c>
      <c r="BF768" s="139">
        <f>IF(N768="snížená",J768,0)</f>
        <v>0</v>
      </c>
      <c r="BG768" s="139">
        <f>IF(N768="zákl. přenesená",J768,0)</f>
        <v>0</v>
      </c>
      <c r="BH768" s="139">
        <f>IF(N768="sníž. přenesená",J768,0)</f>
        <v>0</v>
      </c>
      <c r="BI768" s="139">
        <f>IF(N768="nulová",J768,0)</f>
        <v>0</v>
      </c>
      <c r="BJ768" s="17" t="s">
        <v>79</v>
      </c>
      <c r="BK768" s="139">
        <f>ROUND(I768*H768,2)</f>
        <v>0</v>
      </c>
      <c r="BL768" s="17" t="s">
        <v>229</v>
      </c>
      <c r="BM768" s="138" t="s">
        <v>1688</v>
      </c>
    </row>
    <row r="769" spans="2:65" s="12" customFormat="1">
      <c r="B769" s="144"/>
      <c r="D769" s="145" t="s">
        <v>138</v>
      </c>
      <c r="F769" s="147" t="s">
        <v>1689</v>
      </c>
      <c r="H769" s="148">
        <v>119.515</v>
      </c>
      <c r="I769" s="149"/>
      <c r="L769" s="144"/>
      <c r="M769" s="150"/>
      <c r="T769" s="151"/>
      <c r="AT769" s="146" t="s">
        <v>138</v>
      </c>
      <c r="AU769" s="146" t="s">
        <v>81</v>
      </c>
      <c r="AV769" s="12" t="s">
        <v>81</v>
      </c>
      <c r="AW769" s="12" t="s">
        <v>4</v>
      </c>
      <c r="AX769" s="12" t="s">
        <v>79</v>
      </c>
      <c r="AY769" s="146" t="s">
        <v>127</v>
      </c>
    </row>
    <row r="770" spans="2:65" s="1" customFormat="1" ht="21.75" customHeight="1">
      <c r="B770" s="32"/>
      <c r="C770" s="127" t="s">
        <v>1690</v>
      </c>
      <c r="D770" s="127" t="s">
        <v>129</v>
      </c>
      <c r="E770" s="128" t="s">
        <v>1691</v>
      </c>
      <c r="F770" s="129" t="s">
        <v>1692</v>
      </c>
      <c r="G770" s="130" t="s">
        <v>257</v>
      </c>
      <c r="H770" s="131">
        <v>48.2</v>
      </c>
      <c r="I770" s="132"/>
      <c r="J770" s="133">
        <f>ROUND(I770*H770,2)</f>
        <v>0</v>
      </c>
      <c r="K770" s="129" t="s">
        <v>133</v>
      </c>
      <c r="L770" s="32"/>
      <c r="M770" s="134" t="s">
        <v>19</v>
      </c>
      <c r="N770" s="135" t="s">
        <v>42</v>
      </c>
      <c r="P770" s="136">
        <f>O770*H770</f>
        <v>0</v>
      </c>
      <c r="Q770" s="136">
        <v>1.25E-3</v>
      </c>
      <c r="R770" s="136">
        <f>Q770*H770</f>
        <v>6.0250000000000005E-2</v>
      </c>
      <c r="S770" s="136">
        <v>0</v>
      </c>
      <c r="T770" s="137">
        <f>S770*H770</f>
        <v>0</v>
      </c>
      <c r="AR770" s="138" t="s">
        <v>229</v>
      </c>
      <c r="AT770" s="138" t="s">
        <v>129</v>
      </c>
      <c r="AU770" s="138" t="s">
        <v>81</v>
      </c>
      <c r="AY770" s="17" t="s">
        <v>127</v>
      </c>
      <c r="BE770" s="139">
        <f>IF(N770="základní",J770,0)</f>
        <v>0</v>
      </c>
      <c r="BF770" s="139">
        <f>IF(N770="snížená",J770,0)</f>
        <v>0</v>
      </c>
      <c r="BG770" s="139">
        <f>IF(N770="zákl. přenesená",J770,0)</f>
        <v>0</v>
      </c>
      <c r="BH770" s="139">
        <f>IF(N770="sníž. přenesená",J770,0)</f>
        <v>0</v>
      </c>
      <c r="BI770" s="139">
        <f>IF(N770="nulová",J770,0)</f>
        <v>0</v>
      </c>
      <c r="BJ770" s="17" t="s">
        <v>79</v>
      </c>
      <c r="BK770" s="139">
        <f>ROUND(I770*H770,2)</f>
        <v>0</v>
      </c>
      <c r="BL770" s="17" t="s">
        <v>229</v>
      </c>
      <c r="BM770" s="138" t="s">
        <v>1693</v>
      </c>
    </row>
    <row r="771" spans="2:65" s="1" customFormat="1">
      <c r="B771" s="32"/>
      <c r="D771" s="140" t="s">
        <v>136</v>
      </c>
      <c r="F771" s="141" t="s">
        <v>1694</v>
      </c>
      <c r="I771" s="142"/>
      <c r="L771" s="32"/>
      <c r="M771" s="143"/>
      <c r="T771" s="51"/>
      <c r="AT771" s="17" t="s">
        <v>136</v>
      </c>
      <c r="AU771" s="17" t="s">
        <v>81</v>
      </c>
    </row>
    <row r="772" spans="2:65" s="12" customFormat="1">
      <c r="B772" s="144"/>
      <c r="D772" s="145" t="s">
        <v>138</v>
      </c>
      <c r="E772" s="146" t="s">
        <v>19</v>
      </c>
      <c r="F772" s="147" t="s">
        <v>1695</v>
      </c>
      <c r="H772" s="148">
        <v>48.2</v>
      </c>
      <c r="I772" s="149"/>
      <c r="L772" s="144"/>
      <c r="M772" s="150"/>
      <c r="T772" s="151"/>
      <c r="AT772" s="146" t="s">
        <v>138</v>
      </c>
      <c r="AU772" s="146" t="s">
        <v>81</v>
      </c>
      <c r="AV772" s="12" t="s">
        <v>81</v>
      </c>
      <c r="AW772" s="12" t="s">
        <v>33</v>
      </c>
      <c r="AX772" s="12" t="s">
        <v>79</v>
      </c>
      <c r="AY772" s="146" t="s">
        <v>127</v>
      </c>
    </row>
    <row r="773" spans="2:65" s="1" customFormat="1" ht="16.5" customHeight="1">
      <c r="B773" s="32"/>
      <c r="C773" s="159" t="s">
        <v>1696</v>
      </c>
      <c r="D773" s="159" t="s">
        <v>413</v>
      </c>
      <c r="E773" s="160" t="s">
        <v>1697</v>
      </c>
      <c r="F773" s="161" t="s">
        <v>1698</v>
      </c>
      <c r="G773" s="162" t="s">
        <v>304</v>
      </c>
      <c r="H773" s="163">
        <v>148.93799999999999</v>
      </c>
      <c r="I773" s="164"/>
      <c r="J773" s="165">
        <f>ROUND(I773*H773,2)</f>
        <v>0</v>
      </c>
      <c r="K773" s="161" t="s">
        <v>133</v>
      </c>
      <c r="L773" s="166"/>
      <c r="M773" s="167" t="s">
        <v>19</v>
      </c>
      <c r="N773" s="168" t="s">
        <v>42</v>
      </c>
      <c r="P773" s="136">
        <f>O773*H773</f>
        <v>0</v>
      </c>
      <c r="Q773" s="136">
        <v>3.2000000000000002E-3</v>
      </c>
      <c r="R773" s="136">
        <f>Q773*H773</f>
        <v>0.47660159999999996</v>
      </c>
      <c r="S773" s="136">
        <v>0</v>
      </c>
      <c r="T773" s="137">
        <f>S773*H773</f>
        <v>0</v>
      </c>
      <c r="AR773" s="138" t="s">
        <v>333</v>
      </c>
      <c r="AT773" s="138" t="s">
        <v>413</v>
      </c>
      <c r="AU773" s="138" t="s">
        <v>81</v>
      </c>
      <c r="AY773" s="17" t="s">
        <v>127</v>
      </c>
      <c r="BE773" s="139">
        <f>IF(N773="základní",J773,0)</f>
        <v>0</v>
      </c>
      <c r="BF773" s="139">
        <f>IF(N773="snížená",J773,0)</f>
        <v>0</v>
      </c>
      <c r="BG773" s="139">
        <f>IF(N773="zákl. přenesená",J773,0)</f>
        <v>0</v>
      </c>
      <c r="BH773" s="139">
        <f>IF(N773="sníž. přenesená",J773,0)</f>
        <v>0</v>
      </c>
      <c r="BI773" s="139">
        <f>IF(N773="nulová",J773,0)</f>
        <v>0</v>
      </c>
      <c r="BJ773" s="17" t="s">
        <v>79</v>
      </c>
      <c r="BK773" s="139">
        <f>ROUND(I773*H773,2)</f>
        <v>0</v>
      </c>
      <c r="BL773" s="17" t="s">
        <v>229</v>
      </c>
      <c r="BM773" s="138" t="s">
        <v>1699</v>
      </c>
    </row>
    <row r="774" spans="2:65" s="12" customFormat="1">
      <c r="B774" s="144"/>
      <c r="D774" s="145" t="s">
        <v>138</v>
      </c>
      <c r="F774" s="147" t="s">
        <v>1700</v>
      </c>
      <c r="H774" s="148">
        <v>148.93799999999999</v>
      </c>
      <c r="I774" s="149"/>
      <c r="L774" s="144"/>
      <c r="M774" s="150"/>
      <c r="T774" s="151"/>
      <c r="AT774" s="146" t="s">
        <v>138</v>
      </c>
      <c r="AU774" s="146" t="s">
        <v>81</v>
      </c>
      <c r="AV774" s="12" t="s">
        <v>81</v>
      </c>
      <c r="AW774" s="12" t="s">
        <v>4</v>
      </c>
      <c r="AX774" s="12" t="s">
        <v>79</v>
      </c>
      <c r="AY774" s="146" t="s">
        <v>127</v>
      </c>
    </row>
    <row r="775" spans="2:65" s="1" customFormat="1" ht="21.75" customHeight="1">
      <c r="B775" s="32"/>
      <c r="C775" s="127" t="s">
        <v>1701</v>
      </c>
      <c r="D775" s="127" t="s">
        <v>129</v>
      </c>
      <c r="E775" s="128" t="s">
        <v>1702</v>
      </c>
      <c r="F775" s="129" t="s">
        <v>1703</v>
      </c>
      <c r="G775" s="130" t="s">
        <v>304</v>
      </c>
      <c r="H775" s="131">
        <v>5</v>
      </c>
      <c r="I775" s="132"/>
      <c r="J775" s="133">
        <f>ROUND(I775*H775,2)</f>
        <v>0</v>
      </c>
      <c r="K775" s="129" t="s">
        <v>133</v>
      </c>
      <c r="L775" s="32"/>
      <c r="M775" s="134" t="s">
        <v>19</v>
      </c>
      <c r="N775" s="135" t="s">
        <v>42</v>
      </c>
      <c r="P775" s="136">
        <f>O775*H775</f>
        <v>0</v>
      </c>
      <c r="Q775" s="136">
        <v>0</v>
      </c>
      <c r="R775" s="136">
        <f>Q775*H775</f>
        <v>0</v>
      </c>
      <c r="S775" s="136">
        <v>0</v>
      </c>
      <c r="T775" s="137">
        <f>S775*H775</f>
        <v>0</v>
      </c>
      <c r="AR775" s="138" t="s">
        <v>229</v>
      </c>
      <c r="AT775" s="138" t="s">
        <v>129</v>
      </c>
      <c r="AU775" s="138" t="s">
        <v>81</v>
      </c>
      <c r="AY775" s="17" t="s">
        <v>127</v>
      </c>
      <c r="BE775" s="139">
        <f>IF(N775="základní",J775,0)</f>
        <v>0</v>
      </c>
      <c r="BF775" s="139">
        <f>IF(N775="snížená",J775,0)</f>
        <v>0</v>
      </c>
      <c r="BG775" s="139">
        <f>IF(N775="zákl. přenesená",J775,0)</f>
        <v>0</v>
      </c>
      <c r="BH775" s="139">
        <f>IF(N775="sníž. přenesená",J775,0)</f>
        <v>0</v>
      </c>
      <c r="BI775" s="139">
        <f>IF(N775="nulová",J775,0)</f>
        <v>0</v>
      </c>
      <c r="BJ775" s="17" t="s">
        <v>79</v>
      </c>
      <c r="BK775" s="139">
        <f>ROUND(I775*H775,2)</f>
        <v>0</v>
      </c>
      <c r="BL775" s="17" t="s">
        <v>229</v>
      </c>
      <c r="BM775" s="138" t="s">
        <v>1704</v>
      </c>
    </row>
    <row r="776" spans="2:65" s="1" customFormat="1">
      <c r="B776" s="32"/>
      <c r="D776" s="140" t="s">
        <v>136</v>
      </c>
      <c r="F776" s="141" t="s">
        <v>1705</v>
      </c>
      <c r="I776" s="142"/>
      <c r="L776" s="32"/>
      <c r="M776" s="143"/>
      <c r="T776" s="51"/>
      <c r="AT776" s="17" t="s">
        <v>136</v>
      </c>
      <c r="AU776" s="17" t="s">
        <v>81</v>
      </c>
    </row>
    <row r="777" spans="2:65" s="12" customFormat="1">
      <c r="B777" s="144"/>
      <c r="D777" s="145" t="s">
        <v>138</v>
      </c>
      <c r="E777" s="146" t="s">
        <v>19</v>
      </c>
      <c r="F777" s="147" t="s">
        <v>1706</v>
      </c>
      <c r="H777" s="148">
        <v>5</v>
      </c>
      <c r="I777" s="149"/>
      <c r="L777" s="144"/>
      <c r="M777" s="150"/>
      <c r="T777" s="151"/>
      <c r="AT777" s="146" t="s">
        <v>138</v>
      </c>
      <c r="AU777" s="146" t="s">
        <v>81</v>
      </c>
      <c r="AV777" s="12" t="s">
        <v>81</v>
      </c>
      <c r="AW777" s="12" t="s">
        <v>33</v>
      </c>
      <c r="AX777" s="12" t="s">
        <v>79</v>
      </c>
      <c r="AY777" s="146" t="s">
        <v>127</v>
      </c>
    </row>
    <row r="778" spans="2:65" s="1" customFormat="1" ht="16.5" customHeight="1">
      <c r="B778" s="32"/>
      <c r="C778" s="127" t="s">
        <v>1707</v>
      </c>
      <c r="D778" s="127" t="s">
        <v>129</v>
      </c>
      <c r="E778" s="128" t="s">
        <v>1708</v>
      </c>
      <c r="F778" s="129" t="s">
        <v>1709</v>
      </c>
      <c r="G778" s="130" t="s">
        <v>257</v>
      </c>
      <c r="H778" s="131">
        <v>49.648000000000003</v>
      </c>
      <c r="I778" s="132"/>
      <c r="J778" s="133">
        <f>ROUND(I778*H778,2)</f>
        <v>0</v>
      </c>
      <c r="K778" s="129" t="s">
        <v>133</v>
      </c>
      <c r="L778" s="32"/>
      <c r="M778" s="134" t="s">
        <v>19</v>
      </c>
      <c r="N778" s="135" t="s">
        <v>42</v>
      </c>
      <c r="P778" s="136">
        <f>O778*H778</f>
        <v>0</v>
      </c>
      <c r="Q778" s="136">
        <v>0</v>
      </c>
      <c r="R778" s="136">
        <f>Q778*H778</f>
        <v>0</v>
      </c>
      <c r="S778" s="136">
        <v>0</v>
      </c>
      <c r="T778" s="137">
        <f>S778*H778</f>
        <v>0</v>
      </c>
      <c r="AR778" s="138" t="s">
        <v>229</v>
      </c>
      <c r="AT778" s="138" t="s">
        <v>129</v>
      </c>
      <c r="AU778" s="138" t="s">
        <v>81</v>
      </c>
      <c r="AY778" s="17" t="s">
        <v>127</v>
      </c>
      <c r="BE778" s="139">
        <f>IF(N778="základní",J778,0)</f>
        <v>0</v>
      </c>
      <c r="BF778" s="139">
        <f>IF(N778="snížená",J778,0)</f>
        <v>0</v>
      </c>
      <c r="BG778" s="139">
        <f>IF(N778="zákl. přenesená",J778,0)</f>
        <v>0</v>
      </c>
      <c r="BH778" s="139">
        <f>IF(N778="sníž. přenesená",J778,0)</f>
        <v>0</v>
      </c>
      <c r="BI778" s="139">
        <f>IF(N778="nulová",J778,0)</f>
        <v>0</v>
      </c>
      <c r="BJ778" s="17" t="s">
        <v>79</v>
      </c>
      <c r="BK778" s="139">
        <f>ROUND(I778*H778,2)</f>
        <v>0</v>
      </c>
      <c r="BL778" s="17" t="s">
        <v>229</v>
      </c>
      <c r="BM778" s="138" t="s">
        <v>1710</v>
      </c>
    </row>
    <row r="779" spans="2:65" s="1" customFormat="1">
      <c r="B779" s="32"/>
      <c r="D779" s="140" t="s">
        <v>136</v>
      </c>
      <c r="F779" s="141" t="s">
        <v>1711</v>
      </c>
      <c r="I779" s="142"/>
      <c r="L779" s="32"/>
      <c r="M779" s="143"/>
      <c r="T779" s="51"/>
      <c r="AT779" s="17" t="s">
        <v>136</v>
      </c>
      <c r="AU779" s="17" t="s">
        <v>81</v>
      </c>
    </row>
    <row r="780" spans="2:65" s="12" customFormat="1">
      <c r="B780" s="144"/>
      <c r="D780" s="145" t="s">
        <v>138</v>
      </c>
      <c r="E780" s="146" t="s">
        <v>19</v>
      </c>
      <c r="F780" s="147" t="s">
        <v>1712</v>
      </c>
      <c r="H780" s="148">
        <v>49.648000000000003</v>
      </c>
      <c r="I780" s="149"/>
      <c r="L780" s="144"/>
      <c r="M780" s="150"/>
      <c r="T780" s="151"/>
      <c r="AT780" s="146" t="s">
        <v>138</v>
      </c>
      <c r="AU780" s="146" t="s">
        <v>81</v>
      </c>
      <c r="AV780" s="12" t="s">
        <v>81</v>
      </c>
      <c r="AW780" s="12" t="s">
        <v>33</v>
      </c>
      <c r="AX780" s="12" t="s">
        <v>79</v>
      </c>
      <c r="AY780" s="146" t="s">
        <v>127</v>
      </c>
    </row>
    <row r="781" spans="2:65" s="1" customFormat="1" ht="21.75" customHeight="1">
      <c r="B781" s="32"/>
      <c r="C781" s="127" t="s">
        <v>1713</v>
      </c>
      <c r="D781" s="127" t="s">
        <v>129</v>
      </c>
      <c r="E781" s="128" t="s">
        <v>1714</v>
      </c>
      <c r="F781" s="129" t="s">
        <v>1715</v>
      </c>
      <c r="G781" s="130" t="s">
        <v>132</v>
      </c>
      <c r="H781" s="131">
        <v>790</v>
      </c>
      <c r="I781" s="132"/>
      <c r="J781" s="133">
        <f>ROUND(I781*H781,2)</f>
        <v>0</v>
      </c>
      <c r="K781" s="129" t="s">
        <v>133</v>
      </c>
      <c r="L781" s="32"/>
      <c r="M781" s="134" t="s">
        <v>19</v>
      </c>
      <c r="N781" s="135" t="s">
        <v>42</v>
      </c>
      <c r="P781" s="136">
        <f>O781*H781</f>
        <v>0</v>
      </c>
      <c r="Q781" s="136">
        <v>4.0000000000000003E-5</v>
      </c>
      <c r="R781" s="136">
        <f>Q781*H781</f>
        <v>3.1600000000000003E-2</v>
      </c>
      <c r="S781" s="136">
        <v>0</v>
      </c>
      <c r="T781" s="137">
        <f>S781*H781</f>
        <v>0</v>
      </c>
      <c r="AR781" s="138" t="s">
        <v>229</v>
      </c>
      <c r="AT781" s="138" t="s">
        <v>129</v>
      </c>
      <c r="AU781" s="138" t="s">
        <v>81</v>
      </c>
      <c r="AY781" s="17" t="s">
        <v>127</v>
      </c>
      <c r="BE781" s="139">
        <f>IF(N781="základní",J781,0)</f>
        <v>0</v>
      </c>
      <c r="BF781" s="139">
        <f>IF(N781="snížená",J781,0)</f>
        <v>0</v>
      </c>
      <c r="BG781" s="139">
        <f>IF(N781="zákl. přenesená",J781,0)</f>
        <v>0</v>
      </c>
      <c r="BH781" s="139">
        <f>IF(N781="sníž. přenesená",J781,0)</f>
        <v>0</v>
      </c>
      <c r="BI781" s="139">
        <f>IF(N781="nulová",J781,0)</f>
        <v>0</v>
      </c>
      <c r="BJ781" s="17" t="s">
        <v>79</v>
      </c>
      <c r="BK781" s="139">
        <f>ROUND(I781*H781,2)</f>
        <v>0</v>
      </c>
      <c r="BL781" s="17" t="s">
        <v>229</v>
      </c>
      <c r="BM781" s="138" t="s">
        <v>1716</v>
      </c>
    </row>
    <row r="782" spans="2:65" s="1" customFormat="1">
      <c r="B782" s="32"/>
      <c r="D782" s="140" t="s">
        <v>136</v>
      </c>
      <c r="F782" s="141" t="s">
        <v>1717</v>
      </c>
      <c r="I782" s="142"/>
      <c r="L782" s="32"/>
      <c r="M782" s="143"/>
      <c r="T782" s="51"/>
      <c r="AT782" s="17" t="s">
        <v>136</v>
      </c>
      <c r="AU782" s="17" t="s">
        <v>81</v>
      </c>
    </row>
    <row r="783" spans="2:65" s="12" customFormat="1">
      <c r="B783" s="144"/>
      <c r="D783" s="145" t="s">
        <v>138</v>
      </c>
      <c r="E783" s="146" t="s">
        <v>19</v>
      </c>
      <c r="F783" s="147" t="s">
        <v>1322</v>
      </c>
      <c r="H783" s="148">
        <v>790</v>
      </c>
      <c r="I783" s="149"/>
      <c r="L783" s="144"/>
      <c r="M783" s="150"/>
      <c r="T783" s="151"/>
      <c r="AT783" s="146" t="s">
        <v>138</v>
      </c>
      <c r="AU783" s="146" t="s">
        <v>81</v>
      </c>
      <c r="AV783" s="12" t="s">
        <v>81</v>
      </c>
      <c r="AW783" s="12" t="s">
        <v>33</v>
      </c>
      <c r="AX783" s="12" t="s">
        <v>79</v>
      </c>
      <c r="AY783" s="146" t="s">
        <v>127</v>
      </c>
    </row>
    <row r="784" spans="2:65" s="1" customFormat="1" ht="16.5" customHeight="1">
      <c r="B784" s="32"/>
      <c r="C784" s="127" t="s">
        <v>1718</v>
      </c>
      <c r="D784" s="127" t="s">
        <v>129</v>
      </c>
      <c r="E784" s="128" t="s">
        <v>1719</v>
      </c>
      <c r="F784" s="129" t="s">
        <v>1720</v>
      </c>
      <c r="G784" s="130" t="s">
        <v>304</v>
      </c>
      <c r="H784" s="131">
        <v>5</v>
      </c>
      <c r="I784" s="132"/>
      <c r="J784" s="133">
        <f>ROUND(I784*H784,2)</f>
        <v>0</v>
      </c>
      <c r="K784" s="129" t="s">
        <v>133</v>
      </c>
      <c r="L784" s="32"/>
      <c r="M784" s="134" t="s">
        <v>19</v>
      </c>
      <c r="N784" s="135" t="s">
        <v>42</v>
      </c>
      <c r="P784" s="136">
        <f>O784*H784</f>
        <v>0</v>
      </c>
      <c r="Q784" s="136">
        <v>0</v>
      </c>
      <c r="R784" s="136">
        <f>Q784*H784</f>
        <v>0</v>
      </c>
      <c r="S784" s="136">
        <v>0</v>
      </c>
      <c r="T784" s="137">
        <f>S784*H784</f>
        <v>0</v>
      </c>
      <c r="AR784" s="138" t="s">
        <v>229</v>
      </c>
      <c r="AT784" s="138" t="s">
        <v>129</v>
      </c>
      <c r="AU784" s="138" t="s">
        <v>81</v>
      </c>
      <c r="AY784" s="17" t="s">
        <v>127</v>
      </c>
      <c r="BE784" s="139">
        <f>IF(N784="základní",J784,0)</f>
        <v>0</v>
      </c>
      <c r="BF784" s="139">
        <f>IF(N784="snížená",J784,0)</f>
        <v>0</v>
      </c>
      <c r="BG784" s="139">
        <f>IF(N784="zákl. přenesená",J784,0)</f>
        <v>0</v>
      </c>
      <c r="BH784" s="139">
        <f>IF(N784="sníž. přenesená",J784,0)</f>
        <v>0</v>
      </c>
      <c r="BI784" s="139">
        <f>IF(N784="nulová",J784,0)</f>
        <v>0</v>
      </c>
      <c r="BJ784" s="17" t="s">
        <v>79</v>
      </c>
      <c r="BK784" s="139">
        <f>ROUND(I784*H784,2)</f>
        <v>0</v>
      </c>
      <c r="BL784" s="17" t="s">
        <v>229</v>
      </c>
      <c r="BM784" s="138" t="s">
        <v>1721</v>
      </c>
    </row>
    <row r="785" spans="2:65" s="1" customFormat="1">
      <c r="B785" s="32"/>
      <c r="D785" s="140" t="s">
        <v>136</v>
      </c>
      <c r="F785" s="141" t="s">
        <v>1722</v>
      </c>
      <c r="I785" s="142"/>
      <c r="L785" s="32"/>
      <c r="M785" s="143"/>
      <c r="T785" s="51"/>
      <c r="AT785" s="17" t="s">
        <v>136</v>
      </c>
      <c r="AU785" s="17" t="s">
        <v>81</v>
      </c>
    </row>
    <row r="786" spans="2:65" s="12" customFormat="1">
      <c r="B786" s="144"/>
      <c r="D786" s="145" t="s">
        <v>138</v>
      </c>
      <c r="E786" s="146" t="s">
        <v>19</v>
      </c>
      <c r="F786" s="147" t="s">
        <v>1706</v>
      </c>
      <c r="H786" s="148">
        <v>5</v>
      </c>
      <c r="I786" s="149"/>
      <c r="L786" s="144"/>
      <c r="M786" s="150"/>
      <c r="T786" s="151"/>
      <c r="AT786" s="146" t="s">
        <v>138</v>
      </c>
      <c r="AU786" s="146" t="s">
        <v>81</v>
      </c>
      <c r="AV786" s="12" t="s">
        <v>81</v>
      </c>
      <c r="AW786" s="12" t="s">
        <v>33</v>
      </c>
      <c r="AX786" s="12" t="s">
        <v>79</v>
      </c>
      <c r="AY786" s="146" t="s">
        <v>127</v>
      </c>
    </row>
    <row r="787" spans="2:65" s="1" customFormat="1" ht="16.5" customHeight="1">
      <c r="B787" s="32"/>
      <c r="C787" s="159" t="s">
        <v>1723</v>
      </c>
      <c r="D787" s="159" t="s">
        <v>413</v>
      </c>
      <c r="E787" s="160" t="s">
        <v>1724</v>
      </c>
      <c r="F787" s="161" t="s">
        <v>1725</v>
      </c>
      <c r="G787" s="162" t="s">
        <v>304</v>
      </c>
      <c r="H787" s="163">
        <v>5</v>
      </c>
      <c r="I787" s="164"/>
      <c r="J787" s="165">
        <f>ROUND(I787*H787,2)</f>
        <v>0</v>
      </c>
      <c r="K787" s="161" t="s">
        <v>133</v>
      </c>
      <c r="L787" s="166"/>
      <c r="M787" s="167" t="s">
        <v>19</v>
      </c>
      <c r="N787" s="168" t="s">
        <v>42</v>
      </c>
      <c r="P787" s="136">
        <f>O787*H787</f>
        <v>0</v>
      </c>
      <c r="Q787" s="136">
        <v>1.4E-2</v>
      </c>
      <c r="R787" s="136">
        <f>Q787*H787</f>
        <v>7.0000000000000007E-2</v>
      </c>
      <c r="S787" s="136">
        <v>0</v>
      </c>
      <c r="T787" s="137">
        <f>S787*H787</f>
        <v>0</v>
      </c>
      <c r="AR787" s="138" t="s">
        <v>333</v>
      </c>
      <c r="AT787" s="138" t="s">
        <v>413</v>
      </c>
      <c r="AU787" s="138" t="s">
        <v>81</v>
      </c>
      <c r="AY787" s="17" t="s">
        <v>127</v>
      </c>
      <c r="BE787" s="139">
        <f>IF(N787="základní",J787,0)</f>
        <v>0</v>
      </c>
      <c r="BF787" s="139">
        <f>IF(N787="snížená",J787,0)</f>
        <v>0</v>
      </c>
      <c r="BG787" s="139">
        <f>IF(N787="zákl. přenesená",J787,0)</f>
        <v>0</v>
      </c>
      <c r="BH787" s="139">
        <f>IF(N787="sníž. přenesená",J787,0)</f>
        <v>0</v>
      </c>
      <c r="BI787" s="139">
        <f>IF(N787="nulová",J787,0)</f>
        <v>0</v>
      </c>
      <c r="BJ787" s="17" t="s">
        <v>79</v>
      </c>
      <c r="BK787" s="139">
        <f>ROUND(I787*H787,2)</f>
        <v>0</v>
      </c>
      <c r="BL787" s="17" t="s">
        <v>229</v>
      </c>
      <c r="BM787" s="138" t="s">
        <v>1726</v>
      </c>
    </row>
    <row r="788" spans="2:65" s="1" customFormat="1" ht="16.5" customHeight="1">
      <c r="B788" s="32"/>
      <c r="C788" s="127" t="s">
        <v>1727</v>
      </c>
      <c r="D788" s="127" t="s">
        <v>129</v>
      </c>
      <c r="E788" s="128" t="s">
        <v>1728</v>
      </c>
      <c r="F788" s="129" t="s">
        <v>1729</v>
      </c>
      <c r="G788" s="130" t="s">
        <v>304</v>
      </c>
      <c r="H788" s="131">
        <v>1</v>
      </c>
      <c r="I788" s="132"/>
      <c r="J788" s="133">
        <f>ROUND(I788*H788,2)</f>
        <v>0</v>
      </c>
      <c r="K788" s="129" t="s">
        <v>133</v>
      </c>
      <c r="L788" s="32"/>
      <c r="M788" s="134" t="s">
        <v>19</v>
      </c>
      <c r="N788" s="135" t="s">
        <v>42</v>
      </c>
      <c r="P788" s="136">
        <f>O788*H788</f>
        <v>0</v>
      </c>
      <c r="Q788" s="136">
        <v>0</v>
      </c>
      <c r="R788" s="136">
        <f>Q788*H788</f>
        <v>0</v>
      </c>
      <c r="S788" s="136">
        <v>0</v>
      </c>
      <c r="T788" s="137">
        <f>S788*H788</f>
        <v>0</v>
      </c>
      <c r="AR788" s="138" t="s">
        <v>229</v>
      </c>
      <c r="AT788" s="138" t="s">
        <v>129</v>
      </c>
      <c r="AU788" s="138" t="s">
        <v>81</v>
      </c>
      <c r="AY788" s="17" t="s">
        <v>127</v>
      </c>
      <c r="BE788" s="139">
        <f>IF(N788="základní",J788,0)</f>
        <v>0</v>
      </c>
      <c r="BF788" s="139">
        <f>IF(N788="snížená",J788,0)</f>
        <v>0</v>
      </c>
      <c r="BG788" s="139">
        <f>IF(N788="zákl. přenesená",J788,0)</f>
        <v>0</v>
      </c>
      <c r="BH788" s="139">
        <f>IF(N788="sníž. přenesená",J788,0)</f>
        <v>0</v>
      </c>
      <c r="BI788" s="139">
        <f>IF(N788="nulová",J788,0)</f>
        <v>0</v>
      </c>
      <c r="BJ788" s="17" t="s">
        <v>79</v>
      </c>
      <c r="BK788" s="139">
        <f>ROUND(I788*H788,2)</f>
        <v>0</v>
      </c>
      <c r="BL788" s="17" t="s">
        <v>229</v>
      </c>
      <c r="BM788" s="138" t="s">
        <v>1730</v>
      </c>
    </row>
    <row r="789" spans="2:65" s="1" customFormat="1">
      <c r="B789" s="32"/>
      <c r="D789" s="140" t="s">
        <v>136</v>
      </c>
      <c r="F789" s="141" t="s">
        <v>1731</v>
      </c>
      <c r="I789" s="142"/>
      <c r="L789" s="32"/>
      <c r="M789" s="143"/>
      <c r="T789" s="51"/>
      <c r="AT789" s="17" t="s">
        <v>136</v>
      </c>
      <c r="AU789" s="17" t="s">
        <v>81</v>
      </c>
    </row>
    <row r="790" spans="2:65" s="12" customFormat="1">
      <c r="B790" s="144"/>
      <c r="D790" s="145" t="s">
        <v>138</v>
      </c>
      <c r="E790" s="146" t="s">
        <v>19</v>
      </c>
      <c r="F790" s="147" t="s">
        <v>1732</v>
      </c>
      <c r="H790" s="148">
        <v>1</v>
      </c>
      <c r="I790" s="149"/>
      <c r="L790" s="144"/>
      <c r="M790" s="150"/>
      <c r="T790" s="151"/>
      <c r="AT790" s="146" t="s">
        <v>138</v>
      </c>
      <c r="AU790" s="146" t="s">
        <v>81</v>
      </c>
      <c r="AV790" s="12" t="s">
        <v>81</v>
      </c>
      <c r="AW790" s="12" t="s">
        <v>33</v>
      </c>
      <c r="AX790" s="12" t="s">
        <v>79</v>
      </c>
      <c r="AY790" s="146" t="s">
        <v>127</v>
      </c>
    </row>
    <row r="791" spans="2:65" s="1" customFormat="1" ht="16.5" customHeight="1">
      <c r="B791" s="32"/>
      <c r="C791" s="159" t="s">
        <v>1733</v>
      </c>
      <c r="D791" s="159" t="s">
        <v>413</v>
      </c>
      <c r="E791" s="160" t="s">
        <v>1734</v>
      </c>
      <c r="F791" s="161" t="s">
        <v>1735</v>
      </c>
      <c r="G791" s="162" t="s">
        <v>1736</v>
      </c>
      <c r="H791" s="163">
        <v>1</v>
      </c>
      <c r="I791" s="164"/>
      <c r="J791" s="165">
        <f>ROUND(I791*H791,2)</f>
        <v>0</v>
      </c>
      <c r="K791" s="161" t="s">
        <v>133</v>
      </c>
      <c r="L791" s="166"/>
      <c r="M791" s="167" t="s">
        <v>19</v>
      </c>
      <c r="N791" s="168" t="s">
        <v>42</v>
      </c>
      <c r="P791" s="136">
        <f>O791*H791</f>
        <v>0</v>
      </c>
      <c r="Q791" s="136">
        <v>6.0000000000000001E-3</v>
      </c>
      <c r="R791" s="136">
        <f>Q791*H791</f>
        <v>6.0000000000000001E-3</v>
      </c>
      <c r="S791" s="136">
        <v>0</v>
      </c>
      <c r="T791" s="137">
        <f>S791*H791</f>
        <v>0</v>
      </c>
      <c r="AR791" s="138" t="s">
        <v>333</v>
      </c>
      <c r="AT791" s="138" t="s">
        <v>413</v>
      </c>
      <c r="AU791" s="138" t="s">
        <v>81</v>
      </c>
      <c r="AY791" s="17" t="s">
        <v>127</v>
      </c>
      <c r="BE791" s="139">
        <f>IF(N791="základní",J791,0)</f>
        <v>0</v>
      </c>
      <c r="BF791" s="139">
        <f>IF(N791="snížená",J791,0)</f>
        <v>0</v>
      </c>
      <c r="BG791" s="139">
        <f>IF(N791="zákl. přenesená",J791,0)</f>
        <v>0</v>
      </c>
      <c r="BH791" s="139">
        <f>IF(N791="sníž. přenesená",J791,0)</f>
        <v>0</v>
      </c>
      <c r="BI791" s="139">
        <f>IF(N791="nulová",J791,0)</f>
        <v>0</v>
      </c>
      <c r="BJ791" s="17" t="s">
        <v>79</v>
      </c>
      <c r="BK791" s="139">
        <f>ROUND(I791*H791,2)</f>
        <v>0</v>
      </c>
      <c r="BL791" s="17" t="s">
        <v>229</v>
      </c>
      <c r="BM791" s="138" t="s">
        <v>1737</v>
      </c>
    </row>
    <row r="792" spans="2:65" s="1" customFormat="1" ht="16.5" customHeight="1">
      <c r="B792" s="32"/>
      <c r="C792" s="127" t="s">
        <v>1738</v>
      </c>
      <c r="D792" s="127" t="s">
        <v>129</v>
      </c>
      <c r="E792" s="128" t="s">
        <v>1739</v>
      </c>
      <c r="F792" s="129" t="s">
        <v>1740</v>
      </c>
      <c r="G792" s="130" t="s">
        <v>304</v>
      </c>
      <c r="H792" s="131">
        <v>4</v>
      </c>
      <c r="I792" s="132"/>
      <c r="J792" s="133">
        <f>ROUND(I792*H792,2)</f>
        <v>0</v>
      </c>
      <c r="K792" s="129" t="s">
        <v>133</v>
      </c>
      <c r="L792" s="32"/>
      <c r="M792" s="134" t="s">
        <v>19</v>
      </c>
      <c r="N792" s="135" t="s">
        <v>42</v>
      </c>
      <c r="P792" s="136">
        <f>O792*H792</f>
        <v>0</v>
      </c>
      <c r="Q792" s="136">
        <v>0</v>
      </c>
      <c r="R792" s="136">
        <f>Q792*H792</f>
        <v>0</v>
      </c>
      <c r="S792" s="136">
        <v>0</v>
      </c>
      <c r="T792" s="137">
        <f>S792*H792</f>
        <v>0</v>
      </c>
      <c r="AR792" s="138" t="s">
        <v>229</v>
      </c>
      <c r="AT792" s="138" t="s">
        <v>129</v>
      </c>
      <c r="AU792" s="138" t="s">
        <v>81</v>
      </c>
      <c r="AY792" s="17" t="s">
        <v>127</v>
      </c>
      <c r="BE792" s="139">
        <f>IF(N792="základní",J792,0)</f>
        <v>0</v>
      </c>
      <c r="BF792" s="139">
        <f>IF(N792="snížená",J792,0)</f>
        <v>0</v>
      </c>
      <c r="BG792" s="139">
        <f>IF(N792="zákl. přenesená",J792,0)</f>
        <v>0</v>
      </c>
      <c r="BH792" s="139">
        <f>IF(N792="sníž. přenesená",J792,0)</f>
        <v>0</v>
      </c>
      <c r="BI792" s="139">
        <f>IF(N792="nulová",J792,0)</f>
        <v>0</v>
      </c>
      <c r="BJ792" s="17" t="s">
        <v>79</v>
      </c>
      <c r="BK792" s="139">
        <f>ROUND(I792*H792,2)</f>
        <v>0</v>
      </c>
      <c r="BL792" s="17" t="s">
        <v>229</v>
      </c>
      <c r="BM792" s="138" t="s">
        <v>1741</v>
      </c>
    </row>
    <row r="793" spans="2:65" s="1" customFormat="1">
      <c r="B793" s="32"/>
      <c r="D793" s="140" t="s">
        <v>136</v>
      </c>
      <c r="F793" s="141" t="s">
        <v>1742</v>
      </c>
      <c r="I793" s="142"/>
      <c r="L793" s="32"/>
      <c r="M793" s="143"/>
      <c r="T793" s="51"/>
      <c r="AT793" s="17" t="s">
        <v>136</v>
      </c>
      <c r="AU793" s="17" t="s">
        <v>81</v>
      </c>
    </row>
    <row r="794" spans="2:65" s="12" customFormat="1">
      <c r="B794" s="144"/>
      <c r="D794" s="145" t="s">
        <v>138</v>
      </c>
      <c r="E794" s="146" t="s">
        <v>19</v>
      </c>
      <c r="F794" s="147" t="s">
        <v>1743</v>
      </c>
      <c r="H794" s="148">
        <v>4</v>
      </c>
      <c r="I794" s="149"/>
      <c r="L794" s="144"/>
      <c r="M794" s="150"/>
      <c r="T794" s="151"/>
      <c r="AT794" s="146" t="s">
        <v>138</v>
      </c>
      <c r="AU794" s="146" t="s">
        <v>81</v>
      </c>
      <c r="AV794" s="12" t="s">
        <v>81</v>
      </c>
      <c r="AW794" s="12" t="s">
        <v>33</v>
      </c>
      <c r="AX794" s="12" t="s">
        <v>79</v>
      </c>
      <c r="AY794" s="146" t="s">
        <v>127</v>
      </c>
    </row>
    <row r="795" spans="2:65" s="1" customFormat="1" ht="16.5" customHeight="1">
      <c r="B795" s="32"/>
      <c r="C795" s="159" t="s">
        <v>1744</v>
      </c>
      <c r="D795" s="159" t="s">
        <v>413</v>
      </c>
      <c r="E795" s="160" t="s">
        <v>1745</v>
      </c>
      <c r="F795" s="161" t="s">
        <v>1746</v>
      </c>
      <c r="G795" s="162" t="s">
        <v>1736</v>
      </c>
      <c r="H795" s="163">
        <v>4</v>
      </c>
      <c r="I795" s="164"/>
      <c r="J795" s="165">
        <f>ROUND(I795*H795,2)</f>
        <v>0</v>
      </c>
      <c r="K795" s="161" t="s">
        <v>133</v>
      </c>
      <c r="L795" s="166"/>
      <c r="M795" s="167" t="s">
        <v>19</v>
      </c>
      <c r="N795" s="168" t="s">
        <v>42</v>
      </c>
      <c r="P795" s="136">
        <f>O795*H795</f>
        <v>0</v>
      </c>
      <c r="Q795" s="136">
        <v>7.6E-3</v>
      </c>
      <c r="R795" s="136">
        <f>Q795*H795</f>
        <v>3.04E-2</v>
      </c>
      <c r="S795" s="136">
        <v>0</v>
      </c>
      <c r="T795" s="137">
        <f>S795*H795</f>
        <v>0</v>
      </c>
      <c r="AR795" s="138" t="s">
        <v>333</v>
      </c>
      <c r="AT795" s="138" t="s">
        <v>413</v>
      </c>
      <c r="AU795" s="138" t="s">
        <v>81</v>
      </c>
      <c r="AY795" s="17" t="s">
        <v>127</v>
      </c>
      <c r="BE795" s="139">
        <f>IF(N795="základní",J795,0)</f>
        <v>0</v>
      </c>
      <c r="BF795" s="139">
        <f>IF(N795="snížená",J795,0)</f>
        <v>0</v>
      </c>
      <c r="BG795" s="139">
        <f>IF(N795="zákl. přenesená",J795,0)</f>
        <v>0</v>
      </c>
      <c r="BH795" s="139">
        <f>IF(N795="sníž. přenesená",J795,0)</f>
        <v>0</v>
      </c>
      <c r="BI795" s="139">
        <f>IF(N795="nulová",J795,0)</f>
        <v>0</v>
      </c>
      <c r="BJ795" s="17" t="s">
        <v>79</v>
      </c>
      <c r="BK795" s="139">
        <f>ROUND(I795*H795,2)</f>
        <v>0</v>
      </c>
      <c r="BL795" s="17" t="s">
        <v>229</v>
      </c>
      <c r="BM795" s="138" t="s">
        <v>1747</v>
      </c>
    </row>
    <row r="796" spans="2:65" s="1" customFormat="1" ht="16.5" customHeight="1">
      <c r="B796" s="32"/>
      <c r="C796" s="127" t="s">
        <v>1748</v>
      </c>
      <c r="D796" s="127" t="s">
        <v>129</v>
      </c>
      <c r="E796" s="128" t="s">
        <v>1749</v>
      </c>
      <c r="F796" s="129" t="s">
        <v>1750</v>
      </c>
      <c r="G796" s="130" t="s">
        <v>304</v>
      </c>
      <c r="H796" s="131">
        <v>1100</v>
      </c>
      <c r="I796" s="132"/>
      <c r="J796" s="133">
        <f>ROUND(I796*H796,2)</f>
        <v>0</v>
      </c>
      <c r="K796" s="129" t="s">
        <v>133</v>
      </c>
      <c r="L796" s="32"/>
      <c r="M796" s="134" t="s">
        <v>19</v>
      </c>
      <c r="N796" s="135" t="s">
        <v>42</v>
      </c>
      <c r="P796" s="136">
        <f>O796*H796</f>
        <v>0</v>
      </c>
      <c r="Q796" s="136">
        <v>0</v>
      </c>
      <c r="R796" s="136">
        <f>Q796*H796</f>
        <v>0</v>
      </c>
      <c r="S796" s="136">
        <v>0</v>
      </c>
      <c r="T796" s="137">
        <f>S796*H796</f>
        <v>0</v>
      </c>
      <c r="AR796" s="138" t="s">
        <v>229</v>
      </c>
      <c r="AT796" s="138" t="s">
        <v>129</v>
      </c>
      <c r="AU796" s="138" t="s">
        <v>81</v>
      </c>
      <c r="AY796" s="17" t="s">
        <v>127</v>
      </c>
      <c r="BE796" s="139">
        <f>IF(N796="základní",J796,0)</f>
        <v>0</v>
      </c>
      <c r="BF796" s="139">
        <f>IF(N796="snížená",J796,0)</f>
        <v>0</v>
      </c>
      <c r="BG796" s="139">
        <f>IF(N796="zákl. přenesená",J796,0)</f>
        <v>0</v>
      </c>
      <c r="BH796" s="139">
        <f>IF(N796="sníž. přenesená",J796,0)</f>
        <v>0</v>
      </c>
      <c r="BI796" s="139">
        <f>IF(N796="nulová",J796,0)</f>
        <v>0</v>
      </c>
      <c r="BJ796" s="17" t="s">
        <v>79</v>
      </c>
      <c r="BK796" s="139">
        <f>ROUND(I796*H796,2)</f>
        <v>0</v>
      </c>
      <c r="BL796" s="17" t="s">
        <v>229</v>
      </c>
      <c r="BM796" s="138" t="s">
        <v>1751</v>
      </c>
    </row>
    <row r="797" spans="2:65" s="1" customFormat="1">
      <c r="B797" s="32"/>
      <c r="D797" s="140" t="s">
        <v>136</v>
      </c>
      <c r="F797" s="141" t="s">
        <v>1752</v>
      </c>
      <c r="I797" s="142"/>
      <c r="L797" s="32"/>
      <c r="M797" s="143"/>
      <c r="T797" s="51"/>
      <c r="AT797" s="17" t="s">
        <v>136</v>
      </c>
      <c r="AU797" s="17" t="s">
        <v>81</v>
      </c>
    </row>
    <row r="798" spans="2:65" s="12" customFormat="1">
      <c r="B798" s="144"/>
      <c r="D798" s="145" t="s">
        <v>138</v>
      </c>
      <c r="E798" s="146" t="s">
        <v>19</v>
      </c>
      <c r="F798" s="147" t="s">
        <v>1753</v>
      </c>
      <c r="H798" s="148">
        <v>1100</v>
      </c>
      <c r="I798" s="149"/>
      <c r="L798" s="144"/>
      <c r="M798" s="150"/>
      <c r="T798" s="151"/>
      <c r="AT798" s="146" t="s">
        <v>138</v>
      </c>
      <c r="AU798" s="146" t="s">
        <v>81</v>
      </c>
      <c r="AV798" s="12" t="s">
        <v>81</v>
      </c>
      <c r="AW798" s="12" t="s">
        <v>33</v>
      </c>
      <c r="AX798" s="12" t="s">
        <v>79</v>
      </c>
      <c r="AY798" s="146" t="s">
        <v>127</v>
      </c>
    </row>
    <row r="799" spans="2:65" s="1" customFormat="1" ht="16.5" customHeight="1">
      <c r="B799" s="32"/>
      <c r="C799" s="159" t="s">
        <v>1754</v>
      </c>
      <c r="D799" s="159" t="s">
        <v>413</v>
      </c>
      <c r="E799" s="160" t="s">
        <v>1755</v>
      </c>
      <c r="F799" s="161" t="s">
        <v>1756</v>
      </c>
      <c r="G799" s="162" t="s">
        <v>304</v>
      </c>
      <c r="H799" s="163">
        <v>1111</v>
      </c>
      <c r="I799" s="164"/>
      <c r="J799" s="165">
        <f>ROUND(I799*H799,2)</f>
        <v>0</v>
      </c>
      <c r="K799" s="161" t="s">
        <v>133</v>
      </c>
      <c r="L799" s="166"/>
      <c r="M799" s="167" t="s">
        <v>19</v>
      </c>
      <c r="N799" s="168" t="s">
        <v>42</v>
      </c>
      <c r="P799" s="136">
        <f>O799*H799</f>
        <v>0</v>
      </c>
      <c r="Q799" s="136">
        <v>2.2000000000000001E-4</v>
      </c>
      <c r="R799" s="136">
        <f>Q799*H799</f>
        <v>0.24442</v>
      </c>
      <c r="S799" s="136">
        <v>0</v>
      </c>
      <c r="T799" s="137">
        <f>S799*H799</f>
        <v>0</v>
      </c>
      <c r="AR799" s="138" t="s">
        <v>333</v>
      </c>
      <c r="AT799" s="138" t="s">
        <v>413</v>
      </c>
      <c r="AU799" s="138" t="s">
        <v>81</v>
      </c>
      <c r="AY799" s="17" t="s">
        <v>127</v>
      </c>
      <c r="BE799" s="139">
        <f>IF(N799="základní",J799,0)</f>
        <v>0</v>
      </c>
      <c r="BF799" s="139">
        <f>IF(N799="snížená",J799,0)</f>
        <v>0</v>
      </c>
      <c r="BG799" s="139">
        <f>IF(N799="zákl. přenesená",J799,0)</f>
        <v>0</v>
      </c>
      <c r="BH799" s="139">
        <f>IF(N799="sníž. přenesená",J799,0)</f>
        <v>0</v>
      </c>
      <c r="BI799" s="139">
        <f>IF(N799="nulová",J799,0)</f>
        <v>0</v>
      </c>
      <c r="BJ799" s="17" t="s">
        <v>79</v>
      </c>
      <c r="BK799" s="139">
        <f>ROUND(I799*H799,2)</f>
        <v>0</v>
      </c>
      <c r="BL799" s="17" t="s">
        <v>229</v>
      </c>
      <c r="BM799" s="138" t="s">
        <v>1757</v>
      </c>
    </row>
    <row r="800" spans="2:65" s="12" customFormat="1">
      <c r="B800" s="144"/>
      <c r="D800" s="145" t="s">
        <v>138</v>
      </c>
      <c r="F800" s="147" t="s">
        <v>1758</v>
      </c>
      <c r="H800" s="148">
        <v>1111</v>
      </c>
      <c r="I800" s="149"/>
      <c r="L800" s="144"/>
      <c r="M800" s="150"/>
      <c r="T800" s="151"/>
      <c r="AT800" s="146" t="s">
        <v>138</v>
      </c>
      <c r="AU800" s="146" t="s">
        <v>81</v>
      </c>
      <c r="AV800" s="12" t="s">
        <v>81</v>
      </c>
      <c r="AW800" s="12" t="s">
        <v>4</v>
      </c>
      <c r="AX800" s="12" t="s">
        <v>79</v>
      </c>
      <c r="AY800" s="146" t="s">
        <v>127</v>
      </c>
    </row>
    <row r="801" spans="2:65" s="1" customFormat="1" ht="16.5" customHeight="1">
      <c r="B801" s="32"/>
      <c r="C801" s="127" t="s">
        <v>1759</v>
      </c>
      <c r="D801" s="127" t="s">
        <v>129</v>
      </c>
      <c r="E801" s="128" t="s">
        <v>1760</v>
      </c>
      <c r="F801" s="129" t="s">
        <v>1761</v>
      </c>
      <c r="G801" s="130" t="s">
        <v>304</v>
      </c>
      <c r="H801" s="131">
        <v>5</v>
      </c>
      <c r="I801" s="132"/>
      <c r="J801" s="133">
        <f>ROUND(I801*H801,2)</f>
        <v>0</v>
      </c>
      <c r="K801" s="129" t="s">
        <v>133</v>
      </c>
      <c r="L801" s="32"/>
      <c r="M801" s="134" t="s">
        <v>19</v>
      </c>
      <c r="N801" s="135" t="s">
        <v>42</v>
      </c>
      <c r="P801" s="136">
        <f>O801*H801</f>
        <v>0</v>
      </c>
      <c r="Q801" s="136">
        <v>0</v>
      </c>
      <c r="R801" s="136">
        <f>Q801*H801</f>
        <v>0</v>
      </c>
      <c r="S801" s="136">
        <v>0</v>
      </c>
      <c r="T801" s="137">
        <f>S801*H801</f>
        <v>0</v>
      </c>
      <c r="AR801" s="138" t="s">
        <v>229</v>
      </c>
      <c r="AT801" s="138" t="s">
        <v>129</v>
      </c>
      <c r="AU801" s="138" t="s">
        <v>81</v>
      </c>
      <c r="AY801" s="17" t="s">
        <v>127</v>
      </c>
      <c r="BE801" s="139">
        <f>IF(N801="základní",J801,0)</f>
        <v>0</v>
      </c>
      <c r="BF801" s="139">
        <f>IF(N801="snížená",J801,0)</f>
        <v>0</v>
      </c>
      <c r="BG801" s="139">
        <f>IF(N801="zákl. přenesená",J801,0)</f>
        <v>0</v>
      </c>
      <c r="BH801" s="139">
        <f>IF(N801="sníž. přenesená",J801,0)</f>
        <v>0</v>
      </c>
      <c r="BI801" s="139">
        <f>IF(N801="nulová",J801,0)</f>
        <v>0</v>
      </c>
      <c r="BJ801" s="17" t="s">
        <v>79</v>
      </c>
      <c r="BK801" s="139">
        <f>ROUND(I801*H801,2)</f>
        <v>0</v>
      </c>
      <c r="BL801" s="17" t="s">
        <v>229</v>
      </c>
      <c r="BM801" s="138" t="s">
        <v>1762</v>
      </c>
    </row>
    <row r="802" spans="2:65" s="1" customFormat="1">
      <c r="B802" s="32"/>
      <c r="D802" s="140" t="s">
        <v>136</v>
      </c>
      <c r="F802" s="141" t="s">
        <v>1763</v>
      </c>
      <c r="I802" s="142"/>
      <c r="L802" s="32"/>
      <c r="M802" s="143"/>
      <c r="T802" s="51"/>
      <c r="AT802" s="17" t="s">
        <v>136</v>
      </c>
      <c r="AU802" s="17" t="s">
        <v>81</v>
      </c>
    </row>
    <row r="803" spans="2:65" s="1" customFormat="1" ht="16.5" customHeight="1">
      <c r="B803" s="32"/>
      <c r="C803" s="159" t="s">
        <v>1764</v>
      </c>
      <c r="D803" s="159" t="s">
        <v>413</v>
      </c>
      <c r="E803" s="160" t="s">
        <v>1765</v>
      </c>
      <c r="F803" s="161" t="s">
        <v>1766</v>
      </c>
      <c r="G803" s="162" t="s">
        <v>1736</v>
      </c>
      <c r="H803" s="163">
        <v>5</v>
      </c>
      <c r="I803" s="164"/>
      <c r="J803" s="165">
        <f>ROUND(I803*H803,2)</f>
        <v>0</v>
      </c>
      <c r="K803" s="161" t="s">
        <v>133</v>
      </c>
      <c r="L803" s="166"/>
      <c r="M803" s="167" t="s">
        <v>19</v>
      </c>
      <c r="N803" s="168" t="s">
        <v>42</v>
      </c>
      <c r="P803" s="136">
        <f>O803*H803</f>
        <v>0</v>
      </c>
      <c r="Q803" s="136">
        <v>0.01</v>
      </c>
      <c r="R803" s="136">
        <f>Q803*H803</f>
        <v>0.05</v>
      </c>
      <c r="S803" s="136">
        <v>0</v>
      </c>
      <c r="T803" s="137">
        <f>S803*H803</f>
        <v>0</v>
      </c>
      <c r="AR803" s="138" t="s">
        <v>333</v>
      </c>
      <c r="AT803" s="138" t="s">
        <v>413</v>
      </c>
      <c r="AU803" s="138" t="s">
        <v>81</v>
      </c>
      <c r="AY803" s="17" t="s">
        <v>127</v>
      </c>
      <c r="BE803" s="139">
        <f>IF(N803="základní",J803,0)</f>
        <v>0</v>
      </c>
      <c r="BF803" s="139">
        <f>IF(N803="snížená",J803,0)</f>
        <v>0</v>
      </c>
      <c r="BG803" s="139">
        <f>IF(N803="zákl. přenesená",J803,0)</f>
        <v>0</v>
      </c>
      <c r="BH803" s="139">
        <f>IF(N803="sníž. přenesená",J803,0)</f>
        <v>0</v>
      </c>
      <c r="BI803" s="139">
        <f>IF(N803="nulová",J803,0)</f>
        <v>0</v>
      </c>
      <c r="BJ803" s="17" t="s">
        <v>79</v>
      </c>
      <c r="BK803" s="139">
        <f>ROUND(I803*H803,2)</f>
        <v>0</v>
      </c>
      <c r="BL803" s="17" t="s">
        <v>229</v>
      </c>
      <c r="BM803" s="138" t="s">
        <v>1767</v>
      </c>
    </row>
    <row r="804" spans="2:65" s="1" customFormat="1" ht="24.2" customHeight="1">
      <c r="B804" s="32"/>
      <c r="C804" s="127" t="s">
        <v>1768</v>
      </c>
      <c r="D804" s="127" t="s">
        <v>129</v>
      </c>
      <c r="E804" s="128" t="s">
        <v>1769</v>
      </c>
      <c r="F804" s="129" t="s">
        <v>1770</v>
      </c>
      <c r="G804" s="130" t="s">
        <v>132</v>
      </c>
      <c r="H804" s="131">
        <v>29</v>
      </c>
      <c r="I804" s="132"/>
      <c r="J804" s="133">
        <f>ROUND(I804*H804,2)</f>
        <v>0</v>
      </c>
      <c r="K804" s="129" t="s">
        <v>133</v>
      </c>
      <c r="L804" s="32"/>
      <c r="M804" s="134" t="s">
        <v>19</v>
      </c>
      <c r="N804" s="135" t="s">
        <v>42</v>
      </c>
      <c r="P804" s="136">
        <f>O804*H804</f>
        <v>0</v>
      </c>
      <c r="Q804" s="136">
        <v>1.0000000000000001E-5</v>
      </c>
      <c r="R804" s="136">
        <f>Q804*H804</f>
        <v>2.9E-4</v>
      </c>
      <c r="S804" s="136">
        <v>0</v>
      </c>
      <c r="T804" s="137">
        <f>S804*H804</f>
        <v>0</v>
      </c>
      <c r="AR804" s="138" t="s">
        <v>229</v>
      </c>
      <c r="AT804" s="138" t="s">
        <v>129</v>
      </c>
      <c r="AU804" s="138" t="s">
        <v>81</v>
      </c>
      <c r="AY804" s="17" t="s">
        <v>127</v>
      </c>
      <c r="BE804" s="139">
        <f>IF(N804="základní",J804,0)</f>
        <v>0</v>
      </c>
      <c r="BF804" s="139">
        <f>IF(N804="snížená",J804,0)</f>
        <v>0</v>
      </c>
      <c r="BG804" s="139">
        <f>IF(N804="zákl. přenesená",J804,0)</f>
        <v>0</v>
      </c>
      <c r="BH804" s="139">
        <f>IF(N804="sníž. přenesená",J804,0)</f>
        <v>0</v>
      </c>
      <c r="BI804" s="139">
        <f>IF(N804="nulová",J804,0)</f>
        <v>0</v>
      </c>
      <c r="BJ804" s="17" t="s">
        <v>79</v>
      </c>
      <c r="BK804" s="139">
        <f>ROUND(I804*H804,2)</f>
        <v>0</v>
      </c>
      <c r="BL804" s="17" t="s">
        <v>229</v>
      </c>
      <c r="BM804" s="138" t="s">
        <v>1771</v>
      </c>
    </row>
    <row r="805" spans="2:65" s="1" customFormat="1">
      <c r="B805" s="32"/>
      <c r="D805" s="140" t="s">
        <v>136</v>
      </c>
      <c r="F805" s="141" t="s">
        <v>1772</v>
      </c>
      <c r="I805" s="142"/>
      <c r="L805" s="32"/>
      <c r="M805" s="143"/>
      <c r="T805" s="51"/>
      <c r="AT805" s="17" t="s">
        <v>136</v>
      </c>
      <c r="AU805" s="17" t="s">
        <v>81</v>
      </c>
    </row>
    <row r="806" spans="2:65" s="12" customFormat="1">
      <c r="B806" s="144"/>
      <c r="D806" s="145" t="s">
        <v>138</v>
      </c>
      <c r="E806" s="146" t="s">
        <v>19</v>
      </c>
      <c r="F806" s="147" t="s">
        <v>1311</v>
      </c>
      <c r="H806" s="148">
        <v>29</v>
      </c>
      <c r="I806" s="149"/>
      <c r="L806" s="144"/>
      <c r="M806" s="150"/>
      <c r="T806" s="151"/>
      <c r="AT806" s="146" t="s">
        <v>138</v>
      </c>
      <c r="AU806" s="146" t="s">
        <v>81</v>
      </c>
      <c r="AV806" s="12" t="s">
        <v>81</v>
      </c>
      <c r="AW806" s="12" t="s">
        <v>33</v>
      </c>
      <c r="AX806" s="12" t="s">
        <v>79</v>
      </c>
      <c r="AY806" s="146" t="s">
        <v>127</v>
      </c>
    </row>
    <row r="807" spans="2:65" s="1" customFormat="1" ht="16.5" customHeight="1">
      <c r="B807" s="32"/>
      <c r="C807" s="159" t="s">
        <v>1773</v>
      </c>
      <c r="D807" s="159" t="s">
        <v>413</v>
      </c>
      <c r="E807" s="160" t="s">
        <v>1447</v>
      </c>
      <c r="F807" s="161" t="s">
        <v>1448</v>
      </c>
      <c r="G807" s="162" t="s">
        <v>132</v>
      </c>
      <c r="H807" s="163">
        <v>33.35</v>
      </c>
      <c r="I807" s="164"/>
      <c r="J807" s="165">
        <f>ROUND(I807*H807,2)</f>
        <v>0</v>
      </c>
      <c r="K807" s="161" t="s">
        <v>133</v>
      </c>
      <c r="L807" s="166"/>
      <c r="M807" s="167" t="s">
        <v>19</v>
      </c>
      <c r="N807" s="168" t="s">
        <v>42</v>
      </c>
      <c r="P807" s="136">
        <f>O807*H807</f>
        <v>0</v>
      </c>
      <c r="Q807" s="136">
        <v>8.0000000000000007E-5</v>
      </c>
      <c r="R807" s="136">
        <f>Q807*H807</f>
        <v>2.6680000000000002E-3</v>
      </c>
      <c r="S807" s="136">
        <v>0</v>
      </c>
      <c r="T807" s="137">
        <f>S807*H807</f>
        <v>0</v>
      </c>
      <c r="AR807" s="138" t="s">
        <v>333</v>
      </c>
      <c r="AT807" s="138" t="s">
        <v>413</v>
      </c>
      <c r="AU807" s="138" t="s">
        <v>81</v>
      </c>
      <c r="AY807" s="17" t="s">
        <v>127</v>
      </c>
      <c r="BE807" s="139">
        <f>IF(N807="základní",J807,0)</f>
        <v>0</v>
      </c>
      <c r="BF807" s="139">
        <f>IF(N807="snížená",J807,0)</f>
        <v>0</v>
      </c>
      <c r="BG807" s="139">
        <f>IF(N807="zákl. přenesená",J807,0)</f>
        <v>0</v>
      </c>
      <c r="BH807" s="139">
        <f>IF(N807="sníž. přenesená",J807,0)</f>
        <v>0</v>
      </c>
      <c r="BI807" s="139">
        <f>IF(N807="nulová",J807,0)</f>
        <v>0</v>
      </c>
      <c r="BJ807" s="17" t="s">
        <v>79</v>
      </c>
      <c r="BK807" s="139">
        <f>ROUND(I807*H807,2)</f>
        <v>0</v>
      </c>
      <c r="BL807" s="17" t="s">
        <v>229</v>
      </c>
      <c r="BM807" s="138" t="s">
        <v>1774</v>
      </c>
    </row>
    <row r="808" spans="2:65" s="12" customFormat="1">
      <c r="B808" s="144"/>
      <c r="D808" s="145" t="s">
        <v>138</v>
      </c>
      <c r="F808" s="147" t="s">
        <v>1775</v>
      </c>
      <c r="H808" s="148">
        <v>33.35</v>
      </c>
      <c r="I808" s="149"/>
      <c r="L808" s="144"/>
      <c r="M808" s="150"/>
      <c r="T808" s="151"/>
      <c r="AT808" s="146" t="s">
        <v>138</v>
      </c>
      <c r="AU808" s="146" t="s">
        <v>81</v>
      </c>
      <c r="AV808" s="12" t="s">
        <v>81</v>
      </c>
      <c r="AW808" s="12" t="s">
        <v>4</v>
      </c>
      <c r="AX808" s="12" t="s">
        <v>79</v>
      </c>
      <c r="AY808" s="146" t="s">
        <v>127</v>
      </c>
    </row>
    <row r="809" spans="2:65" s="1" customFormat="1" ht="21.75" customHeight="1">
      <c r="B809" s="32"/>
      <c r="C809" s="127" t="s">
        <v>1776</v>
      </c>
      <c r="D809" s="127" t="s">
        <v>129</v>
      </c>
      <c r="E809" s="128" t="s">
        <v>1777</v>
      </c>
      <c r="F809" s="129" t="s">
        <v>1778</v>
      </c>
      <c r="G809" s="130" t="s">
        <v>132</v>
      </c>
      <c r="H809" s="131">
        <v>866</v>
      </c>
      <c r="I809" s="132"/>
      <c r="J809" s="133">
        <f>ROUND(I809*H809,2)</f>
        <v>0</v>
      </c>
      <c r="K809" s="129" t="s">
        <v>133</v>
      </c>
      <c r="L809" s="32"/>
      <c r="M809" s="134" t="s">
        <v>19</v>
      </c>
      <c r="N809" s="135" t="s">
        <v>42</v>
      </c>
      <c r="P809" s="136">
        <f>O809*H809</f>
        <v>0</v>
      </c>
      <c r="Q809" s="136">
        <v>0</v>
      </c>
      <c r="R809" s="136">
        <f>Q809*H809</f>
        <v>0</v>
      </c>
      <c r="S809" s="136">
        <v>0</v>
      </c>
      <c r="T809" s="137">
        <f>S809*H809</f>
        <v>0</v>
      </c>
      <c r="AR809" s="138" t="s">
        <v>229</v>
      </c>
      <c r="AT809" s="138" t="s">
        <v>129</v>
      </c>
      <c r="AU809" s="138" t="s">
        <v>81</v>
      </c>
      <c r="AY809" s="17" t="s">
        <v>127</v>
      </c>
      <c r="BE809" s="139">
        <f>IF(N809="základní",J809,0)</f>
        <v>0</v>
      </c>
      <c r="BF809" s="139">
        <f>IF(N809="snížená",J809,0)</f>
        <v>0</v>
      </c>
      <c r="BG809" s="139">
        <f>IF(N809="zákl. přenesená",J809,0)</f>
        <v>0</v>
      </c>
      <c r="BH809" s="139">
        <f>IF(N809="sníž. přenesená",J809,0)</f>
        <v>0</v>
      </c>
      <c r="BI809" s="139">
        <f>IF(N809="nulová",J809,0)</f>
        <v>0</v>
      </c>
      <c r="BJ809" s="17" t="s">
        <v>79</v>
      </c>
      <c r="BK809" s="139">
        <f>ROUND(I809*H809,2)</f>
        <v>0</v>
      </c>
      <c r="BL809" s="17" t="s">
        <v>229</v>
      </c>
      <c r="BM809" s="138" t="s">
        <v>1779</v>
      </c>
    </row>
    <row r="810" spans="2:65" s="1" customFormat="1">
      <c r="B810" s="32"/>
      <c r="D810" s="140" t="s">
        <v>136</v>
      </c>
      <c r="F810" s="141" t="s">
        <v>1780</v>
      </c>
      <c r="I810" s="142"/>
      <c r="L810" s="32"/>
      <c r="M810" s="143"/>
      <c r="T810" s="51"/>
      <c r="AT810" s="17" t="s">
        <v>136</v>
      </c>
      <c r="AU810" s="17" t="s">
        <v>81</v>
      </c>
    </row>
    <row r="811" spans="2:65" s="12" customFormat="1">
      <c r="B811" s="144"/>
      <c r="D811" s="145" t="s">
        <v>138</v>
      </c>
      <c r="E811" s="146" t="s">
        <v>19</v>
      </c>
      <c r="F811" s="147" t="s">
        <v>1322</v>
      </c>
      <c r="H811" s="148">
        <v>790</v>
      </c>
      <c r="I811" s="149"/>
      <c r="L811" s="144"/>
      <c r="M811" s="150"/>
      <c r="T811" s="151"/>
      <c r="AT811" s="146" t="s">
        <v>138</v>
      </c>
      <c r="AU811" s="146" t="s">
        <v>81</v>
      </c>
      <c r="AV811" s="12" t="s">
        <v>81</v>
      </c>
      <c r="AW811" s="12" t="s">
        <v>33</v>
      </c>
      <c r="AX811" s="12" t="s">
        <v>71</v>
      </c>
      <c r="AY811" s="146" t="s">
        <v>127</v>
      </c>
    </row>
    <row r="812" spans="2:65" s="12" customFormat="1">
      <c r="B812" s="144"/>
      <c r="D812" s="145" t="s">
        <v>138</v>
      </c>
      <c r="E812" s="146" t="s">
        <v>19</v>
      </c>
      <c r="F812" s="147" t="s">
        <v>1310</v>
      </c>
      <c r="H812" s="148">
        <v>47</v>
      </c>
      <c r="I812" s="149"/>
      <c r="L812" s="144"/>
      <c r="M812" s="150"/>
      <c r="T812" s="151"/>
      <c r="AT812" s="146" t="s">
        <v>138</v>
      </c>
      <c r="AU812" s="146" t="s">
        <v>81</v>
      </c>
      <c r="AV812" s="12" t="s">
        <v>81</v>
      </c>
      <c r="AW812" s="12" t="s">
        <v>33</v>
      </c>
      <c r="AX812" s="12" t="s">
        <v>71</v>
      </c>
      <c r="AY812" s="146" t="s">
        <v>127</v>
      </c>
    </row>
    <row r="813" spans="2:65" s="12" customFormat="1">
      <c r="B813" s="144"/>
      <c r="D813" s="145" t="s">
        <v>138</v>
      </c>
      <c r="E813" s="146" t="s">
        <v>19</v>
      </c>
      <c r="F813" s="147" t="s">
        <v>1311</v>
      </c>
      <c r="H813" s="148">
        <v>29</v>
      </c>
      <c r="I813" s="149"/>
      <c r="L813" s="144"/>
      <c r="M813" s="150"/>
      <c r="T813" s="151"/>
      <c r="AT813" s="146" t="s">
        <v>138</v>
      </c>
      <c r="AU813" s="146" t="s">
        <v>81</v>
      </c>
      <c r="AV813" s="12" t="s">
        <v>81</v>
      </c>
      <c r="AW813" s="12" t="s">
        <v>33</v>
      </c>
      <c r="AX813" s="12" t="s">
        <v>71</v>
      </c>
      <c r="AY813" s="146" t="s">
        <v>127</v>
      </c>
    </row>
    <row r="814" spans="2:65" s="13" customFormat="1">
      <c r="B814" s="152"/>
      <c r="D814" s="145" t="s">
        <v>138</v>
      </c>
      <c r="E814" s="153" t="s">
        <v>19</v>
      </c>
      <c r="F814" s="154" t="s">
        <v>152</v>
      </c>
      <c r="H814" s="155">
        <v>866</v>
      </c>
      <c r="I814" s="156"/>
      <c r="L814" s="152"/>
      <c r="M814" s="157"/>
      <c r="T814" s="158"/>
      <c r="AT814" s="153" t="s">
        <v>138</v>
      </c>
      <c r="AU814" s="153" t="s">
        <v>81</v>
      </c>
      <c r="AV814" s="13" t="s">
        <v>134</v>
      </c>
      <c r="AW814" s="13" t="s">
        <v>33</v>
      </c>
      <c r="AX814" s="13" t="s">
        <v>79</v>
      </c>
      <c r="AY814" s="153" t="s">
        <v>127</v>
      </c>
    </row>
    <row r="815" spans="2:65" s="1" customFormat="1" ht="24.2" customHeight="1">
      <c r="B815" s="32"/>
      <c r="C815" s="159" t="s">
        <v>1781</v>
      </c>
      <c r="D815" s="159" t="s">
        <v>413</v>
      </c>
      <c r="E815" s="160" t="s">
        <v>1782</v>
      </c>
      <c r="F815" s="161" t="s">
        <v>1783</v>
      </c>
      <c r="G815" s="162" t="s">
        <v>132</v>
      </c>
      <c r="H815" s="163">
        <v>995.9</v>
      </c>
      <c r="I815" s="164"/>
      <c r="J815" s="165">
        <f>ROUND(I815*H815,2)</f>
        <v>0</v>
      </c>
      <c r="K815" s="161" t="s">
        <v>133</v>
      </c>
      <c r="L815" s="166"/>
      <c r="M815" s="167" t="s">
        <v>19</v>
      </c>
      <c r="N815" s="168" t="s">
        <v>42</v>
      </c>
      <c r="P815" s="136">
        <f>O815*H815</f>
        <v>0</v>
      </c>
      <c r="Q815" s="136">
        <v>6.0000000000000002E-5</v>
      </c>
      <c r="R815" s="136">
        <f>Q815*H815</f>
        <v>5.9754000000000002E-2</v>
      </c>
      <c r="S815" s="136">
        <v>0</v>
      </c>
      <c r="T815" s="137">
        <f>S815*H815</f>
        <v>0</v>
      </c>
      <c r="AR815" s="138" t="s">
        <v>333</v>
      </c>
      <c r="AT815" s="138" t="s">
        <v>413</v>
      </c>
      <c r="AU815" s="138" t="s">
        <v>81</v>
      </c>
      <c r="AY815" s="17" t="s">
        <v>127</v>
      </c>
      <c r="BE815" s="139">
        <f>IF(N815="základní",J815,0)</f>
        <v>0</v>
      </c>
      <c r="BF815" s="139">
        <f>IF(N815="snížená",J815,0)</f>
        <v>0</v>
      </c>
      <c r="BG815" s="139">
        <f>IF(N815="zákl. přenesená",J815,0)</f>
        <v>0</v>
      </c>
      <c r="BH815" s="139">
        <f>IF(N815="sníž. přenesená",J815,0)</f>
        <v>0</v>
      </c>
      <c r="BI815" s="139">
        <f>IF(N815="nulová",J815,0)</f>
        <v>0</v>
      </c>
      <c r="BJ815" s="17" t="s">
        <v>79</v>
      </c>
      <c r="BK815" s="139">
        <f>ROUND(I815*H815,2)</f>
        <v>0</v>
      </c>
      <c r="BL815" s="17" t="s">
        <v>229</v>
      </c>
      <c r="BM815" s="138" t="s">
        <v>1784</v>
      </c>
    </row>
    <row r="816" spans="2:65" s="12" customFormat="1">
      <c r="B816" s="144"/>
      <c r="D816" s="145" t="s">
        <v>138</v>
      </c>
      <c r="F816" s="147" t="s">
        <v>1785</v>
      </c>
      <c r="H816" s="148">
        <v>995.9</v>
      </c>
      <c r="I816" s="149"/>
      <c r="L816" s="144"/>
      <c r="M816" s="150"/>
      <c r="T816" s="151"/>
      <c r="AT816" s="146" t="s">
        <v>138</v>
      </c>
      <c r="AU816" s="146" t="s">
        <v>81</v>
      </c>
      <c r="AV816" s="12" t="s">
        <v>81</v>
      </c>
      <c r="AW816" s="12" t="s">
        <v>4</v>
      </c>
      <c r="AX816" s="12" t="s">
        <v>79</v>
      </c>
      <c r="AY816" s="146" t="s">
        <v>127</v>
      </c>
    </row>
    <row r="817" spans="2:65" s="1" customFormat="1" ht="21.75" customHeight="1">
      <c r="B817" s="32"/>
      <c r="C817" s="127" t="s">
        <v>1786</v>
      </c>
      <c r="D817" s="127" t="s">
        <v>129</v>
      </c>
      <c r="E817" s="128" t="s">
        <v>1787</v>
      </c>
      <c r="F817" s="129" t="s">
        <v>1788</v>
      </c>
      <c r="G817" s="130" t="s">
        <v>304</v>
      </c>
      <c r="H817" s="131">
        <v>29</v>
      </c>
      <c r="I817" s="132"/>
      <c r="J817" s="133">
        <f>ROUND(I817*H817,2)</f>
        <v>0</v>
      </c>
      <c r="K817" s="129" t="s">
        <v>133</v>
      </c>
      <c r="L817" s="32"/>
      <c r="M817" s="134" t="s">
        <v>19</v>
      </c>
      <c r="N817" s="135" t="s">
        <v>42</v>
      </c>
      <c r="P817" s="136">
        <f>O817*H817</f>
        <v>0</v>
      </c>
      <c r="Q817" s="136">
        <v>6.0000000000000002E-5</v>
      </c>
      <c r="R817" s="136">
        <f>Q817*H817</f>
        <v>1.74E-3</v>
      </c>
      <c r="S817" s="136">
        <v>0</v>
      </c>
      <c r="T817" s="137">
        <f>S817*H817</f>
        <v>0</v>
      </c>
      <c r="AR817" s="138" t="s">
        <v>229</v>
      </c>
      <c r="AT817" s="138" t="s">
        <v>129</v>
      </c>
      <c r="AU817" s="138" t="s">
        <v>81</v>
      </c>
      <c r="AY817" s="17" t="s">
        <v>127</v>
      </c>
      <c r="BE817" s="139">
        <f>IF(N817="základní",J817,0)</f>
        <v>0</v>
      </c>
      <c r="BF817" s="139">
        <f>IF(N817="snížená",J817,0)</f>
        <v>0</v>
      </c>
      <c r="BG817" s="139">
        <f>IF(N817="zákl. přenesená",J817,0)</f>
        <v>0</v>
      </c>
      <c r="BH817" s="139">
        <f>IF(N817="sníž. přenesená",J817,0)</f>
        <v>0</v>
      </c>
      <c r="BI817" s="139">
        <f>IF(N817="nulová",J817,0)</f>
        <v>0</v>
      </c>
      <c r="BJ817" s="17" t="s">
        <v>79</v>
      </c>
      <c r="BK817" s="139">
        <f>ROUND(I817*H817,2)</f>
        <v>0</v>
      </c>
      <c r="BL817" s="17" t="s">
        <v>229</v>
      </c>
      <c r="BM817" s="138" t="s">
        <v>1789</v>
      </c>
    </row>
    <row r="818" spans="2:65" s="1" customFormat="1">
      <c r="B818" s="32"/>
      <c r="D818" s="140" t="s">
        <v>136</v>
      </c>
      <c r="F818" s="141" t="s">
        <v>1790</v>
      </c>
      <c r="I818" s="142"/>
      <c r="L818" s="32"/>
      <c r="M818" s="143"/>
      <c r="T818" s="51"/>
      <c r="AT818" s="17" t="s">
        <v>136</v>
      </c>
      <c r="AU818" s="17" t="s">
        <v>81</v>
      </c>
    </row>
    <row r="819" spans="2:65" s="12" customFormat="1">
      <c r="B819" s="144"/>
      <c r="D819" s="145" t="s">
        <v>138</v>
      </c>
      <c r="E819" s="146" t="s">
        <v>19</v>
      </c>
      <c r="F819" s="147" t="s">
        <v>1706</v>
      </c>
      <c r="H819" s="148">
        <v>5</v>
      </c>
      <c r="I819" s="149"/>
      <c r="L819" s="144"/>
      <c r="M819" s="150"/>
      <c r="T819" s="151"/>
      <c r="AT819" s="146" t="s">
        <v>138</v>
      </c>
      <c r="AU819" s="146" t="s">
        <v>81</v>
      </c>
      <c r="AV819" s="12" t="s">
        <v>81</v>
      </c>
      <c r="AW819" s="12" t="s">
        <v>33</v>
      </c>
      <c r="AX819" s="12" t="s">
        <v>71</v>
      </c>
      <c r="AY819" s="146" t="s">
        <v>127</v>
      </c>
    </row>
    <row r="820" spans="2:65" s="12" customFormat="1">
      <c r="B820" s="144"/>
      <c r="D820" s="145" t="s">
        <v>138</v>
      </c>
      <c r="E820" s="146" t="s">
        <v>19</v>
      </c>
      <c r="F820" s="147" t="s">
        <v>1791</v>
      </c>
      <c r="H820" s="148">
        <v>24</v>
      </c>
      <c r="I820" s="149"/>
      <c r="L820" s="144"/>
      <c r="M820" s="150"/>
      <c r="T820" s="151"/>
      <c r="AT820" s="146" t="s">
        <v>138</v>
      </c>
      <c r="AU820" s="146" t="s">
        <v>81</v>
      </c>
      <c r="AV820" s="12" t="s">
        <v>81</v>
      </c>
      <c r="AW820" s="12" t="s">
        <v>33</v>
      </c>
      <c r="AX820" s="12" t="s">
        <v>71</v>
      </c>
      <c r="AY820" s="146" t="s">
        <v>127</v>
      </c>
    </row>
    <row r="821" spans="2:65" s="13" customFormat="1">
      <c r="B821" s="152"/>
      <c r="D821" s="145" t="s">
        <v>138</v>
      </c>
      <c r="E821" s="153" t="s">
        <v>19</v>
      </c>
      <c r="F821" s="154" t="s">
        <v>152</v>
      </c>
      <c r="H821" s="155">
        <v>29</v>
      </c>
      <c r="I821" s="156"/>
      <c r="L821" s="152"/>
      <c r="M821" s="157"/>
      <c r="T821" s="158"/>
      <c r="AT821" s="153" t="s">
        <v>138</v>
      </c>
      <c r="AU821" s="153" t="s">
        <v>81</v>
      </c>
      <c r="AV821" s="13" t="s">
        <v>134</v>
      </c>
      <c r="AW821" s="13" t="s">
        <v>33</v>
      </c>
      <c r="AX821" s="13" t="s">
        <v>79</v>
      </c>
      <c r="AY821" s="153" t="s">
        <v>127</v>
      </c>
    </row>
    <row r="822" spans="2:65" s="1" customFormat="1" ht="16.5" customHeight="1">
      <c r="B822" s="32"/>
      <c r="C822" s="127" t="s">
        <v>1792</v>
      </c>
      <c r="D822" s="127" t="s">
        <v>129</v>
      </c>
      <c r="E822" s="128" t="s">
        <v>1793</v>
      </c>
      <c r="F822" s="129" t="s">
        <v>1794</v>
      </c>
      <c r="G822" s="130" t="s">
        <v>257</v>
      </c>
      <c r="H822" s="131">
        <v>96.4</v>
      </c>
      <c r="I822" s="132"/>
      <c r="J822" s="133">
        <f>ROUND(I822*H822,2)</f>
        <v>0</v>
      </c>
      <c r="K822" s="129" t="s">
        <v>133</v>
      </c>
      <c r="L822" s="32"/>
      <c r="M822" s="134" t="s">
        <v>19</v>
      </c>
      <c r="N822" s="135" t="s">
        <v>42</v>
      </c>
      <c r="P822" s="136">
        <f>O822*H822</f>
        <v>0</v>
      </c>
      <c r="Q822" s="136">
        <v>0</v>
      </c>
      <c r="R822" s="136">
        <f>Q822*H822</f>
        <v>0</v>
      </c>
      <c r="S822" s="136">
        <v>0</v>
      </c>
      <c r="T822" s="137">
        <f>S822*H822</f>
        <v>0</v>
      </c>
      <c r="AR822" s="138" t="s">
        <v>229</v>
      </c>
      <c r="AT822" s="138" t="s">
        <v>129</v>
      </c>
      <c r="AU822" s="138" t="s">
        <v>81</v>
      </c>
      <c r="AY822" s="17" t="s">
        <v>127</v>
      </c>
      <c r="BE822" s="139">
        <f>IF(N822="základní",J822,0)</f>
        <v>0</v>
      </c>
      <c r="BF822" s="139">
        <f>IF(N822="snížená",J822,0)</f>
        <v>0</v>
      </c>
      <c r="BG822" s="139">
        <f>IF(N822="zákl. přenesená",J822,0)</f>
        <v>0</v>
      </c>
      <c r="BH822" s="139">
        <f>IF(N822="sníž. přenesená",J822,0)</f>
        <v>0</v>
      </c>
      <c r="BI822" s="139">
        <f>IF(N822="nulová",J822,0)</f>
        <v>0</v>
      </c>
      <c r="BJ822" s="17" t="s">
        <v>79</v>
      </c>
      <c r="BK822" s="139">
        <f>ROUND(I822*H822,2)</f>
        <v>0</v>
      </c>
      <c r="BL822" s="17" t="s">
        <v>229</v>
      </c>
      <c r="BM822" s="138" t="s">
        <v>1795</v>
      </c>
    </row>
    <row r="823" spans="2:65" s="1" customFormat="1">
      <c r="B823" s="32"/>
      <c r="D823" s="140" t="s">
        <v>136</v>
      </c>
      <c r="F823" s="141" t="s">
        <v>1796</v>
      </c>
      <c r="I823" s="142"/>
      <c r="L823" s="32"/>
      <c r="M823" s="143"/>
      <c r="T823" s="51"/>
      <c r="AT823" s="17" t="s">
        <v>136</v>
      </c>
      <c r="AU823" s="17" t="s">
        <v>81</v>
      </c>
    </row>
    <row r="824" spans="2:65" s="12" customFormat="1">
      <c r="B824" s="144"/>
      <c r="D824" s="145" t="s">
        <v>138</v>
      </c>
      <c r="E824" s="146" t="s">
        <v>19</v>
      </c>
      <c r="F824" s="147" t="s">
        <v>1797</v>
      </c>
      <c r="H824" s="148">
        <v>96.4</v>
      </c>
      <c r="I824" s="149"/>
      <c r="L824" s="144"/>
      <c r="M824" s="150"/>
      <c r="T824" s="151"/>
      <c r="AT824" s="146" t="s">
        <v>138</v>
      </c>
      <c r="AU824" s="146" t="s">
        <v>81</v>
      </c>
      <c r="AV824" s="12" t="s">
        <v>81</v>
      </c>
      <c r="AW824" s="12" t="s">
        <v>33</v>
      </c>
      <c r="AX824" s="12" t="s">
        <v>79</v>
      </c>
      <c r="AY824" s="146" t="s">
        <v>127</v>
      </c>
    </row>
    <row r="825" spans="2:65" s="1" customFormat="1" ht="16.5" customHeight="1">
      <c r="B825" s="32"/>
      <c r="C825" s="127" t="s">
        <v>1798</v>
      </c>
      <c r="D825" s="127" t="s">
        <v>129</v>
      </c>
      <c r="E825" s="128" t="s">
        <v>1799</v>
      </c>
      <c r="F825" s="129" t="s">
        <v>1800</v>
      </c>
      <c r="G825" s="130" t="s">
        <v>257</v>
      </c>
      <c r="H825" s="131">
        <v>108.65</v>
      </c>
      <c r="I825" s="132"/>
      <c r="J825" s="133">
        <f>ROUND(I825*H825,2)</f>
        <v>0</v>
      </c>
      <c r="K825" s="129" t="s">
        <v>133</v>
      </c>
      <c r="L825" s="32"/>
      <c r="M825" s="134" t="s">
        <v>19</v>
      </c>
      <c r="N825" s="135" t="s">
        <v>42</v>
      </c>
      <c r="P825" s="136">
        <f>O825*H825</f>
        <v>0</v>
      </c>
      <c r="Q825" s="136">
        <v>0</v>
      </c>
      <c r="R825" s="136">
        <f>Q825*H825</f>
        <v>0</v>
      </c>
      <c r="S825" s="136">
        <v>0</v>
      </c>
      <c r="T825" s="137">
        <f>S825*H825</f>
        <v>0</v>
      </c>
      <c r="AR825" s="138" t="s">
        <v>229</v>
      </c>
      <c r="AT825" s="138" t="s">
        <v>129</v>
      </c>
      <c r="AU825" s="138" t="s">
        <v>81</v>
      </c>
      <c r="AY825" s="17" t="s">
        <v>127</v>
      </c>
      <c r="BE825" s="139">
        <f>IF(N825="základní",J825,0)</f>
        <v>0</v>
      </c>
      <c r="BF825" s="139">
        <f>IF(N825="snížená",J825,0)</f>
        <v>0</v>
      </c>
      <c r="BG825" s="139">
        <f>IF(N825="zákl. přenesená",J825,0)</f>
        <v>0</v>
      </c>
      <c r="BH825" s="139">
        <f>IF(N825="sníž. přenesená",J825,0)</f>
        <v>0</v>
      </c>
      <c r="BI825" s="139">
        <f>IF(N825="nulová",J825,0)</f>
        <v>0</v>
      </c>
      <c r="BJ825" s="17" t="s">
        <v>79</v>
      </c>
      <c r="BK825" s="139">
        <f>ROUND(I825*H825,2)</f>
        <v>0</v>
      </c>
      <c r="BL825" s="17" t="s">
        <v>229</v>
      </c>
      <c r="BM825" s="138" t="s">
        <v>1801</v>
      </c>
    </row>
    <row r="826" spans="2:65" s="1" customFormat="1">
      <c r="B826" s="32"/>
      <c r="D826" s="140" t="s">
        <v>136</v>
      </c>
      <c r="F826" s="141" t="s">
        <v>1802</v>
      </c>
      <c r="I826" s="142"/>
      <c r="L826" s="32"/>
      <c r="M826" s="143"/>
      <c r="T826" s="51"/>
      <c r="AT826" s="17" t="s">
        <v>136</v>
      </c>
      <c r="AU826" s="17" t="s">
        <v>81</v>
      </c>
    </row>
    <row r="827" spans="2:65" s="12" customFormat="1">
      <c r="B827" s="144"/>
      <c r="D827" s="145" t="s">
        <v>138</v>
      </c>
      <c r="E827" s="146" t="s">
        <v>19</v>
      </c>
      <c r="F827" s="147" t="s">
        <v>1684</v>
      </c>
      <c r="H827" s="148">
        <v>108.65</v>
      </c>
      <c r="I827" s="149"/>
      <c r="L827" s="144"/>
      <c r="M827" s="150"/>
      <c r="T827" s="151"/>
      <c r="AT827" s="146" t="s">
        <v>138</v>
      </c>
      <c r="AU827" s="146" t="s">
        <v>81</v>
      </c>
      <c r="AV827" s="12" t="s">
        <v>81</v>
      </c>
      <c r="AW827" s="12" t="s">
        <v>33</v>
      </c>
      <c r="AX827" s="12" t="s">
        <v>79</v>
      </c>
      <c r="AY827" s="146" t="s">
        <v>127</v>
      </c>
    </row>
    <row r="828" spans="2:65" s="1" customFormat="1" ht="24.2" customHeight="1">
      <c r="B828" s="32"/>
      <c r="C828" s="127" t="s">
        <v>1803</v>
      </c>
      <c r="D828" s="127" t="s">
        <v>129</v>
      </c>
      <c r="E828" s="128" t="s">
        <v>1804</v>
      </c>
      <c r="F828" s="129" t="s">
        <v>1805</v>
      </c>
      <c r="G828" s="130" t="s">
        <v>132</v>
      </c>
      <c r="H828" s="131">
        <v>790</v>
      </c>
      <c r="I828" s="132"/>
      <c r="J828" s="133">
        <f>ROUND(I828*H828,2)</f>
        <v>0</v>
      </c>
      <c r="K828" s="129" t="s">
        <v>133</v>
      </c>
      <c r="L828" s="32"/>
      <c r="M828" s="134" t="s">
        <v>19</v>
      </c>
      <c r="N828" s="135" t="s">
        <v>42</v>
      </c>
      <c r="P828" s="136">
        <f>O828*H828</f>
        <v>0</v>
      </c>
      <c r="Q828" s="136">
        <v>0</v>
      </c>
      <c r="R828" s="136">
        <f>Q828*H828</f>
        <v>0</v>
      </c>
      <c r="S828" s="136">
        <v>0</v>
      </c>
      <c r="T828" s="137">
        <f>S828*H828</f>
        <v>0</v>
      </c>
      <c r="AR828" s="138" t="s">
        <v>229</v>
      </c>
      <c r="AT828" s="138" t="s">
        <v>129</v>
      </c>
      <c r="AU828" s="138" t="s">
        <v>81</v>
      </c>
      <c r="AY828" s="17" t="s">
        <v>127</v>
      </c>
      <c r="BE828" s="139">
        <f>IF(N828="základní",J828,0)</f>
        <v>0</v>
      </c>
      <c r="BF828" s="139">
        <f>IF(N828="snížená",J828,0)</f>
        <v>0</v>
      </c>
      <c r="BG828" s="139">
        <f>IF(N828="zákl. přenesená",J828,0)</f>
        <v>0</v>
      </c>
      <c r="BH828" s="139">
        <f>IF(N828="sníž. přenesená",J828,0)</f>
        <v>0</v>
      </c>
      <c r="BI828" s="139">
        <f>IF(N828="nulová",J828,0)</f>
        <v>0</v>
      </c>
      <c r="BJ828" s="17" t="s">
        <v>79</v>
      </c>
      <c r="BK828" s="139">
        <f>ROUND(I828*H828,2)</f>
        <v>0</v>
      </c>
      <c r="BL828" s="17" t="s">
        <v>229</v>
      </c>
      <c r="BM828" s="138" t="s">
        <v>1806</v>
      </c>
    </row>
    <row r="829" spans="2:65" s="1" customFormat="1">
      <c r="B829" s="32"/>
      <c r="D829" s="140" t="s">
        <v>136</v>
      </c>
      <c r="F829" s="141" t="s">
        <v>1807</v>
      </c>
      <c r="I829" s="142"/>
      <c r="L829" s="32"/>
      <c r="M829" s="143"/>
      <c r="T829" s="51"/>
      <c r="AT829" s="17" t="s">
        <v>136</v>
      </c>
      <c r="AU829" s="17" t="s">
        <v>81</v>
      </c>
    </row>
    <row r="830" spans="2:65" s="12" customFormat="1">
      <c r="B830" s="144"/>
      <c r="D830" s="145" t="s">
        <v>138</v>
      </c>
      <c r="E830" s="146" t="s">
        <v>19</v>
      </c>
      <c r="F830" s="147" t="s">
        <v>1322</v>
      </c>
      <c r="H830" s="148">
        <v>790</v>
      </c>
      <c r="I830" s="149"/>
      <c r="L830" s="144"/>
      <c r="M830" s="150"/>
      <c r="T830" s="151"/>
      <c r="AT830" s="146" t="s">
        <v>138</v>
      </c>
      <c r="AU830" s="146" t="s">
        <v>81</v>
      </c>
      <c r="AV830" s="12" t="s">
        <v>81</v>
      </c>
      <c r="AW830" s="12" t="s">
        <v>33</v>
      </c>
      <c r="AX830" s="12" t="s">
        <v>79</v>
      </c>
      <c r="AY830" s="146" t="s">
        <v>127</v>
      </c>
    </row>
    <row r="831" spans="2:65" s="1" customFormat="1" ht="24.2" customHeight="1">
      <c r="B831" s="32"/>
      <c r="C831" s="127" t="s">
        <v>1808</v>
      </c>
      <c r="D831" s="127" t="s">
        <v>129</v>
      </c>
      <c r="E831" s="128" t="s">
        <v>1809</v>
      </c>
      <c r="F831" s="129" t="s">
        <v>1810</v>
      </c>
      <c r="G831" s="130" t="s">
        <v>425</v>
      </c>
      <c r="H831" s="169"/>
      <c r="I831" s="132"/>
      <c r="J831" s="133">
        <f>ROUND(I831*H831,2)</f>
        <v>0</v>
      </c>
      <c r="K831" s="129" t="s">
        <v>133</v>
      </c>
      <c r="L831" s="32"/>
      <c r="M831" s="134" t="s">
        <v>19</v>
      </c>
      <c r="N831" s="135" t="s">
        <v>42</v>
      </c>
      <c r="P831" s="136">
        <f>O831*H831</f>
        <v>0</v>
      </c>
      <c r="Q831" s="136">
        <v>0</v>
      </c>
      <c r="R831" s="136">
        <f>Q831*H831</f>
        <v>0</v>
      </c>
      <c r="S831" s="136">
        <v>0</v>
      </c>
      <c r="T831" s="137">
        <f>S831*H831</f>
        <v>0</v>
      </c>
      <c r="AR831" s="138" t="s">
        <v>229</v>
      </c>
      <c r="AT831" s="138" t="s">
        <v>129</v>
      </c>
      <c r="AU831" s="138" t="s">
        <v>81</v>
      </c>
      <c r="AY831" s="17" t="s">
        <v>127</v>
      </c>
      <c r="BE831" s="139">
        <f>IF(N831="základní",J831,0)</f>
        <v>0</v>
      </c>
      <c r="BF831" s="139">
        <f>IF(N831="snížená",J831,0)</f>
        <v>0</v>
      </c>
      <c r="BG831" s="139">
        <f>IF(N831="zákl. přenesená",J831,0)</f>
        <v>0</v>
      </c>
      <c r="BH831" s="139">
        <f>IF(N831="sníž. přenesená",J831,0)</f>
        <v>0</v>
      </c>
      <c r="BI831" s="139">
        <f>IF(N831="nulová",J831,0)</f>
        <v>0</v>
      </c>
      <c r="BJ831" s="17" t="s">
        <v>79</v>
      </c>
      <c r="BK831" s="139">
        <f>ROUND(I831*H831,2)</f>
        <v>0</v>
      </c>
      <c r="BL831" s="17" t="s">
        <v>229</v>
      </c>
      <c r="BM831" s="138" t="s">
        <v>1811</v>
      </c>
    </row>
    <row r="832" spans="2:65" s="1" customFormat="1">
      <c r="B832" s="32"/>
      <c r="D832" s="140" t="s">
        <v>136</v>
      </c>
      <c r="F832" s="141" t="s">
        <v>1812</v>
      </c>
      <c r="I832" s="142"/>
      <c r="L832" s="32"/>
      <c r="M832" s="143"/>
      <c r="T832" s="51"/>
      <c r="AT832" s="17" t="s">
        <v>136</v>
      </c>
      <c r="AU832" s="17" t="s">
        <v>81</v>
      </c>
    </row>
    <row r="833" spans="2:65" s="11" customFormat="1" ht="22.9" customHeight="1">
      <c r="B833" s="115"/>
      <c r="D833" s="116" t="s">
        <v>70</v>
      </c>
      <c r="E833" s="125" t="s">
        <v>589</v>
      </c>
      <c r="F833" s="125" t="s">
        <v>590</v>
      </c>
      <c r="I833" s="118"/>
      <c r="J833" s="126">
        <f>BK833</f>
        <v>0</v>
      </c>
      <c r="L833" s="115"/>
      <c r="M833" s="120"/>
      <c r="P833" s="121">
        <f>SUM(P834:P896)</f>
        <v>0</v>
      </c>
      <c r="R833" s="121">
        <f>SUM(R834:R896)</f>
        <v>0.48502000000000012</v>
      </c>
      <c r="T833" s="122">
        <f>SUM(T834:T896)</f>
        <v>0</v>
      </c>
      <c r="AR833" s="116" t="s">
        <v>81</v>
      </c>
      <c r="AT833" s="123" t="s">
        <v>70</v>
      </c>
      <c r="AU833" s="123" t="s">
        <v>79</v>
      </c>
      <c r="AY833" s="116" t="s">
        <v>127</v>
      </c>
      <c r="BK833" s="124">
        <f>SUM(BK834:BK896)</f>
        <v>0</v>
      </c>
    </row>
    <row r="834" spans="2:65" s="1" customFormat="1" ht="16.5" customHeight="1">
      <c r="B834" s="32"/>
      <c r="C834" s="127" t="s">
        <v>1813</v>
      </c>
      <c r="D834" s="127" t="s">
        <v>129</v>
      </c>
      <c r="E834" s="128" t="s">
        <v>1814</v>
      </c>
      <c r="F834" s="129" t="s">
        <v>1815</v>
      </c>
      <c r="G834" s="130" t="s">
        <v>304</v>
      </c>
      <c r="H834" s="131">
        <v>2</v>
      </c>
      <c r="I834" s="132"/>
      <c r="J834" s="133">
        <f>ROUND(I834*H834,2)</f>
        <v>0</v>
      </c>
      <c r="K834" s="129" t="s">
        <v>133</v>
      </c>
      <c r="L834" s="32"/>
      <c r="M834" s="134" t="s">
        <v>19</v>
      </c>
      <c r="N834" s="135" t="s">
        <v>42</v>
      </c>
      <c r="P834" s="136">
        <f>O834*H834</f>
        <v>0</v>
      </c>
      <c r="Q834" s="136">
        <v>4.4000000000000002E-4</v>
      </c>
      <c r="R834" s="136">
        <f>Q834*H834</f>
        <v>8.8000000000000003E-4</v>
      </c>
      <c r="S834" s="136">
        <v>0</v>
      </c>
      <c r="T834" s="137">
        <f>S834*H834</f>
        <v>0</v>
      </c>
      <c r="AR834" s="138" t="s">
        <v>229</v>
      </c>
      <c r="AT834" s="138" t="s">
        <v>129</v>
      </c>
      <c r="AU834" s="138" t="s">
        <v>81</v>
      </c>
      <c r="AY834" s="17" t="s">
        <v>127</v>
      </c>
      <c r="BE834" s="139">
        <f>IF(N834="základní",J834,0)</f>
        <v>0</v>
      </c>
      <c r="BF834" s="139">
        <f>IF(N834="snížená",J834,0)</f>
        <v>0</v>
      </c>
      <c r="BG834" s="139">
        <f>IF(N834="zákl. přenesená",J834,0)</f>
        <v>0</v>
      </c>
      <c r="BH834" s="139">
        <f>IF(N834="sníž. přenesená",J834,0)</f>
        <v>0</v>
      </c>
      <c r="BI834" s="139">
        <f>IF(N834="nulová",J834,0)</f>
        <v>0</v>
      </c>
      <c r="BJ834" s="17" t="s">
        <v>79</v>
      </c>
      <c r="BK834" s="139">
        <f>ROUND(I834*H834,2)</f>
        <v>0</v>
      </c>
      <c r="BL834" s="17" t="s">
        <v>229</v>
      </c>
      <c r="BM834" s="138" t="s">
        <v>1816</v>
      </c>
    </row>
    <row r="835" spans="2:65" s="1" customFormat="1">
      <c r="B835" s="32"/>
      <c r="D835" s="140" t="s">
        <v>136</v>
      </c>
      <c r="F835" s="141" t="s">
        <v>1817</v>
      </c>
      <c r="I835" s="142"/>
      <c r="L835" s="32"/>
      <c r="M835" s="143"/>
      <c r="T835" s="51"/>
      <c r="AT835" s="17" t="s">
        <v>136</v>
      </c>
      <c r="AU835" s="17" t="s">
        <v>81</v>
      </c>
    </row>
    <row r="836" spans="2:65" s="12" customFormat="1">
      <c r="B836" s="144"/>
      <c r="D836" s="145" t="s">
        <v>138</v>
      </c>
      <c r="E836" s="146" t="s">
        <v>19</v>
      </c>
      <c r="F836" s="147" t="s">
        <v>1818</v>
      </c>
      <c r="H836" s="148">
        <v>2</v>
      </c>
      <c r="I836" s="149"/>
      <c r="L836" s="144"/>
      <c r="M836" s="150"/>
      <c r="T836" s="151"/>
      <c r="AT836" s="146" t="s">
        <v>138</v>
      </c>
      <c r="AU836" s="146" t="s">
        <v>81</v>
      </c>
      <c r="AV836" s="12" t="s">
        <v>81</v>
      </c>
      <c r="AW836" s="12" t="s">
        <v>33</v>
      </c>
      <c r="AX836" s="12" t="s">
        <v>79</v>
      </c>
      <c r="AY836" s="146" t="s">
        <v>127</v>
      </c>
    </row>
    <row r="837" spans="2:65" s="1" customFormat="1" ht="16.5" customHeight="1">
      <c r="B837" s="32"/>
      <c r="C837" s="159" t="s">
        <v>1819</v>
      </c>
      <c r="D837" s="159" t="s">
        <v>413</v>
      </c>
      <c r="E837" s="160" t="s">
        <v>1820</v>
      </c>
      <c r="F837" s="161" t="s">
        <v>1821</v>
      </c>
      <c r="G837" s="162" t="s">
        <v>304</v>
      </c>
      <c r="H837" s="163">
        <v>2</v>
      </c>
      <c r="I837" s="164"/>
      <c r="J837" s="165">
        <f>ROUND(I837*H837,2)</f>
        <v>0</v>
      </c>
      <c r="K837" s="161" t="s">
        <v>19</v>
      </c>
      <c r="L837" s="166"/>
      <c r="M837" s="167" t="s">
        <v>19</v>
      </c>
      <c r="N837" s="168" t="s">
        <v>42</v>
      </c>
      <c r="P837" s="136">
        <f>O837*H837</f>
        <v>0</v>
      </c>
      <c r="Q837" s="136">
        <v>5.1999999999999998E-2</v>
      </c>
      <c r="R837" s="136">
        <f>Q837*H837</f>
        <v>0.104</v>
      </c>
      <c r="S837" s="136">
        <v>0</v>
      </c>
      <c r="T837" s="137">
        <f>S837*H837</f>
        <v>0</v>
      </c>
      <c r="AR837" s="138" t="s">
        <v>333</v>
      </c>
      <c r="AT837" s="138" t="s">
        <v>413</v>
      </c>
      <c r="AU837" s="138" t="s">
        <v>81</v>
      </c>
      <c r="AY837" s="17" t="s">
        <v>127</v>
      </c>
      <c r="BE837" s="139">
        <f>IF(N837="základní",J837,0)</f>
        <v>0</v>
      </c>
      <c r="BF837" s="139">
        <f>IF(N837="snížená",J837,0)</f>
        <v>0</v>
      </c>
      <c r="BG837" s="139">
        <f>IF(N837="zákl. přenesená",J837,0)</f>
        <v>0</v>
      </c>
      <c r="BH837" s="139">
        <f>IF(N837="sníž. přenesená",J837,0)</f>
        <v>0</v>
      </c>
      <c r="BI837" s="139">
        <f>IF(N837="nulová",J837,0)</f>
        <v>0</v>
      </c>
      <c r="BJ837" s="17" t="s">
        <v>79</v>
      </c>
      <c r="BK837" s="139">
        <f>ROUND(I837*H837,2)</f>
        <v>0</v>
      </c>
      <c r="BL837" s="17" t="s">
        <v>229</v>
      </c>
      <c r="BM837" s="138" t="s">
        <v>1822</v>
      </c>
    </row>
    <row r="838" spans="2:65" s="1" customFormat="1" ht="33" customHeight="1">
      <c r="B838" s="32"/>
      <c r="C838" s="127" t="s">
        <v>1823</v>
      </c>
      <c r="D838" s="127" t="s">
        <v>129</v>
      </c>
      <c r="E838" s="128" t="s">
        <v>1824</v>
      </c>
      <c r="F838" s="129" t="s">
        <v>1825</v>
      </c>
      <c r="G838" s="130" t="s">
        <v>304</v>
      </c>
      <c r="H838" s="131">
        <v>2</v>
      </c>
      <c r="I838" s="132"/>
      <c r="J838" s="133">
        <f>ROUND(I838*H838,2)</f>
        <v>0</v>
      </c>
      <c r="K838" s="129" t="s">
        <v>133</v>
      </c>
      <c r="L838" s="32"/>
      <c r="M838" s="134" t="s">
        <v>19</v>
      </c>
      <c r="N838" s="135" t="s">
        <v>42</v>
      </c>
      <c r="P838" s="136">
        <f>O838*H838</f>
        <v>0</v>
      </c>
      <c r="Q838" s="136">
        <v>2.7E-4</v>
      </c>
      <c r="R838" s="136">
        <f>Q838*H838</f>
        <v>5.4000000000000001E-4</v>
      </c>
      <c r="S838" s="136">
        <v>0</v>
      </c>
      <c r="T838" s="137">
        <f>S838*H838</f>
        <v>0</v>
      </c>
      <c r="AR838" s="138" t="s">
        <v>229</v>
      </c>
      <c r="AT838" s="138" t="s">
        <v>129</v>
      </c>
      <c r="AU838" s="138" t="s">
        <v>81</v>
      </c>
      <c r="AY838" s="17" t="s">
        <v>127</v>
      </c>
      <c r="BE838" s="139">
        <f>IF(N838="základní",J838,0)</f>
        <v>0</v>
      </c>
      <c r="BF838" s="139">
        <f>IF(N838="snížená",J838,0)</f>
        <v>0</v>
      </c>
      <c r="BG838" s="139">
        <f>IF(N838="zákl. přenesená",J838,0)</f>
        <v>0</v>
      </c>
      <c r="BH838" s="139">
        <f>IF(N838="sníž. přenesená",J838,0)</f>
        <v>0</v>
      </c>
      <c r="BI838" s="139">
        <f>IF(N838="nulová",J838,0)</f>
        <v>0</v>
      </c>
      <c r="BJ838" s="17" t="s">
        <v>79</v>
      </c>
      <c r="BK838" s="139">
        <f>ROUND(I838*H838,2)</f>
        <v>0</v>
      </c>
      <c r="BL838" s="17" t="s">
        <v>229</v>
      </c>
      <c r="BM838" s="138" t="s">
        <v>1826</v>
      </c>
    </row>
    <row r="839" spans="2:65" s="1" customFormat="1">
      <c r="B839" s="32"/>
      <c r="D839" s="140" t="s">
        <v>136</v>
      </c>
      <c r="F839" s="141" t="s">
        <v>1827</v>
      </c>
      <c r="I839" s="142"/>
      <c r="L839" s="32"/>
      <c r="M839" s="143"/>
      <c r="T839" s="51"/>
      <c r="AT839" s="17" t="s">
        <v>136</v>
      </c>
      <c r="AU839" s="17" t="s">
        <v>81</v>
      </c>
    </row>
    <row r="840" spans="2:65" s="12" customFormat="1">
      <c r="B840" s="144"/>
      <c r="D840" s="145" t="s">
        <v>138</v>
      </c>
      <c r="E840" s="146" t="s">
        <v>19</v>
      </c>
      <c r="F840" s="147" t="s">
        <v>1828</v>
      </c>
      <c r="H840" s="148">
        <v>2</v>
      </c>
      <c r="I840" s="149"/>
      <c r="L840" s="144"/>
      <c r="M840" s="150"/>
      <c r="T840" s="151"/>
      <c r="AT840" s="146" t="s">
        <v>138</v>
      </c>
      <c r="AU840" s="146" t="s">
        <v>81</v>
      </c>
      <c r="AV840" s="12" t="s">
        <v>81</v>
      </c>
      <c r="AW840" s="12" t="s">
        <v>33</v>
      </c>
      <c r="AX840" s="12" t="s">
        <v>79</v>
      </c>
      <c r="AY840" s="146" t="s">
        <v>127</v>
      </c>
    </row>
    <row r="841" spans="2:65" s="1" customFormat="1" ht="21.75" customHeight="1">
      <c r="B841" s="32"/>
      <c r="C841" s="159" t="s">
        <v>1829</v>
      </c>
      <c r="D841" s="159" t="s">
        <v>413</v>
      </c>
      <c r="E841" s="160" t="s">
        <v>1830</v>
      </c>
      <c r="F841" s="161" t="s">
        <v>1831</v>
      </c>
      <c r="G841" s="162" t="s">
        <v>304</v>
      </c>
      <c r="H841" s="163">
        <v>2</v>
      </c>
      <c r="I841" s="164"/>
      <c r="J841" s="165">
        <f>ROUND(I841*H841,2)</f>
        <v>0</v>
      </c>
      <c r="K841" s="161" t="s">
        <v>133</v>
      </c>
      <c r="L841" s="166"/>
      <c r="M841" s="167" t="s">
        <v>19</v>
      </c>
      <c r="N841" s="168" t="s">
        <v>42</v>
      </c>
      <c r="P841" s="136">
        <f>O841*H841</f>
        <v>0</v>
      </c>
      <c r="Q841" s="136">
        <v>0</v>
      </c>
      <c r="R841" s="136">
        <f>Q841*H841</f>
        <v>0</v>
      </c>
      <c r="S841" s="136">
        <v>0</v>
      </c>
      <c r="T841" s="137">
        <f>S841*H841</f>
        <v>0</v>
      </c>
      <c r="AR841" s="138" t="s">
        <v>333</v>
      </c>
      <c r="AT841" s="138" t="s">
        <v>413</v>
      </c>
      <c r="AU841" s="138" t="s">
        <v>81</v>
      </c>
      <c r="AY841" s="17" t="s">
        <v>127</v>
      </c>
      <c r="BE841" s="139">
        <f>IF(N841="základní",J841,0)</f>
        <v>0</v>
      </c>
      <c r="BF841" s="139">
        <f>IF(N841="snížená",J841,0)</f>
        <v>0</v>
      </c>
      <c r="BG841" s="139">
        <f>IF(N841="zákl. přenesená",J841,0)</f>
        <v>0</v>
      </c>
      <c r="BH841" s="139">
        <f>IF(N841="sníž. přenesená",J841,0)</f>
        <v>0</v>
      </c>
      <c r="BI841" s="139">
        <f>IF(N841="nulová",J841,0)</f>
        <v>0</v>
      </c>
      <c r="BJ841" s="17" t="s">
        <v>79</v>
      </c>
      <c r="BK841" s="139">
        <f>ROUND(I841*H841,2)</f>
        <v>0</v>
      </c>
      <c r="BL841" s="17" t="s">
        <v>229</v>
      </c>
      <c r="BM841" s="138" t="s">
        <v>1832</v>
      </c>
    </row>
    <row r="842" spans="2:65" s="1" customFormat="1" ht="16.5" customHeight="1">
      <c r="B842" s="32"/>
      <c r="C842" s="159" t="s">
        <v>1833</v>
      </c>
      <c r="D842" s="159" t="s">
        <v>413</v>
      </c>
      <c r="E842" s="160" t="s">
        <v>1834</v>
      </c>
      <c r="F842" s="161" t="s">
        <v>1835</v>
      </c>
      <c r="G842" s="162" t="s">
        <v>304</v>
      </c>
      <c r="H842" s="163">
        <v>2</v>
      </c>
      <c r="I842" s="164"/>
      <c r="J842" s="165">
        <f>ROUND(I842*H842,2)</f>
        <v>0</v>
      </c>
      <c r="K842" s="161" t="s">
        <v>133</v>
      </c>
      <c r="L842" s="166"/>
      <c r="M842" s="167" t="s">
        <v>19</v>
      </c>
      <c r="N842" s="168" t="s">
        <v>42</v>
      </c>
      <c r="P842" s="136">
        <f>O842*H842</f>
        <v>0</v>
      </c>
      <c r="Q842" s="136">
        <v>6.7000000000000002E-3</v>
      </c>
      <c r="R842" s="136">
        <f>Q842*H842</f>
        <v>1.34E-2</v>
      </c>
      <c r="S842" s="136">
        <v>0</v>
      </c>
      <c r="T842" s="137">
        <f>S842*H842</f>
        <v>0</v>
      </c>
      <c r="AR842" s="138" t="s">
        <v>333</v>
      </c>
      <c r="AT842" s="138" t="s">
        <v>413</v>
      </c>
      <c r="AU842" s="138" t="s">
        <v>81</v>
      </c>
      <c r="AY842" s="17" t="s">
        <v>127</v>
      </c>
      <c r="BE842" s="139">
        <f>IF(N842="základní",J842,0)</f>
        <v>0</v>
      </c>
      <c r="BF842" s="139">
        <f>IF(N842="snížená",J842,0)</f>
        <v>0</v>
      </c>
      <c r="BG842" s="139">
        <f>IF(N842="zákl. přenesená",J842,0)</f>
        <v>0</v>
      </c>
      <c r="BH842" s="139">
        <f>IF(N842="sníž. přenesená",J842,0)</f>
        <v>0</v>
      </c>
      <c r="BI842" s="139">
        <f>IF(N842="nulová",J842,0)</f>
        <v>0</v>
      </c>
      <c r="BJ842" s="17" t="s">
        <v>79</v>
      </c>
      <c r="BK842" s="139">
        <f>ROUND(I842*H842,2)</f>
        <v>0</v>
      </c>
      <c r="BL842" s="17" t="s">
        <v>229</v>
      </c>
      <c r="BM842" s="138" t="s">
        <v>1836</v>
      </c>
    </row>
    <row r="843" spans="2:65" s="1" customFormat="1" ht="16.5" customHeight="1">
      <c r="B843" s="32"/>
      <c r="C843" s="159" t="s">
        <v>1837</v>
      </c>
      <c r="D843" s="159" t="s">
        <v>413</v>
      </c>
      <c r="E843" s="160" t="s">
        <v>1838</v>
      </c>
      <c r="F843" s="161" t="s">
        <v>1839</v>
      </c>
      <c r="G843" s="162" t="s">
        <v>304</v>
      </c>
      <c r="H843" s="163">
        <v>2</v>
      </c>
      <c r="I843" s="164"/>
      <c r="J843" s="165">
        <f>ROUND(I843*H843,2)</f>
        <v>0</v>
      </c>
      <c r="K843" s="161" t="s">
        <v>133</v>
      </c>
      <c r="L843" s="166"/>
      <c r="M843" s="167" t="s">
        <v>19</v>
      </c>
      <c r="N843" s="168" t="s">
        <v>42</v>
      </c>
      <c r="P843" s="136">
        <f>O843*H843</f>
        <v>0</v>
      </c>
      <c r="Q843" s="136">
        <v>7.7999999999999999E-4</v>
      </c>
      <c r="R843" s="136">
        <f>Q843*H843</f>
        <v>1.56E-3</v>
      </c>
      <c r="S843" s="136">
        <v>0</v>
      </c>
      <c r="T843" s="137">
        <f>S843*H843</f>
        <v>0</v>
      </c>
      <c r="AR843" s="138" t="s">
        <v>333</v>
      </c>
      <c r="AT843" s="138" t="s">
        <v>413</v>
      </c>
      <c r="AU843" s="138" t="s">
        <v>81</v>
      </c>
      <c r="AY843" s="17" t="s">
        <v>127</v>
      </c>
      <c r="BE843" s="139">
        <f>IF(N843="základní",J843,0)</f>
        <v>0</v>
      </c>
      <c r="BF843" s="139">
        <f>IF(N843="snížená",J843,0)</f>
        <v>0</v>
      </c>
      <c r="BG843" s="139">
        <f>IF(N843="zákl. přenesená",J843,0)</f>
        <v>0</v>
      </c>
      <c r="BH843" s="139">
        <f>IF(N843="sníž. přenesená",J843,0)</f>
        <v>0</v>
      </c>
      <c r="BI843" s="139">
        <f>IF(N843="nulová",J843,0)</f>
        <v>0</v>
      </c>
      <c r="BJ843" s="17" t="s">
        <v>79</v>
      </c>
      <c r="BK843" s="139">
        <f>ROUND(I843*H843,2)</f>
        <v>0</v>
      </c>
      <c r="BL843" s="17" t="s">
        <v>229</v>
      </c>
      <c r="BM843" s="138" t="s">
        <v>1840</v>
      </c>
    </row>
    <row r="844" spans="2:65" s="1" customFormat="1" ht="16.5" customHeight="1">
      <c r="B844" s="32"/>
      <c r="C844" s="159" t="s">
        <v>1841</v>
      </c>
      <c r="D844" s="159" t="s">
        <v>413</v>
      </c>
      <c r="E844" s="160" t="s">
        <v>1842</v>
      </c>
      <c r="F844" s="161" t="s">
        <v>1843</v>
      </c>
      <c r="G844" s="162" t="s">
        <v>1736</v>
      </c>
      <c r="H844" s="163">
        <v>2</v>
      </c>
      <c r="I844" s="164"/>
      <c r="J844" s="165">
        <f>ROUND(I844*H844,2)</f>
        <v>0</v>
      </c>
      <c r="K844" s="161" t="s">
        <v>133</v>
      </c>
      <c r="L844" s="166"/>
      <c r="M844" s="167" t="s">
        <v>19</v>
      </c>
      <c r="N844" s="168" t="s">
        <v>42</v>
      </c>
      <c r="P844" s="136">
        <f>O844*H844</f>
        <v>0</v>
      </c>
      <c r="Q844" s="136">
        <v>3.3E-3</v>
      </c>
      <c r="R844" s="136">
        <f>Q844*H844</f>
        <v>6.6E-3</v>
      </c>
      <c r="S844" s="136">
        <v>0</v>
      </c>
      <c r="T844" s="137">
        <f>S844*H844</f>
        <v>0</v>
      </c>
      <c r="AR844" s="138" t="s">
        <v>333</v>
      </c>
      <c r="AT844" s="138" t="s">
        <v>413</v>
      </c>
      <c r="AU844" s="138" t="s">
        <v>81</v>
      </c>
      <c r="AY844" s="17" t="s">
        <v>127</v>
      </c>
      <c r="BE844" s="139">
        <f>IF(N844="základní",J844,0)</f>
        <v>0</v>
      </c>
      <c r="BF844" s="139">
        <f>IF(N844="snížená",J844,0)</f>
        <v>0</v>
      </c>
      <c r="BG844" s="139">
        <f>IF(N844="zákl. přenesená",J844,0)</f>
        <v>0</v>
      </c>
      <c r="BH844" s="139">
        <f>IF(N844="sníž. přenesená",J844,0)</f>
        <v>0</v>
      </c>
      <c r="BI844" s="139">
        <f>IF(N844="nulová",J844,0)</f>
        <v>0</v>
      </c>
      <c r="BJ844" s="17" t="s">
        <v>79</v>
      </c>
      <c r="BK844" s="139">
        <f>ROUND(I844*H844,2)</f>
        <v>0</v>
      </c>
      <c r="BL844" s="17" t="s">
        <v>229</v>
      </c>
      <c r="BM844" s="138" t="s">
        <v>1844</v>
      </c>
    </row>
    <row r="845" spans="2:65" s="1" customFormat="1" ht="33" customHeight="1">
      <c r="B845" s="32"/>
      <c r="C845" s="127" t="s">
        <v>1845</v>
      </c>
      <c r="D845" s="127" t="s">
        <v>129</v>
      </c>
      <c r="E845" s="128" t="s">
        <v>1846</v>
      </c>
      <c r="F845" s="129" t="s">
        <v>1847</v>
      </c>
      <c r="G845" s="130" t="s">
        <v>304</v>
      </c>
      <c r="H845" s="131">
        <v>2</v>
      </c>
      <c r="I845" s="132"/>
      <c r="J845" s="133">
        <f>ROUND(I845*H845,2)</f>
        <v>0</v>
      </c>
      <c r="K845" s="129" t="s">
        <v>133</v>
      </c>
      <c r="L845" s="32"/>
      <c r="M845" s="134" t="s">
        <v>19</v>
      </c>
      <c r="N845" s="135" t="s">
        <v>42</v>
      </c>
      <c r="P845" s="136">
        <f>O845*H845</f>
        <v>0</v>
      </c>
      <c r="Q845" s="136">
        <v>2.7E-4</v>
      </c>
      <c r="R845" s="136">
        <f>Q845*H845</f>
        <v>5.4000000000000001E-4</v>
      </c>
      <c r="S845" s="136">
        <v>0</v>
      </c>
      <c r="T845" s="137">
        <f>S845*H845</f>
        <v>0</v>
      </c>
      <c r="AR845" s="138" t="s">
        <v>229</v>
      </c>
      <c r="AT845" s="138" t="s">
        <v>129</v>
      </c>
      <c r="AU845" s="138" t="s">
        <v>81</v>
      </c>
      <c r="AY845" s="17" t="s">
        <v>127</v>
      </c>
      <c r="BE845" s="139">
        <f>IF(N845="základní",J845,0)</f>
        <v>0</v>
      </c>
      <c r="BF845" s="139">
        <f>IF(N845="snížená",J845,0)</f>
        <v>0</v>
      </c>
      <c r="BG845" s="139">
        <f>IF(N845="zákl. přenesená",J845,0)</f>
        <v>0</v>
      </c>
      <c r="BH845" s="139">
        <f>IF(N845="sníž. přenesená",J845,0)</f>
        <v>0</v>
      </c>
      <c r="BI845" s="139">
        <f>IF(N845="nulová",J845,0)</f>
        <v>0</v>
      </c>
      <c r="BJ845" s="17" t="s">
        <v>79</v>
      </c>
      <c r="BK845" s="139">
        <f>ROUND(I845*H845,2)</f>
        <v>0</v>
      </c>
      <c r="BL845" s="17" t="s">
        <v>229</v>
      </c>
      <c r="BM845" s="138" t="s">
        <v>1848</v>
      </c>
    </row>
    <row r="846" spans="2:65" s="1" customFormat="1">
      <c r="B846" s="32"/>
      <c r="D846" s="140" t="s">
        <v>136</v>
      </c>
      <c r="F846" s="141" t="s">
        <v>1849</v>
      </c>
      <c r="I846" s="142"/>
      <c r="L846" s="32"/>
      <c r="M846" s="143"/>
      <c r="T846" s="51"/>
      <c r="AT846" s="17" t="s">
        <v>136</v>
      </c>
      <c r="AU846" s="17" t="s">
        <v>81</v>
      </c>
    </row>
    <row r="847" spans="2:65" s="12" customFormat="1">
      <c r="B847" s="144"/>
      <c r="D847" s="145" t="s">
        <v>138</v>
      </c>
      <c r="E847" s="146" t="s">
        <v>19</v>
      </c>
      <c r="F847" s="147" t="s">
        <v>1850</v>
      </c>
      <c r="H847" s="148">
        <v>2</v>
      </c>
      <c r="I847" s="149"/>
      <c r="L847" s="144"/>
      <c r="M847" s="150"/>
      <c r="T847" s="151"/>
      <c r="AT847" s="146" t="s">
        <v>138</v>
      </c>
      <c r="AU847" s="146" t="s">
        <v>81</v>
      </c>
      <c r="AV847" s="12" t="s">
        <v>81</v>
      </c>
      <c r="AW847" s="12" t="s">
        <v>33</v>
      </c>
      <c r="AX847" s="12" t="s">
        <v>79</v>
      </c>
      <c r="AY847" s="146" t="s">
        <v>127</v>
      </c>
    </row>
    <row r="848" spans="2:65" s="1" customFormat="1" ht="21.75" customHeight="1">
      <c r="B848" s="32"/>
      <c r="C848" s="159" t="s">
        <v>1851</v>
      </c>
      <c r="D848" s="159" t="s">
        <v>413</v>
      </c>
      <c r="E848" s="160" t="s">
        <v>1852</v>
      </c>
      <c r="F848" s="161" t="s">
        <v>1853</v>
      </c>
      <c r="G848" s="162" t="s">
        <v>304</v>
      </c>
      <c r="H848" s="163">
        <v>2</v>
      </c>
      <c r="I848" s="164"/>
      <c r="J848" s="165">
        <f>ROUND(I848*H848,2)</f>
        <v>0</v>
      </c>
      <c r="K848" s="161" t="s">
        <v>133</v>
      </c>
      <c r="L848" s="166"/>
      <c r="M848" s="167" t="s">
        <v>19</v>
      </c>
      <c r="N848" s="168" t="s">
        <v>42</v>
      </c>
      <c r="P848" s="136">
        <f>O848*H848</f>
        <v>0</v>
      </c>
      <c r="Q848" s="136">
        <v>0</v>
      </c>
      <c r="R848" s="136">
        <f>Q848*H848</f>
        <v>0</v>
      </c>
      <c r="S848" s="136">
        <v>0</v>
      </c>
      <c r="T848" s="137">
        <f>S848*H848</f>
        <v>0</v>
      </c>
      <c r="AR848" s="138" t="s">
        <v>333</v>
      </c>
      <c r="AT848" s="138" t="s">
        <v>413</v>
      </c>
      <c r="AU848" s="138" t="s">
        <v>81</v>
      </c>
      <c r="AY848" s="17" t="s">
        <v>127</v>
      </c>
      <c r="BE848" s="139">
        <f>IF(N848="základní",J848,0)</f>
        <v>0</v>
      </c>
      <c r="BF848" s="139">
        <f>IF(N848="snížená",J848,0)</f>
        <v>0</v>
      </c>
      <c r="BG848" s="139">
        <f>IF(N848="zákl. přenesená",J848,0)</f>
        <v>0</v>
      </c>
      <c r="BH848" s="139">
        <f>IF(N848="sníž. přenesená",J848,0)</f>
        <v>0</v>
      </c>
      <c r="BI848" s="139">
        <f>IF(N848="nulová",J848,0)</f>
        <v>0</v>
      </c>
      <c r="BJ848" s="17" t="s">
        <v>79</v>
      </c>
      <c r="BK848" s="139">
        <f>ROUND(I848*H848,2)</f>
        <v>0</v>
      </c>
      <c r="BL848" s="17" t="s">
        <v>229</v>
      </c>
      <c r="BM848" s="138" t="s">
        <v>1854</v>
      </c>
    </row>
    <row r="849" spans="2:65" s="1" customFormat="1" ht="16.5" customHeight="1">
      <c r="B849" s="32"/>
      <c r="C849" s="159" t="s">
        <v>1855</v>
      </c>
      <c r="D849" s="159" t="s">
        <v>413</v>
      </c>
      <c r="E849" s="160" t="s">
        <v>1856</v>
      </c>
      <c r="F849" s="161" t="s">
        <v>1857</v>
      </c>
      <c r="G849" s="162" t="s">
        <v>304</v>
      </c>
      <c r="H849" s="163">
        <v>2</v>
      </c>
      <c r="I849" s="164"/>
      <c r="J849" s="165">
        <f>ROUND(I849*H849,2)</f>
        <v>0</v>
      </c>
      <c r="K849" s="161" t="s">
        <v>133</v>
      </c>
      <c r="L849" s="166"/>
      <c r="M849" s="167" t="s">
        <v>19</v>
      </c>
      <c r="N849" s="168" t="s">
        <v>42</v>
      </c>
      <c r="P849" s="136">
        <f>O849*H849</f>
        <v>0</v>
      </c>
      <c r="Q849" s="136">
        <v>7.4999999999999997E-3</v>
      </c>
      <c r="R849" s="136">
        <f>Q849*H849</f>
        <v>1.4999999999999999E-2</v>
      </c>
      <c r="S849" s="136">
        <v>0</v>
      </c>
      <c r="T849" s="137">
        <f>S849*H849</f>
        <v>0</v>
      </c>
      <c r="AR849" s="138" t="s">
        <v>333</v>
      </c>
      <c r="AT849" s="138" t="s">
        <v>413</v>
      </c>
      <c r="AU849" s="138" t="s">
        <v>81</v>
      </c>
      <c r="AY849" s="17" t="s">
        <v>127</v>
      </c>
      <c r="BE849" s="139">
        <f>IF(N849="základní",J849,0)</f>
        <v>0</v>
      </c>
      <c r="BF849" s="139">
        <f>IF(N849="snížená",J849,0)</f>
        <v>0</v>
      </c>
      <c r="BG849" s="139">
        <f>IF(N849="zákl. přenesená",J849,0)</f>
        <v>0</v>
      </c>
      <c r="BH849" s="139">
        <f>IF(N849="sníž. přenesená",J849,0)</f>
        <v>0</v>
      </c>
      <c r="BI849" s="139">
        <f>IF(N849="nulová",J849,0)</f>
        <v>0</v>
      </c>
      <c r="BJ849" s="17" t="s">
        <v>79</v>
      </c>
      <c r="BK849" s="139">
        <f>ROUND(I849*H849,2)</f>
        <v>0</v>
      </c>
      <c r="BL849" s="17" t="s">
        <v>229</v>
      </c>
      <c r="BM849" s="138" t="s">
        <v>1858</v>
      </c>
    </row>
    <row r="850" spans="2:65" s="1" customFormat="1" ht="16.5" customHeight="1">
      <c r="B850" s="32"/>
      <c r="C850" s="159" t="s">
        <v>1859</v>
      </c>
      <c r="D850" s="159" t="s">
        <v>413</v>
      </c>
      <c r="E850" s="160" t="s">
        <v>1860</v>
      </c>
      <c r="F850" s="161" t="s">
        <v>1861</v>
      </c>
      <c r="G850" s="162" t="s">
        <v>304</v>
      </c>
      <c r="H850" s="163">
        <v>2</v>
      </c>
      <c r="I850" s="164"/>
      <c r="J850" s="165">
        <f>ROUND(I850*H850,2)</f>
        <v>0</v>
      </c>
      <c r="K850" s="161" t="s">
        <v>133</v>
      </c>
      <c r="L850" s="166"/>
      <c r="M850" s="167" t="s">
        <v>19</v>
      </c>
      <c r="N850" s="168" t="s">
        <v>42</v>
      </c>
      <c r="P850" s="136">
        <f>O850*H850</f>
        <v>0</v>
      </c>
      <c r="Q850" s="136">
        <v>9.1E-4</v>
      </c>
      <c r="R850" s="136">
        <f>Q850*H850</f>
        <v>1.82E-3</v>
      </c>
      <c r="S850" s="136">
        <v>0</v>
      </c>
      <c r="T850" s="137">
        <f>S850*H850</f>
        <v>0</v>
      </c>
      <c r="AR850" s="138" t="s">
        <v>333</v>
      </c>
      <c r="AT850" s="138" t="s">
        <v>413</v>
      </c>
      <c r="AU850" s="138" t="s">
        <v>81</v>
      </c>
      <c r="AY850" s="17" t="s">
        <v>127</v>
      </c>
      <c r="BE850" s="139">
        <f>IF(N850="základní",J850,0)</f>
        <v>0</v>
      </c>
      <c r="BF850" s="139">
        <f>IF(N850="snížená",J850,0)</f>
        <v>0</v>
      </c>
      <c r="BG850" s="139">
        <f>IF(N850="zákl. přenesená",J850,0)</f>
        <v>0</v>
      </c>
      <c r="BH850" s="139">
        <f>IF(N850="sníž. přenesená",J850,0)</f>
        <v>0</v>
      </c>
      <c r="BI850" s="139">
        <f>IF(N850="nulová",J850,0)</f>
        <v>0</v>
      </c>
      <c r="BJ850" s="17" t="s">
        <v>79</v>
      </c>
      <c r="BK850" s="139">
        <f>ROUND(I850*H850,2)</f>
        <v>0</v>
      </c>
      <c r="BL850" s="17" t="s">
        <v>229</v>
      </c>
      <c r="BM850" s="138" t="s">
        <v>1862</v>
      </c>
    </row>
    <row r="851" spans="2:65" s="1" customFormat="1" ht="16.5" customHeight="1">
      <c r="B851" s="32"/>
      <c r="C851" s="159" t="s">
        <v>1863</v>
      </c>
      <c r="D851" s="159" t="s">
        <v>413</v>
      </c>
      <c r="E851" s="160" t="s">
        <v>1864</v>
      </c>
      <c r="F851" s="161" t="s">
        <v>1865</v>
      </c>
      <c r="G851" s="162" t="s">
        <v>1736</v>
      </c>
      <c r="H851" s="163">
        <v>2</v>
      </c>
      <c r="I851" s="164"/>
      <c r="J851" s="165">
        <f>ROUND(I851*H851,2)</f>
        <v>0</v>
      </c>
      <c r="K851" s="161" t="s">
        <v>133</v>
      </c>
      <c r="L851" s="166"/>
      <c r="M851" s="167" t="s">
        <v>19</v>
      </c>
      <c r="N851" s="168" t="s">
        <v>42</v>
      </c>
      <c r="P851" s="136">
        <f>O851*H851</f>
        <v>0</v>
      </c>
      <c r="Q851" s="136">
        <v>4.0000000000000001E-3</v>
      </c>
      <c r="R851" s="136">
        <f>Q851*H851</f>
        <v>8.0000000000000002E-3</v>
      </c>
      <c r="S851" s="136">
        <v>0</v>
      </c>
      <c r="T851" s="137">
        <f>S851*H851</f>
        <v>0</v>
      </c>
      <c r="AR851" s="138" t="s">
        <v>333</v>
      </c>
      <c r="AT851" s="138" t="s">
        <v>413</v>
      </c>
      <c r="AU851" s="138" t="s">
        <v>81</v>
      </c>
      <c r="AY851" s="17" t="s">
        <v>127</v>
      </c>
      <c r="BE851" s="139">
        <f>IF(N851="základní",J851,0)</f>
        <v>0</v>
      </c>
      <c r="BF851" s="139">
        <f>IF(N851="snížená",J851,0)</f>
        <v>0</v>
      </c>
      <c r="BG851" s="139">
        <f>IF(N851="zákl. přenesená",J851,0)</f>
        <v>0</v>
      </c>
      <c r="BH851" s="139">
        <f>IF(N851="sníž. přenesená",J851,0)</f>
        <v>0</v>
      </c>
      <c r="BI851" s="139">
        <f>IF(N851="nulová",J851,0)</f>
        <v>0</v>
      </c>
      <c r="BJ851" s="17" t="s">
        <v>79</v>
      </c>
      <c r="BK851" s="139">
        <f>ROUND(I851*H851,2)</f>
        <v>0</v>
      </c>
      <c r="BL851" s="17" t="s">
        <v>229</v>
      </c>
      <c r="BM851" s="138" t="s">
        <v>1866</v>
      </c>
    </row>
    <row r="852" spans="2:65" s="1" customFormat="1" ht="33" customHeight="1">
      <c r="B852" s="32"/>
      <c r="C852" s="127" t="s">
        <v>1867</v>
      </c>
      <c r="D852" s="127" t="s">
        <v>129</v>
      </c>
      <c r="E852" s="128" t="s">
        <v>1868</v>
      </c>
      <c r="F852" s="129" t="s">
        <v>1869</v>
      </c>
      <c r="G852" s="130" t="s">
        <v>304</v>
      </c>
      <c r="H852" s="131">
        <v>22</v>
      </c>
      <c r="I852" s="132"/>
      <c r="J852" s="133">
        <f>ROUND(I852*H852,2)</f>
        <v>0</v>
      </c>
      <c r="K852" s="129" t="s">
        <v>19</v>
      </c>
      <c r="L852" s="32"/>
      <c r="M852" s="134" t="s">
        <v>19</v>
      </c>
      <c r="N852" s="135" t="s">
        <v>42</v>
      </c>
      <c r="P852" s="136">
        <f>O852*H852</f>
        <v>0</v>
      </c>
      <c r="Q852" s="136">
        <v>2.7E-4</v>
      </c>
      <c r="R852" s="136">
        <f>Q852*H852</f>
        <v>5.94E-3</v>
      </c>
      <c r="S852" s="136">
        <v>0</v>
      </c>
      <c r="T852" s="137">
        <f>S852*H852</f>
        <v>0</v>
      </c>
      <c r="AR852" s="138" t="s">
        <v>229</v>
      </c>
      <c r="AT852" s="138" t="s">
        <v>129</v>
      </c>
      <c r="AU852" s="138" t="s">
        <v>81</v>
      </c>
      <c r="AY852" s="17" t="s">
        <v>127</v>
      </c>
      <c r="BE852" s="139">
        <f>IF(N852="základní",J852,0)</f>
        <v>0</v>
      </c>
      <c r="BF852" s="139">
        <f>IF(N852="snížená",J852,0)</f>
        <v>0</v>
      </c>
      <c r="BG852" s="139">
        <f>IF(N852="zákl. přenesená",J852,0)</f>
        <v>0</v>
      </c>
      <c r="BH852" s="139">
        <f>IF(N852="sníž. přenesená",J852,0)</f>
        <v>0</v>
      </c>
      <c r="BI852" s="139">
        <f>IF(N852="nulová",J852,0)</f>
        <v>0</v>
      </c>
      <c r="BJ852" s="17" t="s">
        <v>79</v>
      </c>
      <c r="BK852" s="139">
        <f>ROUND(I852*H852,2)</f>
        <v>0</v>
      </c>
      <c r="BL852" s="17" t="s">
        <v>229</v>
      </c>
      <c r="BM852" s="138" t="s">
        <v>1870</v>
      </c>
    </row>
    <row r="853" spans="2:65" s="12" customFormat="1">
      <c r="B853" s="144"/>
      <c r="D853" s="145" t="s">
        <v>138</v>
      </c>
      <c r="E853" s="146" t="s">
        <v>19</v>
      </c>
      <c r="F853" s="147" t="s">
        <v>1871</v>
      </c>
      <c r="H853" s="148">
        <v>22</v>
      </c>
      <c r="I853" s="149"/>
      <c r="L853" s="144"/>
      <c r="M853" s="150"/>
      <c r="T853" s="151"/>
      <c r="AT853" s="146" t="s">
        <v>138</v>
      </c>
      <c r="AU853" s="146" t="s">
        <v>81</v>
      </c>
      <c r="AV853" s="12" t="s">
        <v>81</v>
      </c>
      <c r="AW853" s="12" t="s">
        <v>33</v>
      </c>
      <c r="AX853" s="12" t="s">
        <v>79</v>
      </c>
      <c r="AY853" s="146" t="s">
        <v>127</v>
      </c>
    </row>
    <row r="854" spans="2:65" s="1" customFormat="1" ht="24.2" customHeight="1">
      <c r="B854" s="32"/>
      <c r="C854" s="159" t="s">
        <v>1872</v>
      </c>
      <c r="D854" s="159" t="s">
        <v>413</v>
      </c>
      <c r="E854" s="160" t="s">
        <v>1873</v>
      </c>
      <c r="F854" s="161" t="s">
        <v>1874</v>
      </c>
      <c r="G854" s="162" t="s">
        <v>304</v>
      </c>
      <c r="H854" s="163">
        <v>22</v>
      </c>
      <c r="I854" s="164"/>
      <c r="J854" s="165">
        <f>ROUND(I854*H854,2)</f>
        <v>0</v>
      </c>
      <c r="K854" s="161" t="s">
        <v>133</v>
      </c>
      <c r="L854" s="166"/>
      <c r="M854" s="167" t="s">
        <v>19</v>
      </c>
      <c r="N854" s="168" t="s">
        <v>42</v>
      </c>
      <c r="P854" s="136">
        <f>O854*H854</f>
        <v>0</v>
      </c>
      <c r="Q854" s="136">
        <v>0</v>
      </c>
      <c r="R854" s="136">
        <f>Q854*H854</f>
        <v>0</v>
      </c>
      <c r="S854" s="136">
        <v>0</v>
      </c>
      <c r="T854" s="137">
        <f>S854*H854</f>
        <v>0</v>
      </c>
      <c r="AR854" s="138" t="s">
        <v>333</v>
      </c>
      <c r="AT854" s="138" t="s">
        <v>413</v>
      </c>
      <c r="AU854" s="138" t="s">
        <v>81</v>
      </c>
      <c r="AY854" s="17" t="s">
        <v>127</v>
      </c>
      <c r="BE854" s="139">
        <f>IF(N854="základní",J854,0)</f>
        <v>0</v>
      </c>
      <c r="BF854" s="139">
        <f>IF(N854="snížená",J854,0)</f>
        <v>0</v>
      </c>
      <c r="BG854" s="139">
        <f>IF(N854="zákl. přenesená",J854,0)</f>
        <v>0</v>
      </c>
      <c r="BH854" s="139">
        <f>IF(N854="sníž. přenesená",J854,0)</f>
        <v>0</v>
      </c>
      <c r="BI854" s="139">
        <f>IF(N854="nulová",J854,0)</f>
        <v>0</v>
      </c>
      <c r="BJ854" s="17" t="s">
        <v>79</v>
      </c>
      <c r="BK854" s="139">
        <f>ROUND(I854*H854,2)</f>
        <v>0</v>
      </c>
      <c r="BL854" s="17" t="s">
        <v>229</v>
      </c>
      <c r="BM854" s="138" t="s">
        <v>1875</v>
      </c>
    </row>
    <row r="855" spans="2:65" s="1" customFormat="1" ht="16.5" customHeight="1">
      <c r="B855" s="32"/>
      <c r="C855" s="159" t="s">
        <v>1876</v>
      </c>
      <c r="D855" s="159" t="s">
        <v>413</v>
      </c>
      <c r="E855" s="160" t="s">
        <v>1877</v>
      </c>
      <c r="F855" s="161" t="s">
        <v>1878</v>
      </c>
      <c r="G855" s="162" t="s">
        <v>304</v>
      </c>
      <c r="H855" s="163">
        <v>22</v>
      </c>
      <c r="I855" s="164"/>
      <c r="J855" s="165">
        <f>ROUND(I855*H855,2)</f>
        <v>0</v>
      </c>
      <c r="K855" s="161" t="s">
        <v>19</v>
      </c>
      <c r="L855" s="166"/>
      <c r="M855" s="167" t="s">
        <v>19</v>
      </c>
      <c r="N855" s="168" t="s">
        <v>42</v>
      </c>
      <c r="P855" s="136">
        <f>O855*H855</f>
        <v>0</v>
      </c>
      <c r="Q855" s="136">
        <v>8.6E-3</v>
      </c>
      <c r="R855" s="136">
        <f>Q855*H855</f>
        <v>0.18920000000000001</v>
      </c>
      <c r="S855" s="136">
        <v>0</v>
      </c>
      <c r="T855" s="137">
        <f>S855*H855</f>
        <v>0</v>
      </c>
      <c r="AR855" s="138" t="s">
        <v>333</v>
      </c>
      <c r="AT855" s="138" t="s">
        <v>413</v>
      </c>
      <c r="AU855" s="138" t="s">
        <v>81</v>
      </c>
      <c r="AY855" s="17" t="s">
        <v>127</v>
      </c>
      <c r="BE855" s="139">
        <f>IF(N855="základní",J855,0)</f>
        <v>0</v>
      </c>
      <c r="BF855" s="139">
        <f>IF(N855="snížená",J855,0)</f>
        <v>0</v>
      </c>
      <c r="BG855" s="139">
        <f>IF(N855="zákl. přenesená",J855,0)</f>
        <v>0</v>
      </c>
      <c r="BH855" s="139">
        <f>IF(N855="sníž. přenesená",J855,0)</f>
        <v>0</v>
      </c>
      <c r="BI855" s="139">
        <f>IF(N855="nulová",J855,0)</f>
        <v>0</v>
      </c>
      <c r="BJ855" s="17" t="s">
        <v>79</v>
      </c>
      <c r="BK855" s="139">
        <f>ROUND(I855*H855,2)</f>
        <v>0</v>
      </c>
      <c r="BL855" s="17" t="s">
        <v>229</v>
      </c>
      <c r="BM855" s="138" t="s">
        <v>1879</v>
      </c>
    </row>
    <row r="856" spans="2:65" s="1" customFormat="1" ht="16.5" customHeight="1">
      <c r="B856" s="32"/>
      <c r="C856" s="159" t="s">
        <v>1880</v>
      </c>
      <c r="D856" s="159" t="s">
        <v>413</v>
      </c>
      <c r="E856" s="160" t="s">
        <v>1881</v>
      </c>
      <c r="F856" s="161" t="s">
        <v>1882</v>
      </c>
      <c r="G856" s="162" t="s">
        <v>304</v>
      </c>
      <c r="H856" s="163">
        <v>22</v>
      </c>
      <c r="I856" s="164"/>
      <c r="J856" s="165">
        <f>ROUND(I856*H856,2)</f>
        <v>0</v>
      </c>
      <c r="K856" s="161" t="s">
        <v>19</v>
      </c>
      <c r="L856" s="166"/>
      <c r="M856" s="167" t="s">
        <v>19</v>
      </c>
      <c r="N856" s="168" t="s">
        <v>42</v>
      </c>
      <c r="P856" s="136">
        <f>O856*H856</f>
        <v>0</v>
      </c>
      <c r="Q856" s="136">
        <v>9.7000000000000005E-4</v>
      </c>
      <c r="R856" s="136">
        <f>Q856*H856</f>
        <v>2.1340000000000001E-2</v>
      </c>
      <c r="S856" s="136">
        <v>0</v>
      </c>
      <c r="T856" s="137">
        <f>S856*H856</f>
        <v>0</v>
      </c>
      <c r="AR856" s="138" t="s">
        <v>333</v>
      </c>
      <c r="AT856" s="138" t="s">
        <v>413</v>
      </c>
      <c r="AU856" s="138" t="s">
        <v>81</v>
      </c>
      <c r="AY856" s="17" t="s">
        <v>127</v>
      </c>
      <c r="BE856" s="139">
        <f>IF(N856="základní",J856,0)</f>
        <v>0</v>
      </c>
      <c r="BF856" s="139">
        <f>IF(N856="snížená",J856,0)</f>
        <v>0</v>
      </c>
      <c r="BG856" s="139">
        <f>IF(N856="zákl. přenesená",J856,0)</f>
        <v>0</v>
      </c>
      <c r="BH856" s="139">
        <f>IF(N856="sníž. přenesená",J856,0)</f>
        <v>0</v>
      </c>
      <c r="BI856" s="139">
        <f>IF(N856="nulová",J856,0)</f>
        <v>0</v>
      </c>
      <c r="BJ856" s="17" t="s">
        <v>79</v>
      </c>
      <c r="BK856" s="139">
        <f>ROUND(I856*H856,2)</f>
        <v>0</v>
      </c>
      <c r="BL856" s="17" t="s">
        <v>229</v>
      </c>
      <c r="BM856" s="138" t="s">
        <v>1883</v>
      </c>
    </row>
    <row r="857" spans="2:65" s="1" customFormat="1" ht="16.5" customHeight="1">
      <c r="B857" s="32"/>
      <c r="C857" s="159" t="s">
        <v>1884</v>
      </c>
      <c r="D857" s="159" t="s">
        <v>413</v>
      </c>
      <c r="E857" s="160" t="s">
        <v>1885</v>
      </c>
      <c r="F857" s="161" t="s">
        <v>1886</v>
      </c>
      <c r="G857" s="162" t="s">
        <v>1736</v>
      </c>
      <c r="H857" s="163">
        <v>22</v>
      </c>
      <c r="I857" s="164"/>
      <c r="J857" s="165">
        <f>ROUND(I857*H857,2)</f>
        <v>0</v>
      </c>
      <c r="K857" s="161" t="s">
        <v>19</v>
      </c>
      <c r="L857" s="166"/>
      <c r="M857" s="167" t="s">
        <v>19</v>
      </c>
      <c r="N857" s="168" t="s">
        <v>42</v>
      </c>
      <c r="P857" s="136">
        <f>O857*H857</f>
        <v>0</v>
      </c>
      <c r="Q857" s="136">
        <v>4.28E-3</v>
      </c>
      <c r="R857" s="136">
        <f>Q857*H857</f>
        <v>9.4159999999999994E-2</v>
      </c>
      <c r="S857" s="136">
        <v>0</v>
      </c>
      <c r="T857" s="137">
        <f>S857*H857</f>
        <v>0</v>
      </c>
      <c r="AR857" s="138" t="s">
        <v>333</v>
      </c>
      <c r="AT857" s="138" t="s">
        <v>413</v>
      </c>
      <c r="AU857" s="138" t="s">
        <v>81</v>
      </c>
      <c r="AY857" s="17" t="s">
        <v>127</v>
      </c>
      <c r="BE857" s="139">
        <f>IF(N857="základní",J857,0)</f>
        <v>0</v>
      </c>
      <c r="BF857" s="139">
        <f>IF(N857="snížená",J857,0)</f>
        <v>0</v>
      </c>
      <c r="BG857" s="139">
        <f>IF(N857="zákl. přenesená",J857,0)</f>
        <v>0</v>
      </c>
      <c r="BH857" s="139">
        <f>IF(N857="sníž. přenesená",J857,0)</f>
        <v>0</v>
      </c>
      <c r="BI857" s="139">
        <f>IF(N857="nulová",J857,0)</f>
        <v>0</v>
      </c>
      <c r="BJ857" s="17" t="s">
        <v>79</v>
      </c>
      <c r="BK857" s="139">
        <f>ROUND(I857*H857,2)</f>
        <v>0</v>
      </c>
      <c r="BL857" s="17" t="s">
        <v>229</v>
      </c>
      <c r="BM857" s="138" t="s">
        <v>1887</v>
      </c>
    </row>
    <row r="858" spans="2:65" s="1" customFormat="1" ht="24.2" customHeight="1">
      <c r="B858" s="32"/>
      <c r="C858" s="127" t="s">
        <v>1888</v>
      </c>
      <c r="D858" s="127" t="s">
        <v>129</v>
      </c>
      <c r="E858" s="128" t="s">
        <v>1889</v>
      </c>
      <c r="F858" s="129" t="s">
        <v>1890</v>
      </c>
      <c r="G858" s="130" t="s">
        <v>304</v>
      </c>
      <c r="H858" s="131">
        <v>3</v>
      </c>
      <c r="I858" s="132"/>
      <c r="J858" s="133">
        <f>ROUND(I858*H858,2)</f>
        <v>0</v>
      </c>
      <c r="K858" s="129" t="s">
        <v>133</v>
      </c>
      <c r="L858" s="32"/>
      <c r="M858" s="134" t="s">
        <v>19</v>
      </c>
      <c r="N858" s="135" t="s">
        <v>42</v>
      </c>
      <c r="P858" s="136">
        <f>O858*H858</f>
        <v>0</v>
      </c>
      <c r="Q858" s="136">
        <v>0</v>
      </c>
      <c r="R858" s="136">
        <f>Q858*H858</f>
        <v>0</v>
      </c>
      <c r="S858" s="136">
        <v>0</v>
      </c>
      <c r="T858" s="137">
        <f>S858*H858</f>
        <v>0</v>
      </c>
      <c r="AR858" s="138" t="s">
        <v>229</v>
      </c>
      <c r="AT858" s="138" t="s">
        <v>129</v>
      </c>
      <c r="AU858" s="138" t="s">
        <v>81</v>
      </c>
      <c r="AY858" s="17" t="s">
        <v>127</v>
      </c>
      <c r="BE858" s="139">
        <f>IF(N858="základní",J858,0)</f>
        <v>0</v>
      </c>
      <c r="BF858" s="139">
        <f>IF(N858="snížená",J858,0)</f>
        <v>0</v>
      </c>
      <c r="BG858" s="139">
        <f>IF(N858="zákl. přenesená",J858,0)</f>
        <v>0</v>
      </c>
      <c r="BH858" s="139">
        <f>IF(N858="sníž. přenesená",J858,0)</f>
        <v>0</v>
      </c>
      <c r="BI858" s="139">
        <f>IF(N858="nulová",J858,0)</f>
        <v>0</v>
      </c>
      <c r="BJ858" s="17" t="s">
        <v>79</v>
      </c>
      <c r="BK858" s="139">
        <f>ROUND(I858*H858,2)</f>
        <v>0</v>
      </c>
      <c r="BL858" s="17" t="s">
        <v>229</v>
      </c>
      <c r="BM858" s="138" t="s">
        <v>1891</v>
      </c>
    </row>
    <row r="859" spans="2:65" s="1" customFormat="1">
      <c r="B859" s="32"/>
      <c r="D859" s="140" t="s">
        <v>136</v>
      </c>
      <c r="F859" s="141" t="s">
        <v>1892</v>
      </c>
      <c r="I859" s="142"/>
      <c r="L859" s="32"/>
      <c r="M859" s="143"/>
      <c r="T859" s="51"/>
      <c r="AT859" s="17" t="s">
        <v>136</v>
      </c>
      <c r="AU859" s="17" t="s">
        <v>81</v>
      </c>
    </row>
    <row r="860" spans="2:65" s="12" customFormat="1">
      <c r="B860" s="144"/>
      <c r="D860" s="145" t="s">
        <v>138</v>
      </c>
      <c r="E860" s="146" t="s">
        <v>19</v>
      </c>
      <c r="F860" s="147" t="s">
        <v>1893</v>
      </c>
      <c r="H860" s="148">
        <v>3</v>
      </c>
      <c r="I860" s="149"/>
      <c r="L860" s="144"/>
      <c r="M860" s="150"/>
      <c r="T860" s="151"/>
      <c r="AT860" s="146" t="s">
        <v>138</v>
      </c>
      <c r="AU860" s="146" t="s">
        <v>81</v>
      </c>
      <c r="AV860" s="12" t="s">
        <v>81</v>
      </c>
      <c r="AW860" s="12" t="s">
        <v>33</v>
      </c>
      <c r="AX860" s="12" t="s">
        <v>79</v>
      </c>
      <c r="AY860" s="146" t="s">
        <v>127</v>
      </c>
    </row>
    <row r="861" spans="2:65" s="1" customFormat="1" ht="16.5" customHeight="1">
      <c r="B861" s="32"/>
      <c r="C861" s="159" t="s">
        <v>1894</v>
      </c>
      <c r="D861" s="159" t="s">
        <v>413</v>
      </c>
      <c r="E861" s="160" t="s">
        <v>1895</v>
      </c>
      <c r="F861" s="161" t="s">
        <v>1896</v>
      </c>
      <c r="G861" s="162" t="s">
        <v>257</v>
      </c>
      <c r="H861" s="163">
        <v>3.6</v>
      </c>
      <c r="I861" s="164"/>
      <c r="J861" s="165">
        <f>ROUND(I861*H861,2)</f>
        <v>0</v>
      </c>
      <c r="K861" s="161" t="s">
        <v>133</v>
      </c>
      <c r="L861" s="166"/>
      <c r="M861" s="167" t="s">
        <v>19</v>
      </c>
      <c r="N861" s="168" t="s">
        <v>42</v>
      </c>
      <c r="P861" s="136">
        <f>O861*H861</f>
        <v>0</v>
      </c>
      <c r="Q861" s="136">
        <v>4.0000000000000001E-3</v>
      </c>
      <c r="R861" s="136">
        <f>Q861*H861</f>
        <v>1.4400000000000001E-2</v>
      </c>
      <c r="S861" s="136">
        <v>0</v>
      </c>
      <c r="T861" s="137">
        <f>S861*H861</f>
        <v>0</v>
      </c>
      <c r="AR861" s="138" t="s">
        <v>333</v>
      </c>
      <c r="AT861" s="138" t="s">
        <v>413</v>
      </c>
      <c r="AU861" s="138" t="s">
        <v>81</v>
      </c>
      <c r="AY861" s="17" t="s">
        <v>127</v>
      </c>
      <c r="BE861" s="139">
        <f>IF(N861="základní",J861,0)</f>
        <v>0</v>
      </c>
      <c r="BF861" s="139">
        <f>IF(N861="snížená",J861,0)</f>
        <v>0</v>
      </c>
      <c r="BG861" s="139">
        <f>IF(N861="zákl. přenesená",J861,0)</f>
        <v>0</v>
      </c>
      <c r="BH861" s="139">
        <f>IF(N861="sníž. přenesená",J861,0)</f>
        <v>0</v>
      </c>
      <c r="BI861" s="139">
        <f>IF(N861="nulová",J861,0)</f>
        <v>0</v>
      </c>
      <c r="BJ861" s="17" t="s">
        <v>79</v>
      </c>
      <c r="BK861" s="139">
        <f>ROUND(I861*H861,2)</f>
        <v>0</v>
      </c>
      <c r="BL861" s="17" t="s">
        <v>229</v>
      </c>
      <c r="BM861" s="138" t="s">
        <v>1897</v>
      </c>
    </row>
    <row r="862" spans="2:65" s="12" customFormat="1">
      <c r="B862" s="144"/>
      <c r="D862" s="145" t="s">
        <v>138</v>
      </c>
      <c r="E862" s="146" t="s">
        <v>19</v>
      </c>
      <c r="F862" s="147" t="s">
        <v>1898</v>
      </c>
      <c r="H862" s="148">
        <v>3.6</v>
      </c>
      <c r="I862" s="149"/>
      <c r="L862" s="144"/>
      <c r="M862" s="150"/>
      <c r="T862" s="151"/>
      <c r="AT862" s="146" t="s">
        <v>138</v>
      </c>
      <c r="AU862" s="146" t="s">
        <v>81</v>
      </c>
      <c r="AV862" s="12" t="s">
        <v>81</v>
      </c>
      <c r="AW862" s="12" t="s">
        <v>33</v>
      </c>
      <c r="AX862" s="12" t="s">
        <v>79</v>
      </c>
      <c r="AY862" s="146" t="s">
        <v>127</v>
      </c>
    </row>
    <row r="863" spans="2:65" s="1" customFormat="1" ht="16.5" customHeight="1">
      <c r="B863" s="32"/>
      <c r="C863" s="159" t="s">
        <v>1899</v>
      </c>
      <c r="D863" s="159" t="s">
        <v>413</v>
      </c>
      <c r="E863" s="160" t="s">
        <v>1900</v>
      </c>
      <c r="F863" s="161" t="s">
        <v>1901</v>
      </c>
      <c r="G863" s="162" t="s">
        <v>1736</v>
      </c>
      <c r="H863" s="163">
        <v>3</v>
      </c>
      <c r="I863" s="164"/>
      <c r="J863" s="165">
        <f>ROUND(I863*H863,2)</f>
        <v>0</v>
      </c>
      <c r="K863" s="161" t="s">
        <v>133</v>
      </c>
      <c r="L863" s="166"/>
      <c r="M863" s="167" t="s">
        <v>19</v>
      </c>
      <c r="N863" s="168" t="s">
        <v>42</v>
      </c>
      <c r="P863" s="136">
        <f>O863*H863</f>
        <v>0</v>
      </c>
      <c r="Q863" s="136">
        <v>6.0000000000000002E-5</v>
      </c>
      <c r="R863" s="136">
        <f>Q863*H863</f>
        <v>1.8000000000000001E-4</v>
      </c>
      <c r="S863" s="136">
        <v>0</v>
      </c>
      <c r="T863" s="137">
        <f>S863*H863</f>
        <v>0</v>
      </c>
      <c r="AR863" s="138" t="s">
        <v>333</v>
      </c>
      <c r="AT863" s="138" t="s">
        <v>413</v>
      </c>
      <c r="AU863" s="138" t="s">
        <v>81</v>
      </c>
      <c r="AY863" s="17" t="s">
        <v>127</v>
      </c>
      <c r="BE863" s="139">
        <f>IF(N863="základní",J863,0)</f>
        <v>0</v>
      </c>
      <c r="BF863" s="139">
        <f>IF(N863="snížená",J863,0)</f>
        <v>0</v>
      </c>
      <c r="BG863" s="139">
        <f>IF(N863="zákl. přenesená",J863,0)</f>
        <v>0</v>
      </c>
      <c r="BH863" s="139">
        <f>IF(N863="sníž. přenesená",J863,0)</f>
        <v>0</v>
      </c>
      <c r="BI863" s="139">
        <f>IF(N863="nulová",J863,0)</f>
        <v>0</v>
      </c>
      <c r="BJ863" s="17" t="s">
        <v>79</v>
      </c>
      <c r="BK863" s="139">
        <f>ROUND(I863*H863,2)</f>
        <v>0</v>
      </c>
      <c r="BL863" s="17" t="s">
        <v>229</v>
      </c>
      <c r="BM863" s="138" t="s">
        <v>1902</v>
      </c>
    </row>
    <row r="864" spans="2:65" s="1" customFormat="1" ht="24.2" customHeight="1">
      <c r="B864" s="32"/>
      <c r="C864" s="127" t="s">
        <v>1903</v>
      </c>
      <c r="D864" s="127" t="s">
        <v>129</v>
      </c>
      <c r="E864" s="128" t="s">
        <v>1904</v>
      </c>
      <c r="F864" s="129" t="s">
        <v>1905</v>
      </c>
      <c r="G864" s="130" t="s">
        <v>304</v>
      </c>
      <c r="H864" s="131">
        <v>1</v>
      </c>
      <c r="I864" s="132"/>
      <c r="J864" s="133">
        <f>ROUND(I864*H864,2)</f>
        <v>0</v>
      </c>
      <c r="K864" s="129" t="s">
        <v>133</v>
      </c>
      <c r="L864" s="32"/>
      <c r="M864" s="134" t="s">
        <v>19</v>
      </c>
      <c r="N864" s="135" t="s">
        <v>42</v>
      </c>
      <c r="P864" s="136">
        <f>O864*H864</f>
        <v>0</v>
      </c>
      <c r="Q864" s="136">
        <v>0</v>
      </c>
      <c r="R864" s="136">
        <f>Q864*H864</f>
        <v>0</v>
      </c>
      <c r="S864" s="136">
        <v>0</v>
      </c>
      <c r="T864" s="137">
        <f>S864*H864</f>
        <v>0</v>
      </c>
      <c r="AR864" s="138" t="s">
        <v>229</v>
      </c>
      <c r="AT864" s="138" t="s">
        <v>129</v>
      </c>
      <c r="AU864" s="138" t="s">
        <v>81</v>
      </c>
      <c r="AY864" s="17" t="s">
        <v>127</v>
      </c>
      <c r="BE864" s="139">
        <f>IF(N864="základní",J864,0)</f>
        <v>0</v>
      </c>
      <c r="BF864" s="139">
        <f>IF(N864="snížená",J864,0)</f>
        <v>0</v>
      </c>
      <c r="BG864" s="139">
        <f>IF(N864="zákl. přenesená",J864,0)</f>
        <v>0</v>
      </c>
      <c r="BH864" s="139">
        <f>IF(N864="sníž. přenesená",J864,0)</f>
        <v>0</v>
      </c>
      <c r="BI864" s="139">
        <f>IF(N864="nulová",J864,0)</f>
        <v>0</v>
      </c>
      <c r="BJ864" s="17" t="s">
        <v>79</v>
      </c>
      <c r="BK864" s="139">
        <f>ROUND(I864*H864,2)</f>
        <v>0</v>
      </c>
      <c r="BL864" s="17" t="s">
        <v>229</v>
      </c>
      <c r="BM864" s="138" t="s">
        <v>1906</v>
      </c>
    </row>
    <row r="865" spans="2:65" s="1" customFormat="1">
      <c r="B865" s="32"/>
      <c r="D865" s="140" t="s">
        <v>136</v>
      </c>
      <c r="F865" s="141" t="s">
        <v>1907</v>
      </c>
      <c r="I865" s="142"/>
      <c r="L865" s="32"/>
      <c r="M865" s="143"/>
      <c r="T865" s="51"/>
      <c r="AT865" s="17" t="s">
        <v>136</v>
      </c>
      <c r="AU865" s="17" t="s">
        <v>81</v>
      </c>
    </row>
    <row r="866" spans="2:65" s="12" customFormat="1">
      <c r="B866" s="144"/>
      <c r="D866" s="145" t="s">
        <v>138</v>
      </c>
      <c r="E866" s="146" t="s">
        <v>19</v>
      </c>
      <c r="F866" s="147" t="s">
        <v>1908</v>
      </c>
      <c r="H866" s="148">
        <v>1</v>
      </c>
      <c r="I866" s="149"/>
      <c r="L866" s="144"/>
      <c r="M866" s="150"/>
      <c r="T866" s="151"/>
      <c r="AT866" s="146" t="s">
        <v>138</v>
      </c>
      <c r="AU866" s="146" t="s">
        <v>81</v>
      </c>
      <c r="AV866" s="12" t="s">
        <v>81</v>
      </c>
      <c r="AW866" s="12" t="s">
        <v>33</v>
      </c>
      <c r="AX866" s="12" t="s">
        <v>79</v>
      </c>
      <c r="AY866" s="146" t="s">
        <v>127</v>
      </c>
    </row>
    <row r="867" spans="2:65" s="1" customFormat="1" ht="16.5" customHeight="1">
      <c r="B867" s="32"/>
      <c r="C867" s="159" t="s">
        <v>1909</v>
      </c>
      <c r="D867" s="159" t="s">
        <v>413</v>
      </c>
      <c r="E867" s="160" t="s">
        <v>1895</v>
      </c>
      <c r="F867" s="161" t="s">
        <v>1896</v>
      </c>
      <c r="G867" s="162" t="s">
        <v>257</v>
      </c>
      <c r="H867" s="163">
        <v>1.85</v>
      </c>
      <c r="I867" s="164"/>
      <c r="J867" s="165">
        <f>ROUND(I867*H867,2)</f>
        <v>0</v>
      </c>
      <c r="K867" s="161" t="s">
        <v>133</v>
      </c>
      <c r="L867" s="166"/>
      <c r="M867" s="167" t="s">
        <v>19</v>
      </c>
      <c r="N867" s="168" t="s">
        <v>42</v>
      </c>
      <c r="P867" s="136">
        <f>O867*H867</f>
        <v>0</v>
      </c>
      <c r="Q867" s="136">
        <v>4.0000000000000001E-3</v>
      </c>
      <c r="R867" s="136">
        <f>Q867*H867</f>
        <v>7.4000000000000003E-3</v>
      </c>
      <c r="S867" s="136">
        <v>0</v>
      </c>
      <c r="T867" s="137">
        <f>S867*H867</f>
        <v>0</v>
      </c>
      <c r="AR867" s="138" t="s">
        <v>333</v>
      </c>
      <c r="AT867" s="138" t="s">
        <v>413</v>
      </c>
      <c r="AU867" s="138" t="s">
        <v>81</v>
      </c>
      <c r="AY867" s="17" t="s">
        <v>127</v>
      </c>
      <c r="BE867" s="139">
        <f>IF(N867="základní",J867,0)</f>
        <v>0</v>
      </c>
      <c r="BF867" s="139">
        <f>IF(N867="snížená",J867,0)</f>
        <v>0</v>
      </c>
      <c r="BG867" s="139">
        <f>IF(N867="zákl. přenesená",J867,0)</f>
        <v>0</v>
      </c>
      <c r="BH867" s="139">
        <f>IF(N867="sníž. přenesená",J867,0)</f>
        <v>0</v>
      </c>
      <c r="BI867" s="139">
        <f>IF(N867="nulová",J867,0)</f>
        <v>0</v>
      </c>
      <c r="BJ867" s="17" t="s">
        <v>79</v>
      </c>
      <c r="BK867" s="139">
        <f>ROUND(I867*H867,2)</f>
        <v>0</v>
      </c>
      <c r="BL867" s="17" t="s">
        <v>229</v>
      </c>
      <c r="BM867" s="138" t="s">
        <v>1910</v>
      </c>
    </row>
    <row r="868" spans="2:65" s="1" customFormat="1" ht="16.5" customHeight="1">
      <c r="B868" s="32"/>
      <c r="C868" s="159" t="s">
        <v>1911</v>
      </c>
      <c r="D868" s="159" t="s">
        <v>413</v>
      </c>
      <c r="E868" s="160" t="s">
        <v>1900</v>
      </c>
      <c r="F868" s="161" t="s">
        <v>1901</v>
      </c>
      <c r="G868" s="162" t="s">
        <v>1736</v>
      </c>
      <c r="H868" s="163">
        <v>1</v>
      </c>
      <c r="I868" s="164"/>
      <c r="J868" s="165">
        <f>ROUND(I868*H868,2)</f>
        <v>0</v>
      </c>
      <c r="K868" s="161" t="s">
        <v>133</v>
      </c>
      <c r="L868" s="166"/>
      <c r="M868" s="167" t="s">
        <v>19</v>
      </c>
      <c r="N868" s="168" t="s">
        <v>42</v>
      </c>
      <c r="P868" s="136">
        <f>O868*H868</f>
        <v>0</v>
      </c>
      <c r="Q868" s="136">
        <v>6.0000000000000002E-5</v>
      </c>
      <c r="R868" s="136">
        <f>Q868*H868</f>
        <v>6.0000000000000002E-5</v>
      </c>
      <c r="S868" s="136">
        <v>0</v>
      </c>
      <c r="T868" s="137">
        <f>S868*H868</f>
        <v>0</v>
      </c>
      <c r="AR868" s="138" t="s">
        <v>333</v>
      </c>
      <c r="AT868" s="138" t="s">
        <v>413</v>
      </c>
      <c r="AU868" s="138" t="s">
        <v>81</v>
      </c>
      <c r="AY868" s="17" t="s">
        <v>127</v>
      </c>
      <c r="BE868" s="139">
        <f>IF(N868="základní",J868,0)</f>
        <v>0</v>
      </c>
      <c r="BF868" s="139">
        <f>IF(N868="snížená",J868,0)</f>
        <v>0</v>
      </c>
      <c r="BG868" s="139">
        <f>IF(N868="zákl. přenesená",J868,0)</f>
        <v>0</v>
      </c>
      <c r="BH868" s="139">
        <f>IF(N868="sníž. přenesená",J868,0)</f>
        <v>0</v>
      </c>
      <c r="BI868" s="139">
        <f>IF(N868="nulová",J868,0)</f>
        <v>0</v>
      </c>
      <c r="BJ868" s="17" t="s">
        <v>79</v>
      </c>
      <c r="BK868" s="139">
        <f>ROUND(I868*H868,2)</f>
        <v>0</v>
      </c>
      <c r="BL868" s="17" t="s">
        <v>229</v>
      </c>
      <c r="BM868" s="138" t="s">
        <v>1912</v>
      </c>
    </row>
    <row r="869" spans="2:65" s="1" customFormat="1" ht="16.5" customHeight="1">
      <c r="B869" s="32"/>
      <c r="C869" s="127" t="s">
        <v>1913</v>
      </c>
      <c r="D869" s="127" t="s">
        <v>129</v>
      </c>
      <c r="E869" s="128" t="s">
        <v>1914</v>
      </c>
      <c r="F869" s="129" t="s">
        <v>1915</v>
      </c>
      <c r="G869" s="130" t="s">
        <v>304</v>
      </c>
      <c r="H869" s="131">
        <v>2</v>
      </c>
      <c r="I869" s="132"/>
      <c r="J869" s="133">
        <f>ROUND(I869*H869,2)</f>
        <v>0</v>
      </c>
      <c r="K869" s="129" t="s">
        <v>19</v>
      </c>
      <c r="L869" s="32"/>
      <c r="M869" s="134" t="s">
        <v>19</v>
      </c>
      <c r="N869" s="135" t="s">
        <v>42</v>
      </c>
      <c r="P869" s="136">
        <f>O869*H869</f>
        <v>0</v>
      </c>
      <c r="Q869" s="136">
        <v>0</v>
      </c>
      <c r="R869" s="136">
        <f>Q869*H869</f>
        <v>0</v>
      </c>
      <c r="S869" s="136">
        <v>0</v>
      </c>
      <c r="T869" s="137">
        <f>S869*H869</f>
        <v>0</v>
      </c>
      <c r="AR869" s="138" t="s">
        <v>229</v>
      </c>
      <c r="AT869" s="138" t="s">
        <v>129</v>
      </c>
      <c r="AU869" s="138" t="s">
        <v>81</v>
      </c>
      <c r="AY869" s="17" t="s">
        <v>127</v>
      </c>
      <c r="BE869" s="139">
        <f>IF(N869="základní",J869,0)</f>
        <v>0</v>
      </c>
      <c r="BF869" s="139">
        <f>IF(N869="snížená",J869,0)</f>
        <v>0</v>
      </c>
      <c r="BG869" s="139">
        <f>IF(N869="zákl. přenesená",J869,0)</f>
        <v>0</v>
      </c>
      <c r="BH869" s="139">
        <f>IF(N869="sníž. přenesená",J869,0)</f>
        <v>0</v>
      </c>
      <c r="BI869" s="139">
        <f>IF(N869="nulová",J869,0)</f>
        <v>0</v>
      </c>
      <c r="BJ869" s="17" t="s">
        <v>79</v>
      </c>
      <c r="BK869" s="139">
        <f>ROUND(I869*H869,2)</f>
        <v>0</v>
      </c>
      <c r="BL869" s="17" t="s">
        <v>229</v>
      </c>
      <c r="BM869" s="138" t="s">
        <v>1916</v>
      </c>
    </row>
    <row r="870" spans="2:65" s="12" customFormat="1">
      <c r="B870" s="144"/>
      <c r="D870" s="145" t="s">
        <v>138</v>
      </c>
      <c r="E870" s="146" t="s">
        <v>19</v>
      </c>
      <c r="F870" s="147" t="s">
        <v>1917</v>
      </c>
      <c r="H870" s="148">
        <v>2</v>
      </c>
      <c r="I870" s="149"/>
      <c r="L870" s="144"/>
      <c r="M870" s="150"/>
      <c r="T870" s="151"/>
      <c r="AT870" s="146" t="s">
        <v>138</v>
      </c>
      <c r="AU870" s="146" t="s">
        <v>81</v>
      </c>
      <c r="AV870" s="12" t="s">
        <v>81</v>
      </c>
      <c r="AW870" s="12" t="s">
        <v>33</v>
      </c>
      <c r="AX870" s="12" t="s">
        <v>79</v>
      </c>
      <c r="AY870" s="146" t="s">
        <v>127</v>
      </c>
    </row>
    <row r="871" spans="2:65" s="1" customFormat="1" ht="16.5" customHeight="1">
      <c r="B871" s="32"/>
      <c r="C871" s="127" t="s">
        <v>1918</v>
      </c>
      <c r="D871" s="127" t="s">
        <v>129</v>
      </c>
      <c r="E871" s="128" t="s">
        <v>1919</v>
      </c>
      <c r="F871" s="129" t="s">
        <v>1920</v>
      </c>
      <c r="G871" s="130" t="s">
        <v>304</v>
      </c>
      <c r="H871" s="131">
        <v>5</v>
      </c>
      <c r="I871" s="132"/>
      <c r="J871" s="133">
        <f>ROUND(I871*H871,2)</f>
        <v>0</v>
      </c>
      <c r="K871" s="129" t="s">
        <v>19</v>
      </c>
      <c r="L871" s="32"/>
      <c r="M871" s="134" t="s">
        <v>19</v>
      </c>
      <c r="N871" s="135" t="s">
        <v>42</v>
      </c>
      <c r="P871" s="136">
        <f>O871*H871</f>
        <v>0</v>
      </c>
      <c r="Q871" s="136">
        <v>0</v>
      </c>
      <c r="R871" s="136">
        <f>Q871*H871</f>
        <v>0</v>
      </c>
      <c r="S871" s="136">
        <v>0</v>
      </c>
      <c r="T871" s="137">
        <f>S871*H871</f>
        <v>0</v>
      </c>
      <c r="AR871" s="138" t="s">
        <v>229</v>
      </c>
      <c r="AT871" s="138" t="s">
        <v>129</v>
      </c>
      <c r="AU871" s="138" t="s">
        <v>81</v>
      </c>
      <c r="AY871" s="17" t="s">
        <v>127</v>
      </c>
      <c r="BE871" s="139">
        <f>IF(N871="základní",J871,0)</f>
        <v>0</v>
      </c>
      <c r="BF871" s="139">
        <f>IF(N871="snížená",J871,0)</f>
        <v>0</v>
      </c>
      <c r="BG871" s="139">
        <f>IF(N871="zákl. přenesená",J871,0)</f>
        <v>0</v>
      </c>
      <c r="BH871" s="139">
        <f>IF(N871="sníž. přenesená",J871,0)</f>
        <v>0</v>
      </c>
      <c r="BI871" s="139">
        <f>IF(N871="nulová",J871,0)</f>
        <v>0</v>
      </c>
      <c r="BJ871" s="17" t="s">
        <v>79</v>
      </c>
      <c r="BK871" s="139">
        <f>ROUND(I871*H871,2)</f>
        <v>0</v>
      </c>
      <c r="BL871" s="17" t="s">
        <v>229</v>
      </c>
      <c r="BM871" s="138" t="s">
        <v>1921</v>
      </c>
    </row>
    <row r="872" spans="2:65" s="12" customFormat="1">
      <c r="B872" s="144"/>
      <c r="D872" s="145" t="s">
        <v>138</v>
      </c>
      <c r="E872" s="146" t="s">
        <v>19</v>
      </c>
      <c r="F872" s="147" t="s">
        <v>1922</v>
      </c>
      <c r="H872" s="148">
        <v>5</v>
      </c>
      <c r="I872" s="149"/>
      <c r="L872" s="144"/>
      <c r="M872" s="150"/>
      <c r="T872" s="151"/>
      <c r="AT872" s="146" t="s">
        <v>138</v>
      </c>
      <c r="AU872" s="146" t="s">
        <v>81</v>
      </c>
      <c r="AV872" s="12" t="s">
        <v>81</v>
      </c>
      <c r="AW872" s="12" t="s">
        <v>33</v>
      </c>
      <c r="AX872" s="12" t="s">
        <v>79</v>
      </c>
      <c r="AY872" s="146" t="s">
        <v>127</v>
      </c>
    </row>
    <row r="873" spans="2:65" s="1" customFormat="1" ht="16.5" customHeight="1">
      <c r="B873" s="32"/>
      <c r="C873" s="127" t="s">
        <v>1923</v>
      </c>
      <c r="D873" s="127" t="s">
        <v>129</v>
      </c>
      <c r="E873" s="128" t="s">
        <v>1924</v>
      </c>
      <c r="F873" s="129" t="s">
        <v>1925</v>
      </c>
      <c r="G873" s="130" t="s">
        <v>304</v>
      </c>
      <c r="H873" s="131">
        <v>1</v>
      </c>
      <c r="I873" s="132"/>
      <c r="J873" s="133">
        <f>ROUND(I873*H873,2)</f>
        <v>0</v>
      </c>
      <c r="K873" s="129" t="s">
        <v>19</v>
      </c>
      <c r="L873" s="32"/>
      <c r="M873" s="134" t="s">
        <v>19</v>
      </c>
      <c r="N873" s="135" t="s">
        <v>42</v>
      </c>
      <c r="P873" s="136">
        <f>O873*H873</f>
        <v>0</v>
      </c>
      <c r="Q873" s="136">
        <v>0</v>
      </c>
      <c r="R873" s="136">
        <f>Q873*H873</f>
        <v>0</v>
      </c>
      <c r="S873" s="136">
        <v>0</v>
      </c>
      <c r="T873" s="137">
        <f>S873*H873</f>
        <v>0</v>
      </c>
      <c r="AR873" s="138" t="s">
        <v>229</v>
      </c>
      <c r="AT873" s="138" t="s">
        <v>129</v>
      </c>
      <c r="AU873" s="138" t="s">
        <v>81</v>
      </c>
      <c r="AY873" s="17" t="s">
        <v>127</v>
      </c>
      <c r="BE873" s="139">
        <f>IF(N873="základní",J873,0)</f>
        <v>0</v>
      </c>
      <c r="BF873" s="139">
        <f>IF(N873="snížená",J873,0)</f>
        <v>0</v>
      </c>
      <c r="BG873" s="139">
        <f>IF(N873="zákl. přenesená",J873,0)</f>
        <v>0</v>
      </c>
      <c r="BH873" s="139">
        <f>IF(N873="sníž. přenesená",J873,0)</f>
        <v>0</v>
      </c>
      <c r="BI873" s="139">
        <f>IF(N873="nulová",J873,0)</f>
        <v>0</v>
      </c>
      <c r="BJ873" s="17" t="s">
        <v>79</v>
      </c>
      <c r="BK873" s="139">
        <f>ROUND(I873*H873,2)</f>
        <v>0</v>
      </c>
      <c r="BL873" s="17" t="s">
        <v>229</v>
      </c>
      <c r="BM873" s="138" t="s">
        <v>1926</v>
      </c>
    </row>
    <row r="874" spans="2:65" s="12" customFormat="1">
      <c r="B874" s="144"/>
      <c r="D874" s="145" t="s">
        <v>138</v>
      </c>
      <c r="E874" s="146" t="s">
        <v>19</v>
      </c>
      <c r="F874" s="147" t="s">
        <v>1927</v>
      </c>
      <c r="H874" s="148">
        <v>1</v>
      </c>
      <c r="I874" s="149"/>
      <c r="L874" s="144"/>
      <c r="M874" s="150"/>
      <c r="T874" s="151"/>
      <c r="AT874" s="146" t="s">
        <v>138</v>
      </c>
      <c r="AU874" s="146" t="s">
        <v>81</v>
      </c>
      <c r="AV874" s="12" t="s">
        <v>81</v>
      </c>
      <c r="AW874" s="12" t="s">
        <v>33</v>
      </c>
      <c r="AX874" s="12" t="s">
        <v>79</v>
      </c>
      <c r="AY874" s="146" t="s">
        <v>127</v>
      </c>
    </row>
    <row r="875" spans="2:65" s="1" customFormat="1" ht="16.5" customHeight="1">
      <c r="B875" s="32"/>
      <c r="C875" s="127" t="s">
        <v>1928</v>
      </c>
      <c r="D875" s="127" t="s">
        <v>129</v>
      </c>
      <c r="E875" s="128" t="s">
        <v>1929</v>
      </c>
      <c r="F875" s="129" t="s">
        <v>1930</v>
      </c>
      <c r="G875" s="130" t="s">
        <v>191</v>
      </c>
      <c r="H875" s="131">
        <v>1</v>
      </c>
      <c r="I875" s="132"/>
      <c r="J875" s="133">
        <f>ROUND(I875*H875,2)</f>
        <v>0</v>
      </c>
      <c r="K875" s="129" t="s">
        <v>19</v>
      </c>
      <c r="L875" s="32"/>
      <c r="M875" s="134" t="s">
        <v>19</v>
      </c>
      <c r="N875" s="135" t="s">
        <v>42</v>
      </c>
      <c r="P875" s="136">
        <f>O875*H875</f>
        <v>0</v>
      </c>
      <c r="Q875" s="136">
        <v>0</v>
      </c>
      <c r="R875" s="136">
        <f>Q875*H875</f>
        <v>0</v>
      </c>
      <c r="S875" s="136">
        <v>0</v>
      </c>
      <c r="T875" s="137">
        <f>S875*H875</f>
        <v>0</v>
      </c>
      <c r="AR875" s="138" t="s">
        <v>229</v>
      </c>
      <c r="AT875" s="138" t="s">
        <v>129</v>
      </c>
      <c r="AU875" s="138" t="s">
        <v>81</v>
      </c>
      <c r="AY875" s="17" t="s">
        <v>127</v>
      </c>
      <c r="BE875" s="139">
        <f>IF(N875="základní",J875,0)</f>
        <v>0</v>
      </c>
      <c r="BF875" s="139">
        <f>IF(N875="snížená",J875,0)</f>
        <v>0</v>
      </c>
      <c r="BG875" s="139">
        <f>IF(N875="zákl. přenesená",J875,0)</f>
        <v>0</v>
      </c>
      <c r="BH875" s="139">
        <f>IF(N875="sníž. přenesená",J875,0)</f>
        <v>0</v>
      </c>
      <c r="BI875" s="139">
        <f>IF(N875="nulová",J875,0)</f>
        <v>0</v>
      </c>
      <c r="BJ875" s="17" t="s">
        <v>79</v>
      </c>
      <c r="BK875" s="139">
        <f>ROUND(I875*H875,2)</f>
        <v>0</v>
      </c>
      <c r="BL875" s="17" t="s">
        <v>229</v>
      </c>
      <c r="BM875" s="138" t="s">
        <v>1931</v>
      </c>
    </row>
    <row r="876" spans="2:65" s="1" customFormat="1" ht="16.5" customHeight="1">
      <c r="B876" s="32"/>
      <c r="C876" s="127" t="s">
        <v>1932</v>
      </c>
      <c r="D876" s="127" t="s">
        <v>129</v>
      </c>
      <c r="E876" s="128" t="s">
        <v>1933</v>
      </c>
      <c r="F876" s="129" t="s">
        <v>1934</v>
      </c>
      <c r="G876" s="130" t="s">
        <v>191</v>
      </c>
      <c r="H876" s="131">
        <v>1</v>
      </c>
      <c r="I876" s="132">
        <f>'vybaveni laboratori'!G17</f>
        <v>0</v>
      </c>
      <c r="J876" s="133">
        <f>ROUND(I876*H876,2)</f>
        <v>0</v>
      </c>
      <c r="K876" s="129" t="s">
        <v>19</v>
      </c>
      <c r="L876" s="32"/>
      <c r="M876" s="134" t="s">
        <v>19</v>
      </c>
      <c r="N876" s="135" t="s">
        <v>42</v>
      </c>
      <c r="P876" s="136">
        <f>O876*H876</f>
        <v>0</v>
      </c>
      <c r="Q876" s="136">
        <v>0</v>
      </c>
      <c r="R876" s="136">
        <f>Q876*H876</f>
        <v>0</v>
      </c>
      <c r="S876" s="136">
        <v>0</v>
      </c>
      <c r="T876" s="137">
        <f>S876*H876</f>
        <v>0</v>
      </c>
      <c r="AR876" s="138" t="s">
        <v>229</v>
      </c>
      <c r="AT876" s="138" t="s">
        <v>129</v>
      </c>
      <c r="AU876" s="138" t="s">
        <v>81</v>
      </c>
      <c r="AY876" s="17" t="s">
        <v>127</v>
      </c>
      <c r="BE876" s="139">
        <f>IF(N876="základní",J876,0)</f>
        <v>0</v>
      </c>
      <c r="BF876" s="139">
        <f>IF(N876="snížená",J876,0)</f>
        <v>0</v>
      </c>
      <c r="BG876" s="139">
        <f>IF(N876="zákl. přenesená",J876,0)</f>
        <v>0</v>
      </c>
      <c r="BH876" s="139">
        <f>IF(N876="sníž. přenesená",J876,0)</f>
        <v>0</v>
      </c>
      <c r="BI876" s="139">
        <f>IF(N876="nulová",J876,0)</f>
        <v>0</v>
      </c>
      <c r="BJ876" s="17" t="s">
        <v>79</v>
      </c>
      <c r="BK876" s="139">
        <f>ROUND(I876*H876,2)</f>
        <v>0</v>
      </c>
      <c r="BL876" s="17" t="s">
        <v>229</v>
      </c>
      <c r="BM876" s="138" t="s">
        <v>1935</v>
      </c>
    </row>
    <row r="877" spans="2:65" s="1" customFormat="1" ht="16.5" customHeight="1">
      <c r="B877" s="32"/>
      <c r="C877" s="127" t="s">
        <v>1936</v>
      </c>
      <c r="D877" s="127" t="s">
        <v>129</v>
      </c>
      <c r="E877" s="128" t="s">
        <v>1937</v>
      </c>
      <c r="F877" s="129" t="s">
        <v>1938</v>
      </c>
      <c r="G877" s="130" t="s">
        <v>304</v>
      </c>
      <c r="H877" s="131">
        <v>4</v>
      </c>
      <c r="I877" s="132"/>
      <c r="J877" s="133">
        <f>ROUND(I877*H877,2)</f>
        <v>0</v>
      </c>
      <c r="K877" s="129" t="s">
        <v>19</v>
      </c>
      <c r="L877" s="32"/>
      <c r="M877" s="134" t="s">
        <v>19</v>
      </c>
      <c r="N877" s="135" t="s">
        <v>42</v>
      </c>
      <c r="P877" s="136">
        <f>O877*H877</f>
        <v>0</v>
      </c>
      <c r="Q877" s="136">
        <v>0</v>
      </c>
      <c r="R877" s="136">
        <f>Q877*H877</f>
        <v>0</v>
      </c>
      <c r="S877" s="136">
        <v>0</v>
      </c>
      <c r="T877" s="137">
        <f>S877*H877</f>
        <v>0</v>
      </c>
      <c r="AR877" s="138" t="s">
        <v>229</v>
      </c>
      <c r="AT877" s="138" t="s">
        <v>129</v>
      </c>
      <c r="AU877" s="138" t="s">
        <v>81</v>
      </c>
      <c r="AY877" s="17" t="s">
        <v>127</v>
      </c>
      <c r="BE877" s="139">
        <f>IF(N877="základní",J877,0)</f>
        <v>0</v>
      </c>
      <c r="BF877" s="139">
        <f>IF(N877="snížená",J877,0)</f>
        <v>0</v>
      </c>
      <c r="BG877" s="139">
        <f>IF(N877="zákl. přenesená",J877,0)</f>
        <v>0</v>
      </c>
      <c r="BH877" s="139">
        <f>IF(N877="sníž. přenesená",J877,0)</f>
        <v>0</v>
      </c>
      <c r="BI877" s="139">
        <f>IF(N877="nulová",J877,0)</f>
        <v>0</v>
      </c>
      <c r="BJ877" s="17" t="s">
        <v>79</v>
      </c>
      <c r="BK877" s="139">
        <f>ROUND(I877*H877,2)</f>
        <v>0</v>
      </c>
      <c r="BL877" s="17" t="s">
        <v>229</v>
      </c>
      <c r="BM877" s="138" t="s">
        <v>1939</v>
      </c>
    </row>
    <row r="878" spans="2:65" s="1" customFormat="1" ht="16.5" customHeight="1">
      <c r="B878" s="32"/>
      <c r="C878" s="127" t="s">
        <v>1940</v>
      </c>
      <c r="D878" s="127" t="s">
        <v>129</v>
      </c>
      <c r="E878" s="128" t="s">
        <v>1941</v>
      </c>
      <c r="F878" s="129" t="s">
        <v>1942</v>
      </c>
      <c r="G878" s="130" t="s">
        <v>304</v>
      </c>
      <c r="H878" s="131">
        <v>5</v>
      </c>
      <c r="I878" s="132"/>
      <c r="J878" s="133">
        <f>ROUND(I878*H878,2)</f>
        <v>0</v>
      </c>
      <c r="K878" s="129" t="s">
        <v>19</v>
      </c>
      <c r="L878" s="32"/>
      <c r="M878" s="134" t="s">
        <v>19</v>
      </c>
      <c r="N878" s="135" t="s">
        <v>42</v>
      </c>
      <c r="P878" s="136">
        <f>O878*H878</f>
        <v>0</v>
      </c>
      <c r="Q878" s="136">
        <v>0</v>
      </c>
      <c r="R878" s="136">
        <f>Q878*H878</f>
        <v>0</v>
      </c>
      <c r="S878" s="136">
        <v>0</v>
      </c>
      <c r="T878" s="137">
        <f>S878*H878</f>
        <v>0</v>
      </c>
      <c r="AR878" s="138" t="s">
        <v>229</v>
      </c>
      <c r="AT878" s="138" t="s">
        <v>129</v>
      </c>
      <c r="AU878" s="138" t="s">
        <v>81</v>
      </c>
      <c r="AY878" s="17" t="s">
        <v>127</v>
      </c>
      <c r="BE878" s="139">
        <f>IF(N878="základní",J878,0)</f>
        <v>0</v>
      </c>
      <c r="BF878" s="139">
        <f>IF(N878="snížená",J878,0)</f>
        <v>0</v>
      </c>
      <c r="BG878" s="139">
        <f>IF(N878="zákl. přenesená",J878,0)</f>
        <v>0</v>
      </c>
      <c r="BH878" s="139">
        <f>IF(N878="sníž. přenesená",J878,0)</f>
        <v>0</v>
      </c>
      <c r="BI878" s="139">
        <f>IF(N878="nulová",J878,0)</f>
        <v>0</v>
      </c>
      <c r="BJ878" s="17" t="s">
        <v>79</v>
      </c>
      <c r="BK878" s="139">
        <f>ROUND(I878*H878,2)</f>
        <v>0</v>
      </c>
      <c r="BL878" s="17" t="s">
        <v>229</v>
      </c>
      <c r="BM878" s="138" t="s">
        <v>1943</v>
      </c>
    </row>
    <row r="879" spans="2:65" s="12" customFormat="1">
      <c r="B879" s="144"/>
      <c r="D879" s="145" t="s">
        <v>138</v>
      </c>
      <c r="E879" s="146" t="s">
        <v>19</v>
      </c>
      <c r="F879" s="147" t="s">
        <v>1944</v>
      </c>
      <c r="H879" s="148">
        <v>1</v>
      </c>
      <c r="I879" s="149"/>
      <c r="L879" s="144"/>
      <c r="M879" s="150"/>
      <c r="T879" s="151"/>
      <c r="AT879" s="146" t="s">
        <v>138</v>
      </c>
      <c r="AU879" s="146" t="s">
        <v>81</v>
      </c>
      <c r="AV879" s="12" t="s">
        <v>81</v>
      </c>
      <c r="AW879" s="12" t="s">
        <v>33</v>
      </c>
      <c r="AX879" s="12" t="s">
        <v>71</v>
      </c>
      <c r="AY879" s="146" t="s">
        <v>127</v>
      </c>
    </row>
    <row r="880" spans="2:65" s="12" customFormat="1">
      <c r="B880" s="144"/>
      <c r="D880" s="145" t="s">
        <v>138</v>
      </c>
      <c r="E880" s="146" t="s">
        <v>19</v>
      </c>
      <c r="F880" s="147" t="s">
        <v>1945</v>
      </c>
      <c r="H880" s="148">
        <v>4</v>
      </c>
      <c r="I880" s="149"/>
      <c r="L880" s="144"/>
      <c r="M880" s="150"/>
      <c r="T880" s="151"/>
      <c r="AT880" s="146" t="s">
        <v>138</v>
      </c>
      <c r="AU880" s="146" t="s">
        <v>81</v>
      </c>
      <c r="AV880" s="12" t="s">
        <v>81</v>
      </c>
      <c r="AW880" s="12" t="s">
        <v>33</v>
      </c>
      <c r="AX880" s="12" t="s">
        <v>71</v>
      </c>
      <c r="AY880" s="146" t="s">
        <v>127</v>
      </c>
    </row>
    <row r="881" spans="2:65" s="13" customFormat="1">
      <c r="B881" s="152"/>
      <c r="D881" s="145" t="s">
        <v>138</v>
      </c>
      <c r="E881" s="153" t="s">
        <v>19</v>
      </c>
      <c r="F881" s="154" t="s">
        <v>152</v>
      </c>
      <c r="H881" s="155">
        <v>5</v>
      </c>
      <c r="I881" s="156"/>
      <c r="L881" s="152"/>
      <c r="M881" s="157"/>
      <c r="T881" s="158"/>
      <c r="AT881" s="153" t="s">
        <v>138</v>
      </c>
      <c r="AU881" s="153" t="s">
        <v>81</v>
      </c>
      <c r="AV881" s="13" t="s">
        <v>134</v>
      </c>
      <c r="AW881" s="13" t="s">
        <v>33</v>
      </c>
      <c r="AX881" s="13" t="s">
        <v>79</v>
      </c>
      <c r="AY881" s="153" t="s">
        <v>127</v>
      </c>
    </row>
    <row r="882" spans="2:65" s="1" customFormat="1" ht="16.5" customHeight="1">
      <c r="B882" s="32"/>
      <c r="C882" s="127" t="s">
        <v>1946</v>
      </c>
      <c r="D882" s="127" t="s">
        <v>129</v>
      </c>
      <c r="E882" s="128" t="s">
        <v>1947</v>
      </c>
      <c r="F882" s="129" t="s">
        <v>1948</v>
      </c>
      <c r="G882" s="130" t="s">
        <v>304</v>
      </c>
      <c r="H882" s="131">
        <v>3</v>
      </c>
      <c r="I882" s="132"/>
      <c r="J882" s="133">
        <f>ROUND(I882*H882,2)</f>
        <v>0</v>
      </c>
      <c r="K882" s="129" t="s">
        <v>19</v>
      </c>
      <c r="L882" s="32"/>
      <c r="M882" s="134" t="s">
        <v>19</v>
      </c>
      <c r="N882" s="135" t="s">
        <v>42</v>
      </c>
      <c r="P882" s="136">
        <f>O882*H882</f>
        <v>0</v>
      </c>
      <c r="Q882" s="136">
        <v>0</v>
      </c>
      <c r="R882" s="136">
        <f>Q882*H882</f>
        <v>0</v>
      </c>
      <c r="S882" s="136">
        <v>0</v>
      </c>
      <c r="T882" s="137">
        <f>S882*H882</f>
        <v>0</v>
      </c>
      <c r="AR882" s="138" t="s">
        <v>229</v>
      </c>
      <c r="AT882" s="138" t="s">
        <v>129</v>
      </c>
      <c r="AU882" s="138" t="s">
        <v>81</v>
      </c>
      <c r="AY882" s="17" t="s">
        <v>127</v>
      </c>
      <c r="BE882" s="139">
        <f>IF(N882="základní",J882,0)</f>
        <v>0</v>
      </c>
      <c r="BF882" s="139">
        <f>IF(N882="snížená",J882,0)</f>
        <v>0</v>
      </c>
      <c r="BG882" s="139">
        <f>IF(N882="zákl. přenesená",J882,0)</f>
        <v>0</v>
      </c>
      <c r="BH882" s="139">
        <f>IF(N882="sníž. přenesená",J882,0)</f>
        <v>0</v>
      </c>
      <c r="BI882" s="139">
        <f>IF(N882="nulová",J882,0)</f>
        <v>0</v>
      </c>
      <c r="BJ882" s="17" t="s">
        <v>79</v>
      </c>
      <c r="BK882" s="139">
        <f>ROUND(I882*H882,2)</f>
        <v>0</v>
      </c>
      <c r="BL882" s="17" t="s">
        <v>229</v>
      </c>
      <c r="BM882" s="138" t="s">
        <v>1949</v>
      </c>
    </row>
    <row r="883" spans="2:65" s="12" customFormat="1">
      <c r="B883" s="144"/>
      <c r="D883" s="145" t="s">
        <v>138</v>
      </c>
      <c r="E883" s="146" t="s">
        <v>19</v>
      </c>
      <c r="F883" s="147" t="s">
        <v>1950</v>
      </c>
      <c r="H883" s="148">
        <v>1</v>
      </c>
      <c r="I883" s="149"/>
      <c r="L883" s="144"/>
      <c r="M883" s="150"/>
      <c r="T883" s="151"/>
      <c r="AT883" s="146" t="s">
        <v>138</v>
      </c>
      <c r="AU883" s="146" t="s">
        <v>81</v>
      </c>
      <c r="AV883" s="12" t="s">
        <v>81</v>
      </c>
      <c r="AW883" s="12" t="s">
        <v>33</v>
      </c>
      <c r="AX883" s="12" t="s">
        <v>71</v>
      </c>
      <c r="AY883" s="146" t="s">
        <v>127</v>
      </c>
    </row>
    <row r="884" spans="2:65" s="12" customFormat="1">
      <c r="B884" s="144"/>
      <c r="D884" s="145" t="s">
        <v>138</v>
      </c>
      <c r="E884" s="146" t="s">
        <v>19</v>
      </c>
      <c r="F884" s="147" t="s">
        <v>1951</v>
      </c>
      <c r="H884" s="148">
        <v>2</v>
      </c>
      <c r="I884" s="149"/>
      <c r="L884" s="144"/>
      <c r="M884" s="150"/>
      <c r="T884" s="151"/>
      <c r="AT884" s="146" t="s">
        <v>138</v>
      </c>
      <c r="AU884" s="146" t="s">
        <v>81</v>
      </c>
      <c r="AV884" s="12" t="s">
        <v>81</v>
      </c>
      <c r="AW884" s="12" t="s">
        <v>33</v>
      </c>
      <c r="AX884" s="12" t="s">
        <v>71</v>
      </c>
      <c r="AY884" s="146" t="s">
        <v>127</v>
      </c>
    </row>
    <row r="885" spans="2:65" s="13" customFormat="1">
      <c r="B885" s="152"/>
      <c r="D885" s="145" t="s">
        <v>138</v>
      </c>
      <c r="E885" s="153" t="s">
        <v>19</v>
      </c>
      <c r="F885" s="154" t="s">
        <v>152</v>
      </c>
      <c r="H885" s="155">
        <v>3</v>
      </c>
      <c r="I885" s="156"/>
      <c r="L885" s="152"/>
      <c r="M885" s="157"/>
      <c r="T885" s="158"/>
      <c r="AT885" s="153" t="s">
        <v>138</v>
      </c>
      <c r="AU885" s="153" t="s">
        <v>81</v>
      </c>
      <c r="AV885" s="13" t="s">
        <v>134</v>
      </c>
      <c r="AW885" s="13" t="s">
        <v>33</v>
      </c>
      <c r="AX885" s="13" t="s">
        <v>79</v>
      </c>
      <c r="AY885" s="153" t="s">
        <v>127</v>
      </c>
    </row>
    <row r="886" spans="2:65" s="1" customFormat="1" ht="16.5" customHeight="1">
      <c r="B886" s="32"/>
      <c r="C886" s="127" t="s">
        <v>1952</v>
      </c>
      <c r="D886" s="127" t="s">
        <v>129</v>
      </c>
      <c r="E886" s="128" t="s">
        <v>1953</v>
      </c>
      <c r="F886" s="129" t="s">
        <v>1954</v>
      </c>
      <c r="G886" s="130" t="s">
        <v>304</v>
      </c>
      <c r="H886" s="131">
        <v>1</v>
      </c>
      <c r="I886" s="132"/>
      <c r="J886" s="133">
        <f t="shared" ref="J886:J893" si="0">ROUND(I886*H886,2)</f>
        <v>0</v>
      </c>
      <c r="K886" s="129" t="s">
        <v>19</v>
      </c>
      <c r="L886" s="32"/>
      <c r="M886" s="134" t="s">
        <v>19</v>
      </c>
      <c r="N886" s="135" t="s">
        <v>42</v>
      </c>
      <c r="P886" s="136">
        <f t="shared" ref="P886:P893" si="1">O886*H886</f>
        <v>0</v>
      </c>
      <c r="Q886" s="136">
        <v>0</v>
      </c>
      <c r="R886" s="136">
        <f t="shared" ref="R886:R893" si="2">Q886*H886</f>
        <v>0</v>
      </c>
      <c r="S886" s="136">
        <v>0</v>
      </c>
      <c r="T886" s="137">
        <f t="shared" ref="T886:T893" si="3">S886*H886</f>
        <v>0</v>
      </c>
      <c r="AR886" s="138" t="s">
        <v>229</v>
      </c>
      <c r="AT886" s="138" t="s">
        <v>129</v>
      </c>
      <c r="AU886" s="138" t="s">
        <v>81</v>
      </c>
      <c r="AY886" s="17" t="s">
        <v>127</v>
      </c>
      <c r="BE886" s="139">
        <f t="shared" ref="BE886:BE893" si="4">IF(N886="základní",J886,0)</f>
        <v>0</v>
      </c>
      <c r="BF886" s="139">
        <f t="shared" ref="BF886:BF893" si="5">IF(N886="snížená",J886,0)</f>
        <v>0</v>
      </c>
      <c r="BG886" s="139">
        <f t="shared" ref="BG886:BG893" si="6">IF(N886="zákl. přenesená",J886,0)</f>
        <v>0</v>
      </c>
      <c r="BH886" s="139">
        <f t="shared" ref="BH886:BH893" si="7">IF(N886="sníž. přenesená",J886,0)</f>
        <v>0</v>
      </c>
      <c r="BI886" s="139">
        <f t="shared" ref="BI886:BI893" si="8">IF(N886="nulová",J886,0)</f>
        <v>0</v>
      </c>
      <c r="BJ886" s="17" t="s">
        <v>79</v>
      </c>
      <c r="BK886" s="139">
        <f t="shared" ref="BK886:BK893" si="9">ROUND(I886*H886,2)</f>
        <v>0</v>
      </c>
      <c r="BL886" s="17" t="s">
        <v>229</v>
      </c>
      <c r="BM886" s="138" t="s">
        <v>1955</v>
      </c>
    </row>
    <row r="887" spans="2:65" s="1" customFormat="1" ht="16.5" customHeight="1">
      <c r="B887" s="32"/>
      <c r="C887" s="127" t="s">
        <v>1956</v>
      </c>
      <c r="D887" s="127" t="s">
        <v>129</v>
      </c>
      <c r="E887" s="128" t="s">
        <v>1957</v>
      </c>
      <c r="F887" s="129" t="s">
        <v>1958</v>
      </c>
      <c r="G887" s="130" t="s">
        <v>304</v>
      </c>
      <c r="H887" s="131">
        <v>1</v>
      </c>
      <c r="I887" s="132"/>
      <c r="J887" s="133">
        <f t="shared" si="0"/>
        <v>0</v>
      </c>
      <c r="K887" s="129" t="s">
        <v>19</v>
      </c>
      <c r="L887" s="32"/>
      <c r="M887" s="134" t="s">
        <v>19</v>
      </c>
      <c r="N887" s="135" t="s">
        <v>42</v>
      </c>
      <c r="P887" s="136">
        <f t="shared" si="1"/>
        <v>0</v>
      </c>
      <c r="Q887" s="136">
        <v>0</v>
      </c>
      <c r="R887" s="136">
        <f t="shared" si="2"/>
        <v>0</v>
      </c>
      <c r="S887" s="136">
        <v>0</v>
      </c>
      <c r="T887" s="137">
        <f t="shared" si="3"/>
        <v>0</v>
      </c>
      <c r="AR887" s="138" t="s">
        <v>229</v>
      </c>
      <c r="AT887" s="138" t="s">
        <v>129</v>
      </c>
      <c r="AU887" s="138" t="s">
        <v>81</v>
      </c>
      <c r="AY887" s="17" t="s">
        <v>127</v>
      </c>
      <c r="BE887" s="139">
        <f t="shared" si="4"/>
        <v>0</v>
      </c>
      <c r="BF887" s="139">
        <f t="shared" si="5"/>
        <v>0</v>
      </c>
      <c r="BG887" s="139">
        <f t="shared" si="6"/>
        <v>0</v>
      </c>
      <c r="BH887" s="139">
        <f t="shared" si="7"/>
        <v>0</v>
      </c>
      <c r="BI887" s="139">
        <f t="shared" si="8"/>
        <v>0</v>
      </c>
      <c r="BJ887" s="17" t="s">
        <v>79</v>
      </c>
      <c r="BK887" s="139">
        <f t="shared" si="9"/>
        <v>0</v>
      </c>
      <c r="BL887" s="17" t="s">
        <v>229</v>
      </c>
      <c r="BM887" s="138" t="s">
        <v>1959</v>
      </c>
    </row>
    <row r="888" spans="2:65" s="1" customFormat="1" ht="16.5" customHeight="1">
      <c r="B888" s="32"/>
      <c r="C888" s="127" t="s">
        <v>1960</v>
      </c>
      <c r="D888" s="127" t="s">
        <v>129</v>
      </c>
      <c r="E888" s="128" t="s">
        <v>1961</v>
      </c>
      <c r="F888" s="129" t="s">
        <v>1962</v>
      </c>
      <c r="G888" s="130" t="s">
        <v>304</v>
      </c>
      <c r="H888" s="131">
        <v>1</v>
      </c>
      <c r="I888" s="132"/>
      <c r="J888" s="133">
        <f t="shared" si="0"/>
        <v>0</v>
      </c>
      <c r="K888" s="129" t="s">
        <v>19</v>
      </c>
      <c r="L888" s="32"/>
      <c r="M888" s="134" t="s">
        <v>19</v>
      </c>
      <c r="N888" s="135" t="s">
        <v>42</v>
      </c>
      <c r="P888" s="136">
        <f t="shared" si="1"/>
        <v>0</v>
      </c>
      <c r="Q888" s="136">
        <v>0</v>
      </c>
      <c r="R888" s="136">
        <f t="shared" si="2"/>
        <v>0</v>
      </c>
      <c r="S888" s="136">
        <v>0</v>
      </c>
      <c r="T888" s="137">
        <f t="shared" si="3"/>
        <v>0</v>
      </c>
      <c r="AR888" s="138" t="s">
        <v>229</v>
      </c>
      <c r="AT888" s="138" t="s">
        <v>129</v>
      </c>
      <c r="AU888" s="138" t="s">
        <v>81</v>
      </c>
      <c r="AY888" s="17" t="s">
        <v>127</v>
      </c>
      <c r="BE888" s="139">
        <f t="shared" si="4"/>
        <v>0</v>
      </c>
      <c r="BF888" s="139">
        <f t="shared" si="5"/>
        <v>0</v>
      </c>
      <c r="BG888" s="139">
        <f t="shared" si="6"/>
        <v>0</v>
      </c>
      <c r="BH888" s="139">
        <f t="shared" si="7"/>
        <v>0</v>
      </c>
      <c r="BI888" s="139">
        <f t="shared" si="8"/>
        <v>0</v>
      </c>
      <c r="BJ888" s="17" t="s">
        <v>79</v>
      </c>
      <c r="BK888" s="139">
        <f t="shared" si="9"/>
        <v>0</v>
      </c>
      <c r="BL888" s="17" t="s">
        <v>229</v>
      </c>
      <c r="BM888" s="138" t="s">
        <v>1963</v>
      </c>
    </row>
    <row r="889" spans="2:65" s="1" customFormat="1" ht="16.5" customHeight="1">
      <c r="B889" s="32"/>
      <c r="C889" s="127" t="s">
        <v>1964</v>
      </c>
      <c r="D889" s="127" t="s">
        <v>129</v>
      </c>
      <c r="E889" s="128" t="s">
        <v>1965</v>
      </c>
      <c r="F889" s="129" t="s">
        <v>1966</v>
      </c>
      <c r="G889" s="130" t="s">
        <v>304</v>
      </c>
      <c r="H889" s="131">
        <v>1</v>
      </c>
      <c r="I889" s="132"/>
      <c r="J889" s="133">
        <f t="shared" si="0"/>
        <v>0</v>
      </c>
      <c r="K889" s="129" t="s">
        <v>19</v>
      </c>
      <c r="L889" s="32"/>
      <c r="M889" s="134" t="s">
        <v>19</v>
      </c>
      <c r="N889" s="135" t="s">
        <v>42</v>
      </c>
      <c r="P889" s="136">
        <f t="shared" si="1"/>
        <v>0</v>
      </c>
      <c r="Q889" s="136">
        <v>0</v>
      </c>
      <c r="R889" s="136">
        <f t="shared" si="2"/>
        <v>0</v>
      </c>
      <c r="S889" s="136">
        <v>0</v>
      </c>
      <c r="T889" s="137">
        <f t="shared" si="3"/>
        <v>0</v>
      </c>
      <c r="AR889" s="138" t="s">
        <v>229</v>
      </c>
      <c r="AT889" s="138" t="s">
        <v>129</v>
      </c>
      <c r="AU889" s="138" t="s">
        <v>81</v>
      </c>
      <c r="AY889" s="17" t="s">
        <v>127</v>
      </c>
      <c r="BE889" s="139">
        <f t="shared" si="4"/>
        <v>0</v>
      </c>
      <c r="BF889" s="139">
        <f t="shared" si="5"/>
        <v>0</v>
      </c>
      <c r="BG889" s="139">
        <f t="shared" si="6"/>
        <v>0</v>
      </c>
      <c r="BH889" s="139">
        <f t="shared" si="7"/>
        <v>0</v>
      </c>
      <c r="BI889" s="139">
        <f t="shared" si="8"/>
        <v>0</v>
      </c>
      <c r="BJ889" s="17" t="s">
        <v>79</v>
      </c>
      <c r="BK889" s="139">
        <f t="shared" si="9"/>
        <v>0</v>
      </c>
      <c r="BL889" s="17" t="s">
        <v>229</v>
      </c>
      <c r="BM889" s="138" t="s">
        <v>1967</v>
      </c>
    </row>
    <row r="890" spans="2:65" s="1" customFormat="1" ht="21.75" customHeight="1">
      <c r="B890" s="32"/>
      <c r="C890" s="127" t="s">
        <v>1968</v>
      </c>
      <c r="D890" s="127" t="s">
        <v>129</v>
      </c>
      <c r="E890" s="128" t="s">
        <v>1969</v>
      </c>
      <c r="F890" s="129" t="s">
        <v>1970</v>
      </c>
      <c r="G890" s="130" t="s">
        <v>304</v>
      </c>
      <c r="H890" s="131">
        <v>1</v>
      </c>
      <c r="I890" s="132"/>
      <c r="J890" s="133">
        <f t="shared" si="0"/>
        <v>0</v>
      </c>
      <c r="K890" s="129" t="s">
        <v>19</v>
      </c>
      <c r="L890" s="32"/>
      <c r="M890" s="134" t="s">
        <v>19</v>
      </c>
      <c r="N890" s="135" t="s">
        <v>42</v>
      </c>
      <c r="P890" s="136">
        <f t="shared" si="1"/>
        <v>0</v>
      </c>
      <c r="Q890" s="136">
        <v>0</v>
      </c>
      <c r="R890" s="136">
        <f t="shared" si="2"/>
        <v>0</v>
      </c>
      <c r="S890" s="136">
        <v>0</v>
      </c>
      <c r="T890" s="137">
        <f t="shared" si="3"/>
        <v>0</v>
      </c>
      <c r="AR890" s="138" t="s">
        <v>229</v>
      </c>
      <c r="AT890" s="138" t="s">
        <v>129</v>
      </c>
      <c r="AU890" s="138" t="s">
        <v>81</v>
      </c>
      <c r="AY890" s="17" t="s">
        <v>127</v>
      </c>
      <c r="BE890" s="139">
        <f t="shared" si="4"/>
        <v>0</v>
      </c>
      <c r="BF890" s="139">
        <f t="shared" si="5"/>
        <v>0</v>
      </c>
      <c r="BG890" s="139">
        <f t="shared" si="6"/>
        <v>0</v>
      </c>
      <c r="BH890" s="139">
        <f t="shared" si="7"/>
        <v>0</v>
      </c>
      <c r="BI890" s="139">
        <f t="shared" si="8"/>
        <v>0</v>
      </c>
      <c r="BJ890" s="17" t="s">
        <v>79</v>
      </c>
      <c r="BK890" s="139">
        <f t="shared" si="9"/>
        <v>0</v>
      </c>
      <c r="BL890" s="17" t="s">
        <v>229</v>
      </c>
      <c r="BM890" s="138" t="s">
        <v>1971</v>
      </c>
    </row>
    <row r="891" spans="2:65" s="1" customFormat="1" ht="21.75" customHeight="1">
      <c r="B891" s="32"/>
      <c r="C891" s="127" t="s">
        <v>1972</v>
      </c>
      <c r="D891" s="127" t="s">
        <v>129</v>
      </c>
      <c r="E891" s="128" t="s">
        <v>1973</v>
      </c>
      <c r="F891" s="129" t="s">
        <v>1974</v>
      </c>
      <c r="G891" s="130" t="s">
        <v>304</v>
      </c>
      <c r="H891" s="131">
        <v>1</v>
      </c>
      <c r="I891" s="132"/>
      <c r="J891" s="133">
        <f t="shared" si="0"/>
        <v>0</v>
      </c>
      <c r="K891" s="129" t="s">
        <v>19</v>
      </c>
      <c r="L891" s="32"/>
      <c r="M891" s="134" t="s">
        <v>19</v>
      </c>
      <c r="N891" s="135" t="s">
        <v>42</v>
      </c>
      <c r="P891" s="136">
        <f t="shared" si="1"/>
        <v>0</v>
      </c>
      <c r="Q891" s="136">
        <v>0</v>
      </c>
      <c r="R891" s="136">
        <f t="shared" si="2"/>
        <v>0</v>
      </c>
      <c r="S891" s="136">
        <v>0</v>
      </c>
      <c r="T891" s="137">
        <f t="shared" si="3"/>
        <v>0</v>
      </c>
      <c r="AR891" s="138" t="s">
        <v>229</v>
      </c>
      <c r="AT891" s="138" t="s">
        <v>129</v>
      </c>
      <c r="AU891" s="138" t="s">
        <v>81</v>
      </c>
      <c r="AY891" s="17" t="s">
        <v>127</v>
      </c>
      <c r="BE891" s="139">
        <f t="shared" si="4"/>
        <v>0</v>
      </c>
      <c r="BF891" s="139">
        <f t="shared" si="5"/>
        <v>0</v>
      </c>
      <c r="BG891" s="139">
        <f t="shared" si="6"/>
        <v>0</v>
      </c>
      <c r="BH891" s="139">
        <f t="shared" si="7"/>
        <v>0</v>
      </c>
      <c r="BI891" s="139">
        <f t="shared" si="8"/>
        <v>0</v>
      </c>
      <c r="BJ891" s="17" t="s">
        <v>79</v>
      </c>
      <c r="BK891" s="139">
        <f t="shared" si="9"/>
        <v>0</v>
      </c>
      <c r="BL891" s="17" t="s">
        <v>229</v>
      </c>
      <c r="BM891" s="138" t="s">
        <v>1975</v>
      </c>
    </row>
    <row r="892" spans="2:65" s="1" customFormat="1" ht="21.75" customHeight="1">
      <c r="B892" s="32"/>
      <c r="C892" s="127" t="s">
        <v>1976</v>
      </c>
      <c r="D892" s="127" t="s">
        <v>129</v>
      </c>
      <c r="E892" s="128" t="s">
        <v>1977</v>
      </c>
      <c r="F892" s="129" t="s">
        <v>1978</v>
      </c>
      <c r="G892" s="130" t="s">
        <v>304</v>
      </c>
      <c r="H892" s="131">
        <v>1</v>
      </c>
      <c r="I892" s="132"/>
      <c r="J892" s="133">
        <f t="shared" si="0"/>
        <v>0</v>
      </c>
      <c r="K892" s="129" t="s">
        <v>19</v>
      </c>
      <c r="L892" s="32"/>
      <c r="M892" s="134" t="s">
        <v>19</v>
      </c>
      <c r="N892" s="135" t="s">
        <v>42</v>
      </c>
      <c r="P892" s="136">
        <f t="shared" si="1"/>
        <v>0</v>
      </c>
      <c r="Q892" s="136">
        <v>0</v>
      </c>
      <c r="R892" s="136">
        <f t="shared" si="2"/>
        <v>0</v>
      </c>
      <c r="S892" s="136">
        <v>0</v>
      </c>
      <c r="T892" s="137">
        <f t="shared" si="3"/>
        <v>0</v>
      </c>
      <c r="AR892" s="138" t="s">
        <v>229</v>
      </c>
      <c r="AT892" s="138" t="s">
        <v>129</v>
      </c>
      <c r="AU892" s="138" t="s">
        <v>81</v>
      </c>
      <c r="AY892" s="17" t="s">
        <v>127</v>
      </c>
      <c r="BE892" s="139">
        <f t="shared" si="4"/>
        <v>0</v>
      </c>
      <c r="BF892" s="139">
        <f t="shared" si="5"/>
        <v>0</v>
      </c>
      <c r="BG892" s="139">
        <f t="shared" si="6"/>
        <v>0</v>
      </c>
      <c r="BH892" s="139">
        <f t="shared" si="7"/>
        <v>0</v>
      </c>
      <c r="BI892" s="139">
        <f t="shared" si="8"/>
        <v>0</v>
      </c>
      <c r="BJ892" s="17" t="s">
        <v>79</v>
      </c>
      <c r="BK892" s="139">
        <f t="shared" si="9"/>
        <v>0</v>
      </c>
      <c r="BL892" s="17" t="s">
        <v>229</v>
      </c>
      <c r="BM892" s="138" t="s">
        <v>1979</v>
      </c>
    </row>
    <row r="893" spans="2:65" s="1" customFormat="1" ht="16.5" customHeight="1">
      <c r="B893" s="32"/>
      <c r="C893" s="127" t="s">
        <v>1980</v>
      </c>
      <c r="D893" s="127" t="s">
        <v>129</v>
      </c>
      <c r="E893" s="128" t="s">
        <v>1981</v>
      </c>
      <c r="F893" s="129" t="s">
        <v>1982</v>
      </c>
      <c r="G893" s="130" t="s">
        <v>304</v>
      </c>
      <c r="H893" s="131">
        <v>1</v>
      </c>
      <c r="I893" s="132"/>
      <c r="J893" s="133">
        <f t="shared" si="0"/>
        <v>0</v>
      </c>
      <c r="K893" s="129" t="s">
        <v>19</v>
      </c>
      <c r="L893" s="32"/>
      <c r="M893" s="134" t="s">
        <v>19</v>
      </c>
      <c r="N893" s="135" t="s">
        <v>42</v>
      </c>
      <c r="P893" s="136">
        <f t="shared" si="1"/>
        <v>0</v>
      </c>
      <c r="Q893" s="136">
        <v>0</v>
      </c>
      <c r="R893" s="136">
        <f t="shared" si="2"/>
        <v>0</v>
      </c>
      <c r="S893" s="136">
        <v>0</v>
      </c>
      <c r="T893" s="137">
        <f t="shared" si="3"/>
        <v>0</v>
      </c>
      <c r="AR893" s="138" t="s">
        <v>229</v>
      </c>
      <c r="AT893" s="138" t="s">
        <v>129</v>
      </c>
      <c r="AU893" s="138" t="s">
        <v>81</v>
      </c>
      <c r="AY893" s="17" t="s">
        <v>127</v>
      </c>
      <c r="BE893" s="139">
        <f t="shared" si="4"/>
        <v>0</v>
      </c>
      <c r="BF893" s="139">
        <f t="shared" si="5"/>
        <v>0</v>
      </c>
      <c r="BG893" s="139">
        <f t="shared" si="6"/>
        <v>0</v>
      </c>
      <c r="BH893" s="139">
        <f t="shared" si="7"/>
        <v>0</v>
      </c>
      <c r="BI893" s="139">
        <f t="shared" si="8"/>
        <v>0</v>
      </c>
      <c r="BJ893" s="17" t="s">
        <v>79</v>
      </c>
      <c r="BK893" s="139">
        <f t="shared" si="9"/>
        <v>0</v>
      </c>
      <c r="BL893" s="17" t="s">
        <v>229</v>
      </c>
      <c r="BM893" s="138" t="s">
        <v>1983</v>
      </c>
    </row>
    <row r="894" spans="2:65" s="12" customFormat="1">
      <c r="B894" s="144"/>
      <c r="D894" s="145" t="s">
        <v>138</v>
      </c>
      <c r="E894" s="146" t="s">
        <v>19</v>
      </c>
      <c r="F894" s="147" t="s">
        <v>1984</v>
      </c>
      <c r="H894" s="148">
        <v>1</v>
      </c>
      <c r="I894" s="149"/>
      <c r="L894" s="144"/>
      <c r="M894" s="150"/>
      <c r="T894" s="151"/>
      <c r="AT894" s="146" t="s">
        <v>138</v>
      </c>
      <c r="AU894" s="146" t="s">
        <v>81</v>
      </c>
      <c r="AV894" s="12" t="s">
        <v>81</v>
      </c>
      <c r="AW894" s="12" t="s">
        <v>33</v>
      </c>
      <c r="AX894" s="12" t="s">
        <v>79</v>
      </c>
      <c r="AY894" s="146" t="s">
        <v>127</v>
      </c>
    </row>
    <row r="895" spans="2:65" s="1" customFormat="1" ht="24.2" customHeight="1">
      <c r="B895" s="32"/>
      <c r="C895" s="127" t="s">
        <v>1985</v>
      </c>
      <c r="D895" s="127" t="s">
        <v>129</v>
      </c>
      <c r="E895" s="128" t="s">
        <v>1986</v>
      </c>
      <c r="F895" s="129" t="s">
        <v>1987</v>
      </c>
      <c r="G895" s="130" t="s">
        <v>425</v>
      </c>
      <c r="H895" s="169"/>
      <c r="I895" s="132"/>
      <c r="J895" s="133">
        <f>ROUND(I895*H895,2)</f>
        <v>0</v>
      </c>
      <c r="K895" s="129" t="s">
        <v>133</v>
      </c>
      <c r="L895" s="32"/>
      <c r="M895" s="134" t="s">
        <v>19</v>
      </c>
      <c r="N895" s="135" t="s">
        <v>42</v>
      </c>
      <c r="P895" s="136">
        <f>O895*H895</f>
        <v>0</v>
      </c>
      <c r="Q895" s="136">
        <v>0</v>
      </c>
      <c r="R895" s="136">
        <f>Q895*H895</f>
        <v>0</v>
      </c>
      <c r="S895" s="136">
        <v>0</v>
      </c>
      <c r="T895" s="137">
        <f>S895*H895</f>
        <v>0</v>
      </c>
      <c r="AR895" s="138" t="s">
        <v>229</v>
      </c>
      <c r="AT895" s="138" t="s">
        <v>129</v>
      </c>
      <c r="AU895" s="138" t="s">
        <v>81</v>
      </c>
      <c r="AY895" s="17" t="s">
        <v>127</v>
      </c>
      <c r="BE895" s="139">
        <f>IF(N895="základní",J895,0)</f>
        <v>0</v>
      </c>
      <c r="BF895" s="139">
        <f>IF(N895="snížená",J895,0)</f>
        <v>0</v>
      </c>
      <c r="BG895" s="139">
        <f>IF(N895="zákl. přenesená",J895,0)</f>
        <v>0</v>
      </c>
      <c r="BH895" s="139">
        <f>IF(N895="sníž. přenesená",J895,0)</f>
        <v>0</v>
      </c>
      <c r="BI895" s="139">
        <f>IF(N895="nulová",J895,0)</f>
        <v>0</v>
      </c>
      <c r="BJ895" s="17" t="s">
        <v>79</v>
      </c>
      <c r="BK895" s="139">
        <f>ROUND(I895*H895,2)</f>
        <v>0</v>
      </c>
      <c r="BL895" s="17" t="s">
        <v>229</v>
      </c>
      <c r="BM895" s="138" t="s">
        <v>1988</v>
      </c>
    </row>
    <row r="896" spans="2:65" s="1" customFormat="1">
      <c r="B896" s="32"/>
      <c r="D896" s="140" t="s">
        <v>136</v>
      </c>
      <c r="F896" s="141" t="s">
        <v>1989</v>
      </c>
      <c r="I896" s="142"/>
      <c r="L896" s="32"/>
      <c r="M896" s="143"/>
      <c r="T896" s="51"/>
      <c r="AT896" s="17" t="s">
        <v>136</v>
      </c>
      <c r="AU896" s="17" t="s">
        <v>81</v>
      </c>
    </row>
    <row r="897" spans="2:65" s="11" customFormat="1" ht="22.9" customHeight="1">
      <c r="B897" s="115"/>
      <c r="D897" s="116" t="s">
        <v>70</v>
      </c>
      <c r="E897" s="125" t="s">
        <v>1990</v>
      </c>
      <c r="F897" s="125" t="s">
        <v>1991</v>
      </c>
      <c r="I897" s="118"/>
      <c r="J897" s="126">
        <f>BK897</f>
        <v>0</v>
      </c>
      <c r="L897" s="115"/>
      <c r="M897" s="120"/>
      <c r="P897" s="121">
        <f>SUM(P898:P1006)</f>
        <v>0</v>
      </c>
      <c r="R897" s="121">
        <f>SUM(R898:R1006)</f>
        <v>38.699001420000009</v>
      </c>
      <c r="T897" s="122">
        <f>SUM(T898:T1006)</f>
        <v>0</v>
      </c>
      <c r="AR897" s="116" t="s">
        <v>81</v>
      </c>
      <c r="AT897" s="123" t="s">
        <v>70</v>
      </c>
      <c r="AU897" s="123" t="s">
        <v>79</v>
      </c>
      <c r="AY897" s="116" t="s">
        <v>127</v>
      </c>
      <c r="BK897" s="124">
        <f>SUM(BK898:BK1006)</f>
        <v>0</v>
      </c>
    </row>
    <row r="898" spans="2:65" s="1" customFormat="1" ht="24.2" customHeight="1">
      <c r="B898" s="32"/>
      <c r="C898" s="127" t="s">
        <v>1992</v>
      </c>
      <c r="D898" s="127" t="s">
        <v>129</v>
      </c>
      <c r="E898" s="128" t="s">
        <v>1993</v>
      </c>
      <c r="F898" s="129" t="s">
        <v>1994</v>
      </c>
      <c r="G898" s="130" t="s">
        <v>132</v>
      </c>
      <c r="H898" s="131">
        <v>3.0529999999999999</v>
      </c>
      <c r="I898" s="132"/>
      <c r="J898" s="133">
        <f>ROUND(I898*H898,2)</f>
        <v>0</v>
      </c>
      <c r="K898" s="129" t="s">
        <v>133</v>
      </c>
      <c r="L898" s="32"/>
      <c r="M898" s="134" t="s">
        <v>19</v>
      </c>
      <c r="N898" s="135" t="s">
        <v>42</v>
      </c>
      <c r="P898" s="136">
        <f>O898*H898</f>
        <v>0</v>
      </c>
      <c r="Q898" s="136">
        <v>3.3E-4</v>
      </c>
      <c r="R898" s="136">
        <f>Q898*H898</f>
        <v>1.00749E-3</v>
      </c>
      <c r="S898" s="136">
        <v>0</v>
      </c>
      <c r="T898" s="137">
        <f>S898*H898</f>
        <v>0</v>
      </c>
      <c r="AR898" s="138" t="s">
        <v>229</v>
      </c>
      <c r="AT898" s="138" t="s">
        <v>129</v>
      </c>
      <c r="AU898" s="138" t="s">
        <v>81</v>
      </c>
      <c r="AY898" s="17" t="s">
        <v>127</v>
      </c>
      <c r="BE898" s="139">
        <f>IF(N898="základní",J898,0)</f>
        <v>0</v>
      </c>
      <c r="BF898" s="139">
        <f>IF(N898="snížená",J898,0)</f>
        <v>0</v>
      </c>
      <c r="BG898" s="139">
        <f>IF(N898="zákl. přenesená",J898,0)</f>
        <v>0</v>
      </c>
      <c r="BH898" s="139">
        <f>IF(N898="sníž. přenesená",J898,0)</f>
        <v>0</v>
      </c>
      <c r="BI898" s="139">
        <f>IF(N898="nulová",J898,0)</f>
        <v>0</v>
      </c>
      <c r="BJ898" s="17" t="s">
        <v>79</v>
      </c>
      <c r="BK898" s="139">
        <f>ROUND(I898*H898,2)</f>
        <v>0</v>
      </c>
      <c r="BL898" s="17" t="s">
        <v>229</v>
      </c>
      <c r="BM898" s="138" t="s">
        <v>1995</v>
      </c>
    </row>
    <row r="899" spans="2:65" s="1" customFormat="1">
      <c r="B899" s="32"/>
      <c r="D899" s="140" t="s">
        <v>136</v>
      </c>
      <c r="F899" s="141" t="s">
        <v>1996</v>
      </c>
      <c r="I899" s="142"/>
      <c r="L899" s="32"/>
      <c r="M899" s="143"/>
      <c r="T899" s="51"/>
      <c r="AT899" s="17" t="s">
        <v>136</v>
      </c>
      <c r="AU899" s="17" t="s">
        <v>81</v>
      </c>
    </row>
    <row r="900" spans="2:65" s="12" customFormat="1">
      <c r="B900" s="144"/>
      <c r="D900" s="145" t="s">
        <v>138</v>
      </c>
      <c r="E900" s="146" t="s">
        <v>19</v>
      </c>
      <c r="F900" s="147" t="s">
        <v>1997</v>
      </c>
      <c r="H900" s="148">
        <v>3.0529999999999999</v>
      </c>
      <c r="I900" s="149"/>
      <c r="L900" s="144"/>
      <c r="M900" s="150"/>
      <c r="T900" s="151"/>
      <c r="AT900" s="146" t="s">
        <v>138</v>
      </c>
      <c r="AU900" s="146" t="s">
        <v>81</v>
      </c>
      <c r="AV900" s="12" t="s">
        <v>81</v>
      </c>
      <c r="AW900" s="12" t="s">
        <v>33</v>
      </c>
      <c r="AX900" s="12" t="s">
        <v>79</v>
      </c>
      <c r="AY900" s="146" t="s">
        <v>127</v>
      </c>
    </row>
    <row r="901" spans="2:65" s="1" customFormat="1" ht="16.5" customHeight="1">
      <c r="B901" s="32"/>
      <c r="C901" s="159" t="s">
        <v>1998</v>
      </c>
      <c r="D901" s="159" t="s">
        <v>413</v>
      </c>
      <c r="E901" s="160" t="s">
        <v>1999</v>
      </c>
      <c r="F901" s="161" t="s">
        <v>2000</v>
      </c>
      <c r="G901" s="162" t="s">
        <v>132</v>
      </c>
      <c r="H901" s="163">
        <v>3.0529999999999999</v>
      </c>
      <c r="I901" s="164"/>
      <c r="J901" s="165">
        <f>ROUND(I901*H901,2)</f>
        <v>0</v>
      </c>
      <c r="K901" s="161" t="s">
        <v>133</v>
      </c>
      <c r="L901" s="166"/>
      <c r="M901" s="167" t="s">
        <v>19</v>
      </c>
      <c r="N901" s="168" t="s">
        <v>42</v>
      </c>
      <c r="P901" s="136">
        <f>O901*H901</f>
        <v>0</v>
      </c>
      <c r="Q901" s="136">
        <v>2.741E-2</v>
      </c>
      <c r="R901" s="136">
        <f>Q901*H901</f>
        <v>8.3682729999999997E-2</v>
      </c>
      <c r="S901" s="136">
        <v>0</v>
      </c>
      <c r="T901" s="137">
        <f>S901*H901</f>
        <v>0</v>
      </c>
      <c r="AR901" s="138" t="s">
        <v>333</v>
      </c>
      <c r="AT901" s="138" t="s">
        <v>413</v>
      </c>
      <c r="AU901" s="138" t="s">
        <v>81</v>
      </c>
      <c r="AY901" s="17" t="s">
        <v>127</v>
      </c>
      <c r="BE901" s="139">
        <f>IF(N901="základní",J901,0)</f>
        <v>0</v>
      </c>
      <c r="BF901" s="139">
        <f>IF(N901="snížená",J901,0)</f>
        <v>0</v>
      </c>
      <c r="BG901" s="139">
        <f>IF(N901="zákl. přenesená",J901,0)</f>
        <v>0</v>
      </c>
      <c r="BH901" s="139">
        <f>IF(N901="sníž. přenesená",J901,0)</f>
        <v>0</v>
      </c>
      <c r="BI901" s="139">
        <f>IF(N901="nulová",J901,0)</f>
        <v>0</v>
      </c>
      <c r="BJ901" s="17" t="s">
        <v>79</v>
      </c>
      <c r="BK901" s="139">
        <f>ROUND(I901*H901,2)</f>
        <v>0</v>
      </c>
      <c r="BL901" s="17" t="s">
        <v>229</v>
      </c>
      <c r="BM901" s="138" t="s">
        <v>2001</v>
      </c>
    </row>
    <row r="902" spans="2:65" s="1" customFormat="1" ht="24.2" customHeight="1">
      <c r="B902" s="32"/>
      <c r="C902" s="127" t="s">
        <v>2002</v>
      </c>
      <c r="D902" s="127" t="s">
        <v>129</v>
      </c>
      <c r="E902" s="128" t="s">
        <v>2003</v>
      </c>
      <c r="F902" s="129" t="s">
        <v>2004</v>
      </c>
      <c r="G902" s="130" t="s">
        <v>132</v>
      </c>
      <c r="H902" s="131">
        <v>8.64</v>
      </c>
      <c r="I902" s="132"/>
      <c r="J902" s="133">
        <f>ROUND(I902*H902,2)</f>
        <v>0</v>
      </c>
      <c r="K902" s="129" t="s">
        <v>133</v>
      </c>
      <c r="L902" s="32"/>
      <c r="M902" s="134" t="s">
        <v>19</v>
      </c>
      <c r="N902" s="135" t="s">
        <v>42</v>
      </c>
      <c r="P902" s="136">
        <f>O902*H902</f>
        <v>0</v>
      </c>
      <c r="Q902" s="136">
        <v>2.7E-4</v>
      </c>
      <c r="R902" s="136">
        <f>Q902*H902</f>
        <v>2.3328000000000003E-3</v>
      </c>
      <c r="S902" s="136">
        <v>0</v>
      </c>
      <c r="T902" s="137">
        <f>S902*H902</f>
        <v>0</v>
      </c>
      <c r="AR902" s="138" t="s">
        <v>229</v>
      </c>
      <c r="AT902" s="138" t="s">
        <v>129</v>
      </c>
      <c r="AU902" s="138" t="s">
        <v>81</v>
      </c>
      <c r="AY902" s="17" t="s">
        <v>127</v>
      </c>
      <c r="BE902" s="139">
        <f>IF(N902="základní",J902,0)</f>
        <v>0</v>
      </c>
      <c r="BF902" s="139">
        <f>IF(N902="snížená",J902,0)</f>
        <v>0</v>
      </c>
      <c r="BG902" s="139">
        <f>IF(N902="zákl. přenesená",J902,0)</f>
        <v>0</v>
      </c>
      <c r="BH902" s="139">
        <f>IF(N902="sníž. přenesená",J902,0)</f>
        <v>0</v>
      </c>
      <c r="BI902" s="139">
        <f>IF(N902="nulová",J902,0)</f>
        <v>0</v>
      </c>
      <c r="BJ902" s="17" t="s">
        <v>79</v>
      </c>
      <c r="BK902" s="139">
        <f>ROUND(I902*H902,2)</f>
        <v>0</v>
      </c>
      <c r="BL902" s="17" t="s">
        <v>229</v>
      </c>
      <c r="BM902" s="138" t="s">
        <v>2005</v>
      </c>
    </row>
    <row r="903" spans="2:65" s="1" customFormat="1">
      <c r="B903" s="32"/>
      <c r="D903" s="140" t="s">
        <v>136</v>
      </c>
      <c r="F903" s="141" t="s">
        <v>2006</v>
      </c>
      <c r="I903" s="142"/>
      <c r="L903" s="32"/>
      <c r="M903" s="143"/>
      <c r="T903" s="51"/>
      <c r="AT903" s="17" t="s">
        <v>136</v>
      </c>
      <c r="AU903" s="17" t="s">
        <v>81</v>
      </c>
    </row>
    <row r="904" spans="2:65" s="12" customFormat="1">
      <c r="B904" s="144"/>
      <c r="D904" s="145" t="s">
        <v>138</v>
      </c>
      <c r="E904" s="146" t="s">
        <v>19</v>
      </c>
      <c r="F904" s="147" t="s">
        <v>2007</v>
      </c>
      <c r="H904" s="148">
        <v>8.64</v>
      </c>
      <c r="I904" s="149"/>
      <c r="L904" s="144"/>
      <c r="M904" s="150"/>
      <c r="T904" s="151"/>
      <c r="AT904" s="146" t="s">
        <v>138</v>
      </c>
      <c r="AU904" s="146" t="s">
        <v>81</v>
      </c>
      <c r="AV904" s="12" t="s">
        <v>81</v>
      </c>
      <c r="AW904" s="12" t="s">
        <v>33</v>
      </c>
      <c r="AX904" s="12" t="s">
        <v>79</v>
      </c>
      <c r="AY904" s="146" t="s">
        <v>127</v>
      </c>
    </row>
    <row r="905" spans="2:65" s="1" customFormat="1" ht="16.5" customHeight="1">
      <c r="B905" s="32"/>
      <c r="C905" s="159" t="s">
        <v>2008</v>
      </c>
      <c r="D905" s="159" t="s">
        <v>413</v>
      </c>
      <c r="E905" s="160" t="s">
        <v>1999</v>
      </c>
      <c r="F905" s="161" t="s">
        <v>2000</v>
      </c>
      <c r="G905" s="162" t="s">
        <v>132</v>
      </c>
      <c r="H905" s="163">
        <v>8.64</v>
      </c>
      <c r="I905" s="164"/>
      <c r="J905" s="165">
        <f>ROUND(I905*H905,2)</f>
        <v>0</v>
      </c>
      <c r="K905" s="161" t="s">
        <v>133</v>
      </c>
      <c r="L905" s="166"/>
      <c r="M905" s="167" t="s">
        <v>19</v>
      </c>
      <c r="N905" s="168" t="s">
        <v>42</v>
      </c>
      <c r="P905" s="136">
        <f>O905*H905</f>
        <v>0</v>
      </c>
      <c r="Q905" s="136">
        <v>2.741E-2</v>
      </c>
      <c r="R905" s="136">
        <f>Q905*H905</f>
        <v>0.23682240000000002</v>
      </c>
      <c r="S905" s="136">
        <v>0</v>
      </c>
      <c r="T905" s="137">
        <f>S905*H905</f>
        <v>0</v>
      </c>
      <c r="AR905" s="138" t="s">
        <v>333</v>
      </c>
      <c r="AT905" s="138" t="s">
        <v>413</v>
      </c>
      <c r="AU905" s="138" t="s">
        <v>81</v>
      </c>
      <c r="AY905" s="17" t="s">
        <v>127</v>
      </c>
      <c r="BE905" s="139">
        <f>IF(N905="základní",J905,0)</f>
        <v>0</v>
      </c>
      <c r="BF905" s="139">
        <f>IF(N905="snížená",J905,0)</f>
        <v>0</v>
      </c>
      <c r="BG905" s="139">
        <f>IF(N905="zákl. přenesená",J905,0)</f>
        <v>0</v>
      </c>
      <c r="BH905" s="139">
        <f>IF(N905="sníž. přenesená",J905,0)</f>
        <v>0</v>
      </c>
      <c r="BI905" s="139">
        <f>IF(N905="nulová",J905,0)</f>
        <v>0</v>
      </c>
      <c r="BJ905" s="17" t="s">
        <v>79</v>
      </c>
      <c r="BK905" s="139">
        <f>ROUND(I905*H905,2)</f>
        <v>0</v>
      </c>
      <c r="BL905" s="17" t="s">
        <v>229</v>
      </c>
      <c r="BM905" s="138" t="s">
        <v>2009</v>
      </c>
    </row>
    <row r="906" spans="2:65" s="1" customFormat="1" ht="24.2" customHeight="1">
      <c r="B906" s="32"/>
      <c r="C906" s="127" t="s">
        <v>2010</v>
      </c>
      <c r="D906" s="127" t="s">
        <v>129</v>
      </c>
      <c r="E906" s="128" t="s">
        <v>2011</v>
      </c>
      <c r="F906" s="129" t="s">
        <v>2012</v>
      </c>
      <c r="G906" s="130" t="s">
        <v>257</v>
      </c>
      <c r="H906" s="131">
        <v>35.200000000000003</v>
      </c>
      <c r="I906" s="132"/>
      <c r="J906" s="133">
        <f>ROUND(I906*H906,2)</f>
        <v>0</v>
      </c>
      <c r="K906" s="129" t="s">
        <v>133</v>
      </c>
      <c r="L906" s="32"/>
      <c r="M906" s="134" t="s">
        <v>19</v>
      </c>
      <c r="N906" s="135" t="s">
        <v>42</v>
      </c>
      <c r="P906" s="136">
        <f>O906*H906</f>
        <v>0</v>
      </c>
      <c r="Q906" s="136">
        <v>6.0000000000000002E-5</v>
      </c>
      <c r="R906" s="136">
        <f>Q906*H906</f>
        <v>2.1120000000000002E-3</v>
      </c>
      <c r="S906" s="136">
        <v>0</v>
      </c>
      <c r="T906" s="137">
        <f>S906*H906</f>
        <v>0</v>
      </c>
      <c r="AR906" s="138" t="s">
        <v>229</v>
      </c>
      <c r="AT906" s="138" t="s">
        <v>129</v>
      </c>
      <c r="AU906" s="138" t="s">
        <v>81</v>
      </c>
      <c r="AY906" s="17" t="s">
        <v>127</v>
      </c>
      <c r="BE906" s="139">
        <f>IF(N906="základní",J906,0)</f>
        <v>0</v>
      </c>
      <c r="BF906" s="139">
        <f>IF(N906="snížená",J906,0)</f>
        <v>0</v>
      </c>
      <c r="BG906" s="139">
        <f>IF(N906="zákl. přenesená",J906,0)</f>
        <v>0</v>
      </c>
      <c r="BH906" s="139">
        <f>IF(N906="sníž. přenesená",J906,0)</f>
        <v>0</v>
      </c>
      <c r="BI906" s="139">
        <f>IF(N906="nulová",J906,0)</f>
        <v>0</v>
      </c>
      <c r="BJ906" s="17" t="s">
        <v>79</v>
      </c>
      <c r="BK906" s="139">
        <f>ROUND(I906*H906,2)</f>
        <v>0</v>
      </c>
      <c r="BL906" s="17" t="s">
        <v>229</v>
      </c>
      <c r="BM906" s="138" t="s">
        <v>2013</v>
      </c>
    </row>
    <row r="907" spans="2:65" s="1" customFormat="1">
      <c r="B907" s="32"/>
      <c r="D907" s="140" t="s">
        <v>136</v>
      </c>
      <c r="F907" s="141" t="s">
        <v>2014</v>
      </c>
      <c r="I907" s="142"/>
      <c r="L907" s="32"/>
      <c r="M907" s="143"/>
      <c r="T907" s="51"/>
      <c r="AT907" s="17" t="s">
        <v>136</v>
      </c>
      <c r="AU907" s="17" t="s">
        <v>81</v>
      </c>
    </row>
    <row r="908" spans="2:65" s="12" customFormat="1">
      <c r="B908" s="144"/>
      <c r="D908" s="145" t="s">
        <v>138</v>
      </c>
      <c r="E908" s="146" t="s">
        <v>19</v>
      </c>
      <c r="F908" s="147" t="s">
        <v>2015</v>
      </c>
      <c r="H908" s="148">
        <v>7</v>
      </c>
      <c r="I908" s="149"/>
      <c r="L908" s="144"/>
      <c r="M908" s="150"/>
      <c r="T908" s="151"/>
      <c r="AT908" s="146" t="s">
        <v>138</v>
      </c>
      <c r="AU908" s="146" t="s">
        <v>81</v>
      </c>
      <c r="AV908" s="12" t="s">
        <v>81</v>
      </c>
      <c r="AW908" s="12" t="s">
        <v>33</v>
      </c>
      <c r="AX908" s="12" t="s">
        <v>71</v>
      </c>
      <c r="AY908" s="146" t="s">
        <v>127</v>
      </c>
    </row>
    <row r="909" spans="2:65" s="12" customFormat="1">
      <c r="B909" s="144"/>
      <c r="D909" s="145" t="s">
        <v>138</v>
      </c>
      <c r="E909" s="146" t="s">
        <v>19</v>
      </c>
      <c r="F909" s="147" t="s">
        <v>2016</v>
      </c>
      <c r="H909" s="148">
        <v>21.6</v>
      </c>
      <c r="I909" s="149"/>
      <c r="L909" s="144"/>
      <c r="M909" s="150"/>
      <c r="T909" s="151"/>
      <c r="AT909" s="146" t="s">
        <v>138</v>
      </c>
      <c r="AU909" s="146" t="s">
        <v>81</v>
      </c>
      <c r="AV909" s="12" t="s">
        <v>81</v>
      </c>
      <c r="AW909" s="12" t="s">
        <v>33</v>
      </c>
      <c r="AX909" s="12" t="s">
        <v>71</v>
      </c>
      <c r="AY909" s="146" t="s">
        <v>127</v>
      </c>
    </row>
    <row r="910" spans="2:65" s="12" customFormat="1">
      <c r="B910" s="144"/>
      <c r="D910" s="145" t="s">
        <v>138</v>
      </c>
      <c r="E910" s="146" t="s">
        <v>19</v>
      </c>
      <c r="F910" s="147" t="s">
        <v>2017</v>
      </c>
      <c r="H910" s="148">
        <v>6.6</v>
      </c>
      <c r="I910" s="149"/>
      <c r="L910" s="144"/>
      <c r="M910" s="150"/>
      <c r="T910" s="151"/>
      <c r="AT910" s="146" t="s">
        <v>138</v>
      </c>
      <c r="AU910" s="146" t="s">
        <v>81</v>
      </c>
      <c r="AV910" s="12" t="s">
        <v>81</v>
      </c>
      <c r="AW910" s="12" t="s">
        <v>33</v>
      </c>
      <c r="AX910" s="12" t="s">
        <v>71</v>
      </c>
      <c r="AY910" s="146" t="s">
        <v>127</v>
      </c>
    </row>
    <row r="911" spans="2:65" s="13" customFormat="1">
      <c r="B911" s="152"/>
      <c r="D911" s="145" t="s">
        <v>138</v>
      </c>
      <c r="E911" s="153" t="s">
        <v>19</v>
      </c>
      <c r="F911" s="154" t="s">
        <v>152</v>
      </c>
      <c r="H911" s="155">
        <v>35.200000000000003</v>
      </c>
      <c r="I911" s="156"/>
      <c r="L911" s="152"/>
      <c r="M911" s="157"/>
      <c r="T911" s="158"/>
      <c r="AT911" s="153" t="s">
        <v>138</v>
      </c>
      <c r="AU911" s="153" t="s">
        <v>81</v>
      </c>
      <c r="AV911" s="13" t="s">
        <v>134</v>
      </c>
      <c r="AW911" s="13" t="s">
        <v>33</v>
      </c>
      <c r="AX911" s="13" t="s">
        <v>79</v>
      </c>
      <c r="AY911" s="153" t="s">
        <v>127</v>
      </c>
    </row>
    <row r="912" spans="2:65" s="1" customFormat="1" ht="24.2" customHeight="1">
      <c r="B912" s="32"/>
      <c r="C912" s="127" t="s">
        <v>2018</v>
      </c>
      <c r="D912" s="127" t="s">
        <v>129</v>
      </c>
      <c r="E912" s="128" t="s">
        <v>2019</v>
      </c>
      <c r="F912" s="129" t="s">
        <v>2020</v>
      </c>
      <c r="G912" s="130" t="s">
        <v>257</v>
      </c>
      <c r="H912" s="131">
        <v>35.200000000000003</v>
      </c>
      <c r="I912" s="132"/>
      <c r="J912" s="133">
        <f>ROUND(I912*H912,2)</f>
        <v>0</v>
      </c>
      <c r="K912" s="129" t="s">
        <v>133</v>
      </c>
      <c r="L912" s="32"/>
      <c r="M912" s="134" t="s">
        <v>19</v>
      </c>
      <c r="N912" s="135" t="s">
        <v>42</v>
      </c>
      <c r="P912" s="136">
        <f>O912*H912</f>
        <v>0</v>
      </c>
      <c r="Q912" s="136">
        <v>6.9999999999999994E-5</v>
      </c>
      <c r="R912" s="136">
        <f>Q912*H912</f>
        <v>2.464E-3</v>
      </c>
      <c r="S912" s="136">
        <v>0</v>
      </c>
      <c r="T912" s="137">
        <f>S912*H912</f>
        <v>0</v>
      </c>
      <c r="AR912" s="138" t="s">
        <v>229</v>
      </c>
      <c r="AT912" s="138" t="s">
        <v>129</v>
      </c>
      <c r="AU912" s="138" t="s">
        <v>81</v>
      </c>
      <c r="AY912" s="17" t="s">
        <v>127</v>
      </c>
      <c r="BE912" s="139">
        <f>IF(N912="základní",J912,0)</f>
        <v>0</v>
      </c>
      <c r="BF912" s="139">
        <f>IF(N912="snížená",J912,0)</f>
        <v>0</v>
      </c>
      <c r="BG912" s="139">
        <f>IF(N912="zákl. přenesená",J912,0)</f>
        <v>0</v>
      </c>
      <c r="BH912" s="139">
        <f>IF(N912="sníž. přenesená",J912,0)</f>
        <v>0</v>
      </c>
      <c r="BI912" s="139">
        <f>IF(N912="nulová",J912,0)</f>
        <v>0</v>
      </c>
      <c r="BJ912" s="17" t="s">
        <v>79</v>
      </c>
      <c r="BK912" s="139">
        <f>ROUND(I912*H912,2)</f>
        <v>0</v>
      </c>
      <c r="BL912" s="17" t="s">
        <v>229</v>
      </c>
      <c r="BM912" s="138" t="s">
        <v>2021</v>
      </c>
    </row>
    <row r="913" spans="2:65" s="1" customFormat="1">
      <c r="B913" s="32"/>
      <c r="D913" s="140" t="s">
        <v>136</v>
      </c>
      <c r="F913" s="141" t="s">
        <v>2022</v>
      </c>
      <c r="I913" s="142"/>
      <c r="L913" s="32"/>
      <c r="M913" s="143"/>
      <c r="T913" s="51"/>
      <c r="AT913" s="17" t="s">
        <v>136</v>
      </c>
      <c r="AU913" s="17" t="s">
        <v>81</v>
      </c>
    </row>
    <row r="914" spans="2:65" s="12" customFormat="1">
      <c r="B914" s="144"/>
      <c r="D914" s="145" t="s">
        <v>138</v>
      </c>
      <c r="E914" s="146" t="s">
        <v>19</v>
      </c>
      <c r="F914" s="147" t="s">
        <v>2015</v>
      </c>
      <c r="H914" s="148">
        <v>7</v>
      </c>
      <c r="I914" s="149"/>
      <c r="L914" s="144"/>
      <c r="M914" s="150"/>
      <c r="T914" s="151"/>
      <c r="AT914" s="146" t="s">
        <v>138</v>
      </c>
      <c r="AU914" s="146" t="s">
        <v>81</v>
      </c>
      <c r="AV914" s="12" t="s">
        <v>81</v>
      </c>
      <c r="AW914" s="12" t="s">
        <v>33</v>
      </c>
      <c r="AX914" s="12" t="s">
        <v>71</v>
      </c>
      <c r="AY914" s="146" t="s">
        <v>127</v>
      </c>
    </row>
    <row r="915" spans="2:65" s="12" customFormat="1">
      <c r="B915" s="144"/>
      <c r="D915" s="145" t="s">
        <v>138</v>
      </c>
      <c r="E915" s="146" t="s">
        <v>19</v>
      </c>
      <c r="F915" s="147" t="s">
        <v>2016</v>
      </c>
      <c r="H915" s="148">
        <v>21.6</v>
      </c>
      <c r="I915" s="149"/>
      <c r="L915" s="144"/>
      <c r="M915" s="150"/>
      <c r="T915" s="151"/>
      <c r="AT915" s="146" t="s">
        <v>138</v>
      </c>
      <c r="AU915" s="146" t="s">
        <v>81</v>
      </c>
      <c r="AV915" s="12" t="s">
        <v>81</v>
      </c>
      <c r="AW915" s="12" t="s">
        <v>33</v>
      </c>
      <c r="AX915" s="12" t="s">
        <v>71</v>
      </c>
      <c r="AY915" s="146" t="s">
        <v>127</v>
      </c>
    </row>
    <row r="916" spans="2:65" s="12" customFormat="1">
      <c r="B916" s="144"/>
      <c r="D916" s="145" t="s">
        <v>138</v>
      </c>
      <c r="E916" s="146" t="s">
        <v>19</v>
      </c>
      <c r="F916" s="147" t="s">
        <v>2017</v>
      </c>
      <c r="H916" s="148">
        <v>6.6</v>
      </c>
      <c r="I916" s="149"/>
      <c r="L916" s="144"/>
      <c r="M916" s="150"/>
      <c r="T916" s="151"/>
      <c r="AT916" s="146" t="s">
        <v>138</v>
      </c>
      <c r="AU916" s="146" t="s">
        <v>81</v>
      </c>
      <c r="AV916" s="12" t="s">
        <v>81</v>
      </c>
      <c r="AW916" s="12" t="s">
        <v>33</v>
      </c>
      <c r="AX916" s="12" t="s">
        <v>71</v>
      </c>
      <c r="AY916" s="146" t="s">
        <v>127</v>
      </c>
    </row>
    <row r="917" spans="2:65" s="13" customFormat="1">
      <c r="B917" s="152"/>
      <c r="D917" s="145" t="s">
        <v>138</v>
      </c>
      <c r="E917" s="153" t="s">
        <v>19</v>
      </c>
      <c r="F917" s="154" t="s">
        <v>152</v>
      </c>
      <c r="H917" s="155">
        <v>35.200000000000003</v>
      </c>
      <c r="I917" s="156"/>
      <c r="L917" s="152"/>
      <c r="M917" s="157"/>
      <c r="T917" s="158"/>
      <c r="AT917" s="153" t="s">
        <v>138</v>
      </c>
      <c r="AU917" s="153" t="s">
        <v>81</v>
      </c>
      <c r="AV917" s="13" t="s">
        <v>134</v>
      </c>
      <c r="AW917" s="13" t="s">
        <v>33</v>
      </c>
      <c r="AX917" s="13" t="s">
        <v>79</v>
      </c>
      <c r="AY917" s="153" t="s">
        <v>127</v>
      </c>
    </row>
    <row r="918" spans="2:65" s="1" customFormat="1" ht="16.5" customHeight="1">
      <c r="B918" s="32"/>
      <c r="C918" s="127" t="s">
        <v>2023</v>
      </c>
      <c r="D918" s="127" t="s">
        <v>129</v>
      </c>
      <c r="E918" s="128" t="s">
        <v>2024</v>
      </c>
      <c r="F918" s="129" t="s">
        <v>2025</v>
      </c>
      <c r="G918" s="130" t="s">
        <v>304</v>
      </c>
      <c r="H918" s="131">
        <v>1</v>
      </c>
      <c r="I918" s="132"/>
      <c r="J918" s="133">
        <f>ROUND(I918*H918,2)</f>
        <v>0</v>
      </c>
      <c r="K918" s="129" t="s">
        <v>133</v>
      </c>
      <c r="L918" s="32"/>
      <c r="M918" s="134" t="s">
        <v>19</v>
      </c>
      <c r="N918" s="135" t="s">
        <v>42</v>
      </c>
      <c r="P918" s="136">
        <f>O918*H918</f>
        <v>0</v>
      </c>
      <c r="Q918" s="136">
        <v>0</v>
      </c>
      <c r="R918" s="136">
        <f>Q918*H918</f>
        <v>0</v>
      </c>
      <c r="S918" s="136">
        <v>0</v>
      </c>
      <c r="T918" s="137">
        <f>S918*H918</f>
        <v>0</v>
      </c>
      <c r="AR918" s="138" t="s">
        <v>229</v>
      </c>
      <c r="AT918" s="138" t="s">
        <v>129</v>
      </c>
      <c r="AU918" s="138" t="s">
        <v>81</v>
      </c>
      <c r="AY918" s="17" t="s">
        <v>127</v>
      </c>
      <c r="BE918" s="139">
        <f>IF(N918="základní",J918,0)</f>
        <v>0</v>
      </c>
      <c r="BF918" s="139">
        <f>IF(N918="snížená",J918,0)</f>
        <v>0</v>
      </c>
      <c r="BG918" s="139">
        <f>IF(N918="zákl. přenesená",J918,0)</f>
        <v>0</v>
      </c>
      <c r="BH918" s="139">
        <f>IF(N918="sníž. přenesená",J918,0)</f>
        <v>0</v>
      </c>
      <c r="BI918" s="139">
        <f>IF(N918="nulová",J918,0)</f>
        <v>0</v>
      </c>
      <c r="BJ918" s="17" t="s">
        <v>79</v>
      </c>
      <c r="BK918" s="139">
        <f>ROUND(I918*H918,2)</f>
        <v>0</v>
      </c>
      <c r="BL918" s="17" t="s">
        <v>229</v>
      </c>
      <c r="BM918" s="138" t="s">
        <v>2026</v>
      </c>
    </row>
    <row r="919" spans="2:65" s="1" customFormat="1">
      <c r="B919" s="32"/>
      <c r="D919" s="140" t="s">
        <v>136</v>
      </c>
      <c r="F919" s="141" t="s">
        <v>2027</v>
      </c>
      <c r="I919" s="142"/>
      <c r="L919" s="32"/>
      <c r="M919" s="143"/>
      <c r="T919" s="51"/>
      <c r="AT919" s="17" t="s">
        <v>136</v>
      </c>
      <c r="AU919" s="17" t="s">
        <v>81</v>
      </c>
    </row>
    <row r="920" spans="2:65" s="12" customFormat="1">
      <c r="B920" s="144"/>
      <c r="D920" s="145" t="s">
        <v>138</v>
      </c>
      <c r="E920" s="146" t="s">
        <v>19</v>
      </c>
      <c r="F920" s="147" t="s">
        <v>2028</v>
      </c>
      <c r="H920" s="148">
        <v>1</v>
      </c>
      <c r="I920" s="149"/>
      <c r="L920" s="144"/>
      <c r="M920" s="150"/>
      <c r="T920" s="151"/>
      <c r="AT920" s="146" t="s">
        <v>138</v>
      </c>
      <c r="AU920" s="146" t="s">
        <v>81</v>
      </c>
      <c r="AV920" s="12" t="s">
        <v>81</v>
      </c>
      <c r="AW920" s="12" t="s">
        <v>33</v>
      </c>
      <c r="AX920" s="12" t="s">
        <v>79</v>
      </c>
      <c r="AY920" s="146" t="s">
        <v>127</v>
      </c>
    </row>
    <row r="921" spans="2:65" s="1" customFormat="1" ht="16.5" customHeight="1">
      <c r="B921" s="32"/>
      <c r="C921" s="159" t="s">
        <v>2029</v>
      </c>
      <c r="D921" s="159" t="s">
        <v>413</v>
      </c>
      <c r="E921" s="160" t="s">
        <v>2030</v>
      </c>
      <c r="F921" s="161" t="s">
        <v>2031</v>
      </c>
      <c r="G921" s="162" t="s">
        <v>132</v>
      </c>
      <c r="H921" s="163">
        <v>2.52</v>
      </c>
      <c r="I921" s="164"/>
      <c r="J921" s="165">
        <f>ROUND(I921*H921,2)</f>
        <v>0</v>
      </c>
      <c r="K921" s="161" t="s">
        <v>133</v>
      </c>
      <c r="L921" s="166"/>
      <c r="M921" s="167" t="s">
        <v>19</v>
      </c>
      <c r="N921" s="168" t="s">
        <v>42</v>
      </c>
      <c r="P921" s="136">
        <f>O921*H921</f>
        <v>0</v>
      </c>
      <c r="Q921" s="136">
        <v>2.4230000000000002E-2</v>
      </c>
      <c r="R921" s="136">
        <f>Q921*H921</f>
        <v>6.1059600000000006E-2</v>
      </c>
      <c r="S921" s="136">
        <v>0</v>
      </c>
      <c r="T921" s="137">
        <f>S921*H921</f>
        <v>0</v>
      </c>
      <c r="AR921" s="138" t="s">
        <v>333</v>
      </c>
      <c r="AT921" s="138" t="s">
        <v>413</v>
      </c>
      <c r="AU921" s="138" t="s">
        <v>81</v>
      </c>
      <c r="AY921" s="17" t="s">
        <v>127</v>
      </c>
      <c r="BE921" s="139">
        <f>IF(N921="základní",J921,0)</f>
        <v>0</v>
      </c>
      <c r="BF921" s="139">
        <f>IF(N921="snížená",J921,0)</f>
        <v>0</v>
      </c>
      <c r="BG921" s="139">
        <f>IF(N921="zákl. přenesená",J921,0)</f>
        <v>0</v>
      </c>
      <c r="BH921" s="139">
        <f>IF(N921="sníž. přenesená",J921,0)</f>
        <v>0</v>
      </c>
      <c r="BI921" s="139">
        <f>IF(N921="nulová",J921,0)</f>
        <v>0</v>
      </c>
      <c r="BJ921" s="17" t="s">
        <v>79</v>
      </c>
      <c r="BK921" s="139">
        <f>ROUND(I921*H921,2)</f>
        <v>0</v>
      </c>
      <c r="BL921" s="17" t="s">
        <v>229</v>
      </c>
      <c r="BM921" s="138" t="s">
        <v>2032</v>
      </c>
    </row>
    <row r="922" spans="2:65" s="12" customFormat="1">
      <c r="B922" s="144"/>
      <c r="D922" s="145" t="s">
        <v>138</v>
      </c>
      <c r="E922" s="146" t="s">
        <v>19</v>
      </c>
      <c r="F922" s="147" t="s">
        <v>2033</v>
      </c>
      <c r="H922" s="148">
        <v>2.52</v>
      </c>
      <c r="I922" s="149"/>
      <c r="L922" s="144"/>
      <c r="M922" s="150"/>
      <c r="T922" s="151"/>
      <c r="AT922" s="146" t="s">
        <v>138</v>
      </c>
      <c r="AU922" s="146" t="s">
        <v>81</v>
      </c>
      <c r="AV922" s="12" t="s">
        <v>81</v>
      </c>
      <c r="AW922" s="12" t="s">
        <v>33</v>
      </c>
      <c r="AX922" s="12" t="s">
        <v>79</v>
      </c>
      <c r="AY922" s="146" t="s">
        <v>127</v>
      </c>
    </row>
    <row r="923" spans="2:65" s="1" customFormat="1" ht="16.5" customHeight="1">
      <c r="B923" s="32"/>
      <c r="C923" s="159" t="s">
        <v>2034</v>
      </c>
      <c r="D923" s="159" t="s">
        <v>413</v>
      </c>
      <c r="E923" s="160" t="s">
        <v>2035</v>
      </c>
      <c r="F923" s="161" t="s">
        <v>2036</v>
      </c>
      <c r="G923" s="162" t="s">
        <v>304</v>
      </c>
      <c r="H923" s="163">
        <v>1</v>
      </c>
      <c r="I923" s="164"/>
      <c r="J923" s="165">
        <f>ROUND(I923*H923,2)</f>
        <v>0</v>
      </c>
      <c r="K923" s="161" t="s">
        <v>133</v>
      </c>
      <c r="L923" s="166"/>
      <c r="M923" s="167" t="s">
        <v>19</v>
      </c>
      <c r="N923" s="168" t="s">
        <v>42</v>
      </c>
      <c r="P923" s="136">
        <f>O923*H923</f>
        <v>0</v>
      </c>
      <c r="Q923" s="136">
        <v>2.2000000000000001E-3</v>
      </c>
      <c r="R923" s="136">
        <f>Q923*H923</f>
        <v>2.2000000000000001E-3</v>
      </c>
      <c r="S923" s="136">
        <v>0</v>
      </c>
      <c r="T923" s="137">
        <f>S923*H923</f>
        <v>0</v>
      </c>
      <c r="AR923" s="138" t="s">
        <v>333</v>
      </c>
      <c r="AT923" s="138" t="s">
        <v>413</v>
      </c>
      <c r="AU923" s="138" t="s">
        <v>81</v>
      </c>
      <c r="AY923" s="17" t="s">
        <v>127</v>
      </c>
      <c r="BE923" s="139">
        <f>IF(N923="základní",J923,0)</f>
        <v>0</v>
      </c>
      <c r="BF923" s="139">
        <f>IF(N923="snížená",J923,0)</f>
        <v>0</v>
      </c>
      <c r="BG923" s="139">
        <f>IF(N923="zákl. přenesená",J923,0)</f>
        <v>0</v>
      </c>
      <c r="BH923" s="139">
        <f>IF(N923="sníž. přenesená",J923,0)</f>
        <v>0</v>
      </c>
      <c r="BI923" s="139">
        <f>IF(N923="nulová",J923,0)</f>
        <v>0</v>
      </c>
      <c r="BJ923" s="17" t="s">
        <v>79</v>
      </c>
      <c r="BK923" s="139">
        <f>ROUND(I923*H923,2)</f>
        <v>0</v>
      </c>
      <c r="BL923" s="17" t="s">
        <v>229</v>
      </c>
      <c r="BM923" s="138" t="s">
        <v>2037</v>
      </c>
    </row>
    <row r="924" spans="2:65" s="1" customFormat="1" ht="16.5" customHeight="1">
      <c r="B924" s="32"/>
      <c r="C924" s="127" t="s">
        <v>2038</v>
      </c>
      <c r="D924" s="127" t="s">
        <v>129</v>
      </c>
      <c r="E924" s="128" t="s">
        <v>2039</v>
      </c>
      <c r="F924" s="129" t="s">
        <v>2040</v>
      </c>
      <c r="G924" s="130" t="s">
        <v>304</v>
      </c>
      <c r="H924" s="131">
        <v>1</v>
      </c>
      <c r="I924" s="132"/>
      <c r="J924" s="133">
        <f>ROUND(I924*H924,2)</f>
        <v>0</v>
      </c>
      <c r="K924" s="129" t="s">
        <v>133</v>
      </c>
      <c r="L924" s="32"/>
      <c r="M924" s="134" t="s">
        <v>19</v>
      </c>
      <c r="N924" s="135" t="s">
        <v>42</v>
      </c>
      <c r="P924" s="136">
        <f>O924*H924</f>
        <v>0</v>
      </c>
      <c r="Q924" s="136">
        <v>0</v>
      </c>
      <c r="R924" s="136">
        <f>Q924*H924</f>
        <v>0</v>
      </c>
      <c r="S924" s="136">
        <v>0</v>
      </c>
      <c r="T924" s="137">
        <f>S924*H924</f>
        <v>0</v>
      </c>
      <c r="AR924" s="138" t="s">
        <v>229</v>
      </c>
      <c r="AT924" s="138" t="s">
        <v>129</v>
      </c>
      <c r="AU924" s="138" t="s">
        <v>81</v>
      </c>
      <c r="AY924" s="17" t="s">
        <v>127</v>
      </c>
      <c r="BE924" s="139">
        <f>IF(N924="základní",J924,0)</f>
        <v>0</v>
      </c>
      <c r="BF924" s="139">
        <f>IF(N924="snížená",J924,0)</f>
        <v>0</v>
      </c>
      <c r="BG924" s="139">
        <f>IF(N924="zákl. přenesená",J924,0)</f>
        <v>0</v>
      </c>
      <c r="BH924" s="139">
        <f>IF(N924="sníž. přenesená",J924,0)</f>
        <v>0</v>
      </c>
      <c r="BI924" s="139">
        <f>IF(N924="nulová",J924,0)</f>
        <v>0</v>
      </c>
      <c r="BJ924" s="17" t="s">
        <v>79</v>
      </c>
      <c r="BK924" s="139">
        <f>ROUND(I924*H924,2)</f>
        <v>0</v>
      </c>
      <c r="BL924" s="17" t="s">
        <v>229</v>
      </c>
      <c r="BM924" s="138" t="s">
        <v>2041</v>
      </c>
    </row>
    <row r="925" spans="2:65" s="1" customFormat="1">
      <c r="B925" s="32"/>
      <c r="D925" s="140" t="s">
        <v>136</v>
      </c>
      <c r="F925" s="141" t="s">
        <v>2042</v>
      </c>
      <c r="I925" s="142"/>
      <c r="L925" s="32"/>
      <c r="M925" s="143"/>
      <c r="T925" s="51"/>
      <c r="AT925" s="17" t="s">
        <v>136</v>
      </c>
      <c r="AU925" s="17" t="s">
        <v>81</v>
      </c>
    </row>
    <row r="926" spans="2:65" s="12" customFormat="1">
      <c r="B926" s="144"/>
      <c r="D926" s="145" t="s">
        <v>138</v>
      </c>
      <c r="E926" s="146" t="s">
        <v>19</v>
      </c>
      <c r="F926" s="147" t="s">
        <v>2028</v>
      </c>
      <c r="H926" s="148">
        <v>1</v>
      </c>
      <c r="I926" s="149"/>
      <c r="L926" s="144"/>
      <c r="M926" s="150"/>
      <c r="T926" s="151"/>
      <c r="AT926" s="146" t="s">
        <v>138</v>
      </c>
      <c r="AU926" s="146" t="s">
        <v>81</v>
      </c>
      <c r="AV926" s="12" t="s">
        <v>81</v>
      </c>
      <c r="AW926" s="12" t="s">
        <v>33</v>
      </c>
      <c r="AX926" s="12" t="s">
        <v>79</v>
      </c>
      <c r="AY926" s="146" t="s">
        <v>127</v>
      </c>
    </row>
    <row r="927" spans="2:65" s="1" customFormat="1" ht="16.5" customHeight="1">
      <c r="B927" s="32"/>
      <c r="C927" s="159" t="s">
        <v>2043</v>
      </c>
      <c r="D927" s="159" t="s">
        <v>413</v>
      </c>
      <c r="E927" s="160" t="s">
        <v>2044</v>
      </c>
      <c r="F927" s="161" t="s">
        <v>2045</v>
      </c>
      <c r="G927" s="162" t="s">
        <v>304</v>
      </c>
      <c r="H927" s="163">
        <v>1</v>
      </c>
      <c r="I927" s="164"/>
      <c r="J927" s="165">
        <f>ROUND(I927*H927,2)</f>
        <v>0</v>
      </c>
      <c r="K927" s="161" t="s">
        <v>133</v>
      </c>
      <c r="L927" s="166"/>
      <c r="M927" s="167" t="s">
        <v>19</v>
      </c>
      <c r="N927" s="168" t="s">
        <v>42</v>
      </c>
      <c r="P927" s="136">
        <f>O927*H927</f>
        <v>0</v>
      </c>
      <c r="Q927" s="136">
        <v>2.3999999999999998E-3</v>
      </c>
      <c r="R927" s="136">
        <f>Q927*H927</f>
        <v>2.3999999999999998E-3</v>
      </c>
      <c r="S927" s="136">
        <v>0</v>
      </c>
      <c r="T927" s="137">
        <f>S927*H927</f>
        <v>0</v>
      </c>
      <c r="AR927" s="138" t="s">
        <v>333</v>
      </c>
      <c r="AT927" s="138" t="s">
        <v>413</v>
      </c>
      <c r="AU927" s="138" t="s">
        <v>81</v>
      </c>
      <c r="AY927" s="17" t="s">
        <v>127</v>
      </c>
      <c r="BE927" s="139">
        <f>IF(N927="základní",J927,0)</f>
        <v>0</v>
      </c>
      <c r="BF927" s="139">
        <f>IF(N927="snížená",J927,0)</f>
        <v>0</v>
      </c>
      <c r="BG927" s="139">
        <f>IF(N927="zákl. přenesená",J927,0)</f>
        <v>0</v>
      </c>
      <c r="BH927" s="139">
        <f>IF(N927="sníž. přenesená",J927,0)</f>
        <v>0</v>
      </c>
      <c r="BI927" s="139">
        <f>IF(N927="nulová",J927,0)</f>
        <v>0</v>
      </c>
      <c r="BJ927" s="17" t="s">
        <v>79</v>
      </c>
      <c r="BK927" s="139">
        <f>ROUND(I927*H927,2)</f>
        <v>0</v>
      </c>
      <c r="BL927" s="17" t="s">
        <v>229</v>
      </c>
      <c r="BM927" s="138" t="s">
        <v>2046</v>
      </c>
    </row>
    <row r="928" spans="2:65" s="1" customFormat="1" ht="16.5" customHeight="1">
      <c r="B928" s="32"/>
      <c r="C928" s="127" t="s">
        <v>2047</v>
      </c>
      <c r="D928" s="127" t="s">
        <v>129</v>
      </c>
      <c r="E928" s="128" t="s">
        <v>2048</v>
      </c>
      <c r="F928" s="129" t="s">
        <v>2049</v>
      </c>
      <c r="G928" s="130" t="s">
        <v>2050</v>
      </c>
      <c r="H928" s="131">
        <v>1827.84</v>
      </c>
      <c r="I928" s="132"/>
      <c r="J928" s="133">
        <f>ROUND(I928*H928,2)</f>
        <v>0</v>
      </c>
      <c r="K928" s="129" t="s">
        <v>133</v>
      </c>
      <c r="L928" s="32"/>
      <c r="M928" s="134" t="s">
        <v>19</v>
      </c>
      <c r="N928" s="135" t="s">
        <v>42</v>
      </c>
      <c r="P928" s="136">
        <f>O928*H928</f>
        <v>0</v>
      </c>
      <c r="Q928" s="136">
        <v>6.0000000000000002E-5</v>
      </c>
      <c r="R928" s="136">
        <f>Q928*H928</f>
        <v>0.1096704</v>
      </c>
      <c r="S928" s="136">
        <v>0</v>
      </c>
      <c r="T928" s="137">
        <f>S928*H928</f>
        <v>0</v>
      </c>
      <c r="AR928" s="138" t="s">
        <v>229</v>
      </c>
      <c r="AT928" s="138" t="s">
        <v>129</v>
      </c>
      <c r="AU928" s="138" t="s">
        <v>81</v>
      </c>
      <c r="AY928" s="17" t="s">
        <v>127</v>
      </c>
      <c r="BE928" s="139">
        <f>IF(N928="základní",J928,0)</f>
        <v>0</v>
      </c>
      <c r="BF928" s="139">
        <f>IF(N928="snížená",J928,0)</f>
        <v>0</v>
      </c>
      <c r="BG928" s="139">
        <f>IF(N928="zákl. přenesená",J928,0)</f>
        <v>0</v>
      </c>
      <c r="BH928" s="139">
        <f>IF(N928="sníž. přenesená",J928,0)</f>
        <v>0</v>
      </c>
      <c r="BI928" s="139">
        <f>IF(N928="nulová",J928,0)</f>
        <v>0</v>
      </c>
      <c r="BJ928" s="17" t="s">
        <v>79</v>
      </c>
      <c r="BK928" s="139">
        <f>ROUND(I928*H928,2)</f>
        <v>0</v>
      </c>
      <c r="BL928" s="17" t="s">
        <v>229</v>
      </c>
      <c r="BM928" s="138" t="s">
        <v>2051</v>
      </c>
    </row>
    <row r="929" spans="2:65" s="1" customFormat="1">
      <c r="B929" s="32"/>
      <c r="D929" s="140" t="s">
        <v>136</v>
      </c>
      <c r="F929" s="141" t="s">
        <v>2052</v>
      </c>
      <c r="I929" s="142"/>
      <c r="L929" s="32"/>
      <c r="M929" s="143"/>
      <c r="T929" s="51"/>
      <c r="AT929" s="17" t="s">
        <v>136</v>
      </c>
      <c r="AU929" s="17" t="s">
        <v>81</v>
      </c>
    </row>
    <row r="930" spans="2:65" s="12" customFormat="1">
      <c r="B930" s="144"/>
      <c r="D930" s="145" t="s">
        <v>138</v>
      </c>
      <c r="E930" s="146" t="s">
        <v>19</v>
      </c>
      <c r="F930" s="147" t="s">
        <v>2053</v>
      </c>
      <c r="H930" s="148">
        <v>919.8</v>
      </c>
      <c r="I930" s="149"/>
      <c r="L930" s="144"/>
      <c r="M930" s="150"/>
      <c r="T930" s="151"/>
      <c r="AT930" s="146" t="s">
        <v>138</v>
      </c>
      <c r="AU930" s="146" t="s">
        <v>81</v>
      </c>
      <c r="AV930" s="12" t="s">
        <v>81</v>
      </c>
      <c r="AW930" s="12" t="s">
        <v>33</v>
      </c>
      <c r="AX930" s="12" t="s">
        <v>71</v>
      </c>
      <c r="AY930" s="146" t="s">
        <v>127</v>
      </c>
    </row>
    <row r="931" spans="2:65" s="12" customFormat="1">
      <c r="B931" s="144"/>
      <c r="D931" s="145" t="s">
        <v>138</v>
      </c>
      <c r="E931" s="146" t="s">
        <v>19</v>
      </c>
      <c r="F931" s="147" t="s">
        <v>2054</v>
      </c>
      <c r="H931" s="148">
        <v>908.04</v>
      </c>
      <c r="I931" s="149"/>
      <c r="L931" s="144"/>
      <c r="M931" s="150"/>
      <c r="T931" s="151"/>
      <c r="AT931" s="146" t="s">
        <v>138</v>
      </c>
      <c r="AU931" s="146" t="s">
        <v>81</v>
      </c>
      <c r="AV931" s="12" t="s">
        <v>81</v>
      </c>
      <c r="AW931" s="12" t="s">
        <v>33</v>
      </c>
      <c r="AX931" s="12" t="s">
        <v>71</v>
      </c>
      <c r="AY931" s="146" t="s">
        <v>127</v>
      </c>
    </row>
    <row r="932" spans="2:65" s="13" customFormat="1">
      <c r="B932" s="152"/>
      <c r="D932" s="145" t="s">
        <v>138</v>
      </c>
      <c r="E932" s="153" t="s">
        <v>19</v>
      </c>
      <c r="F932" s="154" t="s">
        <v>152</v>
      </c>
      <c r="H932" s="155">
        <v>1827.84</v>
      </c>
      <c r="I932" s="156"/>
      <c r="L932" s="152"/>
      <c r="M932" s="157"/>
      <c r="T932" s="158"/>
      <c r="AT932" s="153" t="s">
        <v>138</v>
      </c>
      <c r="AU932" s="153" t="s">
        <v>81</v>
      </c>
      <c r="AV932" s="13" t="s">
        <v>134</v>
      </c>
      <c r="AW932" s="13" t="s">
        <v>33</v>
      </c>
      <c r="AX932" s="13" t="s">
        <v>79</v>
      </c>
      <c r="AY932" s="153" t="s">
        <v>127</v>
      </c>
    </row>
    <row r="933" spans="2:65" s="1" customFormat="1" ht="16.5" customHeight="1">
      <c r="B933" s="32"/>
      <c r="C933" s="159" t="s">
        <v>2055</v>
      </c>
      <c r="D933" s="159" t="s">
        <v>413</v>
      </c>
      <c r="E933" s="160" t="s">
        <v>2056</v>
      </c>
      <c r="F933" s="161" t="s">
        <v>2057</v>
      </c>
      <c r="G933" s="162" t="s">
        <v>173</v>
      </c>
      <c r="H933" s="163">
        <v>1.012</v>
      </c>
      <c r="I933" s="164"/>
      <c r="J933" s="165">
        <f>ROUND(I933*H933,2)</f>
        <v>0</v>
      </c>
      <c r="K933" s="161" t="s">
        <v>133</v>
      </c>
      <c r="L933" s="166"/>
      <c r="M933" s="167" t="s">
        <v>19</v>
      </c>
      <c r="N933" s="168" t="s">
        <v>42</v>
      </c>
      <c r="P933" s="136">
        <f>O933*H933</f>
        <v>0</v>
      </c>
      <c r="Q933" s="136">
        <v>1</v>
      </c>
      <c r="R933" s="136">
        <f>Q933*H933</f>
        <v>1.012</v>
      </c>
      <c r="S933" s="136">
        <v>0</v>
      </c>
      <c r="T933" s="137">
        <f>S933*H933</f>
        <v>0</v>
      </c>
      <c r="AR933" s="138" t="s">
        <v>333</v>
      </c>
      <c r="AT933" s="138" t="s">
        <v>413</v>
      </c>
      <c r="AU933" s="138" t="s">
        <v>81</v>
      </c>
      <c r="AY933" s="17" t="s">
        <v>127</v>
      </c>
      <c r="BE933" s="139">
        <f>IF(N933="základní",J933,0)</f>
        <v>0</v>
      </c>
      <c r="BF933" s="139">
        <f>IF(N933="snížená",J933,0)</f>
        <v>0</v>
      </c>
      <c r="BG933" s="139">
        <f>IF(N933="zákl. přenesená",J933,0)</f>
        <v>0</v>
      </c>
      <c r="BH933" s="139">
        <f>IF(N933="sníž. přenesená",J933,0)</f>
        <v>0</v>
      </c>
      <c r="BI933" s="139">
        <f>IF(N933="nulová",J933,0)</f>
        <v>0</v>
      </c>
      <c r="BJ933" s="17" t="s">
        <v>79</v>
      </c>
      <c r="BK933" s="139">
        <f>ROUND(I933*H933,2)</f>
        <v>0</v>
      </c>
      <c r="BL933" s="17" t="s">
        <v>229</v>
      </c>
      <c r="BM933" s="138" t="s">
        <v>2058</v>
      </c>
    </row>
    <row r="934" spans="2:65" s="12" customFormat="1">
      <c r="B934" s="144"/>
      <c r="D934" s="145" t="s">
        <v>138</v>
      </c>
      <c r="E934" s="146" t="s">
        <v>19</v>
      </c>
      <c r="F934" s="147" t="s">
        <v>2059</v>
      </c>
      <c r="H934" s="148">
        <v>0.92</v>
      </c>
      <c r="I934" s="149"/>
      <c r="L934" s="144"/>
      <c r="M934" s="150"/>
      <c r="T934" s="151"/>
      <c r="AT934" s="146" t="s">
        <v>138</v>
      </c>
      <c r="AU934" s="146" t="s">
        <v>81</v>
      </c>
      <c r="AV934" s="12" t="s">
        <v>81</v>
      </c>
      <c r="AW934" s="12" t="s">
        <v>33</v>
      </c>
      <c r="AX934" s="12" t="s">
        <v>79</v>
      </c>
      <c r="AY934" s="146" t="s">
        <v>127</v>
      </c>
    </row>
    <row r="935" spans="2:65" s="12" customFormat="1">
      <c r="B935" s="144"/>
      <c r="D935" s="145" t="s">
        <v>138</v>
      </c>
      <c r="F935" s="147" t="s">
        <v>2060</v>
      </c>
      <c r="H935" s="148">
        <v>1.012</v>
      </c>
      <c r="I935" s="149"/>
      <c r="L935" s="144"/>
      <c r="M935" s="150"/>
      <c r="T935" s="151"/>
      <c r="AT935" s="146" t="s">
        <v>138</v>
      </c>
      <c r="AU935" s="146" t="s">
        <v>81</v>
      </c>
      <c r="AV935" s="12" t="s">
        <v>81</v>
      </c>
      <c r="AW935" s="12" t="s">
        <v>4</v>
      </c>
      <c r="AX935" s="12" t="s">
        <v>79</v>
      </c>
      <c r="AY935" s="146" t="s">
        <v>127</v>
      </c>
    </row>
    <row r="936" spans="2:65" s="1" customFormat="1" ht="16.5" customHeight="1">
      <c r="B936" s="32"/>
      <c r="C936" s="159" t="s">
        <v>2061</v>
      </c>
      <c r="D936" s="159" t="s">
        <v>413</v>
      </c>
      <c r="E936" s="160" t="s">
        <v>2062</v>
      </c>
      <c r="F936" s="161" t="s">
        <v>2063</v>
      </c>
      <c r="G936" s="162" t="s">
        <v>173</v>
      </c>
      <c r="H936" s="163">
        <v>0.999</v>
      </c>
      <c r="I936" s="164"/>
      <c r="J936" s="165">
        <f>ROUND(I936*H936,2)</f>
        <v>0</v>
      </c>
      <c r="K936" s="161" t="s">
        <v>133</v>
      </c>
      <c r="L936" s="166"/>
      <c r="M936" s="167" t="s">
        <v>19</v>
      </c>
      <c r="N936" s="168" t="s">
        <v>42</v>
      </c>
      <c r="P936" s="136">
        <f>O936*H936</f>
        <v>0</v>
      </c>
      <c r="Q936" s="136">
        <v>1</v>
      </c>
      <c r="R936" s="136">
        <f>Q936*H936</f>
        <v>0.999</v>
      </c>
      <c r="S936" s="136">
        <v>0</v>
      </c>
      <c r="T936" s="137">
        <f>S936*H936</f>
        <v>0</v>
      </c>
      <c r="AR936" s="138" t="s">
        <v>333</v>
      </c>
      <c r="AT936" s="138" t="s">
        <v>413</v>
      </c>
      <c r="AU936" s="138" t="s">
        <v>81</v>
      </c>
      <c r="AY936" s="17" t="s">
        <v>127</v>
      </c>
      <c r="BE936" s="139">
        <f>IF(N936="základní",J936,0)</f>
        <v>0</v>
      </c>
      <c r="BF936" s="139">
        <f>IF(N936="snížená",J936,0)</f>
        <v>0</v>
      </c>
      <c r="BG936" s="139">
        <f>IF(N936="zákl. přenesená",J936,0)</f>
        <v>0</v>
      </c>
      <c r="BH936" s="139">
        <f>IF(N936="sníž. přenesená",J936,0)</f>
        <v>0</v>
      </c>
      <c r="BI936" s="139">
        <f>IF(N936="nulová",J936,0)</f>
        <v>0</v>
      </c>
      <c r="BJ936" s="17" t="s">
        <v>79</v>
      </c>
      <c r="BK936" s="139">
        <f>ROUND(I936*H936,2)</f>
        <v>0</v>
      </c>
      <c r="BL936" s="17" t="s">
        <v>229</v>
      </c>
      <c r="BM936" s="138" t="s">
        <v>2064</v>
      </c>
    </row>
    <row r="937" spans="2:65" s="12" customFormat="1">
      <c r="B937" s="144"/>
      <c r="D937" s="145" t="s">
        <v>138</v>
      </c>
      <c r="E937" s="146" t="s">
        <v>19</v>
      </c>
      <c r="F937" s="147" t="s">
        <v>2065</v>
      </c>
      <c r="H937" s="148">
        <v>0.90800000000000003</v>
      </c>
      <c r="I937" s="149"/>
      <c r="L937" s="144"/>
      <c r="M937" s="150"/>
      <c r="T937" s="151"/>
      <c r="AT937" s="146" t="s">
        <v>138</v>
      </c>
      <c r="AU937" s="146" t="s">
        <v>81</v>
      </c>
      <c r="AV937" s="12" t="s">
        <v>81</v>
      </c>
      <c r="AW937" s="12" t="s">
        <v>33</v>
      </c>
      <c r="AX937" s="12" t="s">
        <v>79</v>
      </c>
      <c r="AY937" s="146" t="s">
        <v>127</v>
      </c>
    </row>
    <row r="938" spans="2:65" s="12" customFormat="1">
      <c r="B938" s="144"/>
      <c r="D938" s="145" t="s">
        <v>138</v>
      </c>
      <c r="F938" s="147" t="s">
        <v>2066</v>
      </c>
      <c r="H938" s="148">
        <v>0.999</v>
      </c>
      <c r="I938" s="149"/>
      <c r="L938" s="144"/>
      <c r="M938" s="150"/>
      <c r="T938" s="151"/>
      <c r="AT938" s="146" t="s">
        <v>138</v>
      </c>
      <c r="AU938" s="146" t="s">
        <v>81</v>
      </c>
      <c r="AV938" s="12" t="s">
        <v>81</v>
      </c>
      <c r="AW938" s="12" t="s">
        <v>4</v>
      </c>
      <c r="AX938" s="12" t="s">
        <v>79</v>
      </c>
      <c r="AY938" s="146" t="s">
        <v>127</v>
      </c>
    </row>
    <row r="939" spans="2:65" s="1" customFormat="1" ht="16.5" customHeight="1">
      <c r="B939" s="32"/>
      <c r="C939" s="127" t="s">
        <v>2067</v>
      </c>
      <c r="D939" s="127" t="s">
        <v>129</v>
      </c>
      <c r="E939" s="128" t="s">
        <v>2068</v>
      </c>
      <c r="F939" s="129" t="s">
        <v>2069</v>
      </c>
      <c r="G939" s="130" t="s">
        <v>2050</v>
      </c>
      <c r="H939" s="131">
        <v>31465</v>
      </c>
      <c r="I939" s="132"/>
      <c r="J939" s="133">
        <f>ROUND(I939*H939,2)</f>
        <v>0</v>
      </c>
      <c r="K939" s="129" t="s">
        <v>133</v>
      </c>
      <c r="L939" s="32"/>
      <c r="M939" s="134" t="s">
        <v>19</v>
      </c>
      <c r="N939" s="135" t="s">
        <v>42</v>
      </c>
      <c r="P939" s="136">
        <f>O939*H939</f>
        <v>0</v>
      </c>
      <c r="Q939" s="136">
        <v>5.0000000000000002E-5</v>
      </c>
      <c r="R939" s="136">
        <f>Q939*H939</f>
        <v>1.57325</v>
      </c>
      <c r="S939" s="136">
        <v>0</v>
      </c>
      <c r="T939" s="137">
        <f>S939*H939</f>
        <v>0</v>
      </c>
      <c r="AR939" s="138" t="s">
        <v>229</v>
      </c>
      <c r="AT939" s="138" t="s">
        <v>129</v>
      </c>
      <c r="AU939" s="138" t="s">
        <v>81</v>
      </c>
      <c r="AY939" s="17" t="s">
        <v>127</v>
      </c>
      <c r="BE939" s="139">
        <f>IF(N939="základní",J939,0)</f>
        <v>0</v>
      </c>
      <c r="BF939" s="139">
        <f>IF(N939="snížená",J939,0)</f>
        <v>0</v>
      </c>
      <c r="BG939" s="139">
        <f>IF(N939="zákl. přenesená",J939,0)</f>
        <v>0</v>
      </c>
      <c r="BH939" s="139">
        <f>IF(N939="sníž. přenesená",J939,0)</f>
        <v>0</v>
      </c>
      <c r="BI939" s="139">
        <f>IF(N939="nulová",J939,0)</f>
        <v>0</v>
      </c>
      <c r="BJ939" s="17" t="s">
        <v>79</v>
      </c>
      <c r="BK939" s="139">
        <f>ROUND(I939*H939,2)</f>
        <v>0</v>
      </c>
      <c r="BL939" s="17" t="s">
        <v>229</v>
      </c>
      <c r="BM939" s="138" t="s">
        <v>2070</v>
      </c>
    </row>
    <row r="940" spans="2:65" s="1" customFormat="1">
      <c r="B940" s="32"/>
      <c r="D940" s="140" t="s">
        <v>136</v>
      </c>
      <c r="F940" s="141" t="s">
        <v>2071</v>
      </c>
      <c r="I940" s="142"/>
      <c r="L940" s="32"/>
      <c r="M940" s="143"/>
      <c r="T940" s="51"/>
      <c r="AT940" s="17" t="s">
        <v>136</v>
      </c>
      <c r="AU940" s="17" t="s">
        <v>81</v>
      </c>
    </row>
    <row r="941" spans="2:65" s="12" customFormat="1">
      <c r="B941" s="144"/>
      <c r="D941" s="145" t="s">
        <v>138</v>
      </c>
      <c r="E941" s="146" t="s">
        <v>19</v>
      </c>
      <c r="F941" s="147" t="s">
        <v>2072</v>
      </c>
      <c r="H941" s="148">
        <v>31465</v>
      </c>
      <c r="I941" s="149"/>
      <c r="L941" s="144"/>
      <c r="M941" s="150"/>
      <c r="T941" s="151"/>
      <c r="AT941" s="146" t="s">
        <v>138</v>
      </c>
      <c r="AU941" s="146" t="s">
        <v>81</v>
      </c>
      <c r="AV941" s="12" t="s">
        <v>81</v>
      </c>
      <c r="AW941" s="12" t="s">
        <v>33</v>
      </c>
      <c r="AX941" s="12" t="s">
        <v>79</v>
      </c>
      <c r="AY941" s="146" t="s">
        <v>127</v>
      </c>
    </row>
    <row r="942" spans="2:65" s="1" customFormat="1" ht="16.5" customHeight="1">
      <c r="B942" s="32"/>
      <c r="C942" s="159" t="s">
        <v>2073</v>
      </c>
      <c r="D942" s="159" t="s">
        <v>413</v>
      </c>
      <c r="E942" s="160" t="s">
        <v>2062</v>
      </c>
      <c r="F942" s="161" t="s">
        <v>2063</v>
      </c>
      <c r="G942" s="162" t="s">
        <v>173</v>
      </c>
      <c r="H942" s="163">
        <v>4.0990000000000002</v>
      </c>
      <c r="I942" s="164"/>
      <c r="J942" s="165">
        <f>ROUND(I942*H942,2)</f>
        <v>0</v>
      </c>
      <c r="K942" s="161" t="s">
        <v>133</v>
      </c>
      <c r="L942" s="166"/>
      <c r="M942" s="167" t="s">
        <v>19</v>
      </c>
      <c r="N942" s="168" t="s">
        <v>42</v>
      </c>
      <c r="P942" s="136">
        <f>O942*H942</f>
        <v>0</v>
      </c>
      <c r="Q942" s="136">
        <v>1</v>
      </c>
      <c r="R942" s="136">
        <f>Q942*H942</f>
        <v>4.0990000000000002</v>
      </c>
      <c r="S942" s="136">
        <v>0</v>
      </c>
      <c r="T942" s="137">
        <f>S942*H942</f>
        <v>0</v>
      </c>
      <c r="AR942" s="138" t="s">
        <v>333</v>
      </c>
      <c r="AT942" s="138" t="s">
        <v>413</v>
      </c>
      <c r="AU942" s="138" t="s">
        <v>81</v>
      </c>
      <c r="AY942" s="17" t="s">
        <v>127</v>
      </c>
      <c r="BE942" s="139">
        <f>IF(N942="základní",J942,0)</f>
        <v>0</v>
      </c>
      <c r="BF942" s="139">
        <f>IF(N942="snížená",J942,0)</f>
        <v>0</v>
      </c>
      <c r="BG942" s="139">
        <f>IF(N942="zákl. přenesená",J942,0)</f>
        <v>0</v>
      </c>
      <c r="BH942" s="139">
        <f>IF(N942="sníž. přenesená",J942,0)</f>
        <v>0</v>
      </c>
      <c r="BI942" s="139">
        <f>IF(N942="nulová",J942,0)</f>
        <v>0</v>
      </c>
      <c r="BJ942" s="17" t="s">
        <v>79</v>
      </c>
      <c r="BK942" s="139">
        <f>ROUND(I942*H942,2)</f>
        <v>0</v>
      </c>
      <c r="BL942" s="17" t="s">
        <v>229</v>
      </c>
      <c r="BM942" s="138" t="s">
        <v>2074</v>
      </c>
    </row>
    <row r="943" spans="2:65" s="12" customFormat="1">
      <c r="B943" s="144"/>
      <c r="D943" s="145" t="s">
        <v>138</v>
      </c>
      <c r="E943" s="146" t="s">
        <v>19</v>
      </c>
      <c r="F943" s="147" t="s">
        <v>2075</v>
      </c>
      <c r="H943" s="148">
        <v>1.3160000000000001</v>
      </c>
      <c r="I943" s="149"/>
      <c r="L943" s="144"/>
      <c r="M943" s="150"/>
      <c r="T943" s="151"/>
      <c r="AT943" s="146" t="s">
        <v>138</v>
      </c>
      <c r="AU943" s="146" t="s">
        <v>81</v>
      </c>
      <c r="AV943" s="12" t="s">
        <v>81</v>
      </c>
      <c r="AW943" s="12" t="s">
        <v>33</v>
      </c>
      <c r="AX943" s="12" t="s">
        <v>71</v>
      </c>
      <c r="AY943" s="146" t="s">
        <v>127</v>
      </c>
    </row>
    <row r="944" spans="2:65" s="12" customFormat="1">
      <c r="B944" s="144"/>
      <c r="D944" s="145" t="s">
        <v>138</v>
      </c>
      <c r="E944" s="146" t="s">
        <v>19</v>
      </c>
      <c r="F944" s="147" t="s">
        <v>2076</v>
      </c>
      <c r="H944" s="148">
        <v>0.67700000000000005</v>
      </c>
      <c r="I944" s="149"/>
      <c r="L944" s="144"/>
      <c r="M944" s="150"/>
      <c r="T944" s="151"/>
      <c r="AT944" s="146" t="s">
        <v>138</v>
      </c>
      <c r="AU944" s="146" t="s">
        <v>81</v>
      </c>
      <c r="AV944" s="12" t="s">
        <v>81</v>
      </c>
      <c r="AW944" s="12" t="s">
        <v>33</v>
      </c>
      <c r="AX944" s="12" t="s">
        <v>71</v>
      </c>
      <c r="AY944" s="146" t="s">
        <v>127</v>
      </c>
    </row>
    <row r="945" spans="2:65" s="12" customFormat="1">
      <c r="B945" s="144"/>
      <c r="D945" s="145" t="s">
        <v>138</v>
      </c>
      <c r="E945" s="146" t="s">
        <v>19</v>
      </c>
      <c r="F945" s="147" t="s">
        <v>2077</v>
      </c>
      <c r="H945" s="148">
        <v>0.67700000000000005</v>
      </c>
      <c r="I945" s="149"/>
      <c r="L945" s="144"/>
      <c r="M945" s="150"/>
      <c r="T945" s="151"/>
      <c r="AT945" s="146" t="s">
        <v>138</v>
      </c>
      <c r="AU945" s="146" t="s">
        <v>81</v>
      </c>
      <c r="AV945" s="12" t="s">
        <v>81</v>
      </c>
      <c r="AW945" s="12" t="s">
        <v>33</v>
      </c>
      <c r="AX945" s="12" t="s">
        <v>71</v>
      </c>
      <c r="AY945" s="146" t="s">
        <v>127</v>
      </c>
    </row>
    <row r="946" spans="2:65" s="12" customFormat="1">
      <c r="B946" s="144"/>
      <c r="D946" s="145" t="s">
        <v>138</v>
      </c>
      <c r="E946" s="146" t="s">
        <v>19</v>
      </c>
      <c r="F946" s="147" t="s">
        <v>2078</v>
      </c>
      <c r="H946" s="148">
        <v>0.372</v>
      </c>
      <c r="I946" s="149"/>
      <c r="L946" s="144"/>
      <c r="M946" s="150"/>
      <c r="T946" s="151"/>
      <c r="AT946" s="146" t="s">
        <v>138</v>
      </c>
      <c r="AU946" s="146" t="s">
        <v>81</v>
      </c>
      <c r="AV946" s="12" t="s">
        <v>81</v>
      </c>
      <c r="AW946" s="12" t="s">
        <v>33</v>
      </c>
      <c r="AX946" s="12" t="s">
        <v>71</v>
      </c>
      <c r="AY946" s="146" t="s">
        <v>127</v>
      </c>
    </row>
    <row r="947" spans="2:65" s="12" customFormat="1">
      <c r="B947" s="144"/>
      <c r="D947" s="145" t="s">
        <v>138</v>
      </c>
      <c r="E947" s="146" t="s">
        <v>19</v>
      </c>
      <c r="F947" s="147" t="s">
        <v>2079</v>
      </c>
      <c r="H947" s="148">
        <v>0.252</v>
      </c>
      <c r="I947" s="149"/>
      <c r="L947" s="144"/>
      <c r="M947" s="150"/>
      <c r="T947" s="151"/>
      <c r="AT947" s="146" t="s">
        <v>138</v>
      </c>
      <c r="AU947" s="146" t="s">
        <v>81</v>
      </c>
      <c r="AV947" s="12" t="s">
        <v>81</v>
      </c>
      <c r="AW947" s="12" t="s">
        <v>33</v>
      </c>
      <c r="AX947" s="12" t="s">
        <v>71</v>
      </c>
      <c r="AY947" s="146" t="s">
        <v>127</v>
      </c>
    </row>
    <row r="948" spans="2:65" s="12" customFormat="1">
      <c r="B948" s="144"/>
      <c r="D948" s="145" t="s">
        <v>138</v>
      </c>
      <c r="E948" s="146" t="s">
        <v>19</v>
      </c>
      <c r="F948" s="147" t="s">
        <v>2080</v>
      </c>
      <c r="H948" s="148">
        <v>0.432</v>
      </c>
      <c r="I948" s="149"/>
      <c r="L948" s="144"/>
      <c r="M948" s="150"/>
      <c r="T948" s="151"/>
      <c r="AT948" s="146" t="s">
        <v>138</v>
      </c>
      <c r="AU948" s="146" t="s">
        <v>81</v>
      </c>
      <c r="AV948" s="12" t="s">
        <v>81</v>
      </c>
      <c r="AW948" s="12" t="s">
        <v>33</v>
      </c>
      <c r="AX948" s="12" t="s">
        <v>71</v>
      </c>
      <c r="AY948" s="146" t="s">
        <v>127</v>
      </c>
    </row>
    <row r="949" spans="2:65" s="13" customFormat="1">
      <c r="B949" s="152"/>
      <c r="D949" s="145" t="s">
        <v>138</v>
      </c>
      <c r="E949" s="153" t="s">
        <v>19</v>
      </c>
      <c r="F949" s="154" t="s">
        <v>152</v>
      </c>
      <c r="H949" s="155">
        <v>3.7259999999999995</v>
      </c>
      <c r="I949" s="156"/>
      <c r="L949" s="152"/>
      <c r="M949" s="157"/>
      <c r="T949" s="158"/>
      <c r="AT949" s="153" t="s">
        <v>138</v>
      </c>
      <c r="AU949" s="153" t="s">
        <v>81</v>
      </c>
      <c r="AV949" s="13" t="s">
        <v>134</v>
      </c>
      <c r="AW949" s="13" t="s">
        <v>33</v>
      </c>
      <c r="AX949" s="13" t="s">
        <v>79</v>
      </c>
      <c r="AY949" s="153" t="s">
        <v>127</v>
      </c>
    </row>
    <row r="950" spans="2:65" s="12" customFormat="1">
      <c r="B950" s="144"/>
      <c r="D950" s="145" t="s">
        <v>138</v>
      </c>
      <c r="F950" s="147" t="s">
        <v>2081</v>
      </c>
      <c r="H950" s="148">
        <v>4.0990000000000002</v>
      </c>
      <c r="I950" s="149"/>
      <c r="L950" s="144"/>
      <c r="M950" s="150"/>
      <c r="T950" s="151"/>
      <c r="AT950" s="146" t="s">
        <v>138</v>
      </c>
      <c r="AU950" s="146" t="s">
        <v>81</v>
      </c>
      <c r="AV950" s="12" t="s">
        <v>81</v>
      </c>
      <c r="AW950" s="12" t="s">
        <v>4</v>
      </c>
      <c r="AX950" s="12" t="s">
        <v>79</v>
      </c>
      <c r="AY950" s="146" t="s">
        <v>127</v>
      </c>
    </row>
    <row r="951" spans="2:65" s="1" customFormat="1" ht="16.5" customHeight="1">
      <c r="B951" s="32"/>
      <c r="C951" s="159" t="s">
        <v>2082</v>
      </c>
      <c r="D951" s="159" t="s">
        <v>413</v>
      </c>
      <c r="E951" s="160" t="s">
        <v>2083</v>
      </c>
      <c r="F951" s="161" t="s">
        <v>2084</v>
      </c>
      <c r="G951" s="162" t="s">
        <v>173</v>
      </c>
      <c r="H951" s="163">
        <v>2.867</v>
      </c>
      <c r="I951" s="164"/>
      <c r="J951" s="165">
        <f>ROUND(I951*H951,2)</f>
        <v>0</v>
      </c>
      <c r="K951" s="161" t="s">
        <v>133</v>
      </c>
      <c r="L951" s="166"/>
      <c r="M951" s="167" t="s">
        <v>19</v>
      </c>
      <c r="N951" s="168" t="s">
        <v>42</v>
      </c>
      <c r="P951" s="136">
        <f>O951*H951</f>
        <v>0</v>
      </c>
      <c r="Q951" s="136">
        <v>1</v>
      </c>
      <c r="R951" s="136">
        <f>Q951*H951</f>
        <v>2.867</v>
      </c>
      <c r="S951" s="136">
        <v>0</v>
      </c>
      <c r="T951" s="137">
        <f>S951*H951</f>
        <v>0</v>
      </c>
      <c r="AR951" s="138" t="s">
        <v>333</v>
      </c>
      <c r="AT951" s="138" t="s">
        <v>413</v>
      </c>
      <c r="AU951" s="138" t="s">
        <v>81</v>
      </c>
      <c r="AY951" s="17" t="s">
        <v>127</v>
      </c>
      <c r="BE951" s="139">
        <f>IF(N951="základní",J951,0)</f>
        <v>0</v>
      </c>
      <c r="BF951" s="139">
        <f>IF(N951="snížená",J951,0)</f>
        <v>0</v>
      </c>
      <c r="BG951" s="139">
        <f>IF(N951="zákl. přenesená",J951,0)</f>
        <v>0</v>
      </c>
      <c r="BH951" s="139">
        <f>IF(N951="sníž. přenesená",J951,0)</f>
        <v>0</v>
      </c>
      <c r="BI951" s="139">
        <f>IF(N951="nulová",J951,0)</f>
        <v>0</v>
      </c>
      <c r="BJ951" s="17" t="s">
        <v>79</v>
      </c>
      <c r="BK951" s="139">
        <f>ROUND(I951*H951,2)</f>
        <v>0</v>
      </c>
      <c r="BL951" s="17" t="s">
        <v>229</v>
      </c>
      <c r="BM951" s="138" t="s">
        <v>2085</v>
      </c>
    </row>
    <row r="952" spans="2:65" s="12" customFormat="1">
      <c r="B952" s="144"/>
      <c r="D952" s="145" t="s">
        <v>138</v>
      </c>
      <c r="E952" s="146" t="s">
        <v>19</v>
      </c>
      <c r="F952" s="147" t="s">
        <v>2086</v>
      </c>
      <c r="H952" s="148">
        <v>2.6059999999999999</v>
      </c>
      <c r="I952" s="149"/>
      <c r="L952" s="144"/>
      <c r="M952" s="150"/>
      <c r="T952" s="151"/>
      <c r="AT952" s="146" t="s">
        <v>138</v>
      </c>
      <c r="AU952" s="146" t="s">
        <v>81</v>
      </c>
      <c r="AV952" s="12" t="s">
        <v>81</v>
      </c>
      <c r="AW952" s="12" t="s">
        <v>33</v>
      </c>
      <c r="AX952" s="12" t="s">
        <v>79</v>
      </c>
      <c r="AY952" s="146" t="s">
        <v>127</v>
      </c>
    </row>
    <row r="953" spans="2:65" s="12" customFormat="1">
      <c r="B953" s="144"/>
      <c r="D953" s="145" t="s">
        <v>138</v>
      </c>
      <c r="F953" s="147" t="s">
        <v>2087</v>
      </c>
      <c r="H953" s="148">
        <v>2.867</v>
      </c>
      <c r="I953" s="149"/>
      <c r="L953" s="144"/>
      <c r="M953" s="150"/>
      <c r="T953" s="151"/>
      <c r="AT953" s="146" t="s">
        <v>138</v>
      </c>
      <c r="AU953" s="146" t="s">
        <v>81</v>
      </c>
      <c r="AV953" s="12" t="s">
        <v>81</v>
      </c>
      <c r="AW953" s="12" t="s">
        <v>4</v>
      </c>
      <c r="AX953" s="12" t="s">
        <v>79</v>
      </c>
      <c r="AY953" s="146" t="s">
        <v>127</v>
      </c>
    </row>
    <row r="954" spans="2:65" s="1" customFormat="1" ht="16.5" customHeight="1">
      <c r="B954" s="32"/>
      <c r="C954" s="159" t="s">
        <v>2088</v>
      </c>
      <c r="D954" s="159" t="s">
        <v>413</v>
      </c>
      <c r="E954" s="160" t="s">
        <v>2089</v>
      </c>
      <c r="F954" s="161" t="s">
        <v>2090</v>
      </c>
      <c r="G954" s="162" t="s">
        <v>173</v>
      </c>
      <c r="H954" s="163">
        <v>20.95</v>
      </c>
      <c r="I954" s="164"/>
      <c r="J954" s="165">
        <f>ROUND(I954*H954,2)</f>
        <v>0</v>
      </c>
      <c r="K954" s="161" t="s">
        <v>133</v>
      </c>
      <c r="L954" s="166"/>
      <c r="M954" s="167" t="s">
        <v>19</v>
      </c>
      <c r="N954" s="168" t="s">
        <v>42</v>
      </c>
      <c r="P954" s="136">
        <f>O954*H954</f>
        <v>0</v>
      </c>
      <c r="Q954" s="136">
        <v>1</v>
      </c>
      <c r="R954" s="136">
        <f>Q954*H954</f>
        <v>20.95</v>
      </c>
      <c r="S954" s="136">
        <v>0</v>
      </c>
      <c r="T954" s="137">
        <f>S954*H954</f>
        <v>0</v>
      </c>
      <c r="AR954" s="138" t="s">
        <v>333</v>
      </c>
      <c r="AT954" s="138" t="s">
        <v>413</v>
      </c>
      <c r="AU954" s="138" t="s">
        <v>81</v>
      </c>
      <c r="AY954" s="17" t="s">
        <v>127</v>
      </c>
      <c r="BE954" s="139">
        <f>IF(N954="základní",J954,0)</f>
        <v>0</v>
      </c>
      <c r="BF954" s="139">
        <f>IF(N954="snížená",J954,0)</f>
        <v>0</v>
      </c>
      <c r="BG954" s="139">
        <f>IF(N954="zákl. přenesená",J954,0)</f>
        <v>0</v>
      </c>
      <c r="BH954" s="139">
        <f>IF(N954="sníž. přenesená",J954,0)</f>
        <v>0</v>
      </c>
      <c r="BI954" s="139">
        <f>IF(N954="nulová",J954,0)</f>
        <v>0</v>
      </c>
      <c r="BJ954" s="17" t="s">
        <v>79</v>
      </c>
      <c r="BK954" s="139">
        <f>ROUND(I954*H954,2)</f>
        <v>0</v>
      </c>
      <c r="BL954" s="17" t="s">
        <v>229</v>
      </c>
      <c r="BM954" s="138" t="s">
        <v>2091</v>
      </c>
    </row>
    <row r="955" spans="2:65" s="12" customFormat="1">
      <c r="B955" s="144"/>
      <c r="D955" s="145" t="s">
        <v>138</v>
      </c>
      <c r="E955" s="146" t="s">
        <v>19</v>
      </c>
      <c r="F955" s="147" t="s">
        <v>2092</v>
      </c>
      <c r="H955" s="148">
        <v>0.16600000000000001</v>
      </c>
      <c r="I955" s="149"/>
      <c r="L955" s="144"/>
      <c r="M955" s="150"/>
      <c r="T955" s="151"/>
      <c r="AT955" s="146" t="s">
        <v>138</v>
      </c>
      <c r="AU955" s="146" t="s">
        <v>81</v>
      </c>
      <c r="AV955" s="12" t="s">
        <v>81</v>
      </c>
      <c r="AW955" s="12" t="s">
        <v>33</v>
      </c>
      <c r="AX955" s="12" t="s">
        <v>71</v>
      </c>
      <c r="AY955" s="146" t="s">
        <v>127</v>
      </c>
    </row>
    <row r="956" spans="2:65" s="12" customFormat="1">
      <c r="B956" s="144"/>
      <c r="D956" s="145" t="s">
        <v>138</v>
      </c>
      <c r="E956" s="146" t="s">
        <v>19</v>
      </c>
      <c r="F956" s="147" t="s">
        <v>2093</v>
      </c>
      <c r="H956" s="148">
        <v>2.7040000000000002</v>
      </c>
      <c r="I956" s="149"/>
      <c r="L956" s="144"/>
      <c r="M956" s="150"/>
      <c r="T956" s="151"/>
      <c r="AT956" s="146" t="s">
        <v>138</v>
      </c>
      <c r="AU956" s="146" t="s">
        <v>81</v>
      </c>
      <c r="AV956" s="12" t="s">
        <v>81</v>
      </c>
      <c r="AW956" s="12" t="s">
        <v>33</v>
      </c>
      <c r="AX956" s="12" t="s">
        <v>71</v>
      </c>
      <c r="AY956" s="146" t="s">
        <v>127</v>
      </c>
    </row>
    <row r="957" spans="2:65" s="12" customFormat="1">
      <c r="B957" s="144"/>
      <c r="D957" s="145" t="s">
        <v>138</v>
      </c>
      <c r="E957" s="146" t="s">
        <v>19</v>
      </c>
      <c r="F957" s="147" t="s">
        <v>2094</v>
      </c>
      <c r="H957" s="148">
        <v>2.7040000000000002</v>
      </c>
      <c r="I957" s="149"/>
      <c r="L957" s="144"/>
      <c r="M957" s="150"/>
      <c r="T957" s="151"/>
      <c r="AT957" s="146" t="s">
        <v>138</v>
      </c>
      <c r="AU957" s="146" t="s">
        <v>81</v>
      </c>
      <c r="AV957" s="12" t="s">
        <v>81</v>
      </c>
      <c r="AW957" s="12" t="s">
        <v>33</v>
      </c>
      <c r="AX957" s="12" t="s">
        <v>71</v>
      </c>
      <c r="AY957" s="146" t="s">
        <v>127</v>
      </c>
    </row>
    <row r="958" spans="2:65" s="12" customFormat="1">
      <c r="B958" s="144"/>
      <c r="D958" s="145" t="s">
        <v>138</v>
      </c>
      <c r="E958" s="146" t="s">
        <v>19</v>
      </c>
      <c r="F958" s="147" t="s">
        <v>2095</v>
      </c>
      <c r="H958" s="148">
        <v>0.91600000000000004</v>
      </c>
      <c r="I958" s="149"/>
      <c r="L958" s="144"/>
      <c r="M958" s="150"/>
      <c r="T958" s="151"/>
      <c r="AT958" s="146" t="s">
        <v>138</v>
      </c>
      <c r="AU958" s="146" t="s">
        <v>81</v>
      </c>
      <c r="AV958" s="12" t="s">
        <v>81</v>
      </c>
      <c r="AW958" s="12" t="s">
        <v>33</v>
      </c>
      <c r="AX958" s="12" t="s">
        <v>71</v>
      </c>
      <c r="AY958" s="146" t="s">
        <v>127</v>
      </c>
    </row>
    <row r="959" spans="2:65" s="12" customFormat="1">
      <c r="B959" s="144"/>
      <c r="D959" s="145" t="s">
        <v>138</v>
      </c>
      <c r="E959" s="146" t="s">
        <v>19</v>
      </c>
      <c r="F959" s="147" t="s">
        <v>2096</v>
      </c>
      <c r="H959" s="148">
        <v>0.91600000000000004</v>
      </c>
      <c r="I959" s="149"/>
      <c r="L959" s="144"/>
      <c r="M959" s="150"/>
      <c r="T959" s="151"/>
      <c r="AT959" s="146" t="s">
        <v>138</v>
      </c>
      <c r="AU959" s="146" t="s">
        <v>81</v>
      </c>
      <c r="AV959" s="12" t="s">
        <v>81</v>
      </c>
      <c r="AW959" s="12" t="s">
        <v>33</v>
      </c>
      <c r="AX959" s="12" t="s">
        <v>71</v>
      </c>
      <c r="AY959" s="146" t="s">
        <v>127</v>
      </c>
    </row>
    <row r="960" spans="2:65" s="12" customFormat="1">
      <c r="B960" s="144"/>
      <c r="D960" s="145" t="s">
        <v>138</v>
      </c>
      <c r="E960" s="146" t="s">
        <v>19</v>
      </c>
      <c r="F960" s="147" t="s">
        <v>2097</v>
      </c>
      <c r="H960" s="148">
        <v>0.91600000000000004</v>
      </c>
      <c r="I960" s="149"/>
      <c r="L960" s="144"/>
      <c r="M960" s="150"/>
      <c r="T960" s="151"/>
      <c r="AT960" s="146" t="s">
        <v>138</v>
      </c>
      <c r="AU960" s="146" t="s">
        <v>81</v>
      </c>
      <c r="AV960" s="12" t="s">
        <v>81</v>
      </c>
      <c r="AW960" s="12" t="s">
        <v>33</v>
      </c>
      <c r="AX960" s="12" t="s">
        <v>71</v>
      </c>
      <c r="AY960" s="146" t="s">
        <v>127</v>
      </c>
    </row>
    <row r="961" spans="2:65" s="12" customFormat="1">
      <c r="B961" s="144"/>
      <c r="D961" s="145" t="s">
        <v>138</v>
      </c>
      <c r="E961" s="146" t="s">
        <v>19</v>
      </c>
      <c r="F961" s="147" t="s">
        <v>2098</v>
      </c>
      <c r="H961" s="148">
        <v>1.0029999999999999</v>
      </c>
      <c r="I961" s="149"/>
      <c r="L961" s="144"/>
      <c r="M961" s="150"/>
      <c r="T961" s="151"/>
      <c r="AT961" s="146" t="s">
        <v>138</v>
      </c>
      <c r="AU961" s="146" t="s">
        <v>81</v>
      </c>
      <c r="AV961" s="12" t="s">
        <v>81</v>
      </c>
      <c r="AW961" s="12" t="s">
        <v>33</v>
      </c>
      <c r="AX961" s="12" t="s">
        <v>71</v>
      </c>
      <c r="AY961" s="146" t="s">
        <v>127</v>
      </c>
    </row>
    <row r="962" spans="2:65" s="12" customFormat="1">
      <c r="B962" s="144"/>
      <c r="D962" s="145" t="s">
        <v>138</v>
      </c>
      <c r="E962" s="146" t="s">
        <v>19</v>
      </c>
      <c r="F962" s="147" t="s">
        <v>2099</v>
      </c>
      <c r="H962" s="148">
        <v>1.0960000000000001</v>
      </c>
      <c r="I962" s="149"/>
      <c r="L962" s="144"/>
      <c r="M962" s="150"/>
      <c r="T962" s="151"/>
      <c r="AT962" s="146" t="s">
        <v>138</v>
      </c>
      <c r="AU962" s="146" t="s">
        <v>81</v>
      </c>
      <c r="AV962" s="12" t="s">
        <v>81</v>
      </c>
      <c r="AW962" s="12" t="s">
        <v>33</v>
      </c>
      <c r="AX962" s="12" t="s">
        <v>71</v>
      </c>
      <c r="AY962" s="146" t="s">
        <v>127</v>
      </c>
    </row>
    <row r="963" spans="2:65" s="12" customFormat="1">
      <c r="B963" s="144"/>
      <c r="D963" s="145" t="s">
        <v>138</v>
      </c>
      <c r="E963" s="146" t="s">
        <v>19</v>
      </c>
      <c r="F963" s="147" t="s">
        <v>2100</v>
      </c>
      <c r="H963" s="148">
        <v>1.0960000000000001</v>
      </c>
      <c r="I963" s="149"/>
      <c r="L963" s="144"/>
      <c r="M963" s="150"/>
      <c r="T963" s="151"/>
      <c r="AT963" s="146" t="s">
        <v>138</v>
      </c>
      <c r="AU963" s="146" t="s">
        <v>81</v>
      </c>
      <c r="AV963" s="12" t="s">
        <v>81</v>
      </c>
      <c r="AW963" s="12" t="s">
        <v>33</v>
      </c>
      <c r="AX963" s="12" t="s">
        <v>71</v>
      </c>
      <c r="AY963" s="146" t="s">
        <v>127</v>
      </c>
    </row>
    <row r="964" spans="2:65" s="12" customFormat="1">
      <c r="B964" s="144"/>
      <c r="D964" s="145" t="s">
        <v>138</v>
      </c>
      <c r="E964" s="146" t="s">
        <v>19</v>
      </c>
      <c r="F964" s="147" t="s">
        <v>2101</v>
      </c>
      <c r="H964" s="148">
        <v>0.86299999999999999</v>
      </c>
      <c r="I964" s="149"/>
      <c r="L964" s="144"/>
      <c r="M964" s="150"/>
      <c r="T964" s="151"/>
      <c r="AT964" s="146" t="s">
        <v>138</v>
      </c>
      <c r="AU964" s="146" t="s">
        <v>81</v>
      </c>
      <c r="AV964" s="12" t="s">
        <v>81</v>
      </c>
      <c r="AW964" s="12" t="s">
        <v>33</v>
      </c>
      <c r="AX964" s="12" t="s">
        <v>71</v>
      </c>
      <c r="AY964" s="146" t="s">
        <v>127</v>
      </c>
    </row>
    <row r="965" spans="2:65" s="12" customFormat="1">
      <c r="B965" s="144"/>
      <c r="D965" s="145" t="s">
        <v>138</v>
      </c>
      <c r="E965" s="146" t="s">
        <v>19</v>
      </c>
      <c r="F965" s="147" t="s">
        <v>2102</v>
      </c>
      <c r="H965" s="148">
        <v>0.86299999999999999</v>
      </c>
      <c r="I965" s="149"/>
      <c r="L965" s="144"/>
      <c r="M965" s="150"/>
      <c r="T965" s="151"/>
      <c r="AT965" s="146" t="s">
        <v>138</v>
      </c>
      <c r="AU965" s="146" t="s">
        <v>81</v>
      </c>
      <c r="AV965" s="12" t="s">
        <v>81</v>
      </c>
      <c r="AW965" s="12" t="s">
        <v>33</v>
      </c>
      <c r="AX965" s="12" t="s">
        <v>71</v>
      </c>
      <c r="AY965" s="146" t="s">
        <v>127</v>
      </c>
    </row>
    <row r="966" spans="2:65" s="12" customFormat="1">
      <c r="B966" s="144"/>
      <c r="D966" s="145" t="s">
        <v>138</v>
      </c>
      <c r="E966" s="146" t="s">
        <v>19</v>
      </c>
      <c r="F966" s="147" t="s">
        <v>2103</v>
      </c>
      <c r="H966" s="148">
        <v>1.135</v>
      </c>
      <c r="I966" s="149"/>
      <c r="L966" s="144"/>
      <c r="M966" s="150"/>
      <c r="T966" s="151"/>
      <c r="AT966" s="146" t="s">
        <v>138</v>
      </c>
      <c r="AU966" s="146" t="s">
        <v>81</v>
      </c>
      <c r="AV966" s="12" t="s">
        <v>81</v>
      </c>
      <c r="AW966" s="12" t="s">
        <v>33</v>
      </c>
      <c r="AX966" s="12" t="s">
        <v>71</v>
      </c>
      <c r="AY966" s="146" t="s">
        <v>127</v>
      </c>
    </row>
    <row r="967" spans="2:65" s="12" customFormat="1">
      <c r="B967" s="144"/>
      <c r="D967" s="145" t="s">
        <v>138</v>
      </c>
      <c r="E967" s="146" t="s">
        <v>19</v>
      </c>
      <c r="F967" s="147" t="s">
        <v>2104</v>
      </c>
      <c r="H967" s="148">
        <v>1.135</v>
      </c>
      <c r="I967" s="149"/>
      <c r="L967" s="144"/>
      <c r="M967" s="150"/>
      <c r="T967" s="151"/>
      <c r="AT967" s="146" t="s">
        <v>138</v>
      </c>
      <c r="AU967" s="146" t="s">
        <v>81</v>
      </c>
      <c r="AV967" s="12" t="s">
        <v>81</v>
      </c>
      <c r="AW967" s="12" t="s">
        <v>33</v>
      </c>
      <c r="AX967" s="12" t="s">
        <v>71</v>
      </c>
      <c r="AY967" s="146" t="s">
        <v>127</v>
      </c>
    </row>
    <row r="968" spans="2:65" s="12" customFormat="1">
      <c r="B968" s="144"/>
      <c r="D968" s="145" t="s">
        <v>138</v>
      </c>
      <c r="E968" s="146" t="s">
        <v>19</v>
      </c>
      <c r="F968" s="147" t="s">
        <v>2105</v>
      </c>
      <c r="H968" s="148">
        <v>0.86299999999999999</v>
      </c>
      <c r="I968" s="149"/>
      <c r="L968" s="144"/>
      <c r="M968" s="150"/>
      <c r="T968" s="151"/>
      <c r="AT968" s="146" t="s">
        <v>138</v>
      </c>
      <c r="AU968" s="146" t="s">
        <v>81</v>
      </c>
      <c r="AV968" s="12" t="s">
        <v>81</v>
      </c>
      <c r="AW968" s="12" t="s">
        <v>33</v>
      </c>
      <c r="AX968" s="12" t="s">
        <v>71</v>
      </c>
      <c r="AY968" s="146" t="s">
        <v>127</v>
      </c>
    </row>
    <row r="969" spans="2:65" s="12" customFormat="1">
      <c r="B969" s="144"/>
      <c r="D969" s="145" t="s">
        <v>138</v>
      </c>
      <c r="E969" s="146" t="s">
        <v>19</v>
      </c>
      <c r="F969" s="147" t="s">
        <v>2106</v>
      </c>
      <c r="H969" s="148">
        <v>0.86299999999999999</v>
      </c>
      <c r="I969" s="149"/>
      <c r="L969" s="144"/>
      <c r="M969" s="150"/>
      <c r="T969" s="151"/>
      <c r="AT969" s="146" t="s">
        <v>138</v>
      </c>
      <c r="AU969" s="146" t="s">
        <v>81</v>
      </c>
      <c r="AV969" s="12" t="s">
        <v>81</v>
      </c>
      <c r="AW969" s="12" t="s">
        <v>33</v>
      </c>
      <c r="AX969" s="12" t="s">
        <v>71</v>
      </c>
      <c r="AY969" s="146" t="s">
        <v>127</v>
      </c>
    </row>
    <row r="970" spans="2:65" s="12" customFormat="1">
      <c r="B970" s="144"/>
      <c r="D970" s="145" t="s">
        <v>138</v>
      </c>
      <c r="E970" s="146" t="s">
        <v>19</v>
      </c>
      <c r="F970" s="147" t="s">
        <v>2107</v>
      </c>
      <c r="H970" s="148">
        <v>0.90300000000000002</v>
      </c>
      <c r="I970" s="149"/>
      <c r="L970" s="144"/>
      <c r="M970" s="150"/>
      <c r="T970" s="151"/>
      <c r="AT970" s="146" t="s">
        <v>138</v>
      </c>
      <c r="AU970" s="146" t="s">
        <v>81</v>
      </c>
      <c r="AV970" s="12" t="s">
        <v>81</v>
      </c>
      <c r="AW970" s="12" t="s">
        <v>33</v>
      </c>
      <c r="AX970" s="12" t="s">
        <v>71</v>
      </c>
      <c r="AY970" s="146" t="s">
        <v>127</v>
      </c>
    </row>
    <row r="971" spans="2:65" s="12" customFormat="1">
      <c r="B971" s="144"/>
      <c r="D971" s="145" t="s">
        <v>138</v>
      </c>
      <c r="E971" s="146" t="s">
        <v>19</v>
      </c>
      <c r="F971" s="147" t="s">
        <v>2108</v>
      </c>
      <c r="H971" s="148">
        <v>0.90300000000000002</v>
      </c>
      <c r="I971" s="149"/>
      <c r="L971" s="144"/>
      <c r="M971" s="150"/>
      <c r="T971" s="151"/>
      <c r="AT971" s="146" t="s">
        <v>138</v>
      </c>
      <c r="AU971" s="146" t="s">
        <v>81</v>
      </c>
      <c r="AV971" s="12" t="s">
        <v>81</v>
      </c>
      <c r="AW971" s="12" t="s">
        <v>33</v>
      </c>
      <c r="AX971" s="12" t="s">
        <v>71</v>
      </c>
      <c r="AY971" s="146" t="s">
        <v>127</v>
      </c>
    </row>
    <row r="972" spans="2:65" s="13" customFormat="1">
      <c r="B972" s="152"/>
      <c r="D972" s="145" t="s">
        <v>138</v>
      </c>
      <c r="E972" s="153" t="s">
        <v>19</v>
      </c>
      <c r="F972" s="154" t="s">
        <v>152</v>
      </c>
      <c r="H972" s="155">
        <v>19.044999999999998</v>
      </c>
      <c r="I972" s="156"/>
      <c r="L972" s="152"/>
      <c r="M972" s="157"/>
      <c r="T972" s="158"/>
      <c r="AT972" s="153" t="s">
        <v>138</v>
      </c>
      <c r="AU972" s="153" t="s">
        <v>81</v>
      </c>
      <c r="AV972" s="13" t="s">
        <v>134</v>
      </c>
      <c r="AW972" s="13" t="s">
        <v>33</v>
      </c>
      <c r="AX972" s="13" t="s">
        <v>79</v>
      </c>
      <c r="AY972" s="153" t="s">
        <v>127</v>
      </c>
    </row>
    <row r="973" spans="2:65" s="12" customFormat="1">
      <c r="B973" s="144"/>
      <c r="D973" s="145" t="s">
        <v>138</v>
      </c>
      <c r="F973" s="147" t="s">
        <v>2109</v>
      </c>
      <c r="H973" s="148">
        <v>20.95</v>
      </c>
      <c r="I973" s="149"/>
      <c r="L973" s="144"/>
      <c r="M973" s="150"/>
      <c r="T973" s="151"/>
      <c r="AT973" s="146" t="s">
        <v>138</v>
      </c>
      <c r="AU973" s="146" t="s">
        <v>81</v>
      </c>
      <c r="AV973" s="12" t="s">
        <v>81</v>
      </c>
      <c r="AW973" s="12" t="s">
        <v>4</v>
      </c>
      <c r="AX973" s="12" t="s">
        <v>79</v>
      </c>
      <c r="AY973" s="146" t="s">
        <v>127</v>
      </c>
    </row>
    <row r="974" spans="2:65" s="1" customFormat="1" ht="16.5" customHeight="1">
      <c r="B974" s="32"/>
      <c r="C974" s="159" t="s">
        <v>2110</v>
      </c>
      <c r="D974" s="159" t="s">
        <v>413</v>
      </c>
      <c r="E974" s="160" t="s">
        <v>2111</v>
      </c>
      <c r="F974" s="161" t="s">
        <v>2112</v>
      </c>
      <c r="G974" s="162" t="s">
        <v>173</v>
      </c>
      <c r="H974" s="163">
        <v>0.13</v>
      </c>
      <c r="I974" s="164"/>
      <c r="J974" s="165">
        <f>ROUND(I974*H974,2)</f>
        <v>0</v>
      </c>
      <c r="K974" s="161" t="s">
        <v>133</v>
      </c>
      <c r="L974" s="166"/>
      <c r="M974" s="167" t="s">
        <v>19</v>
      </c>
      <c r="N974" s="168" t="s">
        <v>42</v>
      </c>
      <c r="P974" s="136">
        <f>O974*H974</f>
        <v>0</v>
      </c>
      <c r="Q974" s="136">
        <v>1</v>
      </c>
      <c r="R974" s="136">
        <f>Q974*H974</f>
        <v>0.13</v>
      </c>
      <c r="S974" s="136">
        <v>0</v>
      </c>
      <c r="T974" s="137">
        <f>S974*H974</f>
        <v>0</v>
      </c>
      <c r="AR974" s="138" t="s">
        <v>333</v>
      </c>
      <c r="AT974" s="138" t="s">
        <v>413</v>
      </c>
      <c r="AU974" s="138" t="s">
        <v>81</v>
      </c>
      <c r="AY974" s="17" t="s">
        <v>127</v>
      </c>
      <c r="BE974" s="139">
        <f>IF(N974="základní",J974,0)</f>
        <v>0</v>
      </c>
      <c r="BF974" s="139">
        <f>IF(N974="snížená",J974,0)</f>
        <v>0</v>
      </c>
      <c r="BG974" s="139">
        <f>IF(N974="zákl. přenesená",J974,0)</f>
        <v>0</v>
      </c>
      <c r="BH974" s="139">
        <f>IF(N974="sníž. přenesená",J974,0)</f>
        <v>0</v>
      </c>
      <c r="BI974" s="139">
        <f>IF(N974="nulová",J974,0)</f>
        <v>0</v>
      </c>
      <c r="BJ974" s="17" t="s">
        <v>79</v>
      </c>
      <c r="BK974" s="139">
        <f>ROUND(I974*H974,2)</f>
        <v>0</v>
      </c>
      <c r="BL974" s="17" t="s">
        <v>229</v>
      </c>
      <c r="BM974" s="138" t="s">
        <v>2113</v>
      </c>
    </row>
    <row r="975" spans="2:65" s="12" customFormat="1">
      <c r="B975" s="144"/>
      <c r="D975" s="145" t="s">
        <v>138</v>
      </c>
      <c r="E975" s="146" t="s">
        <v>19</v>
      </c>
      <c r="F975" s="147" t="s">
        <v>2114</v>
      </c>
      <c r="H975" s="148">
        <v>0.11799999999999999</v>
      </c>
      <c r="I975" s="149"/>
      <c r="L975" s="144"/>
      <c r="M975" s="150"/>
      <c r="T975" s="151"/>
      <c r="AT975" s="146" t="s">
        <v>138</v>
      </c>
      <c r="AU975" s="146" t="s">
        <v>81</v>
      </c>
      <c r="AV975" s="12" t="s">
        <v>81</v>
      </c>
      <c r="AW975" s="12" t="s">
        <v>33</v>
      </c>
      <c r="AX975" s="12" t="s">
        <v>79</v>
      </c>
      <c r="AY975" s="146" t="s">
        <v>127</v>
      </c>
    </row>
    <row r="976" spans="2:65" s="12" customFormat="1">
      <c r="B976" s="144"/>
      <c r="D976" s="145" t="s">
        <v>138</v>
      </c>
      <c r="F976" s="147" t="s">
        <v>2115</v>
      </c>
      <c r="H976" s="148">
        <v>0.13</v>
      </c>
      <c r="I976" s="149"/>
      <c r="L976" s="144"/>
      <c r="M976" s="150"/>
      <c r="T976" s="151"/>
      <c r="AT976" s="146" t="s">
        <v>138</v>
      </c>
      <c r="AU976" s="146" t="s">
        <v>81</v>
      </c>
      <c r="AV976" s="12" t="s">
        <v>81</v>
      </c>
      <c r="AW976" s="12" t="s">
        <v>4</v>
      </c>
      <c r="AX976" s="12" t="s">
        <v>79</v>
      </c>
      <c r="AY976" s="146" t="s">
        <v>127</v>
      </c>
    </row>
    <row r="977" spans="2:65" s="1" customFormat="1" ht="16.5" customHeight="1">
      <c r="B977" s="32"/>
      <c r="C977" s="159" t="s">
        <v>2116</v>
      </c>
      <c r="D977" s="159" t="s">
        <v>413</v>
      </c>
      <c r="E977" s="160" t="s">
        <v>2117</v>
      </c>
      <c r="F977" s="161" t="s">
        <v>2118</v>
      </c>
      <c r="G977" s="162" t="s">
        <v>173</v>
      </c>
      <c r="H977" s="163">
        <v>0.77100000000000002</v>
      </c>
      <c r="I977" s="164"/>
      <c r="J977" s="165">
        <f>ROUND(I977*H977,2)</f>
        <v>0</v>
      </c>
      <c r="K977" s="161" t="s">
        <v>133</v>
      </c>
      <c r="L977" s="166"/>
      <c r="M977" s="167" t="s">
        <v>19</v>
      </c>
      <c r="N977" s="168" t="s">
        <v>42</v>
      </c>
      <c r="P977" s="136">
        <f>O977*H977</f>
        <v>0</v>
      </c>
      <c r="Q977" s="136">
        <v>1</v>
      </c>
      <c r="R977" s="136">
        <f>Q977*H977</f>
        <v>0.77100000000000002</v>
      </c>
      <c r="S977" s="136">
        <v>0</v>
      </c>
      <c r="T977" s="137">
        <f>S977*H977</f>
        <v>0</v>
      </c>
      <c r="AR977" s="138" t="s">
        <v>333</v>
      </c>
      <c r="AT977" s="138" t="s">
        <v>413</v>
      </c>
      <c r="AU977" s="138" t="s">
        <v>81</v>
      </c>
      <c r="AY977" s="17" t="s">
        <v>127</v>
      </c>
      <c r="BE977" s="139">
        <f>IF(N977="základní",J977,0)</f>
        <v>0</v>
      </c>
      <c r="BF977" s="139">
        <f>IF(N977="snížená",J977,0)</f>
        <v>0</v>
      </c>
      <c r="BG977" s="139">
        <f>IF(N977="zákl. přenesená",J977,0)</f>
        <v>0</v>
      </c>
      <c r="BH977" s="139">
        <f>IF(N977="sníž. přenesená",J977,0)</f>
        <v>0</v>
      </c>
      <c r="BI977" s="139">
        <f>IF(N977="nulová",J977,0)</f>
        <v>0</v>
      </c>
      <c r="BJ977" s="17" t="s">
        <v>79</v>
      </c>
      <c r="BK977" s="139">
        <f>ROUND(I977*H977,2)</f>
        <v>0</v>
      </c>
      <c r="BL977" s="17" t="s">
        <v>229</v>
      </c>
      <c r="BM977" s="138" t="s">
        <v>2119</v>
      </c>
    </row>
    <row r="978" spans="2:65" s="12" customFormat="1">
      <c r="B978" s="144"/>
      <c r="D978" s="145" t="s">
        <v>138</v>
      </c>
      <c r="E978" s="146" t="s">
        <v>19</v>
      </c>
      <c r="F978" s="147" t="s">
        <v>2120</v>
      </c>
      <c r="H978" s="148">
        <v>0.129</v>
      </c>
      <c r="I978" s="149"/>
      <c r="L978" s="144"/>
      <c r="M978" s="150"/>
      <c r="T978" s="151"/>
      <c r="AT978" s="146" t="s">
        <v>138</v>
      </c>
      <c r="AU978" s="146" t="s">
        <v>81</v>
      </c>
      <c r="AV978" s="12" t="s">
        <v>81</v>
      </c>
      <c r="AW978" s="12" t="s">
        <v>33</v>
      </c>
      <c r="AX978" s="12" t="s">
        <v>71</v>
      </c>
      <c r="AY978" s="146" t="s">
        <v>127</v>
      </c>
    </row>
    <row r="979" spans="2:65" s="12" customFormat="1">
      <c r="B979" s="144"/>
      <c r="D979" s="145" t="s">
        <v>138</v>
      </c>
      <c r="E979" s="146" t="s">
        <v>19</v>
      </c>
      <c r="F979" s="147" t="s">
        <v>2121</v>
      </c>
      <c r="H979" s="148">
        <v>0.57199999999999995</v>
      </c>
      <c r="I979" s="149"/>
      <c r="L979" s="144"/>
      <c r="M979" s="150"/>
      <c r="T979" s="151"/>
      <c r="AT979" s="146" t="s">
        <v>138</v>
      </c>
      <c r="AU979" s="146" t="s">
        <v>81</v>
      </c>
      <c r="AV979" s="12" t="s">
        <v>81</v>
      </c>
      <c r="AW979" s="12" t="s">
        <v>33</v>
      </c>
      <c r="AX979" s="12" t="s">
        <v>71</v>
      </c>
      <c r="AY979" s="146" t="s">
        <v>127</v>
      </c>
    </row>
    <row r="980" spans="2:65" s="13" customFormat="1">
      <c r="B980" s="152"/>
      <c r="D980" s="145" t="s">
        <v>138</v>
      </c>
      <c r="E980" s="153" t="s">
        <v>19</v>
      </c>
      <c r="F980" s="154" t="s">
        <v>152</v>
      </c>
      <c r="H980" s="155">
        <v>0.70099999999999996</v>
      </c>
      <c r="I980" s="156"/>
      <c r="L980" s="152"/>
      <c r="M980" s="157"/>
      <c r="T980" s="158"/>
      <c r="AT980" s="153" t="s">
        <v>138</v>
      </c>
      <c r="AU980" s="153" t="s">
        <v>81</v>
      </c>
      <c r="AV980" s="13" t="s">
        <v>134</v>
      </c>
      <c r="AW980" s="13" t="s">
        <v>33</v>
      </c>
      <c r="AX980" s="13" t="s">
        <v>79</v>
      </c>
      <c r="AY980" s="153" t="s">
        <v>127</v>
      </c>
    </row>
    <row r="981" spans="2:65" s="12" customFormat="1">
      <c r="B981" s="144"/>
      <c r="D981" s="145" t="s">
        <v>138</v>
      </c>
      <c r="F981" s="147" t="s">
        <v>2122</v>
      </c>
      <c r="H981" s="148">
        <v>0.77100000000000002</v>
      </c>
      <c r="I981" s="149"/>
      <c r="L981" s="144"/>
      <c r="M981" s="150"/>
      <c r="T981" s="151"/>
      <c r="AT981" s="146" t="s">
        <v>138</v>
      </c>
      <c r="AU981" s="146" t="s">
        <v>81</v>
      </c>
      <c r="AV981" s="12" t="s">
        <v>81</v>
      </c>
      <c r="AW981" s="12" t="s">
        <v>4</v>
      </c>
      <c r="AX981" s="12" t="s">
        <v>79</v>
      </c>
      <c r="AY981" s="146" t="s">
        <v>127</v>
      </c>
    </row>
    <row r="982" spans="2:65" s="1" customFormat="1" ht="16.5" customHeight="1">
      <c r="B982" s="32"/>
      <c r="C982" s="159" t="s">
        <v>2123</v>
      </c>
      <c r="D982" s="159" t="s">
        <v>413</v>
      </c>
      <c r="E982" s="160" t="s">
        <v>2124</v>
      </c>
      <c r="F982" s="161" t="s">
        <v>2125</v>
      </c>
      <c r="G982" s="162" t="s">
        <v>173</v>
      </c>
      <c r="H982" s="163">
        <v>1.3069999999999999</v>
      </c>
      <c r="I982" s="164"/>
      <c r="J982" s="165">
        <f>ROUND(I982*H982,2)</f>
        <v>0</v>
      </c>
      <c r="K982" s="161" t="s">
        <v>133</v>
      </c>
      <c r="L982" s="166"/>
      <c r="M982" s="167" t="s">
        <v>19</v>
      </c>
      <c r="N982" s="168" t="s">
        <v>42</v>
      </c>
      <c r="P982" s="136">
        <f>O982*H982</f>
        <v>0</v>
      </c>
      <c r="Q982" s="136">
        <v>1</v>
      </c>
      <c r="R982" s="136">
        <f>Q982*H982</f>
        <v>1.3069999999999999</v>
      </c>
      <c r="S982" s="136">
        <v>0</v>
      </c>
      <c r="T982" s="137">
        <f>S982*H982</f>
        <v>0</v>
      </c>
      <c r="AR982" s="138" t="s">
        <v>333</v>
      </c>
      <c r="AT982" s="138" t="s">
        <v>413</v>
      </c>
      <c r="AU982" s="138" t="s">
        <v>81</v>
      </c>
      <c r="AY982" s="17" t="s">
        <v>127</v>
      </c>
      <c r="BE982" s="139">
        <f>IF(N982="základní",J982,0)</f>
        <v>0</v>
      </c>
      <c r="BF982" s="139">
        <f>IF(N982="snížená",J982,0)</f>
        <v>0</v>
      </c>
      <c r="BG982" s="139">
        <f>IF(N982="zákl. přenesená",J982,0)</f>
        <v>0</v>
      </c>
      <c r="BH982" s="139">
        <f>IF(N982="sníž. přenesená",J982,0)</f>
        <v>0</v>
      </c>
      <c r="BI982" s="139">
        <f>IF(N982="nulová",J982,0)</f>
        <v>0</v>
      </c>
      <c r="BJ982" s="17" t="s">
        <v>79</v>
      </c>
      <c r="BK982" s="139">
        <f>ROUND(I982*H982,2)</f>
        <v>0</v>
      </c>
      <c r="BL982" s="17" t="s">
        <v>229</v>
      </c>
      <c r="BM982" s="138" t="s">
        <v>2126</v>
      </c>
    </row>
    <row r="983" spans="2:65" s="12" customFormat="1">
      <c r="B983" s="144"/>
      <c r="D983" s="145" t="s">
        <v>138</v>
      </c>
      <c r="E983" s="146" t="s">
        <v>19</v>
      </c>
      <c r="F983" s="147" t="s">
        <v>2127</v>
      </c>
      <c r="H983" s="148">
        <v>1.1879999999999999</v>
      </c>
      <c r="I983" s="149"/>
      <c r="L983" s="144"/>
      <c r="M983" s="150"/>
      <c r="T983" s="151"/>
      <c r="AT983" s="146" t="s">
        <v>138</v>
      </c>
      <c r="AU983" s="146" t="s">
        <v>81</v>
      </c>
      <c r="AV983" s="12" t="s">
        <v>81</v>
      </c>
      <c r="AW983" s="12" t="s">
        <v>33</v>
      </c>
      <c r="AX983" s="12" t="s">
        <v>79</v>
      </c>
      <c r="AY983" s="146" t="s">
        <v>127</v>
      </c>
    </row>
    <row r="984" spans="2:65" s="12" customFormat="1">
      <c r="B984" s="144"/>
      <c r="D984" s="145" t="s">
        <v>138</v>
      </c>
      <c r="F984" s="147" t="s">
        <v>2128</v>
      </c>
      <c r="H984" s="148">
        <v>1.3069999999999999</v>
      </c>
      <c r="I984" s="149"/>
      <c r="L984" s="144"/>
      <c r="M984" s="150"/>
      <c r="T984" s="151"/>
      <c r="AT984" s="146" t="s">
        <v>138</v>
      </c>
      <c r="AU984" s="146" t="s">
        <v>81</v>
      </c>
      <c r="AV984" s="12" t="s">
        <v>81</v>
      </c>
      <c r="AW984" s="12" t="s">
        <v>4</v>
      </c>
      <c r="AX984" s="12" t="s">
        <v>79</v>
      </c>
      <c r="AY984" s="146" t="s">
        <v>127</v>
      </c>
    </row>
    <row r="985" spans="2:65" s="1" customFormat="1" ht="16.5" customHeight="1">
      <c r="B985" s="32"/>
      <c r="C985" s="159" t="s">
        <v>2129</v>
      </c>
      <c r="D985" s="159" t="s">
        <v>413</v>
      </c>
      <c r="E985" s="160" t="s">
        <v>2130</v>
      </c>
      <c r="F985" s="161" t="s">
        <v>2131</v>
      </c>
      <c r="G985" s="162" t="s">
        <v>173</v>
      </c>
      <c r="H985" s="163">
        <v>3.0609999999999999</v>
      </c>
      <c r="I985" s="164"/>
      <c r="J985" s="165">
        <f>ROUND(I985*H985,2)</f>
        <v>0</v>
      </c>
      <c r="K985" s="161" t="s">
        <v>133</v>
      </c>
      <c r="L985" s="166"/>
      <c r="M985" s="167" t="s">
        <v>19</v>
      </c>
      <c r="N985" s="168" t="s">
        <v>42</v>
      </c>
      <c r="P985" s="136">
        <f>O985*H985</f>
        <v>0</v>
      </c>
      <c r="Q985" s="136">
        <v>1</v>
      </c>
      <c r="R985" s="136">
        <f>Q985*H985</f>
        <v>3.0609999999999999</v>
      </c>
      <c r="S985" s="136">
        <v>0</v>
      </c>
      <c r="T985" s="137">
        <f>S985*H985</f>
        <v>0</v>
      </c>
      <c r="AR985" s="138" t="s">
        <v>333</v>
      </c>
      <c r="AT985" s="138" t="s">
        <v>413</v>
      </c>
      <c r="AU985" s="138" t="s">
        <v>81</v>
      </c>
      <c r="AY985" s="17" t="s">
        <v>127</v>
      </c>
      <c r="BE985" s="139">
        <f>IF(N985="základní",J985,0)</f>
        <v>0</v>
      </c>
      <c r="BF985" s="139">
        <f>IF(N985="snížená",J985,0)</f>
        <v>0</v>
      </c>
      <c r="BG985" s="139">
        <f>IF(N985="zákl. přenesená",J985,0)</f>
        <v>0</v>
      </c>
      <c r="BH985" s="139">
        <f>IF(N985="sníž. přenesená",J985,0)</f>
        <v>0</v>
      </c>
      <c r="BI985" s="139">
        <f>IF(N985="nulová",J985,0)</f>
        <v>0</v>
      </c>
      <c r="BJ985" s="17" t="s">
        <v>79</v>
      </c>
      <c r="BK985" s="139">
        <f>ROUND(I985*H985,2)</f>
        <v>0</v>
      </c>
      <c r="BL985" s="17" t="s">
        <v>229</v>
      </c>
      <c r="BM985" s="138" t="s">
        <v>2132</v>
      </c>
    </row>
    <row r="986" spans="2:65" s="12" customFormat="1">
      <c r="B986" s="144"/>
      <c r="D986" s="145" t="s">
        <v>138</v>
      </c>
      <c r="E986" s="146" t="s">
        <v>19</v>
      </c>
      <c r="F986" s="147" t="s">
        <v>2133</v>
      </c>
      <c r="H986" s="148">
        <v>0.115</v>
      </c>
      <c r="I986" s="149"/>
      <c r="L986" s="144"/>
      <c r="M986" s="150"/>
      <c r="T986" s="151"/>
      <c r="AT986" s="146" t="s">
        <v>138</v>
      </c>
      <c r="AU986" s="146" t="s">
        <v>81</v>
      </c>
      <c r="AV986" s="12" t="s">
        <v>81</v>
      </c>
      <c r="AW986" s="12" t="s">
        <v>33</v>
      </c>
      <c r="AX986" s="12" t="s">
        <v>71</v>
      </c>
      <c r="AY986" s="146" t="s">
        <v>127</v>
      </c>
    </row>
    <row r="987" spans="2:65" s="12" customFormat="1">
      <c r="B987" s="144"/>
      <c r="D987" s="145" t="s">
        <v>138</v>
      </c>
      <c r="E987" s="146" t="s">
        <v>19</v>
      </c>
      <c r="F987" s="147" t="s">
        <v>2134</v>
      </c>
      <c r="H987" s="148">
        <v>2.6680000000000001</v>
      </c>
      <c r="I987" s="149"/>
      <c r="L987" s="144"/>
      <c r="M987" s="150"/>
      <c r="T987" s="151"/>
      <c r="AT987" s="146" t="s">
        <v>138</v>
      </c>
      <c r="AU987" s="146" t="s">
        <v>81</v>
      </c>
      <c r="AV987" s="12" t="s">
        <v>81</v>
      </c>
      <c r="AW987" s="12" t="s">
        <v>33</v>
      </c>
      <c r="AX987" s="12" t="s">
        <v>71</v>
      </c>
      <c r="AY987" s="146" t="s">
        <v>127</v>
      </c>
    </row>
    <row r="988" spans="2:65" s="13" customFormat="1">
      <c r="B988" s="152"/>
      <c r="D988" s="145" t="s">
        <v>138</v>
      </c>
      <c r="E988" s="153" t="s">
        <v>19</v>
      </c>
      <c r="F988" s="154" t="s">
        <v>152</v>
      </c>
      <c r="H988" s="155">
        <v>2.7830000000000004</v>
      </c>
      <c r="I988" s="156"/>
      <c r="L988" s="152"/>
      <c r="M988" s="157"/>
      <c r="T988" s="158"/>
      <c r="AT988" s="153" t="s">
        <v>138</v>
      </c>
      <c r="AU988" s="153" t="s">
        <v>81</v>
      </c>
      <c r="AV988" s="13" t="s">
        <v>134</v>
      </c>
      <c r="AW988" s="13" t="s">
        <v>33</v>
      </c>
      <c r="AX988" s="13" t="s">
        <v>79</v>
      </c>
      <c r="AY988" s="153" t="s">
        <v>127</v>
      </c>
    </row>
    <row r="989" spans="2:65" s="12" customFormat="1">
      <c r="B989" s="144"/>
      <c r="D989" s="145" t="s">
        <v>138</v>
      </c>
      <c r="F989" s="147" t="s">
        <v>2135</v>
      </c>
      <c r="H989" s="148">
        <v>3.0609999999999999</v>
      </c>
      <c r="I989" s="149"/>
      <c r="L989" s="144"/>
      <c r="M989" s="150"/>
      <c r="T989" s="151"/>
      <c r="AT989" s="146" t="s">
        <v>138</v>
      </c>
      <c r="AU989" s="146" t="s">
        <v>81</v>
      </c>
      <c r="AV989" s="12" t="s">
        <v>81</v>
      </c>
      <c r="AW989" s="12" t="s">
        <v>4</v>
      </c>
      <c r="AX989" s="12" t="s">
        <v>79</v>
      </c>
      <c r="AY989" s="146" t="s">
        <v>127</v>
      </c>
    </row>
    <row r="990" spans="2:65" s="1" customFormat="1" ht="16.5" customHeight="1">
      <c r="B990" s="32"/>
      <c r="C990" s="159" t="s">
        <v>2136</v>
      </c>
      <c r="D990" s="159" t="s">
        <v>413</v>
      </c>
      <c r="E990" s="160" t="s">
        <v>2137</v>
      </c>
      <c r="F990" s="161" t="s">
        <v>2138</v>
      </c>
      <c r="G990" s="162" t="s">
        <v>173</v>
      </c>
      <c r="H990" s="163">
        <v>1.4259999999999999</v>
      </c>
      <c r="I990" s="164"/>
      <c r="J990" s="165">
        <f>ROUND(I990*H990,2)</f>
        <v>0</v>
      </c>
      <c r="K990" s="161" t="s">
        <v>133</v>
      </c>
      <c r="L990" s="166"/>
      <c r="M990" s="167" t="s">
        <v>19</v>
      </c>
      <c r="N990" s="168" t="s">
        <v>42</v>
      </c>
      <c r="P990" s="136">
        <f>O990*H990</f>
        <v>0</v>
      </c>
      <c r="Q990" s="136">
        <v>1</v>
      </c>
      <c r="R990" s="136">
        <f>Q990*H990</f>
        <v>1.4259999999999999</v>
      </c>
      <c r="S990" s="136">
        <v>0</v>
      </c>
      <c r="T990" s="137">
        <f>S990*H990</f>
        <v>0</v>
      </c>
      <c r="AR990" s="138" t="s">
        <v>333</v>
      </c>
      <c r="AT990" s="138" t="s">
        <v>413</v>
      </c>
      <c r="AU990" s="138" t="s">
        <v>81</v>
      </c>
      <c r="AY990" s="17" t="s">
        <v>127</v>
      </c>
      <c r="BE990" s="139">
        <f>IF(N990="základní",J990,0)</f>
        <v>0</v>
      </c>
      <c r="BF990" s="139">
        <f>IF(N990="snížená",J990,0)</f>
        <v>0</v>
      </c>
      <c r="BG990" s="139">
        <f>IF(N990="zákl. přenesená",J990,0)</f>
        <v>0</v>
      </c>
      <c r="BH990" s="139">
        <f>IF(N990="sníž. přenesená",J990,0)</f>
        <v>0</v>
      </c>
      <c r="BI990" s="139">
        <f>IF(N990="nulová",J990,0)</f>
        <v>0</v>
      </c>
      <c r="BJ990" s="17" t="s">
        <v>79</v>
      </c>
      <c r="BK990" s="139">
        <f>ROUND(I990*H990,2)</f>
        <v>0</v>
      </c>
      <c r="BL990" s="17" t="s">
        <v>229</v>
      </c>
      <c r="BM990" s="138" t="s">
        <v>2139</v>
      </c>
    </row>
    <row r="991" spans="2:65" s="12" customFormat="1">
      <c r="B991" s="144"/>
      <c r="D991" s="145" t="s">
        <v>138</v>
      </c>
      <c r="E991" s="146" t="s">
        <v>19</v>
      </c>
      <c r="F991" s="147" t="s">
        <v>2140</v>
      </c>
      <c r="H991" s="148">
        <v>1.296</v>
      </c>
      <c r="I991" s="149"/>
      <c r="L991" s="144"/>
      <c r="M991" s="150"/>
      <c r="T991" s="151"/>
      <c r="AT991" s="146" t="s">
        <v>138</v>
      </c>
      <c r="AU991" s="146" t="s">
        <v>81</v>
      </c>
      <c r="AV991" s="12" t="s">
        <v>81</v>
      </c>
      <c r="AW991" s="12" t="s">
        <v>33</v>
      </c>
      <c r="AX991" s="12" t="s">
        <v>79</v>
      </c>
      <c r="AY991" s="146" t="s">
        <v>127</v>
      </c>
    </row>
    <row r="992" spans="2:65" s="12" customFormat="1">
      <c r="B992" s="144"/>
      <c r="D992" s="145" t="s">
        <v>138</v>
      </c>
      <c r="F992" s="147" t="s">
        <v>2141</v>
      </c>
      <c r="H992" s="148">
        <v>1.4259999999999999</v>
      </c>
      <c r="I992" s="149"/>
      <c r="L992" s="144"/>
      <c r="M992" s="150"/>
      <c r="T992" s="151"/>
      <c r="AT992" s="146" t="s">
        <v>138</v>
      </c>
      <c r="AU992" s="146" t="s">
        <v>81</v>
      </c>
      <c r="AV992" s="12" t="s">
        <v>81</v>
      </c>
      <c r="AW992" s="12" t="s">
        <v>4</v>
      </c>
      <c r="AX992" s="12" t="s">
        <v>79</v>
      </c>
      <c r="AY992" s="146" t="s">
        <v>127</v>
      </c>
    </row>
    <row r="993" spans="2:65" s="1" customFormat="1" ht="16.5" customHeight="1">
      <c r="B993" s="32"/>
      <c r="C993" s="127" t="s">
        <v>2142</v>
      </c>
      <c r="D993" s="127" t="s">
        <v>129</v>
      </c>
      <c r="E993" s="128" t="s">
        <v>2143</v>
      </c>
      <c r="F993" s="129" t="s">
        <v>2144</v>
      </c>
      <c r="G993" s="130" t="s">
        <v>304</v>
      </c>
      <c r="H993" s="131">
        <v>6</v>
      </c>
      <c r="I993" s="132"/>
      <c r="J993" s="133">
        <f>ROUND(I993*H993,2)</f>
        <v>0</v>
      </c>
      <c r="K993" s="129" t="s">
        <v>19</v>
      </c>
      <c r="L993" s="32"/>
      <c r="M993" s="134" t="s">
        <v>19</v>
      </c>
      <c r="N993" s="135" t="s">
        <v>42</v>
      </c>
      <c r="P993" s="136">
        <f>O993*H993</f>
        <v>0</v>
      </c>
      <c r="Q993" s="136">
        <v>0</v>
      </c>
      <c r="R993" s="136">
        <f>Q993*H993</f>
        <v>0</v>
      </c>
      <c r="S993" s="136">
        <v>0</v>
      </c>
      <c r="T993" s="137">
        <f>S993*H993</f>
        <v>0</v>
      </c>
      <c r="AR993" s="138" t="s">
        <v>229</v>
      </c>
      <c r="AT993" s="138" t="s">
        <v>129</v>
      </c>
      <c r="AU993" s="138" t="s">
        <v>81</v>
      </c>
      <c r="AY993" s="17" t="s">
        <v>127</v>
      </c>
      <c r="BE993" s="139">
        <f>IF(N993="základní",J993,0)</f>
        <v>0</v>
      </c>
      <c r="BF993" s="139">
        <f>IF(N993="snížená",J993,0)</f>
        <v>0</v>
      </c>
      <c r="BG993" s="139">
        <f>IF(N993="zákl. přenesená",J993,0)</f>
        <v>0</v>
      </c>
      <c r="BH993" s="139">
        <f>IF(N993="sníž. přenesená",J993,0)</f>
        <v>0</v>
      </c>
      <c r="BI993" s="139">
        <f>IF(N993="nulová",J993,0)</f>
        <v>0</v>
      </c>
      <c r="BJ993" s="17" t="s">
        <v>79</v>
      </c>
      <c r="BK993" s="139">
        <f>ROUND(I993*H993,2)</f>
        <v>0</v>
      </c>
      <c r="BL993" s="17" t="s">
        <v>229</v>
      </c>
      <c r="BM993" s="138" t="s">
        <v>2145</v>
      </c>
    </row>
    <row r="994" spans="2:65" s="12" customFormat="1">
      <c r="B994" s="144"/>
      <c r="D994" s="145" t="s">
        <v>138</v>
      </c>
      <c r="E994" s="146" t="s">
        <v>19</v>
      </c>
      <c r="F994" s="147" t="s">
        <v>2146</v>
      </c>
      <c r="H994" s="148">
        <v>6</v>
      </c>
      <c r="I994" s="149"/>
      <c r="L994" s="144"/>
      <c r="M994" s="150"/>
      <c r="T994" s="151"/>
      <c r="AT994" s="146" t="s">
        <v>138</v>
      </c>
      <c r="AU994" s="146" t="s">
        <v>81</v>
      </c>
      <c r="AV994" s="12" t="s">
        <v>81</v>
      </c>
      <c r="AW994" s="12" t="s">
        <v>33</v>
      </c>
      <c r="AX994" s="12" t="s">
        <v>79</v>
      </c>
      <c r="AY994" s="146" t="s">
        <v>127</v>
      </c>
    </row>
    <row r="995" spans="2:65" s="1" customFormat="1" ht="16.5" customHeight="1">
      <c r="B995" s="32"/>
      <c r="C995" s="127" t="s">
        <v>2147</v>
      </c>
      <c r="D995" s="127" t="s">
        <v>129</v>
      </c>
      <c r="E995" s="128" t="s">
        <v>2148</v>
      </c>
      <c r="F995" s="129" t="s">
        <v>2149</v>
      </c>
      <c r="G995" s="130" t="s">
        <v>304</v>
      </c>
      <c r="H995" s="131">
        <v>1</v>
      </c>
      <c r="I995" s="132"/>
      <c r="J995" s="133">
        <f>ROUND(I995*H995,2)</f>
        <v>0</v>
      </c>
      <c r="K995" s="129" t="s">
        <v>19</v>
      </c>
      <c r="L995" s="32"/>
      <c r="M995" s="134" t="s">
        <v>19</v>
      </c>
      <c r="N995" s="135" t="s">
        <v>42</v>
      </c>
      <c r="P995" s="136">
        <f>O995*H995</f>
        <v>0</v>
      </c>
      <c r="Q995" s="136">
        <v>0</v>
      </c>
      <c r="R995" s="136">
        <f>Q995*H995</f>
        <v>0</v>
      </c>
      <c r="S995" s="136">
        <v>0</v>
      </c>
      <c r="T995" s="137">
        <f>S995*H995</f>
        <v>0</v>
      </c>
      <c r="AR995" s="138" t="s">
        <v>229</v>
      </c>
      <c r="AT995" s="138" t="s">
        <v>129</v>
      </c>
      <c r="AU995" s="138" t="s">
        <v>81</v>
      </c>
      <c r="AY995" s="17" t="s">
        <v>127</v>
      </c>
      <c r="BE995" s="139">
        <f>IF(N995="základní",J995,0)</f>
        <v>0</v>
      </c>
      <c r="BF995" s="139">
        <f>IF(N995="snížená",J995,0)</f>
        <v>0</v>
      </c>
      <c r="BG995" s="139">
        <f>IF(N995="zákl. přenesená",J995,0)</f>
        <v>0</v>
      </c>
      <c r="BH995" s="139">
        <f>IF(N995="sníž. přenesená",J995,0)</f>
        <v>0</v>
      </c>
      <c r="BI995" s="139">
        <f>IF(N995="nulová",J995,0)</f>
        <v>0</v>
      </c>
      <c r="BJ995" s="17" t="s">
        <v>79</v>
      </c>
      <c r="BK995" s="139">
        <f>ROUND(I995*H995,2)</f>
        <v>0</v>
      </c>
      <c r="BL995" s="17" t="s">
        <v>229</v>
      </c>
      <c r="BM995" s="138" t="s">
        <v>2150</v>
      </c>
    </row>
    <row r="996" spans="2:65" s="12" customFormat="1">
      <c r="B996" s="144"/>
      <c r="D996" s="145" t="s">
        <v>138</v>
      </c>
      <c r="E996" s="146" t="s">
        <v>19</v>
      </c>
      <c r="F996" s="147" t="s">
        <v>2151</v>
      </c>
      <c r="H996" s="148">
        <v>1</v>
      </c>
      <c r="I996" s="149"/>
      <c r="L996" s="144"/>
      <c r="M996" s="150"/>
      <c r="T996" s="151"/>
      <c r="AT996" s="146" t="s">
        <v>138</v>
      </c>
      <c r="AU996" s="146" t="s">
        <v>81</v>
      </c>
      <c r="AV996" s="12" t="s">
        <v>81</v>
      </c>
      <c r="AW996" s="12" t="s">
        <v>33</v>
      </c>
      <c r="AX996" s="12" t="s">
        <v>79</v>
      </c>
      <c r="AY996" s="146" t="s">
        <v>127</v>
      </c>
    </row>
    <row r="997" spans="2:65" s="1" customFormat="1" ht="16.5" customHeight="1">
      <c r="B997" s="32"/>
      <c r="C997" s="127" t="s">
        <v>2152</v>
      </c>
      <c r="D997" s="127" t="s">
        <v>129</v>
      </c>
      <c r="E997" s="128" t="s">
        <v>2153</v>
      </c>
      <c r="F997" s="129" t="s">
        <v>2154</v>
      </c>
      <c r="G997" s="130" t="s">
        <v>304</v>
      </c>
      <c r="H997" s="131">
        <v>5</v>
      </c>
      <c r="I997" s="132"/>
      <c r="J997" s="133">
        <f>ROUND(I997*H997,2)</f>
        <v>0</v>
      </c>
      <c r="K997" s="129" t="s">
        <v>19</v>
      </c>
      <c r="L997" s="32"/>
      <c r="M997" s="134" t="s">
        <v>19</v>
      </c>
      <c r="N997" s="135" t="s">
        <v>42</v>
      </c>
      <c r="P997" s="136">
        <f>O997*H997</f>
        <v>0</v>
      </c>
      <c r="Q997" s="136">
        <v>0</v>
      </c>
      <c r="R997" s="136">
        <f>Q997*H997</f>
        <v>0</v>
      </c>
      <c r="S997" s="136">
        <v>0</v>
      </c>
      <c r="T997" s="137">
        <f>S997*H997</f>
        <v>0</v>
      </c>
      <c r="AR997" s="138" t="s">
        <v>229</v>
      </c>
      <c r="AT997" s="138" t="s">
        <v>129</v>
      </c>
      <c r="AU997" s="138" t="s">
        <v>81</v>
      </c>
      <c r="AY997" s="17" t="s">
        <v>127</v>
      </c>
      <c r="BE997" s="139">
        <f>IF(N997="základní",J997,0)</f>
        <v>0</v>
      </c>
      <c r="BF997" s="139">
        <f>IF(N997="snížená",J997,0)</f>
        <v>0</v>
      </c>
      <c r="BG997" s="139">
        <f>IF(N997="zákl. přenesená",J997,0)</f>
        <v>0</v>
      </c>
      <c r="BH997" s="139">
        <f>IF(N997="sníž. přenesená",J997,0)</f>
        <v>0</v>
      </c>
      <c r="BI997" s="139">
        <f>IF(N997="nulová",J997,0)</f>
        <v>0</v>
      </c>
      <c r="BJ997" s="17" t="s">
        <v>79</v>
      </c>
      <c r="BK997" s="139">
        <f>ROUND(I997*H997,2)</f>
        <v>0</v>
      </c>
      <c r="BL997" s="17" t="s">
        <v>229</v>
      </c>
      <c r="BM997" s="138" t="s">
        <v>2155</v>
      </c>
    </row>
    <row r="998" spans="2:65" s="12" customFormat="1">
      <c r="B998" s="144"/>
      <c r="D998" s="145" t="s">
        <v>138</v>
      </c>
      <c r="E998" s="146" t="s">
        <v>19</v>
      </c>
      <c r="F998" s="147" t="s">
        <v>2156</v>
      </c>
      <c r="H998" s="148">
        <v>5</v>
      </c>
      <c r="I998" s="149"/>
      <c r="L998" s="144"/>
      <c r="M998" s="150"/>
      <c r="T998" s="151"/>
      <c r="AT998" s="146" t="s">
        <v>138</v>
      </c>
      <c r="AU998" s="146" t="s">
        <v>81</v>
      </c>
      <c r="AV998" s="12" t="s">
        <v>81</v>
      </c>
      <c r="AW998" s="12" t="s">
        <v>33</v>
      </c>
      <c r="AX998" s="12" t="s">
        <v>79</v>
      </c>
      <c r="AY998" s="146" t="s">
        <v>127</v>
      </c>
    </row>
    <row r="999" spans="2:65" s="1" customFormat="1" ht="16.5" customHeight="1">
      <c r="B999" s="32"/>
      <c r="C999" s="127" t="s">
        <v>2157</v>
      </c>
      <c r="D999" s="127" t="s">
        <v>129</v>
      </c>
      <c r="E999" s="128" t="s">
        <v>2158</v>
      </c>
      <c r="F999" s="129" t="s">
        <v>2159</v>
      </c>
      <c r="G999" s="130" t="s">
        <v>304</v>
      </c>
      <c r="H999" s="131">
        <v>1</v>
      </c>
      <c r="I999" s="132"/>
      <c r="J999" s="133">
        <f>ROUND(I999*H999,2)</f>
        <v>0</v>
      </c>
      <c r="K999" s="129" t="s">
        <v>19</v>
      </c>
      <c r="L999" s="32"/>
      <c r="M999" s="134" t="s">
        <v>19</v>
      </c>
      <c r="N999" s="135" t="s">
        <v>42</v>
      </c>
      <c r="P999" s="136">
        <f>O999*H999</f>
        <v>0</v>
      </c>
      <c r="Q999" s="136">
        <v>0</v>
      </c>
      <c r="R999" s="136">
        <f>Q999*H999</f>
        <v>0</v>
      </c>
      <c r="S999" s="136">
        <v>0</v>
      </c>
      <c r="T999" s="137">
        <f>S999*H999</f>
        <v>0</v>
      </c>
      <c r="AR999" s="138" t="s">
        <v>229</v>
      </c>
      <c r="AT999" s="138" t="s">
        <v>129</v>
      </c>
      <c r="AU999" s="138" t="s">
        <v>81</v>
      </c>
      <c r="AY999" s="17" t="s">
        <v>127</v>
      </c>
      <c r="BE999" s="139">
        <f>IF(N999="základní",J999,0)</f>
        <v>0</v>
      </c>
      <c r="BF999" s="139">
        <f>IF(N999="snížená",J999,0)</f>
        <v>0</v>
      </c>
      <c r="BG999" s="139">
        <f>IF(N999="zákl. přenesená",J999,0)</f>
        <v>0</v>
      </c>
      <c r="BH999" s="139">
        <f>IF(N999="sníž. přenesená",J999,0)</f>
        <v>0</v>
      </c>
      <c r="BI999" s="139">
        <f>IF(N999="nulová",J999,0)</f>
        <v>0</v>
      </c>
      <c r="BJ999" s="17" t="s">
        <v>79</v>
      </c>
      <c r="BK999" s="139">
        <f>ROUND(I999*H999,2)</f>
        <v>0</v>
      </c>
      <c r="BL999" s="17" t="s">
        <v>229</v>
      </c>
      <c r="BM999" s="138" t="s">
        <v>2160</v>
      </c>
    </row>
    <row r="1000" spans="2:65" s="12" customFormat="1">
      <c r="B1000" s="144"/>
      <c r="D1000" s="145" t="s">
        <v>138</v>
      </c>
      <c r="E1000" s="146" t="s">
        <v>19</v>
      </c>
      <c r="F1000" s="147" t="s">
        <v>2161</v>
      </c>
      <c r="H1000" s="148">
        <v>1</v>
      </c>
      <c r="I1000" s="149"/>
      <c r="L1000" s="144"/>
      <c r="M1000" s="150"/>
      <c r="T1000" s="151"/>
      <c r="AT1000" s="146" t="s">
        <v>138</v>
      </c>
      <c r="AU1000" s="146" t="s">
        <v>81</v>
      </c>
      <c r="AV1000" s="12" t="s">
        <v>81</v>
      </c>
      <c r="AW1000" s="12" t="s">
        <v>33</v>
      </c>
      <c r="AX1000" s="12" t="s">
        <v>79</v>
      </c>
      <c r="AY1000" s="146" t="s">
        <v>127</v>
      </c>
    </row>
    <row r="1001" spans="2:65" s="1" customFormat="1" ht="16.5" customHeight="1">
      <c r="B1001" s="32"/>
      <c r="C1001" s="127" t="s">
        <v>2162</v>
      </c>
      <c r="D1001" s="127" t="s">
        <v>129</v>
      </c>
      <c r="E1001" s="128" t="s">
        <v>2163</v>
      </c>
      <c r="F1001" s="129" t="s">
        <v>2164</v>
      </c>
      <c r="G1001" s="130" t="s">
        <v>191</v>
      </c>
      <c r="H1001" s="131">
        <v>1</v>
      </c>
      <c r="I1001" s="132"/>
      <c r="J1001" s="133">
        <f>ROUND(I1001*H1001,2)</f>
        <v>0</v>
      </c>
      <c r="K1001" s="129" t="s">
        <v>19</v>
      </c>
      <c r="L1001" s="32"/>
      <c r="M1001" s="134" t="s">
        <v>19</v>
      </c>
      <c r="N1001" s="135" t="s">
        <v>42</v>
      </c>
      <c r="P1001" s="136">
        <f>O1001*H1001</f>
        <v>0</v>
      </c>
      <c r="Q1001" s="136">
        <v>0</v>
      </c>
      <c r="R1001" s="136">
        <f>Q1001*H1001</f>
        <v>0</v>
      </c>
      <c r="S1001" s="136">
        <v>0</v>
      </c>
      <c r="T1001" s="137">
        <f>S1001*H1001</f>
        <v>0</v>
      </c>
      <c r="AR1001" s="138" t="s">
        <v>229</v>
      </c>
      <c r="AT1001" s="138" t="s">
        <v>129</v>
      </c>
      <c r="AU1001" s="138" t="s">
        <v>81</v>
      </c>
      <c r="AY1001" s="17" t="s">
        <v>127</v>
      </c>
      <c r="BE1001" s="139">
        <f>IF(N1001="základní",J1001,0)</f>
        <v>0</v>
      </c>
      <c r="BF1001" s="139">
        <f>IF(N1001="snížená",J1001,0)</f>
        <v>0</v>
      </c>
      <c r="BG1001" s="139">
        <f>IF(N1001="zákl. přenesená",J1001,0)</f>
        <v>0</v>
      </c>
      <c r="BH1001" s="139">
        <f>IF(N1001="sníž. přenesená",J1001,0)</f>
        <v>0</v>
      </c>
      <c r="BI1001" s="139">
        <f>IF(N1001="nulová",J1001,0)</f>
        <v>0</v>
      </c>
      <c r="BJ1001" s="17" t="s">
        <v>79</v>
      </c>
      <c r="BK1001" s="139">
        <f>ROUND(I1001*H1001,2)</f>
        <v>0</v>
      </c>
      <c r="BL1001" s="17" t="s">
        <v>229</v>
      </c>
      <c r="BM1001" s="138" t="s">
        <v>2165</v>
      </c>
    </row>
    <row r="1002" spans="2:65" s="12" customFormat="1">
      <c r="B1002" s="144"/>
      <c r="D1002" s="145" t="s">
        <v>138</v>
      </c>
      <c r="E1002" s="146" t="s">
        <v>19</v>
      </c>
      <c r="F1002" s="147" t="s">
        <v>2166</v>
      </c>
      <c r="H1002" s="148">
        <v>1</v>
      </c>
      <c r="I1002" s="149"/>
      <c r="L1002" s="144"/>
      <c r="M1002" s="150"/>
      <c r="T1002" s="151"/>
      <c r="AT1002" s="146" t="s">
        <v>138</v>
      </c>
      <c r="AU1002" s="146" t="s">
        <v>81</v>
      </c>
      <c r="AV1002" s="12" t="s">
        <v>81</v>
      </c>
      <c r="AW1002" s="12" t="s">
        <v>33</v>
      </c>
      <c r="AX1002" s="12" t="s">
        <v>79</v>
      </c>
      <c r="AY1002" s="146" t="s">
        <v>127</v>
      </c>
    </row>
    <row r="1003" spans="2:65" s="1" customFormat="1" ht="16.5" customHeight="1">
      <c r="B1003" s="32"/>
      <c r="C1003" s="127" t="s">
        <v>2167</v>
      </c>
      <c r="D1003" s="127" t="s">
        <v>129</v>
      </c>
      <c r="E1003" s="128" t="s">
        <v>2168</v>
      </c>
      <c r="F1003" s="129" t="s">
        <v>2169</v>
      </c>
      <c r="G1003" s="130" t="s">
        <v>304</v>
      </c>
      <c r="H1003" s="131">
        <v>1</v>
      </c>
      <c r="I1003" s="132"/>
      <c r="J1003" s="133">
        <f>ROUND(I1003*H1003,2)</f>
        <v>0</v>
      </c>
      <c r="K1003" s="129" t="s">
        <v>19</v>
      </c>
      <c r="L1003" s="32"/>
      <c r="M1003" s="134" t="s">
        <v>19</v>
      </c>
      <c r="N1003" s="135" t="s">
        <v>42</v>
      </c>
      <c r="P1003" s="136">
        <f>O1003*H1003</f>
        <v>0</v>
      </c>
      <c r="Q1003" s="136">
        <v>0</v>
      </c>
      <c r="R1003" s="136">
        <f>Q1003*H1003</f>
        <v>0</v>
      </c>
      <c r="S1003" s="136">
        <v>0</v>
      </c>
      <c r="T1003" s="137">
        <f>S1003*H1003</f>
        <v>0</v>
      </c>
      <c r="AR1003" s="138" t="s">
        <v>229</v>
      </c>
      <c r="AT1003" s="138" t="s">
        <v>129</v>
      </c>
      <c r="AU1003" s="138" t="s">
        <v>81</v>
      </c>
      <c r="AY1003" s="17" t="s">
        <v>127</v>
      </c>
      <c r="BE1003" s="139">
        <f>IF(N1003="základní",J1003,0)</f>
        <v>0</v>
      </c>
      <c r="BF1003" s="139">
        <f>IF(N1003="snížená",J1003,0)</f>
        <v>0</v>
      </c>
      <c r="BG1003" s="139">
        <f>IF(N1003="zákl. přenesená",J1003,0)</f>
        <v>0</v>
      </c>
      <c r="BH1003" s="139">
        <f>IF(N1003="sníž. přenesená",J1003,0)</f>
        <v>0</v>
      </c>
      <c r="BI1003" s="139">
        <f>IF(N1003="nulová",J1003,0)</f>
        <v>0</v>
      </c>
      <c r="BJ1003" s="17" t="s">
        <v>79</v>
      </c>
      <c r="BK1003" s="139">
        <f>ROUND(I1003*H1003,2)</f>
        <v>0</v>
      </c>
      <c r="BL1003" s="17" t="s">
        <v>229</v>
      </c>
      <c r="BM1003" s="138" t="s">
        <v>2170</v>
      </c>
    </row>
    <row r="1004" spans="2:65" s="12" customFormat="1">
      <c r="B1004" s="144"/>
      <c r="D1004" s="145" t="s">
        <v>138</v>
      </c>
      <c r="E1004" s="146" t="s">
        <v>19</v>
      </c>
      <c r="F1004" s="147" t="s">
        <v>2171</v>
      </c>
      <c r="H1004" s="148">
        <v>1</v>
      </c>
      <c r="I1004" s="149"/>
      <c r="L1004" s="144"/>
      <c r="M1004" s="150"/>
      <c r="T1004" s="151"/>
      <c r="AT1004" s="146" t="s">
        <v>138</v>
      </c>
      <c r="AU1004" s="146" t="s">
        <v>81</v>
      </c>
      <c r="AV1004" s="12" t="s">
        <v>81</v>
      </c>
      <c r="AW1004" s="12" t="s">
        <v>33</v>
      </c>
      <c r="AX1004" s="12" t="s">
        <v>79</v>
      </c>
      <c r="AY1004" s="146" t="s">
        <v>127</v>
      </c>
    </row>
    <row r="1005" spans="2:65" s="1" customFormat="1" ht="24.2" customHeight="1">
      <c r="B1005" s="32"/>
      <c r="C1005" s="127" t="s">
        <v>2172</v>
      </c>
      <c r="D1005" s="127" t="s">
        <v>129</v>
      </c>
      <c r="E1005" s="128" t="s">
        <v>2173</v>
      </c>
      <c r="F1005" s="129" t="s">
        <v>2174</v>
      </c>
      <c r="G1005" s="130" t="s">
        <v>425</v>
      </c>
      <c r="H1005" s="169"/>
      <c r="I1005" s="132"/>
      <c r="J1005" s="133">
        <f>ROUND(I1005*H1005,2)</f>
        <v>0</v>
      </c>
      <c r="K1005" s="129" t="s">
        <v>133</v>
      </c>
      <c r="L1005" s="32"/>
      <c r="M1005" s="134" t="s">
        <v>19</v>
      </c>
      <c r="N1005" s="135" t="s">
        <v>42</v>
      </c>
      <c r="P1005" s="136">
        <f>O1005*H1005</f>
        <v>0</v>
      </c>
      <c r="Q1005" s="136">
        <v>0</v>
      </c>
      <c r="R1005" s="136">
        <f>Q1005*H1005</f>
        <v>0</v>
      </c>
      <c r="S1005" s="136">
        <v>0</v>
      </c>
      <c r="T1005" s="137">
        <f>S1005*H1005</f>
        <v>0</v>
      </c>
      <c r="AR1005" s="138" t="s">
        <v>229</v>
      </c>
      <c r="AT1005" s="138" t="s">
        <v>129</v>
      </c>
      <c r="AU1005" s="138" t="s">
        <v>81</v>
      </c>
      <c r="AY1005" s="17" t="s">
        <v>127</v>
      </c>
      <c r="BE1005" s="139">
        <f>IF(N1005="základní",J1005,0)</f>
        <v>0</v>
      </c>
      <c r="BF1005" s="139">
        <f>IF(N1005="snížená",J1005,0)</f>
        <v>0</v>
      </c>
      <c r="BG1005" s="139">
        <f>IF(N1005="zákl. přenesená",J1005,0)</f>
        <v>0</v>
      </c>
      <c r="BH1005" s="139">
        <f>IF(N1005="sníž. přenesená",J1005,0)</f>
        <v>0</v>
      </c>
      <c r="BI1005" s="139">
        <f>IF(N1005="nulová",J1005,0)</f>
        <v>0</v>
      </c>
      <c r="BJ1005" s="17" t="s">
        <v>79</v>
      </c>
      <c r="BK1005" s="139">
        <f>ROUND(I1005*H1005,2)</f>
        <v>0</v>
      </c>
      <c r="BL1005" s="17" t="s">
        <v>229</v>
      </c>
      <c r="BM1005" s="138" t="s">
        <v>2175</v>
      </c>
    </row>
    <row r="1006" spans="2:65" s="1" customFormat="1">
      <c r="B1006" s="32"/>
      <c r="D1006" s="140" t="s">
        <v>136</v>
      </c>
      <c r="F1006" s="141" t="s">
        <v>2176</v>
      </c>
      <c r="I1006" s="142"/>
      <c r="L1006" s="32"/>
      <c r="M1006" s="143"/>
      <c r="T1006" s="51"/>
      <c r="AT1006" s="17" t="s">
        <v>136</v>
      </c>
      <c r="AU1006" s="17" t="s">
        <v>81</v>
      </c>
    </row>
    <row r="1007" spans="2:65" s="11" customFormat="1" ht="22.9" customHeight="1">
      <c r="B1007" s="115"/>
      <c r="D1007" s="116" t="s">
        <v>70</v>
      </c>
      <c r="E1007" s="125" t="s">
        <v>610</v>
      </c>
      <c r="F1007" s="125" t="s">
        <v>611</v>
      </c>
      <c r="I1007" s="118"/>
      <c r="J1007" s="126">
        <f>BK1007</f>
        <v>0</v>
      </c>
      <c r="L1007" s="115"/>
      <c r="M1007" s="120"/>
      <c r="P1007" s="121">
        <f>SUM(P1008:P1103)</f>
        <v>0</v>
      </c>
      <c r="R1007" s="121">
        <f>SUM(R1008:R1103)</f>
        <v>3.9527280899999986</v>
      </c>
      <c r="T1007" s="122">
        <f>SUM(T1008:T1103)</f>
        <v>0</v>
      </c>
      <c r="AR1007" s="116" t="s">
        <v>81</v>
      </c>
      <c r="AT1007" s="123" t="s">
        <v>70</v>
      </c>
      <c r="AU1007" s="123" t="s">
        <v>79</v>
      </c>
      <c r="AY1007" s="116" t="s">
        <v>127</v>
      </c>
      <c r="BK1007" s="124">
        <f>SUM(BK1008:BK1103)</f>
        <v>0</v>
      </c>
    </row>
    <row r="1008" spans="2:65" s="1" customFormat="1" ht="16.5" customHeight="1">
      <c r="B1008" s="32"/>
      <c r="C1008" s="127" t="s">
        <v>2177</v>
      </c>
      <c r="D1008" s="127" t="s">
        <v>129</v>
      </c>
      <c r="E1008" s="128" t="s">
        <v>2178</v>
      </c>
      <c r="F1008" s="129" t="s">
        <v>2179</v>
      </c>
      <c r="G1008" s="130" t="s">
        <v>132</v>
      </c>
      <c r="H1008" s="131">
        <v>59.747999999999998</v>
      </c>
      <c r="I1008" s="132"/>
      <c r="J1008" s="133">
        <f>ROUND(I1008*H1008,2)</f>
        <v>0</v>
      </c>
      <c r="K1008" s="129" t="s">
        <v>133</v>
      </c>
      <c r="L1008" s="32"/>
      <c r="M1008" s="134" t="s">
        <v>19</v>
      </c>
      <c r="N1008" s="135" t="s">
        <v>42</v>
      </c>
      <c r="P1008" s="136">
        <f>O1008*H1008</f>
        <v>0</v>
      </c>
      <c r="Q1008" s="136">
        <v>0</v>
      </c>
      <c r="R1008" s="136">
        <f>Q1008*H1008</f>
        <v>0</v>
      </c>
      <c r="S1008" s="136">
        <v>0</v>
      </c>
      <c r="T1008" s="137">
        <f>S1008*H1008</f>
        <v>0</v>
      </c>
      <c r="AR1008" s="138" t="s">
        <v>229</v>
      </c>
      <c r="AT1008" s="138" t="s">
        <v>129</v>
      </c>
      <c r="AU1008" s="138" t="s">
        <v>81</v>
      </c>
      <c r="AY1008" s="17" t="s">
        <v>127</v>
      </c>
      <c r="BE1008" s="139">
        <f>IF(N1008="základní",J1008,0)</f>
        <v>0</v>
      </c>
      <c r="BF1008" s="139">
        <f>IF(N1008="snížená",J1008,0)</f>
        <v>0</v>
      </c>
      <c r="BG1008" s="139">
        <f>IF(N1008="zákl. přenesená",J1008,0)</f>
        <v>0</v>
      </c>
      <c r="BH1008" s="139">
        <f>IF(N1008="sníž. přenesená",J1008,0)</f>
        <v>0</v>
      </c>
      <c r="BI1008" s="139">
        <f>IF(N1008="nulová",J1008,0)</f>
        <v>0</v>
      </c>
      <c r="BJ1008" s="17" t="s">
        <v>79</v>
      </c>
      <c r="BK1008" s="139">
        <f>ROUND(I1008*H1008,2)</f>
        <v>0</v>
      </c>
      <c r="BL1008" s="17" t="s">
        <v>229</v>
      </c>
      <c r="BM1008" s="138" t="s">
        <v>2180</v>
      </c>
    </row>
    <row r="1009" spans="2:65" s="1" customFormat="1">
      <c r="B1009" s="32"/>
      <c r="D1009" s="140" t="s">
        <v>136</v>
      </c>
      <c r="F1009" s="141" t="s">
        <v>2181</v>
      </c>
      <c r="I1009" s="142"/>
      <c r="L1009" s="32"/>
      <c r="M1009" s="143"/>
      <c r="T1009" s="51"/>
      <c r="AT1009" s="17" t="s">
        <v>136</v>
      </c>
      <c r="AU1009" s="17" t="s">
        <v>81</v>
      </c>
    </row>
    <row r="1010" spans="2:65" s="12" customFormat="1">
      <c r="B1010" s="144"/>
      <c r="D1010" s="145" t="s">
        <v>138</v>
      </c>
      <c r="E1010" s="146" t="s">
        <v>19</v>
      </c>
      <c r="F1010" s="147" t="s">
        <v>653</v>
      </c>
      <c r="H1010" s="148">
        <v>15.648</v>
      </c>
      <c r="I1010" s="149"/>
      <c r="L1010" s="144"/>
      <c r="M1010" s="150"/>
      <c r="T1010" s="151"/>
      <c r="AT1010" s="146" t="s">
        <v>138</v>
      </c>
      <c r="AU1010" s="146" t="s">
        <v>81</v>
      </c>
      <c r="AV1010" s="12" t="s">
        <v>81</v>
      </c>
      <c r="AW1010" s="12" t="s">
        <v>33</v>
      </c>
      <c r="AX1010" s="12" t="s">
        <v>71</v>
      </c>
      <c r="AY1010" s="146" t="s">
        <v>127</v>
      </c>
    </row>
    <row r="1011" spans="2:65" s="12" customFormat="1">
      <c r="B1011" s="144"/>
      <c r="D1011" s="145" t="s">
        <v>138</v>
      </c>
      <c r="E1011" s="146" t="s">
        <v>19</v>
      </c>
      <c r="F1011" s="147" t="s">
        <v>2182</v>
      </c>
      <c r="H1011" s="148">
        <v>21.84</v>
      </c>
      <c r="I1011" s="149"/>
      <c r="L1011" s="144"/>
      <c r="M1011" s="150"/>
      <c r="T1011" s="151"/>
      <c r="AT1011" s="146" t="s">
        <v>138</v>
      </c>
      <c r="AU1011" s="146" t="s">
        <v>81</v>
      </c>
      <c r="AV1011" s="12" t="s">
        <v>81</v>
      </c>
      <c r="AW1011" s="12" t="s">
        <v>33</v>
      </c>
      <c r="AX1011" s="12" t="s">
        <v>71</v>
      </c>
      <c r="AY1011" s="146" t="s">
        <v>127</v>
      </c>
    </row>
    <row r="1012" spans="2:65" s="12" customFormat="1">
      <c r="B1012" s="144"/>
      <c r="D1012" s="145" t="s">
        <v>138</v>
      </c>
      <c r="E1012" s="146" t="s">
        <v>19</v>
      </c>
      <c r="F1012" s="147" t="s">
        <v>2183</v>
      </c>
      <c r="H1012" s="148">
        <v>22.26</v>
      </c>
      <c r="I1012" s="149"/>
      <c r="L1012" s="144"/>
      <c r="M1012" s="150"/>
      <c r="T1012" s="151"/>
      <c r="AT1012" s="146" t="s">
        <v>138</v>
      </c>
      <c r="AU1012" s="146" t="s">
        <v>81</v>
      </c>
      <c r="AV1012" s="12" t="s">
        <v>81</v>
      </c>
      <c r="AW1012" s="12" t="s">
        <v>33</v>
      </c>
      <c r="AX1012" s="12" t="s">
        <v>71</v>
      </c>
      <c r="AY1012" s="146" t="s">
        <v>127</v>
      </c>
    </row>
    <row r="1013" spans="2:65" s="13" customFormat="1">
      <c r="B1013" s="152"/>
      <c r="D1013" s="145" t="s">
        <v>138</v>
      </c>
      <c r="E1013" s="153" t="s">
        <v>19</v>
      </c>
      <c r="F1013" s="154" t="s">
        <v>152</v>
      </c>
      <c r="H1013" s="155">
        <v>59.748000000000005</v>
      </c>
      <c r="I1013" s="156"/>
      <c r="L1013" s="152"/>
      <c r="M1013" s="157"/>
      <c r="T1013" s="158"/>
      <c r="AT1013" s="153" t="s">
        <v>138</v>
      </c>
      <c r="AU1013" s="153" t="s">
        <v>81</v>
      </c>
      <c r="AV1013" s="13" t="s">
        <v>134</v>
      </c>
      <c r="AW1013" s="13" t="s">
        <v>33</v>
      </c>
      <c r="AX1013" s="13" t="s">
        <v>79</v>
      </c>
      <c r="AY1013" s="153" t="s">
        <v>127</v>
      </c>
    </row>
    <row r="1014" spans="2:65" s="1" customFormat="1" ht="16.5" customHeight="1">
      <c r="B1014" s="32"/>
      <c r="C1014" s="127" t="s">
        <v>2184</v>
      </c>
      <c r="D1014" s="127" t="s">
        <v>129</v>
      </c>
      <c r="E1014" s="128" t="s">
        <v>2185</v>
      </c>
      <c r="F1014" s="129" t="s">
        <v>2186</v>
      </c>
      <c r="G1014" s="130" t="s">
        <v>257</v>
      </c>
      <c r="H1014" s="131">
        <v>100.1</v>
      </c>
      <c r="I1014" s="132"/>
      <c r="J1014" s="133">
        <f>ROUND(I1014*H1014,2)</f>
        <v>0</v>
      </c>
      <c r="K1014" s="129" t="s">
        <v>133</v>
      </c>
      <c r="L1014" s="32"/>
      <c r="M1014" s="134" t="s">
        <v>19</v>
      </c>
      <c r="N1014" s="135" t="s">
        <v>42</v>
      </c>
      <c r="P1014" s="136">
        <f>O1014*H1014</f>
        <v>0</v>
      </c>
      <c r="Q1014" s="136">
        <v>0</v>
      </c>
      <c r="R1014" s="136">
        <f>Q1014*H1014</f>
        <v>0</v>
      </c>
      <c r="S1014" s="136">
        <v>0</v>
      </c>
      <c r="T1014" s="137">
        <f>S1014*H1014</f>
        <v>0</v>
      </c>
      <c r="AR1014" s="138" t="s">
        <v>229</v>
      </c>
      <c r="AT1014" s="138" t="s">
        <v>129</v>
      </c>
      <c r="AU1014" s="138" t="s">
        <v>81</v>
      </c>
      <c r="AY1014" s="17" t="s">
        <v>127</v>
      </c>
      <c r="BE1014" s="139">
        <f>IF(N1014="základní",J1014,0)</f>
        <v>0</v>
      </c>
      <c r="BF1014" s="139">
        <f>IF(N1014="snížená",J1014,0)</f>
        <v>0</v>
      </c>
      <c r="BG1014" s="139">
        <f>IF(N1014="zákl. přenesená",J1014,0)</f>
        <v>0</v>
      </c>
      <c r="BH1014" s="139">
        <f>IF(N1014="sníž. přenesená",J1014,0)</f>
        <v>0</v>
      </c>
      <c r="BI1014" s="139">
        <f>IF(N1014="nulová",J1014,0)</f>
        <v>0</v>
      </c>
      <c r="BJ1014" s="17" t="s">
        <v>79</v>
      </c>
      <c r="BK1014" s="139">
        <f>ROUND(I1014*H1014,2)</f>
        <v>0</v>
      </c>
      <c r="BL1014" s="17" t="s">
        <v>229</v>
      </c>
      <c r="BM1014" s="138" t="s">
        <v>2187</v>
      </c>
    </row>
    <row r="1015" spans="2:65" s="1" customFormat="1">
      <c r="B1015" s="32"/>
      <c r="D1015" s="140" t="s">
        <v>136</v>
      </c>
      <c r="F1015" s="141" t="s">
        <v>2188</v>
      </c>
      <c r="I1015" s="142"/>
      <c r="L1015" s="32"/>
      <c r="M1015" s="143"/>
      <c r="T1015" s="51"/>
      <c r="AT1015" s="17" t="s">
        <v>136</v>
      </c>
      <c r="AU1015" s="17" t="s">
        <v>81</v>
      </c>
    </row>
    <row r="1016" spans="2:65" s="12" customFormat="1">
      <c r="B1016" s="144"/>
      <c r="D1016" s="145" t="s">
        <v>138</v>
      </c>
      <c r="E1016" s="146" t="s">
        <v>19</v>
      </c>
      <c r="F1016" s="147" t="s">
        <v>2189</v>
      </c>
      <c r="H1016" s="148">
        <v>100.1</v>
      </c>
      <c r="I1016" s="149"/>
      <c r="L1016" s="144"/>
      <c r="M1016" s="150"/>
      <c r="T1016" s="151"/>
      <c r="AT1016" s="146" t="s">
        <v>138</v>
      </c>
      <c r="AU1016" s="146" t="s">
        <v>81</v>
      </c>
      <c r="AV1016" s="12" t="s">
        <v>81</v>
      </c>
      <c r="AW1016" s="12" t="s">
        <v>33</v>
      </c>
      <c r="AX1016" s="12" t="s">
        <v>79</v>
      </c>
      <c r="AY1016" s="146" t="s">
        <v>127</v>
      </c>
    </row>
    <row r="1017" spans="2:65" s="1" customFormat="1" ht="16.5" customHeight="1">
      <c r="B1017" s="32"/>
      <c r="C1017" s="127" t="s">
        <v>2190</v>
      </c>
      <c r="D1017" s="127" t="s">
        <v>129</v>
      </c>
      <c r="E1017" s="128" t="s">
        <v>2191</v>
      </c>
      <c r="F1017" s="129" t="s">
        <v>2192</v>
      </c>
      <c r="G1017" s="130" t="s">
        <v>132</v>
      </c>
      <c r="H1017" s="131">
        <v>87.275999999999996</v>
      </c>
      <c r="I1017" s="132"/>
      <c r="J1017" s="133">
        <f>ROUND(I1017*H1017,2)</f>
        <v>0</v>
      </c>
      <c r="K1017" s="129" t="s">
        <v>133</v>
      </c>
      <c r="L1017" s="32"/>
      <c r="M1017" s="134" t="s">
        <v>19</v>
      </c>
      <c r="N1017" s="135" t="s">
        <v>42</v>
      </c>
      <c r="P1017" s="136">
        <f>O1017*H1017</f>
        <v>0</v>
      </c>
      <c r="Q1017" s="136">
        <v>2.9999999999999997E-4</v>
      </c>
      <c r="R1017" s="136">
        <f>Q1017*H1017</f>
        <v>2.6182799999999996E-2</v>
      </c>
      <c r="S1017" s="136">
        <v>0</v>
      </c>
      <c r="T1017" s="137">
        <f>S1017*H1017</f>
        <v>0</v>
      </c>
      <c r="AR1017" s="138" t="s">
        <v>229</v>
      </c>
      <c r="AT1017" s="138" t="s">
        <v>129</v>
      </c>
      <c r="AU1017" s="138" t="s">
        <v>81</v>
      </c>
      <c r="AY1017" s="17" t="s">
        <v>127</v>
      </c>
      <c r="BE1017" s="139">
        <f>IF(N1017="základní",J1017,0)</f>
        <v>0</v>
      </c>
      <c r="BF1017" s="139">
        <f>IF(N1017="snížená",J1017,0)</f>
        <v>0</v>
      </c>
      <c r="BG1017" s="139">
        <f>IF(N1017="zákl. přenesená",J1017,0)</f>
        <v>0</v>
      </c>
      <c r="BH1017" s="139">
        <f>IF(N1017="sníž. přenesená",J1017,0)</f>
        <v>0</v>
      </c>
      <c r="BI1017" s="139">
        <f>IF(N1017="nulová",J1017,0)</f>
        <v>0</v>
      </c>
      <c r="BJ1017" s="17" t="s">
        <v>79</v>
      </c>
      <c r="BK1017" s="139">
        <f>ROUND(I1017*H1017,2)</f>
        <v>0</v>
      </c>
      <c r="BL1017" s="17" t="s">
        <v>229</v>
      </c>
      <c r="BM1017" s="138" t="s">
        <v>2193</v>
      </c>
    </row>
    <row r="1018" spans="2:65" s="1" customFormat="1">
      <c r="B1018" s="32"/>
      <c r="D1018" s="140" t="s">
        <v>136</v>
      </c>
      <c r="F1018" s="141" t="s">
        <v>2194</v>
      </c>
      <c r="I1018" s="142"/>
      <c r="L1018" s="32"/>
      <c r="M1018" s="143"/>
      <c r="T1018" s="51"/>
      <c r="AT1018" s="17" t="s">
        <v>136</v>
      </c>
      <c r="AU1018" s="17" t="s">
        <v>81</v>
      </c>
    </row>
    <row r="1019" spans="2:65" s="12" customFormat="1">
      <c r="B1019" s="144"/>
      <c r="D1019" s="145" t="s">
        <v>138</v>
      </c>
      <c r="E1019" s="146" t="s">
        <v>19</v>
      </c>
      <c r="F1019" s="147" t="s">
        <v>653</v>
      </c>
      <c r="H1019" s="148">
        <v>15.648</v>
      </c>
      <c r="I1019" s="149"/>
      <c r="L1019" s="144"/>
      <c r="M1019" s="150"/>
      <c r="T1019" s="151"/>
      <c r="AT1019" s="146" t="s">
        <v>138</v>
      </c>
      <c r="AU1019" s="146" t="s">
        <v>81</v>
      </c>
      <c r="AV1019" s="12" t="s">
        <v>81</v>
      </c>
      <c r="AW1019" s="12" t="s">
        <v>33</v>
      </c>
      <c r="AX1019" s="12" t="s">
        <v>71</v>
      </c>
      <c r="AY1019" s="146" t="s">
        <v>127</v>
      </c>
    </row>
    <row r="1020" spans="2:65" s="12" customFormat="1">
      <c r="B1020" s="144"/>
      <c r="D1020" s="145" t="s">
        <v>138</v>
      </c>
      <c r="E1020" s="146" t="s">
        <v>19</v>
      </c>
      <c r="F1020" s="147" t="s">
        <v>2195</v>
      </c>
      <c r="H1020" s="148">
        <v>27.527999999999999</v>
      </c>
      <c r="I1020" s="149"/>
      <c r="L1020" s="144"/>
      <c r="M1020" s="150"/>
      <c r="T1020" s="151"/>
      <c r="AT1020" s="146" t="s">
        <v>138</v>
      </c>
      <c r="AU1020" s="146" t="s">
        <v>81</v>
      </c>
      <c r="AV1020" s="12" t="s">
        <v>81</v>
      </c>
      <c r="AW1020" s="12" t="s">
        <v>33</v>
      </c>
      <c r="AX1020" s="12" t="s">
        <v>71</v>
      </c>
      <c r="AY1020" s="146" t="s">
        <v>127</v>
      </c>
    </row>
    <row r="1021" spans="2:65" s="12" customFormat="1">
      <c r="B1021" s="144"/>
      <c r="D1021" s="145" t="s">
        <v>138</v>
      </c>
      <c r="E1021" s="146" t="s">
        <v>19</v>
      </c>
      <c r="F1021" s="147" t="s">
        <v>2182</v>
      </c>
      <c r="H1021" s="148">
        <v>21.84</v>
      </c>
      <c r="I1021" s="149"/>
      <c r="L1021" s="144"/>
      <c r="M1021" s="150"/>
      <c r="T1021" s="151"/>
      <c r="AT1021" s="146" t="s">
        <v>138</v>
      </c>
      <c r="AU1021" s="146" t="s">
        <v>81</v>
      </c>
      <c r="AV1021" s="12" t="s">
        <v>81</v>
      </c>
      <c r="AW1021" s="12" t="s">
        <v>33</v>
      </c>
      <c r="AX1021" s="12" t="s">
        <v>71</v>
      </c>
      <c r="AY1021" s="146" t="s">
        <v>127</v>
      </c>
    </row>
    <row r="1022" spans="2:65" s="12" customFormat="1">
      <c r="B1022" s="144"/>
      <c r="D1022" s="145" t="s">
        <v>138</v>
      </c>
      <c r="E1022" s="146" t="s">
        <v>19</v>
      </c>
      <c r="F1022" s="147" t="s">
        <v>2183</v>
      </c>
      <c r="H1022" s="148">
        <v>22.26</v>
      </c>
      <c r="I1022" s="149"/>
      <c r="L1022" s="144"/>
      <c r="M1022" s="150"/>
      <c r="T1022" s="151"/>
      <c r="AT1022" s="146" t="s">
        <v>138</v>
      </c>
      <c r="AU1022" s="146" t="s">
        <v>81</v>
      </c>
      <c r="AV1022" s="12" t="s">
        <v>81</v>
      </c>
      <c r="AW1022" s="12" t="s">
        <v>33</v>
      </c>
      <c r="AX1022" s="12" t="s">
        <v>71</v>
      </c>
      <c r="AY1022" s="146" t="s">
        <v>127</v>
      </c>
    </row>
    <row r="1023" spans="2:65" s="13" customFormat="1">
      <c r="B1023" s="152"/>
      <c r="D1023" s="145" t="s">
        <v>138</v>
      </c>
      <c r="E1023" s="153" t="s">
        <v>19</v>
      </c>
      <c r="F1023" s="154" t="s">
        <v>152</v>
      </c>
      <c r="H1023" s="155">
        <v>87.27600000000001</v>
      </c>
      <c r="I1023" s="156"/>
      <c r="L1023" s="152"/>
      <c r="M1023" s="157"/>
      <c r="T1023" s="158"/>
      <c r="AT1023" s="153" t="s">
        <v>138</v>
      </c>
      <c r="AU1023" s="153" t="s">
        <v>81</v>
      </c>
      <c r="AV1023" s="13" t="s">
        <v>134</v>
      </c>
      <c r="AW1023" s="13" t="s">
        <v>33</v>
      </c>
      <c r="AX1023" s="13" t="s">
        <v>79</v>
      </c>
      <c r="AY1023" s="153" t="s">
        <v>127</v>
      </c>
    </row>
    <row r="1024" spans="2:65" s="1" customFormat="1" ht="24.2" customHeight="1">
      <c r="B1024" s="32"/>
      <c r="C1024" s="127" t="s">
        <v>2196</v>
      </c>
      <c r="D1024" s="127" t="s">
        <v>129</v>
      </c>
      <c r="E1024" s="128" t="s">
        <v>2197</v>
      </c>
      <c r="F1024" s="129" t="s">
        <v>2198</v>
      </c>
      <c r="G1024" s="130" t="s">
        <v>132</v>
      </c>
      <c r="H1024" s="131">
        <v>65.016000000000005</v>
      </c>
      <c r="I1024" s="132"/>
      <c r="J1024" s="133">
        <f>ROUND(I1024*H1024,2)</f>
        <v>0</v>
      </c>
      <c r="K1024" s="129" t="s">
        <v>133</v>
      </c>
      <c r="L1024" s="32"/>
      <c r="M1024" s="134" t="s">
        <v>19</v>
      </c>
      <c r="N1024" s="135" t="s">
        <v>42</v>
      </c>
      <c r="P1024" s="136">
        <f>O1024*H1024</f>
        <v>0</v>
      </c>
      <c r="Q1024" s="136">
        <v>7.5799999999999999E-3</v>
      </c>
      <c r="R1024" s="136">
        <f>Q1024*H1024</f>
        <v>0.49282128000000003</v>
      </c>
      <c r="S1024" s="136">
        <v>0</v>
      </c>
      <c r="T1024" s="137">
        <f>S1024*H1024</f>
        <v>0</v>
      </c>
      <c r="AR1024" s="138" t="s">
        <v>229</v>
      </c>
      <c r="AT1024" s="138" t="s">
        <v>129</v>
      </c>
      <c r="AU1024" s="138" t="s">
        <v>81</v>
      </c>
      <c r="AY1024" s="17" t="s">
        <v>127</v>
      </c>
      <c r="BE1024" s="139">
        <f>IF(N1024="základní",J1024,0)</f>
        <v>0</v>
      </c>
      <c r="BF1024" s="139">
        <f>IF(N1024="snížená",J1024,0)</f>
        <v>0</v>
      </c>
      <c r="BG1024" s="139">
        <f>IF(N1024="zákl. přenesená",J1024,0)</f>
        <v>0</v>
      </c>
      <c r="BH1024" s="139">
        <f>IF(N1024="sníž. přenesená",J1024,0)</f>
        <v>0</v>
      </c>
      <c r="BI1024" s="139">
        <f>IF(N1024="nulová",J1024,0)</f>
        <v>0</v>
      </c>
      <c r="BJ1024" s="17" t="s">
        <v>79</v>
      </c>
      <c r="BK1024" s="139">
        <f>ROUND(I1024*H1024,2)</f>
        <v>0</v>
      </c>
      <c r="BL1024" s="17" t="s">
        <v>229</v>
      </c>
      <c r="BM1024" s="138" t="s">
        <v>2199</v>
      </c>
    </row>
    <row r="1025" spans="2:65" s="1" customFormat="1">
      <c r="B1025" s="32"/>
      <c r="D1025" s="140" t="s">
        <v>136</v>
      </c>
      <c r="F1025" s="141" t="s">
        <v>2200</v>
      </c>
      <c r="I1025" s="142"/>
      <c r="L1025" s="32"/>
      <c r="M1025" s="143"/>
      <c r="T1025" s="51"/>
      <c r="AT1025" s="17" t="s">
        <v>136</v>
      </c>
      <c r="AU1025" s="17" t="s">
        <v>81</v>
      </c>
    </row>
    <row r="1026" spans="2:65" s="12" customFormat="1">
      <c r="B1026" s="144"/>
      <c r="D1026" s="145" t="s">
        <v>138</v>
      </c>
      <c r="E1026" s="146" t="s">
        <v>19</v>
      </c>
      <c r="F1026" s="147" t="s">
        <v>653</v>
      </c>
      <c r="H1026" s="148">
        <v>15.648</v>
      </c>
      <c r="I1026" s="149"/>
      <c r="L1026" s="144"/>
      <c r="M1026" s="150"/>
      <c r="T1026" s="151"/>
      <c r="AT1026" s="146" t="s">
        <v>138</v>
      </c>
      <c r="AU1026" s="146" t="s">
        <v>81</v>
      </c>
      <c r="AV1026" s="12" t="s">
        <v>81</v>
      </c>
      <c r="AW1026" s="12" t="s">
        <v>33</v>
      </c>
      <c r="AX1026" s="12" t="s">
        <v>71</v>
      </c>
      <c r="AY1026" s="146" t="s">
        <v>127</v>
      </c>
    </row>
    <row r="1027" spans="2:65" s="12" customFormat="1">
      <c r="B1027" s="144"/>
      <c r="D1027" s="145" t="s">
        <v>138</v>
      </c>
      <c r="E1027" s="146" t="s">
        <v>19</v>
      </c>
      <c r="F1027" s="147" t="s">
        <v>2195</v>
      </c>
      <c r="H1027" s="148">
        <v>27.527999999999999</v>
      </c>
      <c r="I1027" s="149"/>
      <c r="L1027" s="144"/>
      <c r="M1027" s="150"/>
      <c r="T1027" s="151"/>
      <c r="AT1027" s="146" t="s">
        <v>138</v>
      </c>
      <c r="AU1027" s="146" t="s">
        <v>81</v>
      </c>
      <c r="AV1027" s="12" t="s">
        <v>81</v>
      </c>
      <c r="AW1027" s="12" t="s">
        <v>33</v>
      </c>
      <c r="AX1027" s="12" t="s">
        <v>71</v>
      </c>
      <c r="AY1027" s="146" t="s">
        <v>127</v>
      </c>
    </row>
    <row r="1028" spans="2:65" s="12" customFormat="1">
      <c r="B1028" s="144"/>
      <c r="D1028" s="145" t="s">
        <v>138</v>
      </c>
      <c r="E1028" s="146" t="s">
        <v>19</v>
      </c>
      <c r="F1028" s="147" t="s">
        <v>2182</v>
      </c>
      <c r="H1028" s="148">
        <v>21.84</v>
      </c>
      <c r="I1028" s="149"/>
      <c r="L1028" s="144"/>
      <c r="M1028" s="150"/>
      <c r="T1028" s="151"/>
      <c r="AT1028" s="146" t="s">
        <v>138</v>
      </c>
      <c r="AU1028" s="146" t="s">
        <v>81</v>
      </c>
      <c r="AV1028" s="12" t="s">
        <v>81</v>
      </c>
      <c r="AW1028" s="12" t="s">
        <v>33</v>
      </c>
      <c r="AX1028" s="12" t="s">
        <v>71</v>
      </c>
      <c r="AY1028" s="146" t="s">
        <v>127</v>
      </c>
    </row>
    <row r="1029" spans="2:65" s="13" customFormat="1">
      <c r="B1029" s="152"/>
      <c r="D1029" s="145" t="s">
        <v>138</v>
      </c>
      <c r="E1029" s="153" t="s">
        <v>19</v>
      </c>
      <c r="F1029" s="154" t="s">
        <v>152</v>
      </c>
      <c r="H1029" s="155">
        <v>65.016000000000005</v>
      </c>
      <c r="I1029" s="156"/>
      <c r="L1029" s="152"/>
      <c r="M1029" s="157"/>
      <c r="T1029" s="158"/>
      <c r="AT1029" s="153" t="s">
        <v>138</v>
      </c>
      <c r="AU1029" s="153" t="s">
        <v>81</v>
      </c>
      <c r="AV1029" s="13" t="s">
        <v>134</v>
      </c>
      <c r="AW1029" s="13" t="s">
        <v>33</v>
      </c>
      <c r="AX1029" s="13" t="s">
        <v>79</v>
      </c>
      <c r="AY1029" s="153" t="s">
        <v>127</v>
      </c>
    </row>
    <row r="1030" spans="2:65" s="1" customFormat="1" ht="24.2" customHeight="1">
      <c r="B1030" s="32"/>
      <c r="C1030" s="127" t="s">
        <v>2201</v>
      </c>
      <c r="D1030" s="127" t="s">
        <v>129</v>
      </c>
      <c r="E1030" s="128" t="s">
        <v>2202</v>
      </c>
      <c r="F1030" s="129" t="s">
        <v>2203</v>
      </c>
      <c r="G1030" s="130" t="s">
        <v>257</v>
      </c>
      <c r="H1030" s="131">
        <v>100.1</v>
      </c>
      <c r="I1030" s="132"/>
      <c r="J1030" s="133">
        <f>ROUND(I1030*H1030,2)</f>
        <v>0</v>
      </c>
      <c r="K1030" s="129" t="s">
        <v>133</v>
      </c>
      <c r="L1030" s="32"/>
      <c r="M1030" s="134" t="s">
        <v>19</v>
      </c>
      <c r="N1030" s="135" t="s">
        <v>42</v>
      </c>
      <c r="P1030" s="136">
        <f>O1030*H1030</f>
        <v>0</v>
      </c>
      <c r="Q1030" s="136">
        <v>3.4000000000000002E-4</v>
      </c>
      <c r="R1030" s="136">
        <f>Q1030*H1030</f>
        <v>3.4034000000000002E-2</v>
      </c>
      <c r="S1030" s="136">
        <v>0</v>
      </c>
      <c r="T1030" s="137">
        <f>S1030*H1030</f>
        <v>0</v>
      </c>
      <c r="AR1030" s="138" t="s">
        <v>229</v>
      </c>
      <c r="AT1030" s="138" t="s">
        <v>129</v>
      </c>
      <c r="AU1030" s="138" t="s">
        <v>81</v>
      </c>
      <c r="AY1030" s="17" t="s">
        <v>127</v>
      </c>
      <c r="BE1030" s="139">
        <f>IF(N1030="základní",J1030,0)</f>
        <v>0</v>
      </c>
      <c r="BF1030" s="139">
        <f>IF(N1030="snížená",J1030,0)</f>
        <v>0</v>
      </c>
      <c r="BG1030" s="139">
        <f>IF(N1030="zákl. přenesená",J1030,0)</f>
        <v>0</v>
      </c>
      <c r="BH1030" s="139">
        <f>IF(N1030="sníž. přenesená",J1030,0)</f>
        <v>0</v>
      </c>
      <c r="BI1030" s="139">
        <f>IF(N1030="nulová",J1030,0)</f>
        <v>0</v>
      </c>
      <c r="BJ1030" s="17" t="s">
        <v>79</v>
      </c>
      <c r="BK1030" s="139">
        <f>ROUND(I1030*H1030,2)</f>
        <v>0</v>
      </c>
      <c r="BL1030" s="17" t="s">
        <v>229</v>
      </c>
      <c r="BM1030" s="138" t="s">
        <v>2204</v>
      </c>
    </row>
    <row r="1031" spans="2:65" s="1" customFormat="1">
      <c r="B1031" s="32"/>
      <c r="D1031" s="140" t="s">
        <v>136</v>
      </c>
      <c r="F1031" s="141" t="s">
        <v>2205</v>
      </c>
      <c r="I1031" s="142"/>
      <c r="L1031" s="32"/>
      <c r="M1031" s="143"/>
      <c r="T1031" s="51"/>
      <c r="AT1031" s="17" t="s">
        <v>136</v>
      </c>
      <c r="AU1031" s="17" t="s">
        <v>81</v>
      </c>
    </row>
    <row r="1032" spans="2:65" s="12" customFormat="1">
      <c r="B1032" s="144"/>
      <c r="D1032" s="145" t="s">
        <v>138</v>
      </c>
      <c r="E1032" s="146" t="s">
        <v>19</v>
      </c>
      <c r="F1032" s="147" t="s">
        <v>2189</v>
      </c>
      <c r="H1032" s="148">
        <v>100.1</v>
      </c>
      <c r="I1032" s="149"/>
      <c r="L1032" s="144"/>
      <c r="M1032" s="150"/>
      <c r="T1032" s="151"/>
      <c r="AT1032" s="146" t="s">
        <v>138</v>
      </c>
      <c r="AU1032" s="146" t="s">
        <v>81</v>
      </c>
      <c r="AV1032" s="12" t="s">
        <v>81</v>
      </c>
      <c r="AW1032" s="12" t="s">
        <v>33</v>
      </c>
      <c r="AX1032" s="12" t="s">
        <v>79</v>
      </c>
      <c r="AY1032" s="146" t="s">
        <v>127</v>
      </c>
    </row>
    <row r="1033" spans="2:65" s="1" customFormat="1" ht="16.5" customHeight="1">
      <c r="B1033" s="32"/>
      <c r="C1033" s="159" t="s">
        <v>2206</v>
      </c>
      <c r="D1033" s="159" t="s">
        <v>413</v>
      </c>
      <c r="E1033" s="160" t="s">
        <v>2207</v>
      </c>
      <c r="F1033" s="161" t="s">
        <v>2208</v>
      </c>
      <c r="G1033" s="162" t="s">
        <v>257</v>
      </c>
      <c r="H1033" s="163">
        <v>110.11</v>
      </c>
      <c r="I1033" s="164"/>
      <c r="J1033" s="165">
        <f>ROUND(I1033*H1033,2)</f>
        <v>0</v>
      </c>
      <c r="K1033" s="161" t="s">
        <v>133</v>
      </c>
      <c r="L1033" s="166"/>
      <c r="M1033" s="167" t="s">
        <v>19</v>
      </c>
      <c r="N1033" s="168" t="s">
        <v>42</v>
      </c>
      <c r="P1033" s="136">
        <f>O1033*H1033</f>
        <v>0</v>
      </c>
      <c r="Q1033" s="136">
        <v>3.8999999999999999E-4</v>
      </c>
      <c r="R1033" s="136">
        <f>Q1033*H1033</f>
        <v>4.2942899999999999E-2</v>
      </c>
      <c r="S1033" s="136">
        <v>0</v>
      </c>
      <c r="T1033" s="137">
        <f>S1033*H1033</f>
        <v>0</v>
      </c>
      <c r="AR1033" s="138" t="s">
        <v>333</v>
      </c>
      <c r="AT1033" s="138" t="s">
        <v>413</v>
      </c>
      <c r="AU1033" s="138" t="s">
        <v>81</v>
      </c>
      <c r="AY1033" s="17" t="s">
        <v>127</v>
      </c>
      <c r="BE1033" s="139">
        <f>IF(N1033="základní",J1033,0)</f>
        <v>0</v>
      </c>
      <c r="BF1033" s="139">
        <f>IF(N1033="snížená",J1033,0)</f>
        <v>0</v>
      </c>
      <c r="BG1033" s="139">
        <f>IF(N1033="zákl. přenesená",J1033,0)</f>
        <v>0</v>
      </c>
      <c r="BH1033" s="139">
        <f>IF(N1033="sníž. přenesená",J1033,0)</f>
        <v>0</v>
      </c>
      <c r="BI1033" s="139">
        <f>IF(N1033="nulová",J1033,0)</f>
        <v>0</v>
      </c>
      <c r="BJ1033" s="17" t="s">
        <v>79</v>
      </c>
      <c r="BK1033" s="139">
        <f>ROUND(I1033*H1033,2)</f>
        <v>0</v>
      </c>
      <c r="BL1033" s="17" t="s">
        <v>229</v>
      </c>
      <c r="BM1033" s="138" t="s">
        <v>2209</v>
      </c>
    </row>
    <row r="1034" spans="2:65" s="12" customFormat="1">
      <c r="B1034" s="144"/>
      <c r="D1034" s="145" t="s">
        <v>138</v>
      </c>
      <c r="F1034" s="147" t="s">
        <v>2210</v>
      </c>
      <c r="H1034" s="148">
        <v>110.11</v>
      </c>
      <c r="I1034" s="149"/>
      <c r="L1034" s="144"/>
      <c r="M1034" s="150"/>
      <c r="T1034" s="151"/>
      <c r="AT1034" s="146" t="s">
        <v>138</v>
      </c>
      <c r="AU1034" s="146" t="s">
        <v>81</v>
      </c>
      <c r="AV1034" s="12" t="s">
        <v>81</v>
      </c>
      <c r="AW1034" s="12" t="s">
        <v>4</v>
      </c>
      <c r="AX1034" s="12" t="s">
        <v>79</v>
      </c>
      <c r="AY1034" s="146" t="s">
        <v>127</v>
      </c>
    </row>
    <row r="1035" spans="2:65" s="1" customFormat="1" ht="24.2" customHeight="1">
      <c r="B1035" s="32"/>
      <c r="C1035" s="127" t="s">
        <v>2211</v>
      </c>
      <c r="D1035" s="127" t="s">
        <v>129</v>
      </c>
      <c r="E1035" s="128" t="s">
        <v>2212</v>
      </c>
      <c r="F1035" s="129" t="s">
        <v>2213</v>
      </c>
      <c r="G1035" s="130" t="s">
        <v>257</v>
      </c>
      <c r="H1035" s="131">
        <v>100.1</v>
      </c>
      <c r="I1035" s="132"/>
      <c r="J1035" s="133">
        <f>ROUND(I1035*H1035,2)</f>
        <v>0</v>
      </c>
      <c r="K1035" s="129" t="s">
        <v>133</v>
      </c>
      <c r="L1035" s="32"/>
      <c r="M1035" s="134" t="s">
        <v>19</v>
      </c>
      <c r="N1035" s="135" t="s">
        <v>42</v>
      </c>
      <c r="P1035" s="136">
        <f>O1035*H1035</f>
        <v>0</v>
      </c>
      <c r="Q1035" s="136">
        <v>1.5299999999999999E-3</v>
      </c>
      <c r="R1035" s="136">
        <f>Q1035*H1035</f>
        <v>0.15315299999999998</v>
      </c>
      <c r="S1035" s="136">
        <v>0</v>
      </c>
      <c r="T1035" s="137">
        <f>S1035*H1035</f>
        <v>0</v>
      </c>
      <c r="AR1035" s="138" t="s">
        <v>229</v>
      </c>
      <c r="AT1035" s="138" t="s">
        <v>129</v>
      </c>
      <c r="AU1035" s="138" t="s">
        <v>81</v>
      </c>
      <c r="AY1035" s="17" t="s">
        <v>127</v>
      </c>
      <c r="BE1035" s="139">
        <f>IF(N1035="základní",J1035,0)</f>
        <v>0</v>
      </c>
      <c r="BF1035" s="139">
        <f>IF(N1035="snížená",J1035,0)</f>
        <v>0</v>
      </c>
      <c r="BG1035" s="139">
        <f>IF(N1035="zákl. přenesená",J1035,0)</f>
        <v>0</v>
      </c>
      <c r="BH1035" s="139">
        <f>IF(N1035="sníž. přenesená",J1035,0)</f>
        <v>0</v>
      </c>
      <c r="BI1035" s="139">
        <f>IF(N1035="nulová",J1035,0)</f>
        <v>0</v>
      </c>
      <c r="BJ1035" s="17" t="s">
        <v>79</v>
      </c>
      <c r="BK1035" s="139">
        <f>ROUND(I1035*H1035,2)</f>
        <v>0</v>
      </c>
      <c r="BL1035" s="17" t="s">
        <v>229</v>
      </c>
      <c r="BM1035" s="138" t="s">
        <v>2214</v>
      </c>
    </row>
    <row r="1036" spans="2:65" s="1" customFormat="1">
      <c r="B1036" s="32"/>
      <c r="D1036" s="140" t="s">
        <v>136</v>
      </c>
      <c r="F1036" s="141" t="s">
        <v>2215</v>
      </c>
      <c r="I1036" s="142"/>
      <c r="L1036" s="32"/>
      <c r="M1036" s="143"/>
      <c r="T1036" s="51"/>
      <c r="AT1036" s="17" t="s">
        <v>136</v>
      </c>
      <c r="AU1036" s="17" t="s">
        <v>81</v>
      </c>
    </row>
    <row r="1037" spans="2:65" s="12" customFormat="1">
      <c r="B1037" s="144"/>
      <c r="D1037" s="145" t="s">
        <v>138</v>
      </c>
      <c r="E1037" s="146" t="s">
        <v>19</v>
      </c>
      <c r="F1037" s="147" t="s">
        <v>2189</v>
      </c>
      <c r="H1037" s="148">
        <v>100.1</v>
      </c>
      <c r="I1037" s="149"/>
      <c r="L1037" s="144"/>
      <c r="M1037" s="150"/>
      <c r="T1037" s="151"/>
      <c r="AT1037" s="146" t="s">
        <v>138</v>
      </c>
      <c r="AU1037" s="146" t="s">
        <v>81</v>
      </c>
      <c r="AV1037" s="12" t="s">
        <v>81</v>
      </c>
      <c r="AW1037" s="12" t="s">
        <v>33</v>
      </c>
      <c r="AX1037" s="12" t="s">
        <v>79</v>
      </c>
      <c r="AY1037" s="146" t="s">
        <v>127</v>
      </c>
    </row>
    <row r="1038" spans="2:65" s="1" customFormat="1" ht="24.2" customHeight="1">
      <c r="B1038" s="32"/>
      <c r="C1038" s="159" t="s">
        <v>2216</v>
      </c>
      <c r="D1038" s="159" t="s">
        <v>413</v>
      </c>
      <c r="E1038" s="160" t="s">
        <v>2217</v>
      </c>
      <c r="F1038" s="161" t="s">
        <v>2218</v>
      </c>
      <c r="G1038" s="162" t="s">
        <v>132</v>
      </c>
      <c r="H1038" s="163">
        <v>33.033999999999999</v>
      </c>
      <c r="I1038" s="164"/>
      <c r="J1038" s="165">
        <f>ROUND(I1038*H1038,2)</f>
        <v>0</v>
      </c>
      <c r="K1038" s="161" t="s">
        <v>133</v>
      </c>
      <c r="L1038" s="166"/>
      <c r="M1038" s="167" t="s">
        <v>19</v>
      </c>
      <c r="N1038" s="168" t="s">
        <v>42</v>
      </c>
      <c r="P1038" s="136">
        <f>O1038*H1038</f>
        <v>0</v>
      </c>
      <c r="Q1038" s="136">
        <v>1.9199999999999998E-2</v>
      </c>
      <c r="R1038" s="136">
        <f>Q1038*H1038</f>
        <v>0.63425279999999995</v>
      </c>
      <c r="S1038" s="136">
        <v>0</v>
      </c>
      <c r="T1038" s="137">
        <f>S1038*H1038</f>
        <v>0</v>
      </c>
      <c r="AR1038" s="138" t="s">
        <v>333</v>
      </c>
      <c r="AT1038" s="138" t="s">
        <v>413</v>
      </c>
      <c r="AU1038" s="138" t="s">
        <v>81</v>
      </c>
      <c r="AY1038" s="17" t="s">
        <v>127</v>
      </c>
      <c r="BE1038" s="139">
        <f>IF(N1038="základní",J1038,0)</f>
        <v>0</v>
      </c>
      <c r="BF1038" s="139">
        <f>IF(N1038="snížená",J1038,0)</f>
        <v>0</v>
      </c>
      <c r="BG1038" s="139">
        <f>IF(N1038="zákl. přenesená",J1038,0)</f>
        <v>0</v>
      </c>
      <c r="BH1038" s="139">
        <f>IF(N1038="sníž. přenesená",J1038,0)</f>
        <v>0</v>
      </c>
      <c r="BI1038" s="139">
        <f>IF(N1038="nulová",J1038,0)</f>
        <v>0</v>
      </c>
      <c r="BJ1038" s="17" t="s">
        <v>79</v>
      </c>
      <c r="BK1038" s="139">
        <f>ROUND(I1038*H1038,2)</f>
        <v>0</v>
      </c>
      <c r="BL1038" s="17" t="s">
        <v>229</v>
      </c>
      <c r="BM1038" s="138" t="s">
        <v>2219</v>
      </c>
    </row>
    <row r="1039" spans="2:65" s="12" customFormat="1">
      <c r="B1039" s="144"/>
      <c r="D1039" s="145" t="s">
        <v>138</v>
      </c>
      <c r="E1039" s="146" t="s">
        <v>19</v>
      </c>
      <c r="F1039" s="147" t="s">
        <v>2195</v>
      </c>
      <c r="H1039" s="148">
        <v>27.527999999999999</v>
      </c>
      <c r="I1039" s="149"/>
      <c r="L1039" s="144"/>
      <c r="M1039" s="150"/>
      <c r="T1039" s="151"/>
      <c r="AT1039" s="146" t="s">
        <v>138</v>
      </c>
      <c r="AU1039" s="146" t="s">
        <v>81</v>
      </c>
      <c r="AV1039" s="12" t="s">
        <v>81</v>
      </c>
      <c r="AW1039" s="12" t="s">
        <v>33</v>
      </c>
      <c r="AX1039" s="12" t="s">
        <v>79</v>
      </c>
      <c r="AY1039" s="146" t="s">
        <v>127</v>
      </c>
    </row>
    <row r="1040" spans="2:65" s="12" customFormat="1">
      <c r="B1040" s="144"/>
      <c r="D1040" s="145" t="s">
        <v>138</v>
      </c>
      <c r="F1040" s="147" t="s">
        <v>2220</v>
      </c>
      <c r="H1040" s="148">
        <v>33.033999999999999</v>
      </c>
      <c r="I1040" s="149"/>
      <c r="L1040" s="144"/>
      <c r="M1040" s="150"/>
      <c r="T1040" s="151"/>
      <c r="AT1040" s="146" t="s">
        <v>138</v>
      </c>
      <c r="AU1040" s="146" t="s">
        <v>81</v>
      </c>
      <c r="AV1040" s="12" t="s">
        <v>81</v>
      </c>
      <c r="AW1040" s="12" t="s">
        <v>4</v>
      </c>
      <c r="AX1040" s="12" t="s">
        <v>79</v>
      </c>
      <c r="AY1040" s="146" t="s">
        <v>127</v>
      </c>
    </row>
    <row r="1041" spans="2:65" s="1" customFormat="1" ht="24.2" customHeight="1">
      <c r="B1041" s="32"/>
      <c r="C1041" s="127" t="s">
        <v>2221</v>
      </c>
      <c r="D1041" s="127" t="s">
        <v>129</v>
      </c>
      <c r="E1041" s="128" t="s">
        <v>2222</v>
      </c>
      <c r="F1041" s="129" t="s">
        <v>2223</v>
      </c>
      <c r="G1041" s="130" t="s">
        <v>257</v>
      </c>
      <c r="H1041" s="131">
        <v>100.1</v>
      </c>
      <c r="I1041" s="132"/>
      <c r="J1041" s="133">
        <f>ROUND(I1041*H1041,2)</f>
        <v>0</v>
      </c>
      <c r="K1041" s="129" t="s">
        <v>133</v>
      </c>
      <c r="L1041" s="32"/>
      <c r="M1041" s="134" t="s">
        <v>19</v>
      </c>
      <c r="N1041" s="135" t="s">
        <v>42</v>
      </c>
      <c r="P1041" s="136">
        <f>O1041*H1041</f>
        <v>0</v>
      </c>
      <c r="Q1041" s="136">
        <v>1.0200000000000001E-3</v>
      </c>
      <c r="R1041" s="136">
        <f>Q1041*H1041</f>
        <v>0.102102</v>
      </c>
      <c r="S1041" s="136">
        <v>0</v>
      </c>
      <c r="T1041" s="137">
        <f>S1041*H1041</f>
        <v>0</v>
      </c>
      <c r="AR1041" s="138" t="s">
        <v>229</v>
      </c>
      <c r="AT1041" s="138" t="s">
        <v>129</v>
      </c>
      <c r="AU1041" s="138" t="s">
        <v>81</v>
      </c>
      <c r="AY1041" s="17" t="s">
        <v>127</v>
      </c>
      <c r="BE1041" s="139">
        <f>IF(N1041="základní",J1041,0)</f>
        <v>0</v>
      </c>
      <c r="BF1041" s="139">
        <f>IF(N1041="snížená",J1041,0)</f>
        <v>0</v>
      </c>
      <c r="BG1041" s="139">
        <f>IF(N1041="zákl. přenesená",J1041,0)</f>
        <v>0</v>
      </c>
      <c r="BH1041" s="139">
        <f>IF(N1041="sníž. přenesená",J1041,0)</f>
        <v>0</v>
      </c>
      <c r="BI1041" s="139">
        <f>IF(N1041="nulová",J1041,0)</f>
        <v>0</v>
      </c>
      <c r="BJ1041" s="17" t="s">
        <v>79</v>
      </c>
      <c r="BK1041" s="139">
        <f>ROUND(I1041*H1041,2)</f>
        <v>0</v>
      </c>
      <c r="BL1041" s="17" t="s">
        <v>229</v>
      </c>
      <c r="BM1041" s="138" t="s">
        <v>2224</v>
      </c>
    </row>
    <row r="1042" spans="2:65" s="1" customFormat="1">
      <c r="B1042" s="32"/>
      <c r="D1042" s="140" t="s">
        <v>136</v>
      </c>
      <c r="F1042" s="141" t="s">
        <v>2225</v>
      </c>
      <c r="I1042" s="142"/>
      <c r="L1042" s="32"/>
      <c r="M1042" s="143"/>
      <c r="T1042" s="51"/>
      <c r="AT1042" s="17" t="s">
        <v>136</v>
      </c>
      <c r="AU1042" s="17" t="s">
        <v>81</v>
      </c>
    </row>
    <row r="1043" spans="2:65" s="12" customFormat="1">
      <c r="B1043" s="144"/>
      <c r="D1043" s="145" t="s">
        <v>138</v>
      </c>
      <c r="E1043" s="146" t="s">
        <v>19</v>
      </c>
      <c r="F1043" s="147" t="s">
        <v>2189</v>
      </c>
      <c r="H1043" s="148">
        <v>100.1</v>
      </c>
      <c r="I1043" s="149"/>
      <c r="L1043" s="144"/>
      <c r="M1043" s="150"/>
      <c r="T1043" s="151"/>
      <c r="AT1043" s="146" t="s">
        <v>138</v>
      </c>
      <c r="AU1043" s="146" t="s">
        <v>81</v>
      </c>
      <c r="AV1043" s="12" t="s">
        <v>81</v>
      </c>
      <c r="AW1043" s="12" t="s">
        <v>33</v>
      </c>
      <c r="AX1043" s="12" t="s">
        <v>79</v>
      </c>
      <c r="AY1043" s="146" t="s">
        <v>127</v>
      </c>
    </row>
    <row r="1044" spans="2:65" s="1" customFormat="1" ht="24.2" customHeight="1">
      <c r="B1044" s="32"/>
      <c r="C1044" s="159" t="s">
        <v>2226</v>
      </c>
      <c r="D1044" s="159" t="s">
        <v>413</v>
      </c>
      <c r="E1044" s="160" t="s">
        <v>2217</v>
      </c>
      <c r="F1044" s="161" t="s">
        <v>2218</v>
      </c>
      <c r="G1044" s="162" t="s">
        <v>132</v>
      </c>
      <c r="H1044" s="163">
        <v>20.481000000000002</v>
      </c>
      <c r="I1044" s="164"/>
      <c r="J1044" s="165">
        <f>ROUND(I1044*H1044,2)</f>
        <v>0</v>
      </c>
      <c r="K1044" s="161" t="s">
        <v>133</v>
      </c>
      <c r="L1044" s="166"/>
      <c r="M1044" s="167" t="s">
        <v>19</v>
      </c>
      <c r="N1044" s="168" t="s">
        <v>42</v>
      </c>
      <c r="P1044" s="136">
        <f>O1044*H1044</f>
        <v>0</v>
      </c>
      <c r="Q1044" s="136">
        <v>1.9199999999999998E-2</v>
      </c>
      <c r="R1044" s="136">
        <f>Q1044*H1044</f>
        <v>0.39323520000000001</v>
      </c>
      <c r="S1044" s="136">
        <v>0</v>
      </c>
      <c r="T1044" s="137">
        <f>S1044*H1044</f>
        <v>0</v>
      </c>
      <c r="AR1044" s="138" t="s">
        <v>333</v>
      </c>
      <c r="AT1044" s="138" t="s">
        <v>413</v>
      </c>
      <c r="AU1044" s="138" t="s">
        <v>81</v>
      </c>
      <c r="AY1044" s="17" t="s">
        <v>127</v>
      </c>
      <c r="BE1044" s="139">
        <f>IF(N1044="základní",J1044,0)</f>
        <v>0</v>
      </c>
      <c r="BF1044" s="139">
        <f>IF(N1044="snížená",J1044,0)</f>
        <v>0</v>
      </c>
      <c r="BG1044" s="139">
        <f>IF(N1044="zákl. přenesená",J1044,0)</f>
        <v>0</v>
      </c>
      <c r="BH1044" s="139">
        <f>IF(N1044="sníž. přenesená",J1044,0)</f>
        <v>0</v>
      </c>
      <c r="BI1044" s="139">
        <f>IF(N1044="nulová",J1044,0)</f>
        <v>0</v>
      </c>
      <c r="BJ1044" s="17" t="s">
        <v>79</v>
      </c>
      <c r="BK1044" s="139">
        <f>ROUND(I1044*H1044,2)</f>
        <v>0</v>
      </c>
      <c r="BL1044" s="17" t="s">
        <v>229</v>
      </c>
      <c r="BM1044" s="138" t="s">
        <v>2227</v>
      </c>
    </row>
    <row r="1045" spans="2:65" s="12" customFormat="1">
      <c r="B1045" s="144"/>
      <c r="D1045" s="145" t="s">
        <v>138</v>
      </c>
      <c r="E1045" s="146" t="s">
        <v>19</v>
      </c>
      <c r="F1045" s="147" t="s">
        <v>809</v>
      </c>
      <c r="H1045" s="148">
        <v>18.619</v>
      </c>
      <c r="I1045" s="149"/>
      <c r="L1045" s="144"/>
      <c r="M1045" s="150"/>
      <c r="T1045" s="151"/>
      <c r="AT1045" s="146" t="s">
        <v>138</v>
      </c>
      <c r="AU1045" s="146" t="s">
        <v>81</v>
      </c>
      <c r="AV1045" s="12" t="s">
        <v>81</v>
      </c>
      <c r="AW1045" s="12" t="s">
        <v>33</v>
      </c>
      <c r="AX1045" s="12" t="s">
        <v>79</v>
      </c>
      <c r="AY1045" s="146" t="s">
        <v>127</v>
      </c>
    </row>
    <row r="1046" spans="2:65" s="12" customFormat="1">
      <c r="B1046" s="144"/>
      <c r="D1046" s="145" t="s">
        <v>138</v>
      </c>
      <c r="F1046" s="147" t="s">
        <v>2228</v>
      </c>
      <c r="H1046" s="148">
        <v>20.481000000000002</v>
      </c>
      <c r="I1046" s="149"/>
      <c r="L1046" s="144"/>
      <c r="M1046" s="150"/>
      <c r="T1046" s="151"/>
      <c r="AT1046" s="146" t="s">
        <v>138</v>
      </c>
      <c r="AU1046" s="146" t="s">
        <v>81</v>
      </c>
      <c r="AV1046" s="12" t="s">
        <v>81</v>
      </c>
      <c r="AW1046" s="12" t="s">
        <v>4</v>
      </c>
      <c r="AX1046" s="12" t="s">
        <v>79</v>
      </c>
      <c r="AY1046" s="146" t="s">
        <v>127</v>
      </c>
    </row>
    <row r="1047" spans="2:65" s="1" customFormat="1" ht="21.75" customHeight="1">
      <c r="B1047" s="32"/>
      <c r="C1047" s="127" t="s">
        <v>2229</v>
      </c>
      <c r="D1047" s="127" t="s">
        <v>129</v>
      </c>
      <c r="E1047" s="128" t="s">
        <v>2230</v>
      </c>
      <c r="F1047" s="129" t="s">
        <v>2231</v>
      </c>
      <c r="G1047" s="130" t="s">
        <v>257</v>
      </c>
      <c r="H1047" s="131">
        <v>49.616</v>
      </c>
      <c r="I1047" s="132"/>
      <c r="J1047" s="133">
        <f>ROUND(I1047*H1047,2)</f>
        <v>0</v>
      </c>
      <c r="K1047" s="129" t="s">
        <v>133</v>
      </c>
      <c r="L1047" s="32"/>
      <c r="M1047" s="134" t="s">
        <v>19</v>
      </c>
      <c r="N1047" s="135" t="s">
        <v>42</v>
      </c>
      <c r="P1047" s="136">
        <f>O1047*H1047</f>
        <v>0</v>
      </c>
      <c r="Q1047" s="136">
        <v>5.8E-4</v>
      </c>
      <c r="R1047" s="136">
        <f>Q1047*H1047</f>
        <v>2.8777279999999999E-2</v>
      </c>
      <c r="S1047" s="136">
        <v>0</v>
      </c>
      <c r="T1047" s="137">
        <f>S1047*H1047</f>
        <v>0</v>
      </c>
      <c r="AR1047" s="138" t="s">
        <v>229</v>
      </c>
      <c r="AT1047" s="138" t="s">
        <v>129</v>
      </c>
      <c r="AU1047" s="138" t="s">
        <v>81</v>
      </c>
      <c r="AY1047" s="17" t="s">
        <v>127</v>
      </c>
      <c r="BE1047" s="139">
        <f>IF(N1047="základní",J1047,0)</f>
        <v>0</v>
      </c>
      <c r="BF1047" s="139">
        <f>IF(N1047="snížená",J1047,0)</f>
        <v>0</v>
      </c>
      <c r="BG1047" s="139">
        <f>IF(N1047="zákl. přenesená",J1047,0)</f>
        <v>0</v>
      </c>
      <c r="BH1047" s="139">
        <f>IF(N1047="sníž. přenesená",J1047,0)</f>
        <v>0</v>
      </c>
      <c r="BI1047" s="139">
        <f>IF(N1047="nulová",J1047,0)</f>
        <v>0</v>
      </c>
      <c r="BJ1047" s="17" t="s">
        <v>79</v>
      </c>
      <c r="BK1047" s="139">
        <f>ROUND(I1047*H1047,2)</f>
        <v>0</v>
      </c>
      <c r="BL1047" s="17" t="s">
        <v>229</v>
      </c>
      <c r="BM1047" s="138" t="s">
        <v>2232</v>
      </c>
    </row>
    <row r="1048" spans="2:65" s="1" customFormat="1">
      <c r="B1048" s="32"/>
      <c r="D1048" s="140" t="s">
        <v>136</v>
      </c>
      <c r="F1048" s="141" t="s">
        <v>2233</v>
      </c>
      <c r="I1048" s="142"/>
      <c r="L1048" s="32"/>
      <c r="M1048" s="143"/>
      <c r="T1048" s="51"/>
      <c r="AT1048" s="17" t="s">
        <v>136</v>
      </c>
      <c r="AU1048" s="17" t="s">
        <v>81</v>
      </c>
    </row>
    <row r="1049" spans="2:65" s="12" customFormat="1">
      <c r="B1049" s="144"/>
      <c r="D1049" s="145" t="s">
        <v>138</v>
      </c>
      <c r="E1049" s="146" t="s">
        <v>19</v>
      </c>
      <c r="F1049" s="147" t="s">
        <v>971</v>
      </c>
      <c r="H1049" s="148">
        <v>17.216000000000001</v>
      </c>
      <c r="I1049" s="149"/>
      <c r="L1049" s="144"/>
      <c r="M1049" s="150"/>
      <c r="T1049" s="151"/>
      <c r="AT1049" s="146" t="s">
        <v>138</v>
      </c>
      <c r="AU1049" s="146" t="s">
        <v>81</v>
      </c>
      <c r="AV1049" s="12" t="s">
        <v>81</v>
      </c>
      <c r="AW1049" s="12" t="s">
        <v>33</v>
      </c>
      <c r="AX1049" s="12" t="s">
        <v>71</v>
      </c>
      <c r="AY1049" s="146" t="s">
        <v>127</v>
      </c>
    </row>
    <row r="1050" spans="2:65" s="12" customFormat="1">
      <c r="B1050" s="144"/>
      <c r="D1050" s="145" t="s">
        <v>138</v>
      </c>
      <c r="E1050" s="146" t="s">
        <v>19</v>
      </c>
      <c r="F1050" s="147" t="s">
        <v>972</v>
      </c>
      <c r="H1050" s="148">
        <v>32.4</v>
      </c>
      <c r="I1050" s="149"/>
      <c r="L1050" s="144"/>
      <c r="M1050" s="150"/>
      <c r="T1050" s="151"/>
      <c r="AT1050" s="146" t="s">
        <v>138</v>
      </c>
      <c r="AU1050" s="146" t="s">
        <v>81</v>
      </c>
      <c r="AV1050" s="12" t="s">
        <v>81</v>
      </c>
      <c r="AW1050" s="12" t="s">
        <v>33</v>
      </c>
      <c r="AX1050" s="12" t="s">
        <v>71</v>
      </c>
      <c r="AY1050" s="146" t="s">
        <v>127</v>
      </c>
    </row>
    <row r="1051" spans="2:65" s="13" customFormat="1">
      <c r="B1051" s="152"/>
      <c r="D1051" s="145" t="s">
        <v>138</v>
      </c>
      <c r="E1051" s="153" t="s">
        <v>19</v>
      </c>
      <c r="F1051" s="154" t="s">
        <v>152</v>
      </c>
      <c r="H1051" s="155">
        <v>49.616</v>
      </c>
      <c r="I1051" s="156"/>
      <c r="L1051" s="152"/>
      <c r="M1051" s="157"/>
      <c r="T1051" s="158"/>
      <c r="AT1051" s="153" t="s">
        <v>138</v>
      </c>
      <c r="AU1051" s="153" t="s">
        <v>81</v>
      </c>
      <c r="AV1051" s="13" t="s">
        <v>134</v>
      </c>
      <c r="AW1051" s="13" t="s">
        <v>33</v>
      </c>
      <c r="AX1051" s="13" t="s">
        <v>79</v>
      </c>
      <c r="AY1051" s="153" t="s">
        <v>127</v>
      </c>
    </row>
    <row r="1052" spans="2:65" s="1" customFormat="1" ht="24.2" customHeight="1">
      <c r="B1052" s="32"/>
      <c r="C1052" s="159" t="s">
        <v>2234</v>
      </c>
      <c r="D1052" s="159" t="s">
        <v>413</v>
      </c>
      <c r="E1052" s="160" t="s">
        <v>2217</v>
      </c>
      <c r="F1052" s="161" t="s">
        <v>2218</v>
      </c>
      <c r="G1052" s="162" t="s">
        <v>132</v>
      </c>
      <c r="H1052" s="163">
        <v>7.1449999999999996</v>
      </c>
      <c r="I1052" s="164"/>
      <c r="J1052" s="165">
        <f>ROUND(I1052*H1052,2)</f>
        <v>0</v>
      </c>
      <c r="K1052" s="161" t="s">
        <v>133</v>
      </c>
      <c r="L1052" s="166"/>
      <c r="M1052" s="167" t="s">
        <v>19</v>
      </c>
      <c r="N1052" s="168" t="s">
        <v>42</v>
      </c>
      <c r="P1052" s="136">
        <f>O1052*H1052</f>
        <v>0</v>
      </c>
      <c r="Q1052" s="136">
        <v>1.9199999999999998E-2</v>
      </c>
      <c r="R1052" s="136">
        <f>Q1052*H1052</f>
        <v>0.13718399999999997</v>
      </c>
      <c r="S1052" s="136">
        <v>0</v>
      </c>
      <c r="T1052" s="137">
        <f>S1052*H1052</f>
        <v>0</v>
      </c>
      <c r="AR1052" s="138" t="s">
        <v>333</v>
      </c>
      <c r="AT1052" s="138" t="s">
        <v>413</v>
      </c>
      <c r="AU1052" s="138" t="s">
        <v>81</v>
      </c>
      <c r="AY1052" s="17" t="s">
        <v>127</v>
      </c>
      <c r="BE1052" s="139">
        <f>IF(N1052="základní",J1052,0)</f>
        <v>0</v>
      </c>
      <c r="BF1052" s="139">
        <f>IF(N1052="snížená",J1052,0)</f>
        <v>0</v>
      </c>
      <c r="BG1052" s="139">
        <f>IF(N1052="zákl. přenesená",J1052,0)</f>
        <v>0</v>
      </c>
      <c r="BH1052" s="139">
        <f>IF(N1052="sníž. přenesená",J1052,0)</f>
        <v>0</v>
      </c>
      <c r="BI1052" s="139">
        <f>IF(N1052="nulová",J1052,0)</f>
        <v>0</v>
      </c>
      <c r="BJ1052" s="17" t="s">
        <v>79</v>
      </c>
      <c r="BK1052" s="139">
        <f>ROUND(I1052*H1052,2)</f>
        <v>0</v>
      </c>
      <c r="BL1052" s="17" t="s">
        <v>229</v>
      </c>
      <c r="BM1052" s="138" t="s">
        <v>2235</v>
      </c>
    </row>
    <row r="1053" spans="2:65" s="12" customFormat="1">
      <c r="B1053" s="144"/>
      <c r="D1053" s="145" t="s">
        <v>138</v>
      </c>
      <c r="F1053" s="147" t="s">
        <v>2236</v>
      </c>
      <c r="H1053" s="148">
        <v>7.1449999999999996</v>
      </c>
      <c r="I1053" s="149"/>
      <c r="L1053" s="144"/>
      <c r="M1053" s="150"/>
      <c r="T1053" s="151"/>
      <c r="AT1053" s="146" t="s">
        <v>138</v>
      </c>
      <c r="AU1053" s="146" t="s">
        <v>81</v>
      </c>
      <c r="AV1053" s="12" t="s">
        <v>81</v>
      </c>
      <c r="AW1053" s="12" t="s">
        <v>4</v>
      </c>
      <c r="AX1053" s="12" t="s">
        <v>79</v>
      </c>
      <c r="AY1053" s="146" t="s">
        <v>127</v>
      </c>
    </row>
    <row r="1054" spans="2:65" s="1" customFormat="1" ht="24.2" customHeight="1">
      <c r="B1054" s="32"/>
      <c r="C1054" s="127" t="s">
        <v>2237</v>
      </c>
      <c r="D1054" s="127" t="s">
        <v>129</v>
      </c>
      <c r="E1054" s="128" t="s">
        <v>2238</v>
      </c>
      <c r="F1054" s="129" t="s">
        <v>2239</v>
      </c>
      <c r="G1054" s="130" t="s">
        <v>257</v>
      </c>
      <c r="H1054" s="131">
        <v>44.737000000000002</v>
      </c>
      <c r="I1054" s="132"/>
      <c r="J1054" s="133">
        <f>ROUND(I1054*H1054,2)</f>
        <v>0</v>
      </c>
      <c r="K1054" s="129" t="s">
        <v>133</v>
      </c>
      <c r="L1054" s="32"/>
      <c r="M1054" s="134" t="s">
        <v>19</v>
      </c>
      <c r="N1054" s="135" t="s">
        <v>42</v>
      </c>
      <c r="P1054" s="136">
        <f>O1054*H1054</f>
        <v>0</v>
      </c>
      <c r="Q1054" s="136">
        <v>5.8E-4</v>
      </c>
      <c r="R1054" s="136">
        <f>Q1054*H1054</f>
        <v>2.5947460000000002E-2</v>
      </c>
      <c r="S1054" s="136">
        <v>0</v>
      </c>
      <c r="T1054" s="137">
        <f>S1054*H1054</f>
        <v>0</v>
      </c>
      <c r="AR1054" s="138" t="s">
        <v>229</v>
      </c>
      <c r="AT1054" s="138" t="s">
        <v>129</v>
      </c>
      <c r="AU1054" s="138" t="s">
        <v>81</v>
      </c>
      <c r="AY1054" s="17" t="s">
        <v>127</v>
      </c>
      <c r="BE1054" s="139">
        <f>IF(N1054="základní",J1054,0)</f>
        <v>0</v>
      </c>
      <c r="BF1054" s="139">
        <f>IF(N1054="snížená",J1054,0)</f>
        <v>0</v>
      </c>
      <c r="BG1054" s="139">
        <f>IF(N1054="zákl. přenesená",J1054,0)</f>
        <v>0</v>
      </c>
      <c r="BH1054" s="139">
        <f>IF(N1054="sníž. přenesená",J1054,0)</f>
        <v>0</v>
      </c>
      <c r="BI1054" s="139">
        <f>IF(N1054="nulová",J1054,0)</f>
        <v>0</v>
      </c>
      <c r="BJ1054" s="17" t="s">
        <v>79</v>
      </c>
      <c r="BK1054" s="139">
        <f>ROUND(I1054*H1054,2)</f>
        <v>0</v>
      </c>
      <c r="BL1054" s="17" t="s">
        <v>229</v>
      </c>
      <c r="BM1054" s="138" t="s">
        <v>2240</v>
      </c>
    </row>
    <row r="1055" spans="2:65" s="1" customFormat="1">
      <c r="B1055" s="32"/>
      <c r="D1055" s="140" t="s">
        <v>136</v>
      </c>
      <c r="F1055" s="141" t="s">
        <v>2241</v>
      </c>
      <c r="I1055" s="142"/>
      <c r="L1055" s="32"/>
      <c r="M1055" s="143"/>
      <c r="T1055" s="51"/>
      <c r="AT1055" s="17" t="s">
        <v>136</v>
      </c>
      <c r="AU1055" s="17" t="s">
        <v>81</v>
      </c>
    </row>
    <row r="1056" spans="2:65" s="12" customFormat="1">
      <c r="B1056" s="144"/>
      <c r="D1056" s="145" t="s">
        <v>138</v>
      </c>
      <c r="E1056" s="146" t="s">
        <v>19</v>
      </c>
      <c r="F1056" s="147" t="s">
        <v>2242</v>
      </c>
      <c r="H1056" s="148">
        <v>44.737000000000002</v>
      </c>
      <c r="I1056" s="149"/>
      <c r="L1056" s="144"/>
      <c r="M1056" s="150"/>
      <c r="T1056" s="151"/>
      <c r="AT1056" s="146" t="s">
        <v>138</v>
      </c>
      <c r="AU1056" s="146" t="s">
        <v>81</v>
      </c>
      <c r="AV1056" s="12" t="s">
        <v>81</v>
      </c>
      <c r="AW1056" s="12" t="s">
        <v>33</v>
      </c>
      <c r="AX1056" s="12" t="s">
        <v>79</v>
      </c>
      <c r="AY1056" s="146" t="s">
        <v>127</v>
      </c>
    </row>
    <row r="1057" spans="2:65" s="1" customFormat="1" ht="24.2" customHeight="1">
      <c r="B1057" s="32"/>
      <c r="C1057" s="159" t="s">
        <v>2243</v>
      </c>
      <c r="D1057" s="159" t="s">
        <v>413</v>
      </c>
      <c r="E1057" s="160" t="s">
        <v>2217</v>
      </c>
      <c r="F1057" s="161" t="s">
        <v>2218</v>
      </c>
      <c r="G1057" s="162" t="s">
        <v>132</v>
      </c>
      <c r="H1057" s="163">
        <v>6.4420000000000002</v>
      </c>
      <c r="I1057" s="164"/>
      <c r="J1057" s="165">
        <f>ROUND(I1057*H1057,2)</f>
        <v>0</v>
      </c>
      <c r="K1057" s="161" t="s">
        <v>133</v>
      </c>
      <c r="L1057" s="166"/>
      <c r="M1057" s="167" t="s">
        <v>19</v>
      </c>
      <c r="N1057" s="168" t="s">
        <v>42</v>
      </c>
      <c r="P1057" s="136">
        <f>O1057*H1057</f>
        <v>0</v>
      </c>
      <c r="Q1057" s="136">
        <v>1.9199999999999998E-2</v>
      </c>
      <c r="R1057" s="136">
        <f>Q1057*H1057</f>
        <v>0.12368639999999999</v>
      </c>
      <c r="S1057" s="136">
        <v>0</v>
      </c>
      <c r="T1057" s="137">
        <f>S1057*H1057</f>
        <v>0</v>
      </c>
      <c r="AR1057" s="138" t="s">
        <v>333</v>
      </c>
      <c r="AT1057" s="138" t="s">
        <v>413</v>
      </c>
      <c r="AU1057" s="138" t="s">
        <v>81</v>
      </c>
      <c r="AY1057" s="17" t="s">
        <v>127</v>
      </c>
      <c r="BE1057" s="139">
        <f>IF(N1057="základní",J1057,0)</f>
        <v>0</v>
      </c>
      <c r="BF1057" s="139">
        <f>IF(N1057="snížená",J1057,0)</f>
        <v>0</v>
      </c>
      <c r="BG1057" s="139">
        <f>IF(N1057="zákl. přenesená",J1057,0)</f>
        <v>0</v>
      </c>
      <c r="BH1057" s="139">
        <f>IF(N1057="sníž. přenesená",J1057,0)</f>
        <v>0</v>
      </c>
      <c r="BI1057" s="139">
        <f>IF(N1057="nulová",J1057,0)</f>
        <v>0</v>
      </c>
      <c r="BJ1057" s="17" t="s">
        <v>79</v>
      </c>
      <c r="BK1057" s="139">
        <f>ROUND(I1057*H1057,2)</f>
        <v>0</v>
      </c>
      <c r="BL1057" s="17" t="s">
        <v>229</v>
      </c>
      <c r="BM1057" s="138" t="s">
        <v>2244</v>
      </c>
    </row>
    <row r="1058" spans="2:65" s="12" customFormat="1">
      <c r="B1058" s="144"/>
      <c r="D1058" s="145" t="s">
        <v>138</v>
      </c>
      <c r="F1058" s="147" t="s">
        <v>2245</v>
      </c>
      <c r="H1058" s="148">
        <v>6.4420000000000002</v>
      </c>
      <c r="I1058" s="149"/>
      <c r="L1058" s="144"/>
      <c r="M1058" s="150"/>
      <c r="T1058" s="151"/>
      <c r="AT1058" s="146" t="s">
        <v>138</v>
      </c>
      <c r="AU1058" s="146" t="s">
        <v>81</v>
      </c>
      <c r="AV1058" s="12" t="s">
        <v>81</v>
      </c>
      <c r="AW1058" s="12" t="s">
        <v>4</v>
      </c>
      <c r="AX1058" s="12" t="s">
        <v>79</v>
      </c>
      <c r="AY1058" s="146" t="s">
        <v>127</v>
      </c>
    </row>
    <row r="1059" spans="2:65" s="1" customFormat="1" ht="24.2" customHeight="1">
      <c r="B1059" s="32"/>
      <c r="C1059" s="127" t="s">
        <v>2246</v>
      </c>
      <c r="D1059" s="127" t="s">
        <v>129</v>
      </c>
      <c r="E1059" s="128" t="s">
        <v>2247</v>
      </c>
      <c r="F1059" s="129" t="s">
        <v>2248</v>
      </c>
      <c r="G1059" s="130" t="s">
        <v>132</v>
      </c>
      <c r="H1059" s="131">
        <v>59.747999999999998</v>
      </c>
      <c r="I1059" s="132"/>
      <c r="J1059" s="133">
        <f>ROUND(I1059*H1059,2)</f>
        <v>0</v>
      </c>
      <c r="K1059" s="129" t="s">
        <v>133</v>
      </c>
      <c r="L1059" s="32"/>
      <c r="M1059" s="134" t="s">
        <v>19</v>
      </c>
      <c r="N1059" s="135" t="s">
        <v>42</v>
      </c>
      <c r="P1059" s="136">
        <f>O1059*H1059</f>
        <v>0</v>
      </c>
      <c r="Q1059" s="136">
        <v>6.8900000000000003E-3</v>
      </c>
      <c r="R1059" s="136">
        <f>Q1059*H1059</f>
        <v>0.41166372000000001</v>
      </c>
      <c r="S1059" s="136">
        <v>0</v>
      </c>
      <c r="T1059" s="137">
        <f>S1059*H1059</f>
        <v>0</v>
      </c>
      <c r="AR1059" s="138" t="s">
        <v>229</v>
      </c>
      <c r="AT1059" s="138" t="s">
        <v>129</v>
      </c>
      <c r="AU1059" s="138" t="s">
        <v>81</v>
      </c>
      <c r="AY1059" s="17" t="s">
        <v>127</v>
      </c>
      <c r="BE1059" s="139">
        <f>IF(N1059="základní",J1059,0)</f>
        <v>0</v>
      </c>
      <c r="BF1059" s="139">
        <f>IF(N1059="snížená",J1059,0)</f>
        <v>0</v>
      </c>
      <c r="BG1059" s="139">
        <f>IF(N1059="zákl. přenesená",J1059,0)</f>
        <v>0</v>
      </c>
      <c r="BH1059" s="139">
        <f>IF(N1059="sníž. přenesená",J1059,0)</f>
        <v>0</v>
      </c>
      <c r="BI1059" s="139">
        <f>IF(N1059="nulová",J1059,0)</f>
        <v>0</v>
      </c>
      <c r="BJ1059" s="17" t="s">
        <v>79</v>
      </c>
      <c r="BK1059" s="139">
        <f>ROUND(I1059*H1059,2)</f>
        <v>0</v>
      </c>
      <c r="BL1059" s="17" t="s">
        <v>229</v>
      </c>
      <c r="BM1059" s="138" t="s">
        <v>2249</v>
      </c>
    </row>
    <row r="1060" spans="2:65" s="1" customFormat="1">
      <c r="B1060" s="32"/>
      <c r="D1060" s="140" t="s">
        <v>136</v>
      </c>
      <c r="F1060" s="141" t="s">
        <v>2250</v>
      </c>
      <c r="I1060" s="142"/>
      <c r="L1060" s="32"/>
      <c r="M1060" s="143"/>
      <c r="T1060" s="51"/>
      <c r="AT1060" s="17" t="s">
        <v>136</v>
      </c>
      <c r="AU1060" s="17" t="s">
        <v>81</v>
      </c>
    </row>
    <row r="1061" spans="2:65" s="12" customFormat="1">
      <c r="B1061" s="144"/>
      <c r="D1061" s="145" t="s">
        <v>138</v>
      </c>
      <c r="E1061" s="146" t="s">
        <v>19</v>
      </c>
      <c r="F1061" s="147" t="s">
        <v>653</v>
      </c>
      <c r="H1061" s="148">
        <v>15.648</v>
      </c>
      <c r="I1061" s="149"/>
      <c r="L1061" s="144"/>
      <c r="M1061" s="150"/>
      <c r="T1061" s="151"/>
      <c r="AT1061" s="146" t="s">
        <v>138</v>
      </c>
      <c r="AU1061" s="146" t="s">
        <v>81</v>
      </c>
      <c r="AV1061" s="12" t="s">
        <v>81</v>
      </c>
      <c r="AW1061" s="12" t="s">
        <v>33</v>
      </c>
      <c r="AX1061" s="12" t="s">
        <v>71</v>
      </c>
      <c r="AY1061" s="146" t="s">
        <v>127</v>
      </c>
    </row>
    <row r="1062" spans="2:65" s="12" customFormat="1">
      <c r="B1062" s="144"/>
      <c r="D1062" s="145" t="s">
        <v>138</v>
      </c>
      <c r="E1062" s="146" t="s">
        <v>19</v>
      </c>
      <c r="F1062" s="147" t="s">
        <v>2182</v>
      </c>
      <c r="H1062" s="148">
        <v>21.84</v>
      </c>
      <c r="I1062" s="149"/>
      <c r="L1062" s="144"/>
      <c r="M1062" s="150"/>
      <c r="T1062" s="151"/>
      <c r="AT1062" s="146" t="s">
        <v>138</v>
      </c>
      <c r="AU1062" s="146" t="s">
        <v>81</v>
      </c>
      <c r="AV1062" s="12" t="s">
        <v>81</v>
      </c>
      <c r="AW1062" s="12" t="s">
        <v>33</v>
      </c>
      <c r="AX1062" s="12" t="s">
        <v>71</v>
      </c>
      <c r="AY1062" s="146" t="s">
        <v>127</v>
      </c>
    </row>
    <row r="1063" spans="2:65" s="12" customFormat="1">
      <c r="B1063" s="144"/>
      <c r="D1063" s="145" t="s">
        <v>138</v>
      </c>
      <c r="E1063" s="146" t="s">
        <v>19</v>
      </c>
      <c r="F1063" s="147" t="s">
        <v>2183</v>
      </c>
      <c r="H1063" s="148">
        <v>22.26</v>
      </c>
      <c r="I1063" s="149"/>
      <c r="L1063" s="144"/>
      <c r="M1063" s="150"/>
      <c r="T1063" s="151"/>
      <c r="AT1063" s="146" t="s">
        <v>138</v>
      </c>
      <c r="AU1063" s="146" t="s">
        <v>81</v>
      </c>
      <c r="AV1063" s="12" t="s">
        <v>81</v>
      </c>
      <c r="AW1063" s="12" t="s">
        <v>33</v>
      </c>
      <c r="AX1063" s="12" t="s">
        <v>71</v>
      </c>
      <c r="AY1063" s="146" t="s">
        <v>127</v>
      </c>
    </row>
    <row r="1064" spans="2:65" s="13" customFormat="1">
      <c r="B1064" s="152"/>
      <c r="D1064" s="145" t="s">
        <v>138</v>
      </c>
      <c r="E1064" s="153" t="s">
        <v>19</v>
      </c>
      <c r="F1064" s="154" t="s">
        <v>152</v>
      </c>
      <c r="H1064" s="155">
        <v>59.748000000000005</v>
      </c>
      <c r="I1064" s="156"/>
      <c r="L1064" s="152"/>
      <c r="M1064" s="157"/>
      <c r="T1064" s="158"/>
      <c r="AT1064" s="153" t="s">
        <v>138</v>
      </c>
      <c r="AU1064" s="153" t="s">
        <v>81</v>
      </c>
      <c r="AV1064" s="13" t="s">
        <v>134</v>
      </c>
      <c r="AW1064" s="13" t="s">
        <v>33</v>
      </c>
      <c r="AX1064" s="13" t="s">
        <v>79</v>
      </c>
      <c r="AY1064" s="153" t="s">
        <v>127</v>
      </c>
    </row>
    <row r="1065" spans="2:65" s="1" customFormat="1" ht="24.2" customHeight="1">
      <c r="B1065" s="32"/>
      <c r="C1065" s="159" t="s">
        <v>2251</v>
      </c>
      <c r="D1065" s="159" t="s">
        <v>413</v>
      </c>
      <c r="E1065" s="160" t="s">
        <v>2217</v>
      </c>
      <c r="F1065" s="161" t="s">
        <v>2218</v>
      </c>
      <c r="G1065" s="162" t="s">
        <v>132</v>
      </c>
      <c r="H1065" s="163">
        <v>65.722999999999999</v>
      </c>
      <c r="I1065" s="164"/>
      <c r="J1065" s="165">
        <f>ROUND(I1065*H1065,2)</f>
        <v>0</v>
      </c>
      <c r="K1065" s="161" t="s">
        <v>133</v>
      </c>
      <c r="L1065" s="166"/>
      <c r="M1065" s="167" t="s">
        <v>19</v>
      </c>
      <c r="N1065" s="168" t="s">
        <v>42</v>
      </c>
      <c r="P1065" s="136">
        <f>O1065*H1065</f>
        <v>0</v>
      </c>
      <c r="Q1065" s="136">
        <v>1.9199999999999998E-2</v>
      </c>
      <c r="R1065" s="136">
        <f>Q1065*H1065</f>
        <v>1.2618815999999999</v>
      </c>
      <c r="S1065" s="136">
        <v>0</v>
      </c>
      <c r="T1065" s="137">
        <f>S1065*H1065</f>
        <v>0</v>
      </c>
      <c r="AR1065" s="138" t="s">
        <v>333</v>
      </c>
      <c r="AT1065" s="138" t="s">
        <v>413</v>
      </c>
      <c r="AU1065" s="138" t="s">
        <v>81</v>
      </c>
      <c r="AY1065" s="17" t="s">
        <v>127</v>
      </c>
      <c r="BE1065" s="139">
        <f>IF(N1065="základní",J1065,0)</f>
        <v>0</v>
      </c>
      <c r="BF1065" s="139">
        <f>IF(N1065="snížená",J1065,0)</f>
        <v>0</v>
      </c>
      <c r="BG1065" s="139">
        <f>IF(N1065="zákl. přenesená",J1065,0)</f>
        <v>0</v>
      </c>
      <c r="BH1065" s="139">
        <f>IF(N1065="sníž. přenesená",J1065,0)</f>
        <v>0</v>
      </c>
      <c r="BI1065" s="139">
        <f>IF(N1065="nulová",J1065,0)</f>
        <v>0</v>
      </c>
      <c r="BJ1065" s="17" t="s">
        <v>79</v>
      </c>
      <c r="BK1065" s="139">
        <f>ROUND(I1065*H1065,2)</f>
        <v>0</v>
      </c>
      <c r="BL1065" s="17" t="s">
        <v>229</v>
      </c>
      <c r="BM1065" s="138" t="s">
        <v>2252</v>
      </c>
    </row>
    <row r="1066" spans="2:65" s="12" customFormat="1">
      <c r="B1066" s="144"/>
      <c r="D1066" s="145" t="s">
        <v>138</v>
      </c>
      <c r="F1066" s="147" t="s">
        <v>2253</v>
      </c>
      <c r="H1066" s="148">
        <v>65.722999999999999</v>
      </c>
      <c r="I1066" s="149"/>
      <c r="L1066" s="144"/>
      <c r="M1066" s="150"/>
      <c r="T1066" s="151"/>
      <c r="AT1066" s="146" t="s">
        <v>138</v>
      </c>
      <c r="AU1066" s="146" t="s">
        <v>81</v>
      </c>
      <c r="AV1066" s="12" t="s">
        <v>81</v>
      </c>
      <c r="AW1066" s="12" t="s">
        <v>4</v>
      </c>
      <c r="AX1066" s="12" t="s">
        <v>79</v>
      </c>
      <c r="AY1066" s="146" t="s">
        <v>127</v>
      </c>
    </row>
    <row r="1067" spans="2:65" s="1" customFormat="1" ht="16.5" customHeight="1">
      <c r="B1067" s="32"/>
      <c r="C1067" s="127" t="s">
        <v>2254</v>
      </c>
      <c r="D1067" s="127" t="s">
        <v>129</v>
      </c>
      <c r="E1067" s="128" t="s">
        <v>2255</v>
      </c>
      <c r="F1067" s="129" t="s">
        <v>2256</v>
      </c>
      <c r="G1067" s="130" t="s">
        <v>132</v>
      </c>
      <c r="H1067" s="131">
        <v>27.314</v>
      </c>
      <c r="I1067" s="132"/>
      <c r="J1067" s="133">
        <f>ROUND(I1067*H1067,2)</f>
        <v>0</v>
      </c>
      <c r="K1067" s="129" t="s">
        <v>133</v>
      </c>
      <c r="L1067" s="32"/>
      <c r="M1067" s="134" t="s">
        <v>19</v>
      </c>
      <c r="N1067" s="135" t="s">
        <v>42</v>
      </c>
      <c r="P1067" s="136">
        <f>O1067*H1067</f>
        <v>0</v>
      </c>
      <c r="Q1067" s="136">
        <v>1.5E-3</v>
      </c>
      <c r="R1067" s="136">
        <f>Q1067*H1067</f>
        <v>4.0971E-2</v>
      </c>
      <c r="S1067" s="136">
        <v>0</v>
      </c>
      <c r="T1067" s="137">
        <f>S1067*H1067</f>
        <v>0</v>
      </c>
      <c r="AR1067" s="138" t="s">
        <v>229</v>
      </c>
      <c r="AT1067" s="138" t="s">
        <v>129</v>
      </c>
      <c r="AU1067" s="138" t="s">
        <v>81</v>
      </c>
      <c r="AY1067" s="17" t="s">
        <v>127</v>
      </c>
      <c r="BE1067" s="139">
        <f>IF(N1067="základní",J1067,0)</f>
        <v>0</v>
      </c>
      <c r="BF1067" s="139">
        <f>IF(N1067="snížená",J1067,0)</f>
        <v>0</v>
      </c>
      <c r="BG1067" s="139">
        <f>IF(N1067="zákl. přenesená",J1067,0)</f>
        <v>0</v>
      </c>
      <c r="BH1067" s="139">
        <f>IF(N1067="sníž. přenesená",J1067,0)</f>
        <v>0</v>
      </c>
      <c r="BI1067" s="139">
        <f>IF(N1067="nulová",J1067,0)</f>
        <v>0</v>
      </c>
      <c r="BJ1067" s="17" t="s">
        <v>79</v>
      </c>
      <c r="BK1067" s="139">
        <f>ROUND(I1067*H1067,2)</f>
        <v>0</v>
      </c>
      <c r="BL1067" s="17" t="s">
        <v>229</v>
      </c>
      <c r="BM1067" s="138" t="s">
        <v>2257</v>
      </c>
    </row>
    <row r="1068" spans="2:65" s="1" customFormat="1">
      <c r="B1068" s="32"/>
      <c r="D1068" s="140" t="s">
        <v>136</v>
      </c>
      <c r="F1068" s="141" t="s">
        <v>2258</v>
      </c>
      <c r="I1068" s="142"/>
      <c r="L1068" s="32"/>
      <c r="M1068" s="143"/>
      <c r="T1068" s="51"/>
      <c r="AT1068" s="17" t="s">
        <v>136</v>
      </c>
      <c r="AU1068" s="17" t="s">
        <v>81</v>
      </c>
    </row>
    <row r="1069" spans="2:65" s="12" customFormat="1">
      <c r="B1069" s="144"/>
      <c r="D1069" s="145" t="s">
        <v>138</v>
      </c>
      <c r="E1069" s="146" t="s">
        <v>19</v>
      </c>
      <c r="F1069" s="147" t="s">
        <v>2183</v>
      </c>
      <c r="H1069" s="148">
        <v>22.26</v>
      </c>
      <c r="I1069" s="149"/>
      <c r="L1069" s="144"/>
      <c r="M1069" s="150"/>
      <c r="T1069" s="151"/>
      <c r="AT1069" s="146" t="s">
        <v>138</v>
      </c>
      <c r="AU1069" s="146" t="s">
        <v>81</v>
      </c>
      <c r="AV1069" s="12" t="s">
        <v>81</v>
      </c>
      <c r="AW1069" s="12" t="s">
        <v>33</v>
      </c>
      <c r="AX1069" s="12" t="s">
        <v>71</v>
      </c>
      <c r="AY1069" s="146" t="s">
        <v>127</v>
      </c>
    </row>
    <row r="1070" spans="2:65" s="12" customFormat="1">
      <c r="B1070" s="144"/>
      <c r="D1070" s="145" t="s">
        <v>138</v>
      </c>
      <c r="E1070" s="146" t="s">
        <v>19</v>
      </c>
      <c r="F1070" s="147" t="s">
        <v>2259</v>
      </c>
      <c r="H1070" s="148">
        <v>5.0540000000000003</v>
      </c>
      <c r="I1070" s="149"/>
      <c r="L1070" s="144"/>
      <c r="M1070" s="150"/>
      <c r="T1070" s="151"/>
      <c r="AT1070" s="146" t="s">
        <v>138</v>
      </c>
      <c r="AU1070" s="146" t="s">
        <v>81</v>
      </c>
      <c r="AV1070" s="12" t="s">
        <v>81</v>
      </c>
      <c r="AW1070" s="12" t="s">
        <v>33</v>
      </c>
      <c r="AX1070" s="12" t="s">
        <v>71</v>
      </c>
      <c r="AY1070" s="146" t="s">
        <v>127</v>
      </c>
    </row>
    <row r="1071" spans="2:65" s="13" customFormat="1">
      <c r="B1071" s="152"/>
      <c r="D1071" s="145" t="s">
        <v>138</v>
      </c>
      <c r="E1071" s="153" t="s">
        <v>19</v>
      </c>
      <c r="F1071" s="154" t="s">
        <v>152</v>
      </c>
      <c r="H1071" s="155">
        <v>27.314</v>
      </c>
      <c r="I1071" s="156"/>
      <c r="L1071" s="152"/>
      <c r="M1071" s="157"/>
      <c r="T1071" s="158"/>
      <c r="AT1071" s="153" t="s">
        <v>138</v>
      </c>
      <c r="AU1071" s="153" t="s">
        <v>81</v>
      </c>
      <c r="AV1071" s="13" t="s">
        <v>134</v>
      </c>
      <c r="AW1071" s="13" t="s">
        <v>33</v>
      </c>
      <c r="AX1071" s="13" t="s">
        <v>79</v>
      </c>
      <c r="AY1071" s="153" t="s">
        <v>127</v>
      </c>
    </row>
    <row r="1072" spans="2:65" s="1" customFormat="1" ht="16.5" customHeight="1">
      <c r="B1072" s="32"/>
      <c r="C1072" s="127" t="s">
        <v>2260</v>
      </c>
      <c r="D1072" s="127" t="s">
        <v>129</v>
      </c>
      <c r="E1072" s="128" t="s">
        <v>2261</v>
      </c>
      <c r="F1072" s="129" t="s">
        <v>2262</v>
      </c>
      <c r="G1072" s="130" t="s">
        <v>257</v>
      </c>
      <c r="H1072" s="131">
        <v>236.57300000000001</v>
      </c>
      <c r="I1072" s="132"/>
      <c r="J1072" s="133">
        <f>ROUND(I1072*H1072,2)</f>
        <v>0</v>
      </c>
      <c r="K1072" s="129" t="s">
        <v>133</v>
      </c>
      <c r="L1072" s="32"/>
      <c r="M1072" s="134" t="s">
        <v>19</v>
      </c>
      <c r="N1072" s="135" t="s">
        <v>42</v>
      </c>
      <c r="P1072" s="136">
        <f>O1072*H1072</f>
        <v>0</v>
      </c>
      <c r="Q1072" s="136">
        <v>3.0000000000000001E-5</v>
      </c>
      <c r="R1072" s="136">
        <f>Q1072*H1072</f>
        <v>7.0971900000000006E-3</v>
      </c>
      <c r="S1072" s="136">
        <v>0</v>
      </c>
      <c r="T1072" s="137">
        <f>S1072*H1072</f>
        <v>0</v>
      </c>
      <c r="AR1072" s="138" t="s">
        <v>229</v>
      </c>
      <c r="AT1072" s="138" t="s">
        <v>129</v>
      </c>
      <c r="AU1072" s="138" t="s">
        <v>81</v>
      </c>
      <c r="AY1072" s="17" t="s">
        <v>127</v>
      </c>
      <c r="BE1072" s="139">
        <f>IF(N1072="základní",J1072,0)</f>
        <v>0</v>
      </c>
      <c r="BF1072" s="139">
        <f>IF(N1072="snížená",J1072,0)</f>
        <v>0</v>
      </c>
      <c r="BG1072" s="139">
        <f>IF(N1072="zákl. přenesená",J1072,0)</f>
        <v>0</v>
      </c>
      <c r="BH1072" s="139">
        <f>IF(N1072="sníž. přenesená",J1072,0)</f>
        <v>0</v>
      </c>
      <c r="BI1072" s="139">
        <f>IF(N1072="nulová",J1072,0)</f>
        <v>0</v>
      </c>
      <c r="BJ1072" s="17" t="s">
        <v>79</v>
      </c>
      <c r="BK1072" s="139">
        <f>ROUND(I1072*H1072,2)</f>
        <v>0</v>
      </c>
      <c r="BL1072" s="17" t="s">
        <v>229</v>
      </c>
      <c r="BM1072" s="138" t="s">
        <v>2263</v>
      </c>
    </row>
    <row r="1073" spans="2:65" s="1" customFormat="1">
      <c r="B1073" s="32"/>
      <c r="D1073" s="140" t="s">
        <v>136</v>
      </c>
      <c r="F1073" s="141" t="s">
        <v>2264</v>
      </c>
      <c r="I1073" s="142"/>
      <c r="L1073" s="32"/>
      <c r="M1073" s="143"/>
      <c r="T1073" s="51"/>
      <c r="AT1073" s="17" t="s">
        <v>136</v>
      </c>
      <c r="AU1073" s="17" t="s">
        <v>81</v>
      </c>
    </row>
    <row r="1074" spans="2:65" s="12" customFormat="1">
      <c r="B1074" s="144"/>
      <c r="D1074" s="145" t="s">
        <v>138</v>
      </c>
      <c r="E1074" s="146" t="s">
        <v>19</v>
      </c>
      <c r="F1074" s="147" t="s">
        <v>2265</v>
      </c>
      <c r="H1074" s="148">
        <v>17.216000000000001</v>
      </c>
      <c r="I1074" s="149"/>
      <c r="L1074" s="144"/>
      <c r="M1074" s="150"/>
      <c r="T1074" s="151"/>
      <c r="AT1074" s="146" t="s">
        <v>138</v>
      </c>
      <c r="AU1074" s="146" t="s">
        <v>81</v>
      </c>
      <c r="AV1074" s="12" t="s">
        <v>81</v>
      </c>
      <c r="AW1074" s="12" t="s">
        <v>33</v>
      </c>
      <c r="AX1074" s="12" t="s">
        <v>71</v>
      </c>
      <c r="AY1074" s="146" t="s">
        <v>127</v>
      </c>
    </row>
    <row r="1075" spans="2:65" s="12" customFormat="1">
      <c r="B1075" s="144"/>
      <c r="D1075" s="145" t="s">
        <v>138</v>
      </c>
      <c r="E1075" s="146" t="s">
        <v>19</v>
      </c>
      <c r="F1075" s="147" t="s">
        <v>2266</v>
      </c>
      <c r="H1075" s="148">
        <v>100.1</v>
      </c>
      <c r="I1075" s="149"/>
      <c r="L1075" s="144"/>
      <c r="M1075" s="150"/>
      <c r="T1075" s="151"/>
      <c r="AT1075" s="146" t="s">
        <v>138</v>
      </c>
      <c r="AU1075" s="146" t="s">
        <v>81</v>
      </c>
      <c r="AV1075" s="12" t="s">
        <v>81</v>
      </c>
      <c r="AW1075" s="12" t="s">
        <v>33</v>
      </c>
      <c r="AX1075" s="12" t="s">
        <v>71</v>
      </c>
      <c r="AY1075" s="146" t="s">
        <v>127</v>
      </c>
    </row>
    <row r="1076" spans="2:65" s="12" customFormat="1">
      <c r="B1076" s="144"/>
      <c r="D1076" s="145" t="s">
        <v>138</v>
      </c>
      <c r="E1076" s="146" t="s">
        <v>19</v>
      </c>
      <c r="F1076" s="147" t="s">
        <v>2267</v>
      </c>
      <c r="H1076" s="148">
        <v>44.737000000000002</v>
      </c>
      <c r="I1076" s="149"/>
      <c r="L1076" s="144"/>
      <c r="M1076" s="150"/>
      <c r="T1076" s="151"/>
      <c r="AT1076" s="146" t="s">
        <v>138</v>
      </c>
      <c r="AU1076" s="146" t="s">
        <v>81</v>
      </c>
      <c r="AV1076" s="12" t="s">
        <v>81</v>
      </c>
      <c r="AW1076" s="12" t="s">
        <v>33</v>
      </c>
      <c r="AX1076" s="12" t="s">
        <v>71</v>
      </c>
      <c r="AY1076" s="146" t="s">
        <v>127</v>
      </c>
    </row>
    <row r="1077" spans="2:65" s="12" customFormat="1">
      <c r="B1077" s="144"/>
      <c r="D1077" s="145" t="s">
        <v>138</v>
      </c>
      <c r="E1077" s="146" t="s">
        <v>19</v>
      </c>
      <c r="F1077" s="147" t="s">
        <v>2268</v>
      </c>
      <c r="H1077" s="148">
        <v>32.4</v>
      </c>
      <c r="I1077" s="149"/>
      <c r="L1077" s="144"/>
      <c r="M1077" s="150"/>
      <c r="T1077" s="151"/>
      <c r="AT1077" s="146" t="s">
        <v>138</v>
      </c>
      <c r="AU1077" s="146" t="s">
        <v>81</v>
      </c>
      <c r="AV1077" s="12" t="s">
        <v>81</v>
      </c>
      <c r="AW1077" s="12" t="s">
        <v>33</v>
      </c>
      <c r="AX1077" s="12" t="s">
        <v>71</v>
      </c>
      <c r="AY1077" s="146" t="s">
        <v>127</v>
      </c>
    </row>
    <row r="1078" spans="2:65" s="12" customFormat="1">
      <c r="B1078" s="144"/>
      <c r="D1078" s="145" t="s">
        <v>138</v>
      </c>
      <c r="E1078" s="146" t="s">
        <v>19</v>
      </c>
      <c r="F1078" s="147" t="s">
        <v>2269</v>
      </c>
      <c r="H1078" s="148">
        <v>42.12</v>
      </c>
      <c r="I1078" s="149"/>
      <c r="L1078" s="144"/>
      <c r="M1078" s="150"/>
      <c r="T1078" s="151"/>
      <c r="AT1078" s="146" t="s">
        <v>138</v>
      </c>
      <c r="AU1078" s="146" t="s">
        <v>81</v>
      </c>
      <c r="AV1078" s="12" t="s">
        <v>81</v>
      </c>
      <c r="AW1078" s="12" t="s">
        <v>33</v>
      </c>
      <c r="AX1078" s="12" t="s">
        <v>71</v>
      </c>
      <c r="AY1078" s="146" t="s">
        <v>127</v>
      </c>
    </row>
    <row r="1079" spans="2:65" s="13" customFormat="1">
      <c r="B1079" s="152"/>
      <c r="D1079" s="145" t="s">
        <v>138</v>
      </c>
      <c r="E1079" s="153" t="s">
        <v>19</v>
      </c>
      <c r="F1079" s="154" t="s">
        <v>152</v>
      </c>
      <c r="H1079" s="155">
        <v>236.57300000000001</v>
      </c>
      <c r="I1079" s="156"/>
      <c r="L1079" s="152"/>
      <c r="M1079" s="157"/>
      <c r="T1079" s="158"/>
      <c r="AT1079" s="153" t="s">
        <v>138</v>
      </c>
      <c r="AU1079" s="153" t="s">
        <v>81</v>
      </c>
      <c r="AV1079" s="13" t="s">
        <v>134</v>
      </c>
      <c r="AW1079" s="13" t="s">
        <v>33</v>
      </c>
      <c r="AX1079" s="13" t="s">
        <v>79</v>
      </c>
      <c r="AY1079" s="153" t="s">
        <v>127</v>
      </c>
    </row>
    <row r="1080" spans="2:65" s="1" customFormat="1" ht="16.5" customHeight="1">
      <c r="B1080" s="32"/>
      <c r="C1080" s="127" t="s">
        <v>2270</v>
      </c>
      <c r="D1080" s="127" t="s">
        <v>129</v>
      </c>
      <c r="E1080" s="128" t="s">
        <v>2271</v>
      </c>
      <c r="F1080" s="129" t="s">
        <v>2272</v>
      </c>
      <c r="G1080" s="130" t="s">
        <v>257</v>
      </c>
      <c r="H1080" s="131">
        <v>94.352999999999994</v>
      </c>
      <c r="I1080" s="132"/>
      <c r="J1080" s="133">
        <f>ROUND(I1080*H1080,2)</f>
        <v>0</v>
      </c>
      <c r="K1080" s="129" t="s">
        <v>133</v>
      </c>
      <c r="L1080" s="32"/>
      <c r="M1080" s="134" t="s">
        <v>19</v>
      </c>
      <c r="N1080" s="135" t="s">
        <v>42</v>
      </c>
      <c r="P1080" s="136">
        <f>O1080*H1080</f>
        <v>0</v>
      </c>
      <c r="Q1080" s="136">
        <v>1.2E-4</v>
      </c>
      <c r="R1080" s="136">
        <f>Q1080*H1080</f>
        <v>1.132236E-2</v>
      </c>
      <c r="S1080" s="136">
        <v>0</v>
      </c>
      <c r="T1080" s="137">
        <f>S1080*H1080</f>
        <v>0</v>
      </c>
      <c r="AR1080" s="138" t="s">
        <v>229</v>
      </c>
      <c r="AT1080" s="138" t="s">
        <v>129</v>
      </c>
      <c r="AU1080" s="138" t="s">
        <v>81</v>
      </c>
      <c r="AY1080" s="17" t="s">
        <v>127</v>
      </c>
      <c r="BE1080" s="139">
        <f>IF(N1080="základní",J1080,0)</f>
        <v>0</v>
      </c>
      <c r="BF1080" s="139">
        <f>IF(N1080="snížená",J1080,0)</f>
        <v>0</v>
      </c>
      <c r="BG1080" s="139">
        <f>IF(N1080="zákl. přenesená",J1080,0)</f>
        <v>0</v>
      </c>
      <c r="BH1080" s="139">
        <f>IF(N1080="sníž. přenesená",J1080,0)</f>
        <v>0</v>
      </c>
      <c r="BI1080" s="139">
        <f>IF(N1080="nulová",J1080,0)</f>
        <v>0</v>
      </c>
      <c r="BJ1080" s="17" t="s">
        <v>79</v>
      </c>
      <c r="BK1080" s="139">
        <f>ROUND(I1080*H1080,2)</f>
        <v>0</v>
      </c>
      <c r="BL1080" s="17" t="s">
        <v>229</v>
      </c>
      <c r="BM1080" s="138" t="s">
        <v>2273</v>
      </c>
    </row>
    <row r="1081" spans="2:65" s="1" customFormat="1">
      <c r="B1081" s="32"/>
      <c r="D1081" s="140" t="s">
        <v>136</v>
      </c>
      <c r="F1081" s="141" t="s">
        <v>2274</v>
      </c>
      <c r="I1081" s="142"/>
      <c r="L1081" s="32"/>
      <c r="M1081" s="143"/>
      <c r="T1081" s="51"/>
      <c r="AT1081" s="17" t="s">
        <v>136</v>
      </c>
      <c r="AU1081" s="17" t="s">
        <v>81</v>
      </c>
    </row>
    <row r="1082" spans="2:65" s="12" customFormat="1">
      <c r="B1082" s="144"/>
      <c r="D1082" s="145" t="s">
        <v>138</v>
      </c>
      <c r="E1082" s="146" t="s">
        <v>19</v>
      </c>
      <c r="F1082" s="147" t="s">
        <v>2275</v>
      </c>
      <c r="H1082" s="148">
        <v>17.216000000000001</v>
      </c>
      <c r="I1082" s="149"/>
      <c r="L1082" s="144"/>
      <c r="M1082" s="150"/>
      <c r="T1082" s="151"/>
      <c r="AT1082" s="146" t="s">
        <v>138</v>
      </c>
      <c r="AU1082" s="146" t="s">
        <v>81</v>
      </c>
      <c r="AV1082" s="12" t="s">
        <v>81</v>
      </c>
      <c r="AW1082" s="12" t="s">
        <v>33</v>
      </c>
      <c r="AX1082" s="12" t="s">
        <v>71</v>
      </c>
      <c r="AY1082" s="146" t="s">
        <v>127</v>
      </c>
    </row>
    <row r="1083" spans="2:65" s="12" customFormat="1">
      <c r="B1083" s="144"/>
      <c r="D1083" s="145" t="s">
        <v>138</v>
      </c>
      <c r="E1083" s="146" t="s">
        <v>19</v>
      </c>
      <c r="F1083" s="147" t="s">
        <v>2276</v>
      </c>
      <c r="H1083" s="148">
        <v>44.737000000000002</v>
      </c>
      <c r="I1083" s="149"/>
      <c r="L1083" s="144"/>
      <c r="M1083" s="150"/>
      <c r="T1083" s="151"/>
      <c r="AT1083" s="146" t="s">
        <v>138</v>
      </c>
      <c r="AU1083" s="146" t="s">
        <v>81</v>
      </c>
      <c r="AV1083" s="12" t="s">
        <v>81</v>
      </c>
      <c r="AW1083" s="12" t="s">
        <v>33</v>
      </c>
      <c r="AX1083" s="12" t="s">
        <v>71</v>
      </c>
      <c r="AY1083" s="146" t="s">
        <v>127</v>
      </c>
    </row>
    <row r="1084" spans="2:65" s="12" customFormat="1">
      <c r="B1084" s="144"/>
      <c r="D1084" s="145" t="s">
        <v>138</v>
      </c>
      <c r="E1084" s="146" t="s">
        <v>19</v>
      </c>
      <c r="F1084" s="147" t="s">
        <v>2277</v>
      </c>
      <c r="H1084" s="148">
        <v>32.4</v>
      </c>
      <c r="I1084" s="149"/>
      <c r="L1084" s="144"/>
      <c r="M1084" s="150"/>
      <c r="T1084" s="151"/>
      <c r="AT1084" s="146" t="s">
        <v>138</v>
      </c>
      <c r="AU1084" s="146" t="s">
        <v>81</v>
      </c>
      <c r="AV1084" s="12" t="s">
        <v>81</v>
      </c>
      <c r="AW1084" s="12" t="s">
        <v>33</v>
      </c>
      <c r="AX1084" s="12" t="s">
        <v>71</v>
      </c>
      <c r="AY1084" s="146" t="s">
        <v>127</v>
      </c>
    </row>
    <row r="1085" spans="2:65" s="13" customFormat="1">
      <c r="B1085" s="152"/>
      <c r="D1085" s="145" t="s">
        <v>138</v>
      </c>
      <c r="E1085" s="153" t="s">
        <v>19</v>
      </c>
      <c r="F1085" s="154" t="s">
        <v>152</v>
      </c>
      <c r="H1085" s="155">
        <v>94.353000000000009</v>
      </c>
      <c r="I1085" s="156"/>
      <c r="L1085" s="152"/>
      <c r="M1085" s="157"/>
      <c r="T1085" s="158"/>
      <c r="AT1085" s="153" t="s">
        <v>138</v>
      </c>
      <c r="AU1085" s="153" t="s">
        <v>81</v>
      </c>
      <c r="AV1085" s="13" t="s">
        <v>134</v>
      </c>
      <c r="AW1085" s="13" t="s">
        <v>33</v>
      </c>
      <c r="AX1085" s="13" t="s">
        <v>79</v>
      </c>
      <c r="AY1085" s="153" t="s">
        <v>127</v>
      </c>
    </row>
    <row r="1086" spans="2:65" s="1" customFormat="1" ht="16.5" customHeight="1">
      <c r="B1086" s="32"/>
      <c r="C1086" s="127" t="s">
        <v>2278</v>
      </c>
      <c r="D1086" s="127" t="s">
        <v>129</v>
      </c>
      <c r="E1086" s="128" t="s">
        <v>2279</v>
      </c>
      <c r="F1086" s="129" t="s">
        <v>2280</v>
      </c>
      <c r="G1086" s="130" t="s">
        <v>304</v>
      </c>
      <c r="H1086" s="131">
        <v>30</v>
      </c>
      <c r="I1086" s="132"/>
      <c r="J1086" s="133">
        <f>ROUND(I1086*H1086,2)</f>
        <v>0</v>
      </c>
      <c r="K1086" s="129" t="s">
        <v>133</v>
      </c>
      <c r="L1086" s="32"/>
      <c r="M1086" s="134" t="s">
        <v>19</v>
      </c>
      <c r="N1086" s="135" t="s">
        <v>42</v>
      </c>
      <c r="P1086" s="136">
        <f>O1086*H1086</f>
        <v>0</v>
      </c>
      <c r="Q1086" s="136">
        <v>2.1000000000000001E-4</v>
      </c>
      <c r="R1086" s="136">
        <f>Q1086*H1086</f>
        <v>6.3E-3</v>
      </c>
      <c r="S1086" s="136">
        <v>0</v>
      </c>
      <c r="T1086" s="137">
        <f>S1086*H1086</f>
        <v>0</v>
      </c>
      <c r="AR1086" s="138" t="s">
        <v>229</v>
      </c>
      <c r="AT1086" s="138" t="s">
        <v>129</v>
      </c>
      <c r="AU1086" s="138" t="s">
        <v>81</v>
      </c>
      <c r="AY1086" s="17" t="s">
        <v>127</v>
      </c>
      <c r="BE1086" s="139">
        <f>IF(N1086="základní",J1086,0)</f>
        <v>0</v>
      </c>
      <c r="BF1086" s="139">
        <f>IF(N1086="snížená",J1086,0)</f>
        <v>0</v>
      </c>
      <c r="BG1086" s="139">
        <f>IF(N1086="zákl. přenesená",J1086,0)</f>
        <v>0</v>
      </c>
      <c r="BH1086" s="139">
        <f>IF(N1086="sníž. přenesená",J1086,0)</f>
        <v>0</v>
      </c>
      <c r="BI1086" s="139">
        <f>IF(N1086="nulová",J1086,0)</f>
        <v>0</v>
      </c>
      <c r="BJ1086" s="17" t="s">
        <v>79</v>
      </c>
      <c r="BK1086" s="139">
        <f>ROUND(I1086*H1086,2)</f>
        <v>0</v>
      </c>
      <c r="BL1086" s="17" t="s">
        <v>229</v>
      </c>
      <c r="BM1086" s="138" t="s">
        <v>2281</v>
      </c>
    </row>
    <row r="1087" spans="2:65" s="1" customFormat="1">
      <c r="B1087" s="32"/>
      <c r="D1087" s="140" t="s">
        <v>136</v>
      </c>
      <c r="F1087" s="141" t="s">
        <v>2282</v>
      </c>
      <c r="I1087" s="142"/>
      <c r="L1087" s="32"/>
      <c r="M1087" s="143"/>
      <c r="T1087" s="51"/>
      <c r="AT1087" s="17" t="s">
        <v>136</v>
      </c>
      <c r="AU1087" s="17" t="s">
        <v>81</v>
      </c>
    </row>
    <row r="1088" spans="2:65" s="12" customFormat="1">
      <c r="B1088" s="144"/>
      <c r="D1088" s="145" t="s">
        <v>138</v>
      </c>
      <c r="E1088" s="146" t="s">
        <v>19</v>
      </c>
      <c r="F1088" s="147" t="s">
        <v>2283</v>
      </c>
      <c r="H1088" s="148">
        <v>30</v>
      </c>
      <c r="I1088" s="149"/>
      <c r="L1088" s="144"/>
      <c r="M1088" s="150"/>
      <c r="T1088" s="151"/>
      <c r="AT1088" s="146" t="s">
        <v>138</v>
      </c>
      <c r="AU1088" s="146" t="s">
        <v>81</v>
      </c>
      <c r="AV1088" s="12" t="s">
        <v>81</v>
      </c>
      <c r="AW1088" s="12" t="s">
        <v>33</v>
      </c>
      <c r="AX1088" s="12" t="s">
        <v>79</v>
      </c>
      <c r="AY1088" s="146" t="s">
        <v>127</v>
      </c>
    </row>
    <row r="1089" spans="2:65" s="1" customFormat="1" ht="16.5" customHeight="1">
      <c r="B1089" s="32"/>
      <c r="C1089" s="127" t="s">
        <v>2284</v>
      </c>
      <c r="D1089" s="127" t="s">
        <v>129</v>
      </c>
      <c r="E1089" s="128" t="s">
        <v>2285</v>
      </c>
      <c r="F1089" s="129" t="s">
        <v>2286</v>
      </c>
      <c r="G1089" s="130" t="s">
        <v>304</v>
      </c>
      <c r="H1089" s="131">
        <v>2</v>
      </c>
      <c r="I1089" s="132"/>
      <c r="J1089" s="133">
        <f>ROUND(I1089*H1089,2)</f>
        <v>0</v>
      </c>
      <c r="K1089" s="129" t="s">
        <v>133</v>
      </c>
      <c r="L1089" s="32"/>
      <c r="M1089" s="134" t="s">
        <v>19</v>
      </c>
      <c r="N1089" s="135" t="s">
        <v>42</v>
      </c>
      <c r="P1089" s="136">
        <f>O1089*H1089</f>
        <v>0</v>
      </c>
      <c r="Q1089" s="136">
        <v>2.0000000000000001E-4</v>
      </c>
      <c r="R1089" s="136">
        <f>Q1089*H1089</f>
        <v>4.0000000000000002E-4</v>
      </c>
      <c r="S1089" s="136">
        <v>0</v>
      </c>
      <c r="T1089" s="137">
        <f>S1089*H1089</f>
        <v>0</v>
      </c>
      <c r="AR1089" s="138" t="s">
        <v>229</v>
      </c>
      <c r="AT1089" s="138" t="s">
        <v>129</v>
      </c>
      <c r="AU1089" s="138" t="s">
        <v>81</v>
      </c>
      <c r="AY1089" s="17" t="s">
        <v>127</v>
      </c>
      <c r="BE1089" s="139">
        <f>IF(N1089="základní",J1089,0)</f>
        <v>0</v>
      </c>
      <c r="BF1089" s="139">
        <f>IF(N1089="snížená",J1089,0)</f>
        <v>0</v>
      </c>
      <c r="BG1089" s="139">
        <f>IF(N1089="zákl. přenesená",J1089,0)</f>
        <v>0</v>
      </c>
      <c r="BH1089" s="139">
        <f>IF(N1089="sníž. přenesená",J1089,0)</f>
        <v>0</v>
      </c>
      <c r="BI1089" s="139">
        <f>IF(N1089="nulová",J1089,0)</f>
        <v>0</v>
      </c>
      <c r="BJ1089" s="17" t="s">
        <v>79</v>
      </c>
      <c r="BK1089" s="139">
        <f>ROUND(I1089*H1089,2)</f>
        <v>0</v>
      </c>
      <c r="BL1089" s="17" t="s">
        <v>229</v>
      </c>
      <c r="BM1089" s="138" t="s">
        <v>2287</v>
      </c>
    </row>
    <row r="1090" spans="2:65" s="1" customFormat="1">
      <c r="B1090" s="32"/>
      <c r="D1090" s="140" t="s">
        <v>136</v>
      </c>
      <c r="F1090" s="141" t="s">
        <v>2288</v>
      </c>
      <c r="I1090" s="142"/>
      <c r="L1090" s="32"/>
      <c r="M1090" s="143"/>
      <c r="T1090" s="51"/>
      <c r="AT1090" s="17" t="s">
        <v>136</v>
      </c>
      <c r="AU1090" s="17" t="s">
        <v>81</v>
      </c>
    </row>
    <row r="1091" spans="2:65" s="12" customFormat="1">
      <c r="B1091" s="144"/>
      <c r="D1091" s="145" t="s">
        <v>138</v>
      </c>
      <c r="E1091" s="146" t="s">
        <v>19</v>
      </c>
      <c r="F1091" s="147" t="s">
        <v>2289</v>
      </c>
      <c r="H1091" s="148">
        <v>2</v>
      </c>
      <c r="I1091" s="149"/>
      <c r="L1091" s="144"/>
      <c r="M1091" s="150"/>
      <c r="T1091" s="151"/>
      <c r="AT1091" s="146" t="s">
        <v>138</v>
      </c>
      <c r="AU1091" s="146" t="s">
        <v>81</v>
      </c>
      <c r="AV1091" s="12" t="s">
        <v>81</v>
      </c>
      <c r="AW1091" s="12" t="s">
        <v>33</v>
      </c>
      <c r="AX1091" s="12" t="s">
        <v>79</v>
      </c>
      <c r="AY1091" s="146" t="s">
        <v>127</v>
      </c>
    </row>
    <row r="1092" spans="2:65" s="1" customFormat="1" ht="16.5" customHeight="1">
      <c r="B1092" s="32"/>
      <c r="C1092" s="127" t="s">
        <v>2290</v>
      </c>
      <c r="D1092" s="127" t="s">
        <v>129</v>
      </c>
      <c r="E1092" s="128" t="s">
        <v>2291</v>
      </c>
      <c r="F1092" s="129" t="s">
        <v>2292</v>
      </c>
      <c r="G1092" s="130" t="s">
        <v>257</v>
      </c>
      <c r="H1092" s="131">
        <v>42.12</v>
      </c>
      <c r="I1092" s="132"/>
      <c r="J1092" s="133">
        <f>ROUND(I1092*H1092,2)</f>
        <v>0</v>
      </c>
      <c r="K1092" s="129" t="s">
        <v>133</v>
      </c>
      <c r="L1092" s="32"/>
      <c r="M1092" s="134" t="s">
        <v>19</v>
      </c>
      <c r="N1092" s="135" t="s">
        <v>42</v>
      </c>
      <c r="P1092" s="136">
        <f>O1092*H1092</f>
        <v>0</v>
      </c>
      <c r="Q1092" s="136">
        <v>3.2000000000000003E-4</v>
      </c>
      <c r="R1092" s="136">
        <f>Q1092*H1092</f>
        <v>1.34784E-2</v>
      </c>
      <c r="S1092" s="136">
        <v>0</v>
      </c>
      <c r="T1092" s="137">
        <f>S1092*H1092</f>
        <v>0</v>
      </c>
      <c r="AR1092" s="138" t="s">
        <v>229</v>
      </c>
      <c r="AT1092" s="138" t="s">
        <v>129</v>
      </c>
      <c r="AU1092" s="138" t="s">
        <v>81</v>
      </c>
      <c r="AY1092" s="17" t="s">
        <v>127</v>
      </c>
      <c r="BE1092" s="139">
        <f>IF(N1092="základní",J1092,0)</f>
        <v>0</v>
      </c>
      <c r="BF1092" s="139">
        <f>IF(N1092="snížená",J1092,0)</f>
        <v>0</v>
      </c>
      <c r="BG1092" s="139">
        <f>IF(N1092="zákl. přenesená",J1092,0)</f>
        <v>0</v>
      </c>
      <c r="BH1092" s="139">
        <f>IF(N1092="sníž. přenesená",J1092,0)</f>
        <v>0</v>
      </c>
      <c r="BI1092" s="139">
        <f>IF(N1092="nulová",J1092,0)</f>
        <v>0</v>
      </c>
      <c r="BJ1092" s="17" t="s">
        <v>79</v>
      </c>
      <c r="BK1092" s="139">
        <f>ROUND(I1092*H1092,2)</f>
        <v>0</v>
      </c>
      <c r="BL1092" s="17" t="s">
        <v>229</v>
      </c>
      <c r="BM1092" s="138" t="s">
        <v>2293</v>
      </c>
    </row>
    <row r="1093" spans="2:65" s="1" customFormat="1">
      <c r="B1093" s="32"/>
      <c r="D1093" s="140" t="s">
        <v>136</v>
      </c>
      <c r="F1093" s="141" t="s">
        <v>2294</v>
      </c>
      <c r="I1093" s="142"/>
      <c r="L1093" s="32"/>
      <c r="M1093" s="143"/>
      <c r="T1093" s="51"/>
      <c r="AT1093" s="17" t="s">
        <v>136</v>
      </c>
      <c r="AU1093" s="17" t="s">
        <v>81</v>
      </c>
    </row>
    <row r="1094" spans="2:65" s="12" customFormat="1">
      <c r="B1094" s="144"/>
      <c r="D1094" s="145" t="s">
        <v>138</v>
      </c>
      <c r="E1094" s="146" t="s">
        <v>19</v>
      </c>
      <c r="F1094" s="147" t="s">
        <v>2295</v>
      </c>
      <c r="H1094" s="148">
        <v>42.12</v>
      </c>
      <c r="I1094" s="149"/>
      <c r="L1094" s="144"/>
      <c r="M1094" s="150"/>
      <c r="T1094" s="151"/>
      <c r="AT1094" s="146" t="s">
        <v>138</v>
      </c>
      <c r="AU1094" s="146" t="s">
        <v>81</v>
      </c>
      <c r="AV1094" s="12" t="s">
        <v>81</v>
      </c>
      <c r="AW1094" s="12" t="s">
        <v>33</v>
      </c>
      <c r="AX1094" s="12" t="s">
        <v>79</v>
      </c>
      <c r="AY1094" s="146" t="s">
        <v>127</v>
      </c>
    </row>
    <row r="1095" spans="2:65" s="1" customFormat="1" ht="16.5" customHeight="1">
      <c r="B1095" s="32"/>
      <c r="C1095" s="127" t="s">
        <v>2296</v>
      </c>
      <c r="D1095" s="127" t="s">
        <v>129</v>
      </c>
      <c r="E1095" s="128" t="s">
        <v>2297</v>
      </c>
      <c r="F1095" s="129" t="s">
        <v>2298</v>
      </c>
      <c r="G1095" s="130" t="s">
        <v>132</v>
      </c>
      <c r="H1095" s="131">
        <v>105.89400000000001</v>
      </c>
      <c r="I1095" s="132"/>
      <c r="J1095" s="133">
        <f>ROUND(I1095*H1095,2)</f>
        <v>0</v>
      </c>
      <c r="K1095" s="129" t="s">
        <v>133</v>
      </c>
      <c r="L1095" s="32"/>
      <c r="M1095" s="134" t="s">
        <v>19</v>
      </c>
      <c r="N1095" s="135" t="s">
        <v>42</v>
      </c>
      <c r="P1095" s="136">
        <f>O1095*H1095</f>
        <v>0</v>
      </c>
      <c r="Q1095" s="136">
        <v>5.0000000000000002E-5</v>
      </c>
      <c r="R1095" s="136">
        <f>Q1095*H1095</f>
        <v>5.2947000000000003E-3</v>
      </c>
      <c r="S1095" s="136">
        <v>0</v>
      </c>
      <c r="T1095" s="137">
        <f>S1095*H1095</f>
        <v>0</v>
      </c>
      <c r="AR1095" s="138" t="s">
        <v>229</v>
      </c>
      <c r="AT1095" s="138" t="s">
        <v>129</v>
      </c>
      <c r="AU1095" s="138" t="s">
        <v>81</v>
      </c>
      <c r="AY1095" s="17" t="s">
        <v>127</v>
      </c>
      <c r="BE1095" s="139">
        <f>IF(N1095="základní",J1095,0)</f>
        <v>0</v>
      </c>
      <c r="BF1095" s="139">
        <f>IF(N1095="snížená",J1095,0)</f>
        <v>0</v>
      </c>
      <c r="BG1095" s="139">
        <f>IF(N1095="zákl. přenesená",J1095,0)</f>
        <v>0</v>
      </c>
      <c r="BH1095" s="139">
        <f>IF(N1095="sníž. přenesená",J1095,0)</f>
        <v>0</v>
      </c>
      <c r="BI1095" s="139">
        <f>IF(N1095="nulová",J1095,0)</f>
        <v>0</v>
      </c>
      <c r="BJ1095" s="17" t="s">
        <v>79</v>
      </c>
      <c r="BK1095" s="139">
        <f>ROUND(I1095*H1095,2)</f>
        <v>0</v>
      </c>
      <c r="BL1095" s="17" t="s">
        <v>229</v>
      </c>
      <c r="BM1095" s="138" t="s">
        <v>2299</v>
      </c>
    </row>
    <row r="1096" spans="2:65" s="1" customFormat="1">
      <c r="B1096" s="32"/>
      <c r="D1096" s="140" t="s">
        <v>136</v>
      </c>
      <c r="F1096" s="141" t="s">
        <v>2300</v>
      </c>
      <c r="I1096" s="142"/>
      <c r="L1096" s="32"/>
      <c r="M1096" s="143"/>
      <c r="T1096" s="51"/>
      <c r="AT1096" s="17" t="s">
        <v>136</v>
      </c>
      <c r="AU1096" s="17" t="s">
        <v>81</v>
      </c>
    </row>
    <row r="1097" spans="2:65" s="12" customFormat="1">
      <c r="B1097" s="144"/>
      <c r="D1097" s="145" t="s">
        <v>138</v>
      </c>
      <c r="E1097" s="146" t="s">
        <v>19</v>
      </c>
      <c r="F1097" s="147" t="s">
        <v>653</v>
      </c>
      <c r="H1097" s="148">
        <v>15.648</v>
      </c>
      <c r="I1097" s="149"/>
      <c r="L1097" s="144"/>
      <c r="M1097" s="150"/>
      <c r="T1097" s="151"/>
      <c r="AT1097" s="146" t="s">
        <v>138</v>
      </c>
      <c r="AU1097" s="146" t="s">
        <v>81</v>
      </c>
      <c r="AV1097" s="12" t="s">
        <v>81</v>
      </c>
      <c r="AW1097" s="12" t="s">
        <v>33</v>
      </c>
      <c r="AX1097" s="12" t="s">
        <v>71</v>
      </c>
      <c r="AY1097" s="146" t="s">
        <v>127</v>
      </c>
    </row>
    <row r="1098" spans="2:65" s="12" customFormat="1">
      <c r="B1098" s="144"/>
      <c r="D1098" s="145" t="s">
        <v>138</v>
      </c>
      <c r="E1098" s="146" t="s">
        <v>19</v>
      </c>
      <c r="F1098" s="147" t="s">
        <v>2301</v>
      </c>
      <c r="H1098" s="148">
        <v>46.146000000000001</v>
      </c>
      <c r="I1098" s="149"/>
      <c r="L1098" s="144"/>
      <c r="M1098" s="150"/>
      <c r="T1098" s="151"/>
      <c r="AT1098" s="146" t="s">
        <v>138</v>
      </c>
      <c r="AU1098" s="146" t="s">
        <v>81</v>
      </c>
      <c r="AV1098" s="12" t="s">
        <v>81</v>
      </c>
      <c r="AW1098" s="12" t="s">
        <v>33</v>
      </c>
      <c r="AX1098" s="12" t="s">
        <v>71</v>
      </c>
      <c r="AY1098" s="146" t="s">
        <v>127</v>
      </c>
    </row>
    <row r="1099" spans="2:65" s="12" customFormat="1">
      <c r="B1099" s="144"/>
      <c r="D1099" s="145" t="s">
        <v>138</v>
      </c>
      <c r="E1099" s="146" t="s">
        <v>19</v>
      </c>
      <c r="F1099" s="147" t="s">
        <v>2182</v>
      </c>
      <c r="H1099" s="148">
        <v>21.84</v>
      </c>
      <c r="I1099" s="149"/>
      <c r="L1099" s="144"/>
      <c r="M1099" s="150"/>
      <c r="T1099" s="151"/>
      <c r="AT1099" s="146" t="s">
        <v>138</v>
      </c>
      <c r="AU1099" s="146" t="s">
        <v>81</v>
      </c>
      <c r="AV1099" s="12" t="s">
        <v>81</v>
      </c>
      <c r="AW1099" s="12" t="s">
        <v>33</v>
      </c>
      <c r="AX1099" s="12" t="s">
        <v>71</v>
      </c>
      <c r="AY1099" s="146" t="s">
        <v>127</v>
      </c>
    </row>
    <row r="1100" spans="2:65" s="12" customFormat="1">
      <c r="B1100" s="144"/>
      <c r="D1100" s="145" t="s">
        <v>138</v>
      </c>
      <c r="E1100" s="146" t="s">
        <v>19</v>
      </c>
      <c r="F1100" s="147" t="s">
        <v>2183</v>
      </c>
      <c r="H1100" s="148">
        <v>22.26</v>
      </c>
      <c r="I1100" s="149"/>
      <c r="L1100" s="144"/>
      <c r="M1100" s="150"/>
      <c r="T1100" s="151"/>
      <c r="AT1100" s="146" t="s">
        <v>138</v>
      </c>
      <c r="AU1100" s="146" t="s">
        <v>81</v>
      </c>
      <c r="AV1100" s="12" t="s">
        <v>81</v>
      </c>
      <c r="AW1100" s="12" t="s">
        <v>33</v>
      </c>
      <c r="AX1100" s="12" t="s">
        <v>71</v>
      </c>
      <c r="AY1100" s="146" t="s">
        <v>127</v>
      </c>
    </row>
    <row r="1101" spans="2:65" s="13" customFormat="1">
      <c r="B1101" s="152"/>
      <c r="D1101" s="145" t="s">
        <v>138</v>
      </c>
      <c r="E1101" s="153" t="s">
        <v>19</v>
      </c>
      <c r="F1101" s="154" t="s">
        <v>152</v>
      </c>
      <c r="H1101" s="155">
        <v>105.89400000000001</v>
      </c>
      <c r="I1101" s="156"/>
      <c r="L1101" s="152"/>
      <c r="M1101" s="157"/>
      <c r="T1101" s="158"/>
      <c r="AT1101" s="153" t="s">
        <v>138</v>
      </c>
      <c r="AU1101" s="153" t="s">
        <v>81</v>
      </c>
      <c r="AV1101" s="13" t="s">
        <v>134</v>
      </c>
      <c r="AW1101" s="13" t="s">
        <v>33</v>
      </c>
      <c r="AX1101" s="13" t="s">
        <v>79</v>
      </c>
      <c r="AY1101" s="153" t="s">
        <v>127</v>
      </c>
    </row>
    <row r="1102" spans="2:65" s="1" customFormat="1" ht="24.2" customHeight="1">
      <c r="B1102" s="32"/>
      <c r="C1102" s="127" t="s">
        <v>2302</v>
      </c>
      <c r="D1102" s="127" t="s">
        <v>129</v>
      </c>
      <c r="E1102" s="128" t="s">
        <v>2303</v>
      </c>
      <c r="F1102" s="129" t="s">
        <v>2304</v>
      </c>
      <c r="G1102" s="130" t="s">
        <v>425</v>
      </c>
      <c r="H1102" s="169"/>
      <c r="I1102" s="132"/>
      <c r="J1102" s="133">
        <f>ROUND(I1102*H1102,2)</f>
        <v>0</v>
      </c>
      <c r="K1102" s="129" t="s">
        <v>133</v>
      </c>
      <c r="L1102" s="32"/>
      <c r="M1102" s="134" t="s">
        <v>19</v>
      </c>
      <c r="N1102" s="135" t="s">
        <v>42</v>
      </c>
      <c r="P1102" s="136">
        <f>O1102*H1102</f>
        <v>0</v>
      </c>
      <c r="Q1102" s="136">
        <v>0</v>
      </c>
      <c r="R1102" s="136">
        <f>Q1102*H1102</f>
        <v>0</v>
      </c>
      <c r="S1102" s="136">
        <v>0</v>
      </c>
      <c r="T1102" s="137">
        <f>S1102*H1102</f>
        <v>0</v>
      </c>
      <c r="AR1102" s="138" t="s">
        <v>229</v>
      </c>
      <c r="AT1102" s="138" t="s">
        <v>129</v>
      </c>
      <c r="AU1102" s="138" t="s">
        <v>81</v>
      </c>
      <c r="AY1102" s="17" t="s">
        <v>127</v>
      </c>
      <c r="BE1102" s="139">
        <f>IF(N1102="základní",J1102,0)</f>
        <v>0</v>
      </c>
      <c r="BF1102" s="139">
        <f>IF(N1102="snížená",J1102,0)</f>
        <v>0</v>
      </c>
      <c r="BG1102" s="139">
        <f>IF(N1102="zákl. přenesená",J1102,0)</f>
        <v>0</v>
      </c>
      <c r="BH1102" s="139">
        <f>IF(N1102="sníž. přenesená",J1102,0)</f>
        <v>0</v>
      </c>
      <c r="BI1102" s="139">
        <f>IF(N1102="nulová",J1102,0)</f>
        <v>0</v>
      </c>
      <c r="BJ1102" s="17" t="s">
        <v>79</v>
      </c>
      <c r="BK1102" s="139">
        <f>ROUND(I1102*H1102,2)</f>
        <v>0</v>
      </c>
      <c r="BL1102" s="17" t="s">
        <v>229</v>
      </c>
      <c r="BM1102" s="138" t="s">
        <v>2305</v>
      </c>
    </row>
    <row r="1103" spans="2:65" s="1" customFormat="1">
      <c r="B1103" s="32"/>
      <c r="D1103" s="140" t="s">
        <v>136</v>
      </c>
      <c r="F1103" s="141" t="s">
        <v>2306</v>
      </c>
      <c r="I1103" s="142"/>
      <c r="L1103" s="32"/>
      <c r="M1103" s="143"/>
      <c r="T1103" s="51"/>
      <c r="AT1103" s="17" t="s">
        <v>136</v>
      </c>
      <c r="AU1103" s="17" t="s">
        <v>81</v>
      </c>
    </row>
    <row r="1104" spans="2:65" s="11" customFormat="1" ht="22.9" customHeight="1">
      <c r="B1104" s="115"/>
      <c r="D1104" s="116" t="s">
        <v>70</v>
      </c>
      <c r="E1104" s="125" t="s">
        <v>2307</v>
      </c>
      <c r="F1104" s="125" t="s">
        <v>2308</v>
      </c>
      <c r="I1104" s="118"/>
      <c r="J1104" s="126">
        <f>BK1104</f>
        <v>0</v>
      </c>
      <c r="L1104" s="115"/>
      <c r="M1104" s="120"/>
      <c r="P1104" s="121">
        <f>SUM(P1105:P1128)</f>
        <v>0</v>
      </c>
      <c r="R1104" s="121">
        <f>SUM(R1105:R1128)</f>
        <v>7.3667780200000008</v>
      </c>
      <c r="T1104" s="122">
        <f>SUM(T1105:T1128)</f>
        <v>0</v>
      </c>
      <c r="AR1104" s="116" t="s">
        <v>81</v>
      </c>
      <c r="AT1104" s="123" t="s">
        <v>70</v>
      </c>
      <c r="AU1104" s="123" t="s">
        <v>79</v>
      </c>
      <c r="AY1104" s="116" t="s">
        <v>127</v>
      </c>
      <c r="BK1104" s="124">
        <f>SUM(BK1105:BK1128)</f>
        <v>0</v>
      </c>
    </row>
    <row r="1105" spans="2:65" s="1" customFormat="1" ht="16.5" customHeight="1">
      <c r="B1105" s="32"/>
      <c r="C1105" s="127" t="s">
        <v>2309</v>
      </c>
      <c r="D1105" s="127" t="s">
        <v>129</v>
      </c>
      <c r="E1105" s="128" t="s">
        <v>2310</v>
      </c>
      <c r="F1105" s="129" t="s">
        <v>2311</v>
      </c>
      <c r="G1105" s="130" t="s">
        <v>132</v>
      </c>
      <c r="H1105" s="131">
        <v>477.73</v>
      </c>
      <c r="I1105" s="132"/>
      <c r="J1105" s="133">
        <f>ROUND(I1105*H1105,2)</f>
        <v>0</v>
      </c>
      <c r="K1105" s="129" t="s">
        <v>133</v>
      </c>
      <c r="L1105" s="32"/>
      <c r="M1105" s="134" t="s">
        <v>19</v>
      </c>
      <c r="N1105" s="135" t="s">
        <v>42</v>
      </c>
      <c r="P1105" s="136">
        <f>O1105*H1105</f>
        <v>0</v>
      </c>
      <c r="Q1105" s="136">
        <v>0</v>
      </c>
      <c r="R1105" s="136">
        <f>Q1105*H1105</f>
        <v>0</v>
      </c>
      <c r="S1105" s="136">
        <v>0</v>
      </c>
      <c r="T1105" s="137">
        <f>S1105*H1105</f>
        <v>0</v>
      </c>
      <c r="AR1105" s="138" t="s">
        <v>229</v>
      </c>
      <c r="AT1105" s="138" t="s">
        <v>129</v>
      </c>
      <c r="AU1105" s="138" t="s">
        <v>81</v>
      </c>
      <c r="AY1105" s="17" t="s">
        <v>127</v>
      </c>
      <c r="BE1105" s="139">
        <f>IF(N1105="základní",J1105,0)</f>
        <v>0</v>
      </c>
      <c r="BF1105" s="139">
        <f>IF(N1105="snížená",J1105,0)</f>
        <v>0</v>
      </c>
      <c r="BG1105" s="139">
        <f>IF(N1105="zákl. přenesená",J1105,0)</f>
        <v>0</v>
      </c>
      <c r="BH1105" s="139">
        <f>IF(N1105="sníž. přenesená",J1105,0)</f>
        <v>0</v>
      </c>
      <c r="BI1105" s="139">
        <f>IF(N1105="nulová",J1105,0)</f>
        <v>0</v>
      </c>
      <c r="BJ1105" s="17" t="s">
        <v>79</v>
      </c>
      <c r="BK1105" s="139">
        <f>ROUND(I1105*H1105,2)</f>
        <v>0</v>
      </c>
      <c r="BL1105" s="17" t="s">
        <v>229</v>
      </c>
      <c r="BM1105" s="138" t="s">
        <v>2312</v>
      </c>
    </row>
    <row r="1106" spans="2:65" s="1" customFormat="1">
      <c r="B1106" s="32"/>
      <c r="D1106" s="140" t="s">
        <v>136</v>
      </c>
      <c r="F1106" s="141" t="s">
        <v>2313</v>
      </c>
      <c r="I1106" s="142"/>
      <c r="L1106" s="32"/>
      <c r="M1106" s="143"/>
      <c r="T1106" s="51"/>
      <c r="AT1106" s="17" t="s">
        <v>136</v>
      </c>
      <c r="AU1106" s="17" t="s">
        <v>81</v>
      </c>
    </row>
    <row r="1107" spans="2:65" s="12" customFormat="1">
      <c r="B1107" s="144"/>
      <c r="D1107" s="145" t="s">
        <v>138</v>
      </c>
      <c r="E1107" s="146" t="s">
        <v>19</v>
      </c>
      <c r="F1107" s="147" t="s">
        <v>2314</v>
      </c>
      <c r="H1107" s="148">
        <v>477.73</v>
      </c>
      <c r="I1107" s="149"/>
      <c r="L1107" s="144"/>
      <c r="M1107" s="150"/>
      <c r="T1107" s="151"/>
      <c r="AT1107" s="146" t="s">
        <v>138</v>
      </c>
      <c r="AU1107" s="146" t="s">
        <v>81</v>
      </c>
      <c r="AV1107" s="12" t="s">
        <v>81</v>
      </c>
      <c r="AW1107" s="12" t="s">
        <v>33</v>
      </c>
      <c r="AX1107" s="12" t="s">
        <v>79</v>
      </c>
      <c r="AY1107" s="146" t="s">
        <v>127</v>
      </c>
    </row>
    <row r="1108" spans="2:65" s="1" customFormat="1" ht="16.5" customHeight="1">
      <c r="B1108" s="32"/>
      <c r="C1108" s="127" t="s">
        <v>2315</v>
      </c>
      <c r="D1108" s="127" t="s">
        <v>129</v>
      </c>
      <c r="E1108" s="128" t="s">
        <v>2316</v>
      </c>
      <c r="F1108" s="129" t="s">
        <v>2317</v>
      </c>
      <c r="G1108" s="130" t="s">
        <v>132</v>
      </c>
      <c r="H1108" s="131">
        <v>477.73</v>
      </c>
      <c r="I1108" s="132"/>
      <c r="J1108" s="133">
        <f>ROUND(I1108*H1108,2)</f>
        <v>0</v>
      </c>
      <c r="K1108" s="129" t="s">
        <v>133</v>
      </c>
      <c r="L1108" s="32"/>
      <c r="M1108" s="134" t="s">
        <v>19</v>
      </c>
      <c r="N1108" s="135" t="s">
        <v>42</v>
      </c>
      <c r="P1108" s="136">
        <f>O1108*H1108</f>
        <v>0</v>
      </c>
      <c r="Q1108" s="136">
        <v>3.0000000000000001E-5</v>
      </c>
      <c r="R1108" s="136">
        <f>Q1108*H1108</f>
        <v>1.4331900000000002E-2</v>
      </c>
      <c r="S1108" s="136">
        <v>0</v>
      </c>
      <c r="T1108" s="137">
        <f>S1108*H1108</f>
        <v>0</v>
      </c>
      <c r="AR1108" s="138" t="s">
        <v>229</v>
      </c>
      <c r="AT1108" s="138" t="s">
        <v>129</v>
      </c>
      <c r="AU1108" s="138" t="s">
        <v>81</v>
      </c>
      <c r="AY1108" s="17" t="s">
        <v>127</v>
      </c>
      <c r="BE1108" s="139">
        <f>IF(N1108="základní",J1108,0)</f>
        <v>0</v>
      </c>
      <c r="BF1108" s="139">
        <f>IF(N1108="snížená",J1108,0)</f>
        <v>0</v>
      </c>
      <c r="BG1108" s="139">
        <f>IF(N1108="zákl. přenesená",J1108,0)</f>
        <v>0</v>
      </c>
      <c r="BH1108" s="139">
        <f>IF(N1108="sníž. přenesená",J1108,0)</f>
        <v>0</v>
      </c>
      <c r="BI1108" s="139">
        <f>IF(N1108="nulová",J1108,0)</f>
        <v>0</v>
      </c>
      <c r="BJ1108" s="17" t="s">
        <v>79</v>
      </c>
      <c r="BK1108" s="139">
        <f>ROUND(I1108*H1108,2)</f>
        <v>0</v>
      </c>
      <c r="BL1108" s="17" t="s">
        <v>229</v>
      </c>
      <c r="BM1108" s="138" t="s">
        <v>2318</v>
      </c>
    </row>
    <row r="1109" spans="2:65" s="1" customFormat="1">
      <c r="B1109" s="32"/>
      <c r="D1109" s="140" t="s">
        <v>136</v>
      </c>
      <c r="F1109" s="141" t="s">
        <v>2319</v>
      </c>
      <c r="I1109" s="142"/>
      <c r="L1109" s="32"/>
      <c r="M1109" s="143"/>
      <c r="T1109" s="51"/>
      <c r="AT1109" s="17" t="s">
        <v>136</v>
      </c>
      <c r="AU1109" s="17" t="s">
        <v>81</v>
      </c>
    </row>
    <row r="1110" spans="2:65" s="12" customFormat="1">
      <c r="B1110" s="144"/>
      <c r="D1110" s="145" t="s">
        <v>138</v>
      </c>
      <c r="E1110" s="146" t="s">
        <v>19</v>
      </c>
      <c r="F1110" s="147" t="s">
        <v>2314</v>
      </c>
      <c r="H1110" s="148">
        <v>477.73</v>
      </c>
      <c r="I1110" s="149"/>
      <c r="L1110" s="144"/>
      <c r="M1110" s="150"/>
      <c r="T1110" s="151"/>
      <c r="AT1110" s="146" t="s">
        <v>138</v>
      </c>
      <c r="AU1110" s="146" t="s">
        <v>81</v>
      </c>
      <c r="AV1110" s="12" t="s">
        <v>81</v>
      </c>
      <c r="AW1110" s="12" t="s">
        <v>33</v>
      </c>
      <c r="AX1110" s="12" t="s">
        <v>79</v>
      </c>
      <c r="AY1110" s="146" t="s">
        <v>127</v>
      </c>
    </row>
    <row r="1111" spans="2:65" s="1" customFormat="1" ht="21.75" customHeight="1">
      <c r="B1111" s="32"/>
      <c r="C1111" s="127" t="s">
        <v>2320</v>
      </c>
      <c r="D1111" s="127" t="s">
        <v>129</v>
      </c>
      <c r="E1111" s="128" t="s">
        <v>2321</v>
      </c>
      <c r="F1111" s="129" t="s">
        <v>2322</v>
      </c>
      <c r="G1111" s="130" t="s">
        <v>132</v>
      </c>
      <c r="H1111" s="131">
        <v>477.73</v>
      </c>
      <c r="I1111" s="132"/>
      <c r="J1111" s="133">
        <f>ROUND(I1111*H1111,2)</f>
        <v>0</v>
      </c>
      <c r="K1111" s="129" t="s">
        <v>133</v>
      </c>
      <c r="L1111" s="32"/>
      <c r="M1111" s="134" t="s">
        <v>19</v>
      </c>
      <c r="N1111" s="135" t="s">
        <v>42</v>
      </c>
      <c r="P1111" s="136">
        <f>O1111*H1111</f>
        <v>0</v>
      </c>
      <c r="Q1111" s="136">
        <v>1.2E-2</v>
      </c>
      <c r="R1111" s="136">
        <f>Q1111*H1111</f>
        <v>5.7327600000000007</v>
      </c>
      <c r="S1111" s="136">
        <v>0</v>
      </c>
      <c r="T1111" s="137">
        <f>S1111*H1111</f>
        <v>0</v>
      </c>
      <c r="AR1111" s="138" t="s">
        <v>229</v>
      </c>
      <c r="AT1111" s="138" t="s">
        <v>129</v>
      </c>
      <c r="AU1111" s="138" t="s">
        <v>81</v>
      </c>
      <c r="AY1111" s="17" t="s">
        <v>127</v>
      </c>
      <c r="BE1111" s="139">
        <f>IF(N1111="základní",J1111,0)</f>
        <v>0</v>
      </c>
      <c r="BF1111" s="139">
        <f>IF(N1111="snížená",J1111,0)</f>
        <v>0</v>
      </c>
      <c r="BG1111" s="139">
        <f>IF(N1111="zákl. přenesená",J1111,0)</f>
        <v>0</v>
      </c>
      <c r="BH1111" s="139">
        <f>IF(N1111="sníž. přenesená",J1111,0)</f>
        <v>0</v>
      </c>
      <c r="BI1111" s="139">
        <f>IF(N1111="nulová",J1111,0)</f>
        <v>0</v>
      </c>
      <c r="BJ1111" s="17" t="s">
        <v>79</v>
      </c>
      <c r="BK1111" s="139">
        <f>ROUND(I1111*H1111,2)</f>
        <v>0</v>
      </c>
      <c r="BL1111" s="17" t="s">
        <v>229</v>
      </c>
      <c r="BM1111" s="138" t="s">
        <v>2323</v>
      </c>
    </row>
    <row r="1112" spans="2:65" s="1" customFormat="1">
      <c r="B1112" s="32"/>
      <c r="D1112" s="140" t="s">
        <v>136</v>
      </c>
      <c r="F1112" s="141" t="s">
        <v>2324</v>
      </c>
      <c r="I1112" s="142"/>
      <c r="L1112" s="32"/>
      <c r="M1112" s="143"/>
      <c r="T1112" s="51"/>
      <c r="AT1112" s="17" t="s">
        <v>136</v>
      </c>
      <c r="AU1112" s="17" t="s">
        <v>81</v>
      </c>
    </row>
    <row r="1113" spans="2:65" s="12" customFormat="1">
      <c r="B1113" s="144"/>
      <c r="D1113" s="145" t="s">
        <v>138</v>
      </c>
      <c r="E1113" s="146" t="s">
        <v>19</v>
      </c>
      <c r="F1113" s="147" t="s">
        <v>2314</v>
      </c>
      <c r="H1113" s="148">
        <v>477.73</v>
      </c>
      <c r="I1113" s="149"/>
      <c r="L1113" s="144"/>
      <c r="M1113" s="150"/>
      <c r="T1113" s="151"/>
      <c r="AT1113" s="146" t="s">
        <v>138</v>
      </c>
      <c r="AU1113" s="146" t="s">
        <v>81</v>
      </c>
      <c r="AV1113" s="12" t="s">
        <v>81</v>
      </c>
      <c r="AW1113" s="12" t="s">
        <v>33</v>
      </c>
      <c r="AX1113" s="12" t="s">
        <v>79</v>
      </c>
      <c r="AY1113" s="146" t="s">
        <v>127</v>
      </c>
    </row>
    <row r="1114" spans="2:65" s="1" customFormat="1" ht="16.5" customHeight="1">
      <c r="B1114" s="32"/>
      <c r="C1114" s="127" t="s">
        <v>2325</v>
      </c>
      <c r="D1114" s="127" t="s">
        <v>129</v>
      </c>
      <c r="E1114" s="128" t="s">
        <v>2326</v>
      </c>
      <c r="F1114" s="129" t="s">
        <v>2327</v>
      </c>
      <c r="G1114" s="130" t="s">
        <v>132</v>
      </c>
      <c r="H1114" s="131">
        <v>477.73</v>
      </c>
      <c r="I1114" s="132"/>
      <c r="J1114" s="133">
        <f>ROUND(I1114*H1114,2)</f>
        <v>0</v>
      </c>
      <c r="K1114" s="129" t="s">
        <v>133</v>
      </c>
      <c r="L1114" s="32"/>
      <c r="M1114" s="134" t="s">
        <v>19</v>
      </c>
      <c r="N1114" s="135" t="s">
        <v>42</v>
      </c>
      <c r="P1114" s="136">
        <f>O1114*H1114</f>
        <v>0</v>
      </c>
      <c r="Q1114" s="136">
        <v>2.9999999999999997E-4</v>
      </c>
      <c r="R1114" s="136">
        <f>Q1114*H1114</f>
        <v>0.143319</v>
      </c>
      <c r="S1114" s="136">
        <v>0</v>
      </c>
      <c r="T1114" s="137">
        <f>S1114*H1114</f>
        <v>0</v>
      </c>
      <c r="AR1114" s="138" t="s">
        <v>229</v>
      </c>
      <c r="AT1114" s="138" t="s">
        <v>129</v>
      </c>
      <c r="AU1114" s="138" t="s">
        <v>81</v>
      </c>
      <c r="AY1114" s="17" t="s">
        <v>127</v>
      </c>
      <c r="BE1114" s="139">
        <f>IF(N1114="základní",J1114,0)</f>
        <v>0</v>
      </c>
      <c r="BF1114" s="139">
        <f>IF(N1114="snížená",J1114,0)</f>
        <v>0</v>
      </c>
      <c r="BG1114" s="139">
        <f>IF(N1114="zákl. přenesená",J1114,0)</f>
        <v>0</v>
      </c>
      <c r="BH1114" s="139">
        <f>IF(N1114="sníž. přenesená",J1114,0)</f>
        <v>0</v>
      </c>
      <c r="BI1114" s="139">
        <f>IF(N1114="nulová",J1114,0)</f>
        <v>0</v>
      </c>
      <c r="BJ1114" s="17" t="s">
        <v>79</v>
      </c>
      <c r="BK1114" s="139">
        <f>ROUND(I1114*H1114,2)</f>
        <v>0</v>
      </c>
      <c r="BL1114" s="17" t="s">
        <v>229</v>
      </c>
      <c r="BM1114" s="138" t="s">
        <v>2328</v>
      </c>
    </row>
    <row r="1115" spans="2:65" s="1" customFormat="1">
      <c r="B1115" s="32"/>
      <c r="D1115" s="140" t="s">
        <v>136</v>
      </c>
      <c r="F1115" s="141" t="s">
        <v>2329</v>
      </c>
      <c r="I1115" s="142"/>
      <c r="L1115" s="32"/>
      <c r="M1115" s="143"/>
      <c r="T1115" s="51"/>
      <c r="AT1115" s="17" t="s">
        <v>136</v>
      </c>
      <c r="AU1115" s="17" t="s">
        <v>81</v>
      </c>
    </row>
    <row r="1116" spans="2:65" s="12" customFormat="1">
      <c r="B1116" s="144"/>
      <c r="D1116" s="145" t="s">
        <v>138</v>
      </c>
      <c r="E1116" s="146" t="s">
        <v>19</v>
      </c>
      <c r="F1116" s="147" t="s">
        <v>2314</v>
      </c>
      <c r="H1116" s="148">
        <v>477.73</v>
      </c>
      <c r="I1116" s="149"/>
      <c r="L1116" s="144"/>
      <c r="M1116" s="150"/>
      <c r="T1116" s="151"/>
      <c r="AT1116" s="146" t="s">
        <v>138</v>
      </c>
      <c r="AU1116" s="146" t="s">
        <v>81</v>
      </c>
      <c r="AV1116" s="12" t="s">
        <v>81</v>
      </c>
      <c r="AW1116" s="12" t="s">
        <v>33</v>
      </c>
      <c r="AX1116" s="12" t="s">
        <v>79</v>
      </c>
      <c r="AY1116" s="146" t="s">
        <v>127</v>
      </c>
    </row>
    <row r="1117" spans="2:65" s="1" customFormat="1" ht="16.5" customHeight="1">
      <c r="B1117" s="32"/>
      <c r="C1117" s="159" t="s">
        <v>2330</v>
      </c>
      <c r="D1117" s="159" t="s">
        <v>413</v>
      </c>
      <c r="E1117" s="160" t="s">
        <v>2331</v>
      </c>
      <c r="F1117" s="161" t="s">
        <v>2332</v>
      </c>
      <c r="G1117" s="162" t="s">
        <v>132</v>
      </c>
      <c r="H1117" s="163">
        <v>525.50300000000004</v>
      </c>
      <c r="I1117" s="164"/>
      <c r="J1117" s="165">
        <f>ROUND(I1117*H1117,2)</f>
        <v>0</v>
      </c>
      <c r="K1117" s="161" t="s">
        <v>133</v>
      </c>
      <c r="L1117" s="166"/>
      <c r="M1117" s="167" t="s">
        <v>19</v>
      </c>
      <c r="N1117" s="168" t="s">
        <v>42</v>
      </c>
      <c r="P1117" s="136">
        <f>O1117*H1117</f>
        <v>0</v>
      </c>
      <c r="Q1117" s="136">
        <v>2.64E-3</v>
      </c>
      <c r="R1117" s="136">
        <f>Q1117*H1117</f>
        <v>1.3873279200000002</v>
      </c>
      <c r="S1117" s="136">
        <v>0</v>
      </c>
      <c r="T1117" s="137">
        <f>S1117*H1117</f>
        <v>0</v>
      </c>
      <c r="AR1117" s="138" t="s">
        <v>333</v>
      </c>
      <c r="AT1117" s="138" t="s">
        <v>413</v>
      </c>
      <c r="AU1117" s="138" t="s">
        <v>81</v>
      </c>
      <c r="AY1117" s="17" t="s">
        <v>127</v>
      </c>
      <c r="BE1117" s="139">
        <f>IF(N1117="základní",J1117,0)</f>
        <v>0</v>
      </c>
      <c r="BF1117" s="139">
        <f>IF(N1117="snížená",J1117,0)</f>
        <v>0</v>
      </c>
      <c r="BG1117" s="139">
        <f>IF(N1117="zákl. přenesená",J1117,0)</f>
        <v>0</v>
      </c>
      <c r="BH1117" s="139">
        <f>IF(N1117="sníž. přenesená",J1117,0)</f>
        <v>0</v>
      </c>
      <c r="BI1117" s="139">
        <f>IF(N1117="nulová",J1117,0)</f>
        <v>0</v>
      </c>
      <c r="BJ1117" s="17" t="s">
        <v>79</v>
      </c>
      <c r="BK1117" s="139">
        <f>ROUND(I1117*H1117,2)</f>
        <v>0</v>
      </c>
      <c r="BL1117" s="17" t="s">
        <v>229</v>
      </c>
      <c r="BM1117" s="138" t="s">
        <v>2333</v>
      </c>
    </row>
    <row r="1118" spans="2:65" s="12" customFormat="1">
      <c r="B1118" s="144"/>
      <c r="D1118" s="145" t="s">
        <v>138</v>
      </c>
      <c r="F1118" s="147" t="s">
        <v>2334</v>
      </c>
      <c r="H1118" s="148">
        <v>525.50300000000004</v>
      </c>
      <c r="I1118" s="149"/>
      <c r="L1118" s="144"/>
      <c r="M1118" s="150"/>
      <c r="T1118" s="151"/>
      <c r="AT1118" s="146" t="s">
        <v>138</v>
      </c>
      <c r="AU1118" s="146" t="s">
        <v>81</v>
      </c>
      <c r="AV1118" s="12" t="s">
        <v>81</v>
      </c>
      <c r="AW1118" s="12" t="s">
        <v>4</v>
      </c>
      <c r="AX1118" s="12" t="s">
        <v>79</v>
      </c>
      <c r="AY1118" s="146" t="s">
        <v>127</v>
      </c>
    </row>
    <row r="1119" spans="2:65" s="1" customFormat="1" ht="16.5" customHeight="1">
      <c r="B1119" s="32"/>
      <c r="C1119" s="127" t="s">
        <v>2335</v>
      </c>
      <c r="D1119" s="127" t="s">
        <v>129</v>
      </c>
      <c r="E1119" s="128" t="s">
        <v>2336</v>
      </c>
      <c r="F1119" s="129" t="s">
        <v>2337</v>
      </c>
      <c r="G1119" s="130" t="s">
        <v>257</v>
      </c>
      <c r="H1119" s="131">
        <v>261.88</v>
      </c>
      <c r="I1119" s="132"/>
      <c r="J1119" s="133">
        <f>ROUND(I1119*H1119,2)</f>
        <v>0</v>
      </c>
      <c r="K1119" s="129" t="s">
        <v>133</v>
      </c>
      <c r="L1119" s="32"/>
      <c r="M1119" s="134" t="s">
        <v>19</v>
      </c>
      <c r="N1119" s="135" t="s">
        <v>42</v>
      </c>
      <c r="P1119" s="136">
        <f>O1119*H1119</f>
        <v>0</v>
      </c>
      <c r="Q1119" s="136">
        <v>1.0000000000000001E-5</v>
      </c>
      <c r="R1119" s="136">
        <f>Q1119*H1119</f>
        <v>2.6188000000000001E-3</v>
      </c>
      <c r="S1119" s="136">
        <v>0</v>
      </c>
      <c r="T1119" s="137">
        <f>S1119*H1119</f>
        <v>0</v>
      </c>
      <c r="AR1119" s="138" t="s">
        <v>229</v>
      </c>
      <c r="AT1119" s="138" t="s">
        <v>129</v>
      </c>
      <c r="AU1119" s="138" t="s">
        <v>81</v>
      </c>
      <c r="AY1119" s="17" t="s">
        <v>127</v>
      </c>
      <c r="BE1119" s="139">
        <f>IF(N1119="základní",J1119,0)</f>
        <v>0</v>
      </c>
      <c r="BF1119" s="139">
        <f>IF(N1119="snížená",J1119,0)</f>
        <v>0</v>
      </c>
      <c r="BG1119" s="139">
        <f>IF(N1119="zákl. přenesená",J1119,0)</f>
        <v>0</v>
      </c>
      <c r="BH1119" s="139">
        <f>IF(N1119="sníž. přenesená",J1119,0)</f>
        <v>0</v>
      </c>
      <c r="BI1119" s="139">
        <f>IF(N1119="nulová",J1119,0)</f>
        <v>0</v>
      </c>
      <c r="BJ1119" s="17" t="s">
        <v>79</v>
      </c>
      <c r="BK1119" s="139">
        <f>ROUND(I1119*H1119,2)</f>
        <v>0</v>
      </c>
      <c r="BL1119" s="17" t="s">
        <v>229</v>
      </c>
      <c r="BM1119" s="138" t="s">
        <v>2338</v>
      </c>
    </row>
    <row r="1120" spans="2:65" s="1" customFormat="1">
      <c r="B1120" s="32"/>
      <c r="D1120" s="140" t="s">
        <v>136</v>
      </c>
      <c r="F1120" s="141" t="s">
        <v>2339</v>
      </c>
      <c r="I1120" s="142"/>
      <c r="L1120" s="32"/>
      <c r="M1120" s="143"/>
      <c r="T1120" s="51"/>
      <c r="AT1120" s="17" t="s">
        <v>136</v>
      </c>
      <c r="AU1120" s="17" t="s">
        <v>81</v>
      </c>
    </row>
    <row r="1121" spans="2:65" s="12" customFormat="1" ht="22.5">
      <c r="B1121" s="144"/>
      <c r="D1121" s="145" t="s">
        <v>138</v>
      </c>
      <c r="E1121" s="146" t="s">
        <v>19</v>
      </c>
      <c r="F1121" s="147" t="s">
        <v>2340</v>
      </c>
      <c r="H1121" s="148">
        <v>261.88</v>
      </c>
      <c r="I1121" s="149"/>
      <c r="L1121" s="144"/>
      <c r="M1121" s="150"/>
      <c r="T1121" s="151"/>
      <c r="AT1121" s="146" t="s">
        <v>138</v>
      </c>
      <c r="AU1121" s="146" t="s">
        <v>81</v>
      </c>
      <c r="AV1121" s="12" t="s">
        <v>81</v>
      </c>
      <c r="AW1121" s="12" t="s">
        <v>33</v>
      </c>
      <c r="AX1121" s="12" t="s">
        <v>79</v>
      </c>
      <c r="AY1121" s="146" t="s">
        <v>127</v>
      </c>
    </row>
    <row r="1122" spans="2:65" s="1" customFormat="1" ht="16.5" customHeight="1">
      <c r="B1122" s="32"/>
      <c r="C1122" s="159" t="s">
        <v>2341</v>
      </c>
      <c r="D1122" s="159" t="s">
        <v>413</v>
      </c>
      <c r="E1122" s="160" t="s">
        <v>2342</v>
      </c>
      <c r="F1122" s="161" t="s">
        <v>2343</v>
      </c>
      <c r="G1122" s="162" t="s">
        <v>257</v>
      </c>
      <c r="H1122" s="163">
        <v>288.06799999999998</v>
      </c>
      <c r="I1122" s="164"/>
      <c r="J1122" s="165">
        <f>ROUND(I1122*H1122,2)</f>
        <v>0</v>
      </c>
      <c r="K1122" s="161" t="s">
        <v>133</v>
      </c>
      <c r="L1122" s="166"/>
      <c r="M1122" s="167" t="s">
        <v>19</v>
      </c>
      <c r="N1122" s="168" t="s">
        <v>42</v>
      </c>
      <c r="P1122" s="136">
        <f>O1122*H1122</f>
        <v>0</v>
      </c>
      <c r="Q1122" s="136">
        <v>2.9999999999999997E-4</v>
      </c>
      <c r="R1122" s="136">
        <f>Q1122*H1122</f>
        <v>8.6420399999999994E-2</v>
      </c>
      <c r="S1122" s="136">
        <v>0</v>
      </c>
      <c r="T1122" s="137">
        <f>S1122*H1122</f>
        <v>0</v>
      </c>
      <c r="AR1122" s="138" t="s">
        <v>333</v>
      </c>
      <c r="AT1122" s="138" t="s">
        <v>413</v>
      </c>
      <c r="AU1122" s="138" t="s">
        <v>81</v>
      </c>
      <c r="AY1122" s="17" t="s">
        <v>127</v>
      </c>
      <c r="BE1122" s="139">
        <f>IF(N1122="základní",J1122,0)</f>
        <v>0</v>
      </c>
      <c r="BF1122" s="139">
        <f>IF(N1122="snížená",J1122,0)</f>
        <v>0</v>
      </c>
      <c r="BG1122" s="139">
        <f>IF(N1122="zákl. přenesená",J1122,0)</f>
        <v>0</v>
      </c>
      <c r="BH1122" s="139">
        <f>IF(N1122="sníž. přenesená",J1122,0)</f>
        <v>0</v>
      </c>
      <c r="BI1122" s="139">
        <f>IF(N1122="nulová",J1122,0)</f>
        <v>0</v>
      </c>
      <c r="BJ1122" s="17" t="s">
        <v>79</v>
      </c>
      <c r="BK1122" s="139">
        <f>ROUND(I1122*H1122,2)</f>
        <v>0</v>
      </c>
      <c r="BL1122" s="17" t="s">
        <v>229</v>
      </c>
      <c r="BM1122" s="138" t="s">
        <v>2344</v>
      </c>
    </row>
    <row r="1123" spans="2:65" s="12" customFormat="1">
      <c r="B1123" s="144"/>
      <c r="D1123" s="145" t="s">
        <v>138</v>
      </c>
      <c r="F1123" s="147" t="s">
        <v>2345</v>
      </c>
      <c r="H1123" s="148">
        <v>288.06799999999998</v>
      </c>
      <c r="I1123" s="149"/>
      <c r="L1123" s="144"/>
      <c r="M1123" s="150"/>
      <c r="T1123" s="151"/>
      <c r="AT1123" s="146" t="s">
        <v>138</v>
      </c>
      <c r="AU1123" s="146" t="s">
        <v>81</v>
      </c>
      <c r="AV1123" s="12" t="s">
        <v>81</v>
      </c>
      <c r="AW1123" s="12" t="s">
        <v>4</v>
      </c>
      <c r="AX1123" s="12" t="s">
        <v>79</v>
      </c>
      <c r="AY1123" s="146" t="s">
        <v>127</v>
      </c>
    </row>
    <row r="1124" spans="2:65" s="1" customFormat="1" ht="16.5" customHeight="1">
      <c r="B1124" s="32"/>
      <c r="C1124" s="127" t="s">
        <v>2346</v>
      </c>
      <c r="D1124" s="127" t="s">
        <v>129</v>
      </c>
      <c r="E1124" s="128" t="s">
        <v>2347</v>
      </c>
      <c r="F1124" s="129" t="s">
        <v>2348</v>
      </c>
      <c r="G1124" s="130" t="s">
        <v>132</v>
      </c>
      <c r="H1124" s="131">
        <v>477.73</v>
      </c>
      <c r="I1124" s="132"/>
      <c r="J1124" s="133">
        <f>ROUND(I1124*H1124,2)</f>
        <v>0</v>
      </c>
      <c r="K1124" s="129" t="s">
        <v>133</v>
      </c>
      <c r="L1124" s="32"/>
      <c r="M1124" s="134" t="s">
        <v>19</v>
      </c>
      <c r="N1124" s="135" t="s">
        <v>42</v>
      </c>
      <c r="P1124" s="136">
        <f>O1124*H1124</f>
        <v>0</v>
      </c>
      <c r="Q1124" s="136">
        <v>0</v>
      </c>
      <c r="R1124" s="136">
        <f>Q1124*H1124</f>
        <v>0</v>
      </c>
      <c r="S1124" s="136">
        <v>0</v>
      </c>
      <c r="T1124" s="137">
        <f>S1124*H1124</f>
        <v>0</v>
      </c>
      <c r="AR1124" s="138" t="s">
        <v>229</v>
      </c>
      <c r="AT1124" s="138" t="s">
        <v>129</v>
      </c>
      <c r="AU1124" s="138" t="s">
        <v>81</v>
      </c>
      <c r="AY1124" s="17" t="s">
        <v>127</v>
      </c>
      <c r="BE1124" s="139">
        <f>IF(N1124="základní",J1124,0)</f>
        <v>0</v>
      </c>
      <c r="BF1124" s="139">
        <f>IF(N1124="snížená",J1124,0)</f>
        <v>0</v>
      </c>
      <c r="BG1124" s="139">
        <f>IF(N1124="zákl. přenesená",J1124,0)</f>
        <v>0</v>
      </c>
      <c r="BH1124" s="139">
        <f>IF(N1124="sníž. přenesená",J1124,0)</f>
        <v>0</v>
      </c>
      <c r="BI1124" s="139">
        <f>IF(N1124="nulová",J1124,0)</f>
        <v>0</v>
      </c>
      <c r="BJ1124" s="17" t="s">
        <v>79</v>
      </c>
      <c r="BK1124" s="139">
        <f>ROUND(I1124*H1124,2)</f>
        <v>0</v>
      </c>
      <c r="BL1124" s="17" t="s">
        <v>229</v>
      </c>
      <c r="BM1124" s="138" t="s">
        <v>2349</v>
      </c>
    </row>
    <row r="1125" spans="2:65" s="1" customFormat="1">
      <c r="B1125" s="32"/>
      <c r="D1125" s="140" t="s">
        <v>136</v>
      </c>
      <c r="F1125" s="141" t="s">
        <v>2350</v>
      </c>
      <c r="I1125" s="142"/>
      <c r="L1125" s="32"/>
      <c r="M1125" s="143"/>
      <c r="T1125" s="51"/>
      <c r="AT1125" s="17" t="s">
        <v>136</v>
      </c>
      <c r="AU1125" s="17" t="s">
        <v>81</v>
      </c>
    </row>
    <row r="1126" spans="2:65" s="12" customFormat="1">
      <c r="B1126" s="144"/>
      <c r="D1126" s="145" t="s">
        <v>138</v>
      </c>
      <c r="E1126" s="146" t="s">
        <v>19</v>
      </c>
      <c r="F1126" s="147" t="s">
        <v>2314</v>
      </c>
      <c r="H1126" s="148">
        <v>477.73</v>
      </c>
      <c r="I1126" s="149"/>
      <c r="L1126" s="144"/>
      <c r="M1126" s="150"/>
      <c r="T1126" s="151"/>
      <c r="AT1126" s="146" t="s">
        <v>138</v>
      </c>
      <c r="AU1126" s="146" t="s">
        <v>81</v>
      </c>
      <c r="AV1126" s="12" t="s">
        <v>81</v>
      </c>
      <c r="AW1126" s="12" t="s">
        <v>33</v>
      </c>
      <c r="AX1126" s="12" t="s">
        <v>79</v>
      </c>
      <c r="AY1126" s="146" t="s">
        <v>127</v>
      </c>
    </row>
    <row r="1127" spans="2:65" s="1" customFormat="1" ht="24.2" customHeight="1">
      <c r="B1127" s="32"/>
      <c r="C1127" s="127" t="s">
        <v>2351</v>
      </c>
      <c r="D1127" s="127" t="s">
        <v>129</v>
      </c>
      <c r="E1127" s="128" t="s">
        <v>2352</v>
      </c>
      <c r="F1127" s="129" t="s">
        <v>2353</v>
      </c>
      <c r="G1127" s="130" t="s">
        <v>425</v>
      </c>
      <c r="H1127" s="169"/>
      <c r="I1127" s="132"/>
      <c r="J1127" s="133">
        <f>ROUND(I1127*H1127,2)</f>
        <v>0</v>
      </c>
      <c r="K1127" s="129" t="s">
        <v>133</v>
      </c>
      <c r="L1127" s="32"/>
      <c r="M1127" s="134" t="s">
        <v>19</v>
      </c>
      <c r="N1127" s="135" t="s">
        <v>42</v>
      </c>
      <c r="P1127" s="136">
        <f>O1127*H1127</f>
        <v>0</v>
      </c>
      <c r="Q1127" s="136">
        <v>0</v>
      </c>
      <c r="R1127" s="136">
        <f>Q1127*H1127</f>
        <v>0</v>
      </c>
      <c r="S1127" s="136">
        <v>0</v>
      </c>
      <c r="T1127" s="137">
        <f>S1127*H1127</f>
        <v>0</v>
      </c>
      <c r="AR1127" s="138" t="s">
        <v>229</v>
      </c>
      <c r="AT1127" s="138" t="s">
        <v>129</v>
      </c>
      <c r="AU1127" s="138" t="s">
        <v>81</v>
      </c>
      <c r="AY1127" s="17" t="s">
        <v>127</v>
      </c>
      <c r="BE1127" s="139">
        <f>IF(N1127="základní",J1127,0)</f>
        <v>0</v>
      </c>
      <c r="BF1127" s="139">
        <f>IF(N1127="snížená",J1127,0)</f>
        <v>0</v>
      </c>
      <c r="BG1127" s="139">
        <f>IF(N1127="zákl. přenesená",J1127,0)</f>
        <v>0</v>
      </c>
      <c r="BH1127" s="139">
        <f>IF(N1127="sníž. přenesená",J1127,0)</f>
        <v>0</v>
      </c>
      <c r="BI1127" s="139">
        <f>IF(N1127="nulová",J1127,0)</f>
        <v>0</v>
      </c>
      <c r="BJ1127" s="17" t="s">
        <v>79</v>
      </c>
      <c r="BK1127" s="139">
        <f>ROUND(I1127*H1127,2)</f>
        <v>0</v>
      </c>
      <c r="BL1127" s="17" t="s">
        <v>229</v>
      </c>
      <c r="BM1127" s="138" t="s">
        <v>2354</v>
      </c>
    </row>
    <row r="1128" spans="2:65" s="1" customFormat="1">
      <c r="B1128" s="32"/>
      <c r="D1128" s="140" t="s">
        <v>136</v>
      </c>
      <c r="F1128" s="141" t="s">
        <v>2355</v>
      </c>
      <c r="I1128" s="142"/>
      <c r="L1128" s="32"/>
      <c r="M1128" s="143"/>
      <c r="T1128" s="51"/>
      <c r="AT1128" s="17" t="s">
        <v>136</v>
      </c>
      <c r="AU1128" s="17" t="s">
        <v>81</v>
      </c>
    </row>
    <row r="1129" spans="2:65" s="11" customFormat="1" ht="22.9" customHeight="1">
      <c r="B1129" s="115"/>
      <c r="D1129" s="116" t="s">
        <v>70</v>
      </c>
      <c r="E1129" s="125" t="s">
        <v>2356</v>
      </c>
      <c r="F1129" s="125" t="s">
        <v>2357</v>
      </c>
      <c r="I1129" s="118"/>
      <c r="J1129" s="126">
        <f>BK1129</f>
        <v>0</v>
      </c>
      <c r="L1129" s="115"/>
      <c r="M1129" s="120"/>
      <c r="P1129" s="121">
        <f>SUM(P1130:P1146)</f>
        <v>0</v>
      </c>
      <c r="R1129" s="121">
        <f>SUM(R1130:R1146)</f>
        <v>0.20109399999999999</v>
      </c>
      <c r="T1129" s="122">
        <f>SUM(T1130:T1146)</f>
        <v>0</v>
      </c>
      <c r="AR1129" s="116" t="s">
        <v>81</v>
      </c>
      <c r="AT1129" s="123" t="s">
        <v>70</v>
      </c>
      <c r="AU1129" s="123" t="s">
        <v>79</v>
      </c>
      <c r="AY1129" s="116" t="s">
        <v>127</v>
      </c>
      <c r="BK1129" s="124">
        <f>SUM(BK1130:BK1146)</f>
        <v>0</v>
      </c>
    </row>
    <row r="1130" spans="2:65" s="1" customFormat="1" ht="16.5" customHeight="1">
      <c r="B1130" s="32"/>
      <c r="C1130" s="127" t="s">
        <v>2358</v>
      </c>
      <c r="D1130" s="127" t="s">
        <v>129</v>
      </c>
      <c r="E1130" s="128" t="s">
        <v>2359</v>
      </c>
      <c r="F1130" s="129" t="s">
        <v>2360</v>
      </c>
      <c r="G1130" s="130" t="s">
        <v>132</v>
      </c>
      <c r="H1130" s="131">
        <v>26.44</v>
      </c>
      <c r="I1130" s="132"/>
      <c r="J1130" s="133">
        <f>ROUND(I1130*H1130,2)</f>
        <v>0</v>
      </c>
      <c r="K1130" s="129" t="s">
        <v>133</v>
      </c>
      <c r="L1130" s="32"/>
      <c r="M1130" s="134" t="s">
        <v>19</v>
      </c>
      <c r="N1130" s="135" t="s">
        <v>42</v>
      </c>
      <c r="P1130" s="136">
        <f>O1130*H1130</f>
        <v>0</v>
      </c>
      <c r="Q1130" s="136">
        <v>0</v>
      </c>
      <c r="R1130" s="136">
        <f>Q1130*H1130</f>
        <v>0</v>
      </c>
      <c r="S1130" s="136">
        <v>0</v>
      </c>
      <c r="T1130" s="137">
        <f>S1130*H1130</f>
        <v>0</v>
      </c>
      <c r="AR1130" s="138" t="s">
        <v>229</v>
      </c>
      <c r="AT1130" s="138" t="s">
        <v>129</v>
      </c>
      <c r="AU1130" s="138" t="s">
        <v>81</v>
      </c>
      <c r="AY1130" s="17" t="s">
        <v>127</v>
      </c>
      <c r="BE1130" s="139">
        <f>IF(N1130="základní",J1130,0)</f>
        <v>0</v>
      </c>
      <c r="BF1130" s="139">
        <f>IF(N1130="snížená",J1130,0)</f>
        <v>0</v>
      </c>
      <c r="BG1130" s="139">
        <f>IF(N1130="zákl. přenesená",J1130,0)</f>
        <v>0</v>
      </c>
      <c r="BH1130" s="139">
        <f>IF(N1130="sníž. přenesená",J1130,0)</f>
        <v>0</v>
      </c>
      <c r="BI1130" s="139">
        <f>IF(N1130="nulová",J1130,0)</f>
        <v>0</v>
      </c>
      <c r="BJ1130" s="17" t="s">
        <v>79</v>
      </c>
      <c r="BK1130" s="139">
        <f>ROUND(I1130*H1130,2)</f>
        <v>0</v>
      </c>
      <c r="BL1130" s="17" t="s">
        <v>229</v>
      </c>
      <c r="BM1130" s="138" t="s">
        <v>2361</v>
      </c>
    </row>
    <row r="1131" spans="2:65" s="1" customFormat="1">
      <c r="B1131" s="32"/>
      <c r="D1131" s="140" t="s">
        <v>136</v>
      </c>
      <c r="F1131" s="141" t="s">
        <v>2362</v>
      </c>
      <c r="I1131" s="142"/>
      <c r="L1131" s="32"/>
      <c r="M1131" s="143"/>
      <c r="T1131" s="51"/>
      <c r="AT1131" s="17" t="s">
        <v>136</v>
      </c>
      <c r="AU1131" s="17" t="s">
        <v>81</v>
      </c>
    </row>
    <row r="1132" spans="2:65" s="12" customFormat="1">
      <c r="B1132" s="144"/>
      <c r="D1132" s="145" t="s">
        <v>138</v>
      </c>
      <c r="E1132" s="146" t="s">
        <v>19</v>
      </c>
      <c r="F1132" s="147" t="s">
        <v>2363</v>
      </c>
      <c r="H1132" s="148">
        <v>26.44</v>
      </c>
      <c r="I1132" s="149"/>
      <c r="L1132" s="144"/>
      <c r="M1132" s="150"/>
      <c r="T1132" s="151"/>
      <c r="AT1132" s="146" t="s">
        <v>138</v>
      </c>
      <c r="AU1132" s="146" t="s">
        <v>81</v>
      </c>
      <c r="AV1132" s="12" t="s">
        <v>81</v>
      </c>
      <c r="AW1132" s="12" t="s">
        <v>33</v>
      </c>
      <c r="AX1132" s="12" t="s">
        <v>79</v>
      </c>
      <c r="AY1132" s="146" t="s">
        <v>127</v>
      </c>
    </row>
    <row r="1133" spans="2:65" s="1" customFormat="1" ht="16.5" customHeight="1">
      <c r="B1133" s="32"/>
      <c r="C1133" s="127" t="s">
        <v>2364</v>
      </c>
      <c r="D1133" s="127" t="s">
        <v>129</v>
      </c>
      <c r="E1133" s="128" t="s">
        <v>2365</v>
      </c>
      <c r="F1133" s="129" t="s">
        <v>2366</v>
      </c>
      <c r="G1133" s="130" t="s">
        <v>132</v>
      </c>
      <c r="H1133" s="131">
        <v>26.44</v>
      </c>
      <c r="I1133" s="132"/>
      <c r="J1133" s="133">
        <f>ROUND(I1133*H1133,2)</f>
        <v>0</v>
      </c>
      <c r="K1133" s="129" t="s">
        <v>133</v>
      </c>
      <c r="L1133" s="32"/>
      <c r="M1133" s="134" t="s">
        <v>19</v>
      </c>
      <c r="N1133" s="135" t="s">
        <v>42</v>
      </c>
      <c r="P1133" s="136">
        <f>O1133*H1133</f>
        <v>0</v>
      </c>
      <c r="Q1133" s="136">
        <v>2.9999999999999997E-4</v>
      </c>
      <c r="R1133" s="136">
        <f>Q1133*H1133</f>
        <v>7.9319999999999998E-3</v>
      </c>
      <c r="S1133" s="136">
        <v>0</v>
      </c>
      <c r="T1133" s="137">
        <f>S1133*H1133</f>
        <v>0</v>
      </c>
      <c r="AR1133" s="138" t="s">
        <v>229</v>
      </c>
      <c r="AT1133" s="138" t="s">
        <v>129</v>
      </c>
      <c r="AU1133" s="138" t="s">
        <v>81</v>
      </c>
      <c r="AY1133" s="17" t="s">
        <v>127</v>
      </c>
      <c r="BE1133" s="139">
        <f>IF(N1133="základní",J1133,0)</f>
        <v>0</v>
      </c>
      <c r="BF1133" s="139">
        <f>IF(N1133="snížená",J1133,0)</f>
        <v>0</v>
      </c>
      <c r="BG1133" s="139">
        <f>IF(N1133="zákl. přenesená",J1133,0)</f>
        <v>0</v>
      </c>
      <c r="BH1133" s="139">
        <f>IF(N1133="sníž. přenesená",J1133,0)</f>
        <v>0</v>
      </c>
      <c r="BI1133" s="139">
        <f>IF(N1133="nulová",J1133,0)</f>
        <v>0</v>
      </c>
      <c r="BJ1133" s="17" t="s">
        <v>79</v>
      </c>
      <c r="BK1133" s="139">
        <f>ROUND(I1133*H1133,2)</f>
        <v>0</v>
      </c>
      <c r="BL1133" s="17" t="s">
        <v>229</v>
      </c>
      <c r="BM1133" s="138" t="s">
        <v>2367</v>
      </c>
    </row>
    <row r="1134" spans="2:65" s="1" customFormat="1">
      <c r="B1134" s="32"/>
      <c r="D1134" s="140" t="s">
        <v>136</v>
      </c>
      <c r="F1134" s="141" t="s">
        <v>2368</v>
      </c>
      <c r="I1134" s="142"/>
      <c r="L1134" s="32"/>
      <c r="M1134" s="143"/>
      <c r="T1134" s="51"/>
      <c r="AT1134" s="17" t="s">
        <v>136</v>
      </c>
      <c r="AU1134" s="17" t="s">
        <v>81</v>
      </c>
    </row>
    <row r="1135" spans="2:65" s="12" customFormat="1">
      <c r="B1135" s="144"/>
      <c r="D1135" s="145" t="s">
        <v>138</v>
      </c>
      <c r="E1135" s="146" t="s">
        <v>19</v>
      </c>
      <c r="F1135" s="147" t="s">
        <v>2363</v>
      </c>
      <c r="H1135" s="148">
        <v>26.44</v>
      </c>
      <c r="I1135" s="149"/>
      <c r="L1135" s="144"/>
      <c r="M1135" s="150"/>
      <c r="T1135" s="151"/>
      <c r="AT1135" s="146" t="s">
        <v>138</v>
      </c>
      <c r="AU1135" s="146" t="s">
        <v>81</v>
      </c>
      <c r="AV1135" s="12" t="s">
        <v>81</v>
      </c>
      <c r="AW1135" s="12" t="s">
        <v>33</v>
      </c>
      <c r="AX1135" s="12" t="s">
        <v>79</v>
      </c>
      <c r="AY1135" s="146" t="s">
        <v>127</v>
      </c>
    </row>
    <row r="1136" spans="2:65" s="1" customFormat="1" ht="16.5" customHeight="1">
      <c r="B1136" s="32"/>
      <c r="C1136" s="127" t="s">
        <v>2369</v>
      </c>
      <c r="D1136" s="127" t="s">
        <v>129</v>
      </c>
      <c r="E1136" s="128" t="s">
        <v>2370</v>
      </c>
      <c r="F1136" s="129" t="s">
        <v>2371</v>
      </c>
      <c r="G1136" s="130" t="s">
        <v>132</v>
      </c>
      <c r="H1136" s="131">
        <v>26.44</v>
      </c>
      <c r="I1136" s="132"/>
      <c r="J1136" s="133">
        <f>ROUND(I1136*H1136,2)</f>
        <v>0</v>
      </c>
      <c r="K1136" s="129" t="s">
        <v>133</v>
      </c>
      <c r="L1136" s="32"/>
      <c r="M1136" s="134" t="s">
        <v>19</v>
      </c>
      <c r="N1136" s="135" t="s">
        <v>42</v>
      </c>
      <c r="P1136" s="136">
        <f>O1136*H1136</f>
        <v>0</v>
      </c>
      <c r="Q1136" s="136">
        <v>3.2000000000000002E-3</v>
      </c>
      <c r="R1136" s="136">
        <f>Q1136*H1136</f>
        <v>8.4608000000000003E-2</v>
      </c>
      <c r="S1136" s="136">
        <v>0</v>
      </c>
      <c r="T1136" s="137">
        <f>S1136*H1136</f>
        <v>0</v>
      </c>
      <c r="AR1136" s="138" t="s">
        <v>229</v>
      </c>
      <c r="AT1136" s="138" t="s">
        <v>129</v>
      </c>
      <c r="AU1136" s="138" t="s">
        <v>81</v>
      </c>
      <c r="AY1136" s="17" t="s">
        <v>127</v>
      </c>
      <c r="BE1136" s="139">
        <f>IF(N1136="základní",J1136,0)</f>
        <v>0</v>
      </c>
      <c r="BF1136" s="139">
        <f>IF(N1136="snížená",J1136,0)</f>
        <v>0</v>
      </c>
      <c r="BG1136" s="139">
        <f>IF(N1136="zákl. přenesená",J1136,0)</f>
        <v>0</v>
      </c>
      <c r="BH1136" s="139">
        <f>IF(N1136="sníž. přenesená",J1136,0)</f>
        <v>0</v>
      </c>
      <c r="BI1136" s="139">
        <f>IF(N1136="nulová",J1136,0)</f>
        <v>0</v>
      </c>
      <c r="BJ1136" s="17" t="s">
        <v>79</v>
      </c>
      <c r="BK1136" s="139">
        <f>ROUND(I1136*H1136,2)</f>
        <v>0</v>
      </c>
      <c r="BL1136" s="17" t="s">
        <v>229</v>
      </c>
      <c r="BM1136" s="138" t="s">
        <v>2372</v>
      </c>
    </row>
    <row r="1137" spans="2:65" s="1" customFormat="1">
      <c r="B1137" s="32"/>
      <c r="D1137" s="140" t="s">
        <v>136</v>
      </c>
      <c r="F1137" s="141" t="s">
        <v>2373</v>
      </c>
      <c r="I1137" s="142"/>
      <c r="L1137" s="32"/>
      <c r="M1137" s="143"/>
      <c r="T1137" s="51"/>
      <c r="AT1137" s="17" t="s">
        <v>136</v>
      </c>
      <c r="AU1137" s="17" t="s">
        <v>81</v>
      </c>
    </row>
    <row r="1138" spans="2:65" s="12" customFormat="1">
      <c r="B1138" s="144"/>
      <c r="D1138" s="145" t="s">
        <v>138</v>
      </c>
      <c r="E1138" s="146" t="s">
        <v>19</v>
      </c>
      <c r="F1138" s="147" t="s">
        <v>2363</v>
      </c>
      <c r="H1138" s="148">
        <v>26.44</v>
      </c>
      <c r="I1138" s="149"/>
      <c r="L1138" s="144"/>
      <c r="M1138" s="150"/>
      <c r="T1138" s="151"/>
      <c r="AT1138" s="146" t="s">
        <v>138</v>
      </c>
      <c r="AU1138" s="146" t="s">
        <v>81</v>
      </c>
      <c r="AV1138" s="12" t="s">
        <v>81</v>
      </c>
      <c r="AW1138" s="12" t="s">
        <v>33</v>
      </c>
      <c r="AX1138" s="12" t="s">
        <v>79</v>
      </c>
      <c r="AY1138" s="146" t="s">
        <v>127</v>
      </c>
    </row>
    <row r="1139" spans="2:65" s="1" customFormat="1" ht="16.5" customHeight="1">
      <c r="B1139" s="32"/>
      <c r="C1139" s="127" t="s">
        <v>2374</v>
      </c>
      <c r="D1139" s="127" t="s">
        <v>129</v>
      </c>
      <c r="E1139" s="128" t="s">
        <v>2375</v>
      </c>
      <c r="F1139" s="129" t="s">
        <v>2376</v>
      </c>
      <c r="G1139" s="130" t="s">
        <v>132</v>
      </c>
      <c r="H1139" s="131">
        <v>26.44</v>
      </c>
      <c r="I1139" s="132"/>
      <c r="J1139" s="133">
        <f>ROUND(I1139*H1139,2)</f>
        <v>0</v>
      </c>
      <c r="K1139" s="129" t="s">
        <v>133</v>
      </c>
      <c r="L1139" s="32"/>
      <c r="M1139" s="134" t="s">
        <v>19</v>
      </c>
      <c r="N1139" s="135" t="s">
        <v>42</v>
      </c>
      <c r="P1139" s="136">
        <f>O1139*H1139</f>
        <v>0</v>
      </c>
      <c r="Q1139" s="136">
        <v>2.4000000000000001E-4</v>
      </c>
      <c r="R1139" s="136">
        <f>Q1139*H1139</f>
        <v>6.3456000000000007E-3</v>
      </c>
      <c r="S1139" s="136">
        <v>0</v>
      </c>
      <c r="T1139" s="137">
        <f>S1139*H1139</f>
        <v>0</v>
      </c>
      <c r="AR1139" s="138" t="s">
        <v>229</v>
      </c>
      <c r="AT1139" s="138" t="s">
        <v>129</v>
      </c>
      <c r="AU1139" s="138" t="s">
        <v>81</v>
      </c>
      <c r="AY1139" s="17" t="s">
        <v>127</v>
      </c>
      <c r="BE1139" s="139">
        <f>IF(N1139="základní",J1139,0)</f>
        <v>0</v>
      </c>
      <c r="BF1139" s="139">
        <f>IF(N1139="snížená",J1139,0)</f>
        <v>0</v>
      </c>
      <c r="BG1139" s="139">
        <f>IF(N1139="zákl. přenesená",J1139,0)</f>
        <v>0</v>
      </c>
      <c r="BH1139" s="139">
        <f>IF(N1139="sníž. přenesená",J1139,0)</f>
        <v>0</v>
      </c>
      <c r="BI1139" s="139">
        <f>IF(N1139="nulová",J1139,0)</f>
        <v>0</v>
      </c>
      <c r="BJ1139" s="17" t="s">
        <v>79</v>
      </c>
      <c r="BK1139" s="139">
        <f>ROUND(I1139*H1139,2)</f>
        <v>0</v>
      </c>
      <c r="BL1139" s="17" t="s">
        <v>229</v>
      </c>
      <c r="BM1139" s="138" t="s">
        <v>2377</v>
      </c>
    </row>
    <row r="1140" spans="2:65" s="1" customFormat="1">
      <c r="B1140" s="32"/>
      <c r="D1140" s="140" t="s">
        <v>136</v>
      </c>
      <c r="F1140" s="141" t="s">
        <v>2378</v>
      </c>
      <c r="I1140" s="142"/>
      <c r="L1140" s="32"/>
      <c r="M1140" s="143"/>
      <c r="T1140" s="51"/>
      <c r="AT1140" s="17" t="s">
        <v>136</v>
      </c>
      <c r="AU1140" s="17" t="s">
        <v>81</v>
      </c>
    </row>
    <row r="1141" spans="2:65" s="12" customFormat="1">
      <c r="B1141" s="144"/>
      <c r="D1141" s="145" t="s">
        <v>138</v>
      </c>
      <c r="E1141" s="146" t="s">
        <v>19</v>
      </c>
      <c r="F1141" s="147" t="s">
        <v>2363</v>
      </c>
      <c r="H1141" s="148">
        <v>26.44</v>
      </c>
      <c r="I1141" s="149"/>
      <c r="L1141" s="144"/>
      <c r="M1141" s="150"/>
      <c r="T1141" s="151"/>
      <c r="AT1141" s="146" t="s">
        <v>138</v>
      </c>
      <c r="AU1141" s="146" t="s">
        <v>81</v>
      </c>
      <c r="AV1141" s="12" t="s">
        <v>81</v>
      </c>
      <c r="AW1141" s="12" t="s">
        <v>33</v>
      </c>
      <c r="AX1141" s="12" t="s">
        <v>79</v>
      </c>
      <c r="AY1141" s="146" t="s">
        <v>127</v>
      </c>
    </row>
    <row r="1142" spans="2:65" s="1" customFormat="1" ht="24.2" customHeight="1">
      <c r="B1142" s="32"/>
      <c r="C1142" s="127" t="s">
        <v>2379</v>
      </c>
      <c r="D1142" s="127" t="s">
        <v>129</v>
      </c>
      <c r="E1142" s="128" t="s">
        <v>2380</v>
      </c>
      <c r="F1142" s="129" t="s">
        <v>2381</v>
      </c>
      <c r="G1142" s="130" t="s">
        <v>257</v>
      </c>
      <c r="H1142" s="131">
        <v>29.54</v>
      </c>
      <c r="I1142" s="132"/>
      <c r="J1142" s="133">
        <f>ROUND(I1142*H1142,2)</f>
        <v>0</v>
      </c>
      <c r="K1142" s="129" t="s">
        <v>133</v>
      </c>
      <c r="L1142" s="32"/>
      <c r="M1142" s="134" t="s">
        <v>19</v>
      </c>
      <c r="N1142" s="135" t="s">
        <v>42</v>
      </c>
      <c r="P1142" s="136">
        <f>O1142*H1142</f>
        <v>0</v>
      </c>
      <c r="Q1142" s="136">
        <v>3.46E-3</v>
      </c>
      <c r="R1142" s="136">
        <f>Q1142*H1142</f>
        <v>0.10220839999999999</v>
      </c>
      <c r="S1142" s="136">
        <v>0</v>
      </c>
      <c r="T1142" s="137">
        <f>S1142*H1142</f>
        <v>0</v>
      </c>
      <c r="AR1142" s="138" t="s">
        <v>229</v>
      </c>
      <c r="AT1142" s="138" t="s">
        <v>129</v>
      </c>
      <c r="AU1142" s="138" t="s">
        <v>81</v>
      </c>
      <c r="AY1142" s="17" t="s">
        <v>127</v>
      </c>
      <c r="BE1142" s="139">
        <f>IF(N1142="základní",J1142,0)</f>
        <v>0</v>
      </c>
      <c r="BF1142" s="139">
        <f>IF(N1142="snížená",J1142,0)</f>
        <v>0</v>
      </c>
      <c r="BG1142" s="139">
        <f>IF(N1142="zákl. přenesená",J1142,0)</f>
        <v>0</v>
      </c>
      <c r="BH1142" s="139">
        <f>IF(N1142="sníž. přenesená",J1142,0)</f>
        <v>0</v>
      </c>
      <c r="BI1142" s="139">
        <f>IF(N1142="nulová",J1142,0)</f>
        <v>0</v>
      </c>
      <c r="BJ1142" s="17" t="s">
        <v>79</v>
      </c>
      <c r="BK1142" s="139">
        <f>ROUND(I1142*H1142,2)</f>
        <v>0</v>
      </c>
      <c r="BL1142" s="17" t="s">
        <v>229</v>
      </c>
      <c r="BM1142" s="138" t="s">
        <v>2382</v>
      </c>
    </row>
    <row r="1143" spans="2:65" s="1" customFormat="1">
      <c r="B1143" s="32"/>
      <c r="D1143" s="140" t="s">
        <v>136</v>
      </c>
      <c r="F1143" s="141" t="s">
        <v>2383</v>
      </c>
      <c r="I1143" s="142"/>
      <c r="L1143" s="32"/>
      <c r="M1143" s="143"/>
      <c r="T1143" s="51"/>
      <c r="AT1143" s="17" t="s">
        <v>136</v>
      </c>
      <c r="AU1143" s="17" t="s">
        <v>81</v>
      </c>
    </row>
    <row r="1144" spans="2:65" s="12" customFormat="1">
      <c r="B1144" s="144"/>
      <c r="D1144" s="145" t="s">
        <v>138</v>
      </c>
      <c r="E1144" s="146" t="s">
        <v>19</v>
      </c>
      <c r="F1144" s="147" t="s">
        <v>2384</v>
      </c>
      <c r="H1144" s="148">
        <v>29.54</v>
      </c>
      <c r="I1144" s="149"/>
      <c r="L1144" s="144"/>
      <c r="M1144" s="150"/>
      <c r="T1144" s="151"/>
      <c r="AT1144" s="146" t="s">
        <v>138</v>
      </c>
      <c r="AU1144" s="146" t="s">
        <v>81</v>
      </c>
      <c r="AV1144" s="12" t="s">
        <v>81</v>
      </c>
      <c r="AW1144" s="12" t="s">
        <v>33</v>
      </c>
      <c r="AX1144" s="12" t="s">
        <v>79</v>
      </c>
      <c r="AY1144" s="146" t="s">
        <v>127</v>
      </c>
    </row>
    <row r="1145" spans="2:65" s="1" customFormat="1" ht="24.2" customHeight="1">
      <c r="B1145" s="32"/>
      <c r="C1145" s="127" t="s">
        <v>2385</v>
      </c>
      <c r="D1145" s="127" t="s">
        <v>129</v>
      </c>
      <c r="E1145" s="128" t="s">
        <v>2386</v>
      </c>
      <c r="F1145" s="129" t="s">
        <v>2387</v>
      </c>
      <c r="G1145" s="130" t="s">
        <v>425</v>
      </c>
      <c r="H1145" s="169"/>
      <c r="I1145" s="132"/>
      <c r="J1145" s="133">
        <f>ROUND(I1145*H1145,2)</f>
        <v>0</v>
      </c>
      <c r="K1145" s="129" t="s">
        <v>133</v>
      </c>
      <c r="L1145" s="32"/>
      <c r="M1145" s="134" t="s">
        <v>19</v>
      </c>
      <c r="N1145" s="135" t="s">
        <v>42</v>
      </c>
      <c r="P1145" s="136">
        <f>O1145*H1145</f>
        <v>0</v>
      </c>
      <c r="Q1145" s="136">
        <v>0</v>
      </c>
      <c r="R1145" s="136">
        <f>Q1145*H1145</f>
        <v>0</v>
      </c>
      <c r="S1145" s="136">
        <v>0</v>
      </c>
      <c r="T1145" s="137">
        <f>S1145*H1145</f>
        <v>0</v>
      </c>
      <c r="AR1145" s="138" t="s">
        <v>229</v>
      </c>
      <c r="AT1145" s="138" t="s">
        <v>129</v>
      </c>
      <c r="AU1145" s="138" t="s">
        <v>81</v>
      </c>
      <c r="AY1145" s="17" t="s">
        <v>127</v>
      </c>
      <c r="BE1145" s="139">
        <f>IF(N1145="základní",J1145,0)</f>
        <v>0</v>
      </c>
      <c r="BF1145" s="139">
        <f>IF(N1145="snížená",J1145,0)</f>
        <v>0</v>
      </c>
      <c r="BG1145" s="139">
        <f>IF(N1145="zákl. přenesená",J1145,0)</f>
        <v>0</v>
      </c>
      <c r="BH1145" s="139">
        <f>IF(N1145="sníž. přenesená",J1145,0)</f>
        <v>0</v>
      </c>
      <c r="BI1145" s="139">
        <f>IF(N1145="nulová",J1145,0)</f>
        <v>0</v>
      </c>
      <c r="BJ1145" s="17" t="s">
        <v>79</v>
      </c>
      <c r="BK1145" s="139">
        <f>ROUND(I1145*H1145,2)</f>
        <v>0</v>
      </c>
      <c r="BL1145" s="17" t="s">
        <v>229</v>
      </c>
      <c r="BM1145" s="138" t="s">
        <v>2388</v>
      </c>
    </row>
    <row r="1146" spans="2:65" s="1" customFormat="1">
      <c r="B1146" s="32"/>
      <c r="D1146" s="140" t="s">
        <v>136</v>
      </c>
      <c r="F1146" s="141" t="s">
        <v>2389</v>
      </c>
      <c r="I1146" s="142"/>
      <c r="L1146" s="32"/>
      <c r="M1146" s="143"/>
      <c r="T1146" s="51"/>
      <c r="AT1146" s="17" t="s">
        <v>136</v>
      </c>
      <c r="AU1146" s="17" t="s">
        <v>81</v>
      </c>
    </row>
    <row r="1147" spans="2:65" s="11" customFormat="1" ht="22.9" customHeight="1">
      <c r="B1147" s="115"/>
      <c r="D1147" s="116" t="s">
        <v>70</v>
      </c>
      <c r="E1147" s="125" t="s">
        <v>2390</v>
      </c>
      <c r="F1147" s="125" t="s">
        <v>2391</v>
      </c>
      <c r="I1147" s="118"/>
      <c r="J1147" s="126">
        <f>BK1147</f>
        <v>0</v>
      </c>
      <c r="L1147" s="115"/>
      <c r="M1147" s="120"/>
      <c r="P1147" s="121">
        <f>SUM(P1148:P1184)</f>
        <v>0</v>
      </c>
      <c r="R1147" s="121">
        <f>SUM(R1148:R1184)</f>
        <v>2.0207411999999998</v>
      </c>
      <c r="T1147" s="122">
        <f>SUM(T1148:T1184)</f>
        <v>0</v>
      </c>
      <c r="AR1147" s="116" t="s">
        <v>81</v>
      </c>
      <c r="AT1147" s="123" t="s">
        <v>70</v>
      </c>
      <c r="AU1147" s="123" t="s">
        <v>79</v>
      </c>
      <c r="AY1147" s="116" t="s">
        <v>127</v>
      </c>
      <c r="BK1147" s="124">
        <f>SUM(BK1148:BK1184)</f>
        <v>0</v>
      </c>
    </row>
    <row r="1148" spans="2:65" s="1" customFormat="1" ht="16.5" customHeight="1">
      <c r="B1148" s="32"/>
      <c r="C1148" s="127" t="s">
        <v>2392</v>
      </c>
      <c r="D1148" s="127" t="s">
        <v>129</v>
      </c>
      <c r="E1148" s="128" t="s">
        <v>2393</v>
      </c>
      <c r="F1148" s="129" t="s">
        <v>2394</v>
      </c>
      <c r="G1148" s="130" t="s">
        <v>132</v>
      </c>
      <c r="H1148" s="131">
        <v>103.39</v>
      </c>
      <c r="I1148" s="132"/>
      <c r="J1148" s="133">
        <f>ROUND(I1148*H1148,2)</f>
        <v>0</v>
      </c>
      <c r="K1148" s="129" t="s">
        <v>133</v>
      </c>
      <c r="L1148" s="32"/>
      <c r="M1148" s="134" t="s">
        <v>19</v>
      </c>
      <c r="N1148" s="135" t="s">
        <v>42</v>
      </c>
      <c r="P1148" s="136">
        <f>O1148*H1148</f>
        <v>0</v>
      </c>
      <c r="Q1148" s="136">
        <v>0</v>
      </c>
      <c r="R1148" s="136">
        <f>Q1148*H1148</f>
        <v>0</v>
      </c>
      <c r="S1148" s="136">
        <v>0</v>
      </c>
      <c r="T1148" s="137">
        <f>S1148*H1148</f>
        <v>0</v>
      </c>
      <c r="AR1148" s="138" t="s">
        <v>229</v>
      </c>
      <c r="AT1148" s="138" t="s">
        <v>129</v>
      </c>
      <c r="AU1148" s="138" t="s">
        <v>81</v>
      </c>
      <c r="AY1148" s="17" t="s">
        <v>127</v>
      </c>
      <c r="BE1148" s="139">
        <f>IF(N1148="základní",J1148,0)</f>
        <v>0</v>
      </c>
      <c r="BF1148" s="139">
        <f>IF(N1148="snížená",J1148,0)</f>
        <v>0</v>
      </c>
      <c r="BG1148" s="139">
        <f>IF(N1148="zákl. přenesená",J1148,0)</f>
        <v>0</v>
      </c>
      <c r="BH1148" s="139">
        <f>IF(N1148="sníž. přenesená",J1148,0)</f>
        <v>0</v>
      </c>
      <c r="BI1148" s="139">
        <f>IF(N1148="nulová",J1148,0)</f>
        <v>0</v>
      </c>
      <c r="BJ1148" s="17" t="s">
        <v>79</v>
      </c>
      <c r="BK1148" s="139">
        <f>ROUND(I1148*H1148,2)</f>
        <v>0</v>
      </c>
      <c r="BL1148" s="17" t="s">
        <v>229</v>
      </c>
      <c r="BM1148" s="138" t="s">
        <v>2395</v>
      </c>
    </row>
    <row r="1149" spans="2:65" s="1" customFormat="1">
      <c r="B1149" s="32"/>
      <c r="D1149" s="140" t="s">
        <v>136</v>
      </c>
      <c r="F1149" s="141" t="s">
        <v>2396</v>
      </c>
      <c r="I1149" s="142"/>
      <c r="L1149" s="32"/>
      <c r="M1149" s="143"/>
      <c r="T1149" s="51"/>
      <c r="AT1149" s="17" t="s">
        <v>136</v>
      </c>
      <c r="AU1149" s="17" t="s">
        <v>81</v>
      </c>
    </row>
    <row r="1150" spans="2:65" s="12" customFormat="1">
      <c r="B1150" s="144"/>
      <c r="D1150" s="145" t="s">
        <v>138</v>
      </c>
      <c r="E1150" s="146" t="s">
        <v>19</v>
      </c>
      <c r="F1150" s="147" t="s">
        <v>2397</v>
      </c>
      <c r="H1150" s="148">
        <v>89.89</v>
      </c>
      <c r="I1150" s="149"/>
      <c r="L1150" s="144"/>
      <c r="M1150" s="150"/>
      <c r="T1150" s="151"/>
      <c r="AT1150" s="146" t="s">
        <v>138</v>
      </c>
      <c r="AU1150" s="146" t="s">
        <v>81</v>
      </c>
      <c r="AV1150" s="12" t="s">
        <v>81</v>
      </c>
      <c r="AW1150" s="12" t="s">
        <v>33</v>
      </c>
      <c r="AX1150" s="12" t="s">
        <v>71</v>
      </c>
      <c r="AY1150" s="146" t="s">
        <v>127</v>
      </c>
    </row>
    <row r="1151" spans="2:65" s="12" customFormat="1">
      <c r="B1151" s="144"/>
      <c r="D1151" s="145" t="s">
        <v>138</v>
      </c>
      <c r="E1151" s="146" t="s">
        <v>19</v>
      </c>
      <c r="F1151" s="147" t="s">
        <v>1422</v>
      </c>
      <c r="H1151" s="148">
        <v>13.5</v>
      </c>
      <c r="I1151" s="149"/>
      <c r="L1151" s="144"/>
      <c r="M1151" s="150"/>
      <c r="T1151" s="151"/>
      <c r="AT1151" s="146" t="s">
        <v>138</v>
      </c>
      <c r="AU1151" s="146" t="s">
        <v>81</v>
      </c>
      <c r="AV1151" s="12" t="s">
        <v>81</v>
      </c>
      <c r="AW1151" s="12" t="s">
        <v>33</v>
      </c>
      <c r="AX1151" s="12" t="s">
        <v>71</v>
      </c>
      <c r="AY1151" s="146" t="s">
        <v>127</v>
      </c>
    </row>
    <row r="1152" spans="2:65" s="13" customFormat="1">
      <c r="B1152" s="152"/>
      <c r="D1152" s="145" t="s">
        <v>138</v>
      </c>
      <c r="E1152" s="153" t="s">
        <v>19</v>
      </c>
      <c r="F1152" s="154" t="s">
        <v>152</v>
      </c>
      <c r="H1152" s="155">
        <v>103.39</v>
      </c>
      <c r="I1152" s="156"/>
      <c r="L1152" s="152"/>
      <c r="M1152" s="157"/>
      <c r="T1152" s="158"/>
      <c r="AT1152" s="153" t="s">
        <v>138</v>
      </c>
      <c r="AU1152" s="153" t="s">
        <v>81</v>
      </c>
      <c r="AV1152" s="13" t="s">
        <v>134</v>
      </c>
      <c r="AW1152" s="13" t="s">
        <v>33</v>
      </c>
      <c r="AX1152" s="13" t="s">
        <v>79</v>
      </c>
      <c r="AY1152" s="153" t="s">
        <v>127</v>
      </c>
    </row>
    <row r="1153" spans="2:65" s="1" customFormat="1" ht="16.5" customHeight="1">
      <c r="B1153" s="32"/>
      <c r="C1153" s="127" t="s">
        <v>2398</v>
      </c>
      <c r="D1153" s="127" t="s">
        <v>129</v>
      </c>
      <c r="E1153" s="128" t="s">
        <v>2399</v>
      </c>
      <c r="F1153" s="129" t="s">
        <v>2400</v>
      </c>
      <c r="G1153" s="130" t="s">
        <v>132</v>
      </c>
      <c r="H1153" s="131">
        <v>103.39</v>
      </c>
      <c r="I1153" s="132"/>
      <c r="J1153" s="133">
        <f>ROUND(I1153*H1153,2)</f>
        <v>0</v>
      </c>
      <c r="K1153" s="129" t="s">
        <v>133</v>
      </c>
      <c r="L1153" s="32"/>
      <c r="M1153" s="134" t="s">
        <v>19</v>
      </c>
      <c r="N1153" s="135" t="s">
        <v>42</v>
      </c>
      <c r="P1153" s="136">
        <f>O1153*H1153</f>
        <v>0</v>
      </c>
      <c r="Q1153" s="136">
        <v>2.9999999999999997E-4</v>
      </c>
      <c r="R1153" s="136">
        <f>Q1153*H1153</f>
        <v>3.1016999999999996E-2</v>
      </c>
      <c r="S1153" s="136">
        <v>0</v>
      </c>
      <c r="T1153" s="137">
        <f>S1153*H1153</f>
        <v>0</v>
      </c>
      <c r="AR1153" s="138" t="s">
        <v>229</v>
      </c>
      <c r="AT1153" s="138" t="s">
        <v>129</v>
      </c>
      <c r="AU1153" s="138" t="s">
        <v>81</v>
      </c>
      <c r="AY1153" s="17" t="s">
        <v>127</v>
      </c>
      <c r="BE1153" s="139">
        <f>IF(N1153="základní",J1153,0)</f>
        <v>0</v>
      </c>
      <c r="BF1153" s="139">
        <f>IF(N1153="snížená",J1153,0)</f>
        <v>0</v>
      </c>
      <c r="BG1153" s="139">
        <f>IF(N1153="zákl. přenesená",J1153,0)</f>
        <v>0</v>
      </c>
      <c r="BH1153" s="139">
        <f>IF(N1153="sníž. přenesená",J1153,0)</f>
        <v>0</v>
      </c>
      <c r="BI1153" s="139">
        <f>IF(N1153="nulová",J1153,0)</f>
        <v>0</v>
      </c>
      <c r="BJ1153" s="17" t="s">
        <v>79</v>
      </c>
      <c r="BK1153" s="139">
        <f>ROUND(I1153*H1153,2)</f>
        <v>0</v>
      </c>
      <c r="BL1153" s="17" t="s">
        <v>229</v>
      </c>
      <c r="BM1153" s="138" t="s">
        <v>2401</v>
      </c>
    </row>
    <row r="1154" spans="2:65" s="1" customFormat="1">
      <c r="B1154" s="32"/>
      <c r="D1154" s="140" t="s">
        <v>136</v>
      </c>
      <c r="F1154" s="141" t="s">
        <v>2402</v>
      </c>
      <c r="I1154" s="142"/>
      <c r="L1154" s="32"/>
      <c r="M1154" s="143"/>
      <c r="T1154" s="51"/>
      <c r="AT1154" s="17" t="s">
        <v>136</v>
      </c>
      <c r="AU1154" s="17" t="s">
        <v>81</v>
      </c>
    </row>
    <row r="1155" spans="2:65" s="12" customFormat="1">
      <c r="B1155" s="144"/>
      <c r="D1155" s="145" t="s">
        <v>138</v>
      </c>
      <c r="E1155" s="146" t="s">
        <v>19</v>
      </c>
      <c r="F1155" s="147" t="s">
        <v>2397</v>
      </c>
      <c r="H1155" s="148">
        <v>89.89</v>
      </c>
      <c r="I1155" s="149"/>
      <c r="L1155" s="144"/>
      <c r="M1155" s="150"/>
      <c r="T1155" s="151"/>
      <c r="AT1155" s="146" t="s">
        <v>138</v>
      </c>
      <c r="AU1155" s="146" t="s">
        <v>81</v>
      </c>
      <c r="AV1155" s="12" t="s">
        <v>81</v>
      </c>
      <c r="AW1155" s="12" t="s">
        <v>33</v>
      </c>
      <c r="AX1155" s="12" t="s">
        <v>71</v>
      </c>
      <c r="AY1155" s="146" t="s">
        <v>127</v>
      </c>
    </row>
    <row r="1156" spans="2:65" s="12" customFormat="1">
      <c r="B1156" s="144"/>
      <c r="D1156" s="145" t="s">
        <v>138</v>
      </c>
      <c r="E1156" s="146" t="s">
        <v>19</v>
      </c>
      <c r="F1156" s="147" t="s">
        <v>1422</v>
      </c>
      <c r="H1156" s="148">
        <v>13.5</v>
      </c>
      <c r="I1156" s="149"/>
      <c r="L1156" s="144"/>
      <c r="M1156" s="150"/>
      <c r="T1156" s="151"/>
      <c r="AT1156" s="146" t="s">
        <v>138</v>
      </c>
      <c r="AU1156" s="146" t="s">
        <v>81</v>
      </c>
      <c r="AV1156" s="12" t="s">
        <v>81</v>
      </c>
      <c r="AW1156" s="12" t="s">
        <v>33</v>
      </c>
      <c r="AX1156" s="12" t="s">
        <v>71</v>
      </c>
      <c r="AY1156" s="146" t="s">
        <v>127</v>
      </c>
    </row>
    <row r="1157" spans="2:65" s="13" customFormat="1">
      <c r="B1157" s="152"/>
      <c r="D1157" s="145" t="s">
        <v>138</v>
      </c>
      <c r="E1157" s="153" t="s">
        <v>19</v>
      </c>
      <c r="F1157" s="154" t="s">
        <v>152</v>
      </c>
      <c r="H1157" s="155">
        <v>103.39</v>
      </c>
      <c r="I1157" s="156"/>
      <c r="L1157" s="152"/>
      <c r="M1157" s="157"/>
      <c r="T1157" s="158"/>
      <c r="AT1157" s="153" t="s">
        <v>138</v>
      </c>
      <c r="AU1157" s="153" t="s">
        <v>81</v>
      </c>
      <c r="AV1157" s="13" t="s">
        <v>134</v>
      </c>
      <c r="AW1157" s="13" t="s">
        <v>33</v>
      </c>
      <c r="AX1157" s="13" t="s">
        <v>79</v>
      </c>
      <c r="AY1157" s="153" t="s">
        <v>127</v>
      </c>
    </row>
    <row r="1158" spans="2:65" s="1" customFormat="1" ht="24.2" customHeight="1">
      <c r="B1158" s="32"/>
      <c r="C1158" s="127" t="s">
        <v>2403</v>
      </c>
      <c r="D1158" s="127" t="s">
        <v>129</v>
      </c>
      <c r="E1158" s="128" t="s">
        <v>2404</v>
      </c>
      <c r="F1158" s="129" t="s">
        <v>2405</v>
      </c>
      <c r="G1158" s="130" t="s">
        <v>132</v>
      </c>
      <c r="H1158" s="131">
        <v>103.39</v>
      </c>
      <c r="I1158" s="132"/>
      <c r="J1158" s="133">
        <f>ROUND(I1158*H1158,2)</f>
        <v>0</v>
      </c>
      <c r="K1158" s="129" t="s">
        <v>133</v>
      </c>
      <c r="L1158" s="32"/>
      <c r="M1158" s="134" t="s">
        <v>19</v>
      </c>
      <c r="N1158" s="135" t="s">
        <v>42</v>
      </c>
      <c r="P1158" s="136">
        <f>O1158*H1158</f>
        <v>0</v>
      </c>
      <c r="Q1158" s="136">
        <v>6.0000000000000001E-3</v>
      </c>
      <c r="R1158" s="136">
        <f>Q1158*H1158</f>
        <v>0.62034</v>
      </c>
      <c r="S1158" s="136">
        <v>0</v>
      </c>
      <c r="T1158" s="137">
        <f>S1158*H1158</f>
        <v>0</v>
      </c>
      <c r="AR1158" s="138" t="s">
        <v>229</v>
      </c>
      <c r="AT1158" s="138" t="s">
        <v>129</v>
      </c>
      <c r="AU1158" s="138" t="s">
        <v>81</v>
      </c>
      <c r="AY1158" s="17" t="s">
        <v>127</v>
      </c>
      <c r="BE1158" s="139">
        <f>IF(N1158="základní",J1158,0)</f>
        <v>0</v>
      </c>
      <c r="BF1158" s="139">
        <f>IF(N1158="snížená",J1158,0)</f>
        <v>0</v>
      </c>
      <c r="BG1158" s="139">
        <f>IF(N1158="zákl. přenesená",J1158,0)</f>
        <v>0</v>
      </c>
      <c r="BH1158" s="139">
        <f>IF(N1158="sníž. přenesená",J1158,0)</f>
        <v>0</v>
      </c>
      <c r="BI1158" s="139">
        <f>IF(N1158="nulová",J1158,0)</f>
        <v>0</v>
      </c>
      <c r="BJ1158" s="17" t="s">
        <v>79</v>
      </c>
      <c r="BK1158" s="139">
        <f>ROUND(I1158*H1158,2)</f>
        <v>0</v>
      </c>
      <c r="BL1158" s="17" t="s">
        <v>229</v>
      </c>
      <c r="BM1158" s="138" t="s">
        <v>2406</v>
      </c>
    </row>
    <row r="1159" spans="2:65" s="1" customFormat="1">
      <c r="B1159" s="32"/>
      <c r="D1159" s="140" t="s">
        <v>136</v>
      </c>
      <c r="F1159" s="141" t="s">
        <v>2407</v>
      </c>
      <c r="I1159" s="142"/>
      <c r="L1159" s="32"/>
      <c r="M1159" s="143"/>
      <c r="T1159" s="51"/>
      <c r="AT1159" s="17" t="s">
        <v>136</v>
      </c>
      <c r="AU1159" s="17" t="s">
        <v>81</v>
      </c>
    </row>
    <row r="1160" spans="2:65" s="12" customFormat="1">
      <c r="B1160" s="144"/>
      <c r="D1160" s="145" t="s">
        <v>138</v>
      </c>
      <c r="E1160" s="146" t="s">
        <v>19</v>
      </c>
      <c r="F1160" s="147" t="s">
        <v>2397</v>
      </c>
      <c r="H1160" s="148">
        <v>89.89</v>
      </c>
      <c r="I1160" s="149"/>
      <c r="L1160" s="144"/>
      <c r="M1160" s="150"/>
      <c r="T1160" s="151"/>
      <c r="AT1160" s="146" t="s">
        <v>138</v>
      </c>
      <c r="AU1160" s="146" t="s">
        <v>81</v>
      </c>
      <c r="AV1160" s="12" t="s">
        <v>81</v>
      </c>
      <c r="AW1160" s="12" t="s">
        <v>33</v>
      </c>
      <c r="AX1160" s="12" t="s">
        <v>71</v>
      </c>
      <c r="AY1160" s="146" t="s">
        <v>127</v>
      </c>
    </row>
    <row r="1161" spans="2:65" s="12" customFormat="1">
      <c r="B1161" s="144"/>
      <c r="D1161" s="145" t="s">
        <v>138</v>
      </c>
      <c r="E1161" s="146" t="s">
        <v>19</v>
      </c>
      <c r="F1161" s="147" t="s">
        <v>1422</v>
      </c>
      <c r="H1161" s="148">
        <v>13.5</v>
      </c>
      <c r="I1161" s="149"/>
      <c r="L1161" s="144"/>
      <c r="M1161" s="150"/>
      <c r="T1161" s="151"/>
      <c r="AT1161" s="146" t="s">
        <v>138</v>
      </c>
      <c r="AU1161" s="146" t="s">
        <v>81</v>
      </c>
      <c r="AV1161" s="12" t="s">
        <v>81</v>
      </c>
      <c r="AW1161" s="12" t="s">
        <v>33</v>
      </c>
      <c r="AX1161" s="12" t="s">
        <v>71</v>
      </c>
      <c r="AY1161" s="146" t="s">
        <v>127</v>
      </c>
    </row>
    <row r="1162" spans="2:65" s="13" customFormat="1">
      <c r="B1162" s="152"/>
      <c r="D1162" s="145" t="s">
        <v>138</v>
      </c>
      <c r="E1162" s="153" t="s">
        <v>19</v>
      </c>
      <c r="F1162" s="154" t="s">
        <v>152</v>
      </c>
      <c r="H1162" s="155">
        <v>103.39</v>
      </c>
      <c r="I1162" s="156"/>
      <c r="L1162" s="152"/>
      <c r="M1162" s="157"/>
      <c r="T1162" s="158"/>
      <c r="AT1162" s="153" t="s">
        <v>138</v>
      </c>
      <c r="AU1162" s="153" t="s">
        <v>81</v>
      </c>
      <c r="AV1162" s="13" t="s">
        <v>134</v>
      </c>
      <c r="AW1162" s="13" t="s">
        <v>33</v>
      </c>
      <c r="AX1162" s="13" t="s">
        <v>79</v>
      </c>
      <c r="AY1162" s="153" t="s">
        <v>127</v>
      </c>
    </row>
    <row r="1163" spans="2:65" s="1" customFormat="1" ht="16.5" customHeight="1">
      <c r="B1163" s="32"/>
      <c r="C1163" s="159" t="s">
        <v>2408</v>
      </c>
      <c r="D1163" s="159" t="s">
        <v>413</v>
      </c>
      <c r="E1163" s="160" t="s">
        <v>2409</v>
      </c>
      <c r="F1163" s="161" t="s">
        <v>2410</v>
      </c>
      <c r="G1163" s="162" t="s">
        <v>132</v>
      </c>
      <c r="H1163" s="163">
        <v>113.729</v>
      </c>
      <c r="I1163" s="164"/>
      <c r="J1163" s="165">
        <f>ROUND(I1163*H1163,2)</f>
        <v>0</v>
      </c>
      <c r="K1163" s="161" t="s">
        <v>133</v>
      </c>
      <c r="L1163" s="166"/>
      <c r="M1163" s="167" t="s">
        <v>19</v>
      </c>
      <c r="N1163" s="168" t="s">
        <v>42</v>
      </c>
      <c r="P1163" s="136">
        <f>O1163*H1163</f>
        <v>0</v>
      </c>
      <c r="Q1163" s="136">
        <v>1.18E-2</v>
      </c>
      <c r="R1163" s="136">
        <f>Q1163*H1163</f>
        <v>1.3420022</v>
      </c>
      <c r="S1163" s="136">
        <v>0</v>
      </c>
      <c r="T1163" s="137">
        <f>S1163*H1163</f>
        <v>0</v>
      </c>
      <c r="AR1163" s="138" t="s">
        <v>333</v>
      </c>
      <c r="AT1163" s="138" t="s">
        <v>413</v>
      </c>
      <c r="AU1163" s="138" t="s">
        <v>81</v>
      </c>
      <c r="AY1163" s="17" t="s">
        <v>127</v>
      </c>
      <c r="BE1163" s="139">
        <f>IF(N1163="základní",J1163,0)</f>
        <v>0</v>
      </c>
      <c r="BF1163" s="139">
        <f>IF(N1163="snížená",J1163,0)</f>
        <v>0</v>
      </c>
      <c r="BG1163" s="139">
        <f>IF(N1163="zákl. přenesená",J1163,0)</f>
        <v>0</v>
      </c>
      <c r="BH1163" s="139">
        <f>IF(N1163="sníž. přenesená",J1163,0)</f>
        <v>0</v>
      </c>
      <c r="BI1163" s="139">
        <f>IF(N1163="nulová",J1163,0)</f>
        <v>0</v>
      </c>
      <c r="BJ1163" s="17" t="s">
        <v>79</v>
      </c>
      <c r="BK1163" s="139">
        <f>ROUND(I1163*H1163,2)</f>
        <v>0</v>
      </c>
      <c r="BL1163" s="17" t="s">
        <v>229</v>
      </c>
      <c r="BM1163" s="138" t="s">
        <v>2411</v>
      </c>
    </row>
    <row r="1164" spans="2:65" s="12" customFormat="1">
      <c r="B1164" s="144"/>
      <c r="D1164" s="145" t="s">
        <v>138</v>
      </c>
      <c r="F1164" s="147" t="s">
        <v>2412</v>
      </c>
      <c r="H1164" s="148">
        <v>113.729</v>
      </c>
      <c r="I1164" s="149"/>
      <c r="L1164" s="144"/>
      <c r="M1164" s="150"/>
      <c r="T1164" s="151"/>
      <c r="AT1164" s="146" t="s">
        <v>138</v>
      </c>
      <c r="AU1164" s="146" t="s">
        <v>81</v>
      </c>
      <c r="AV1164" s="12" t="s">
        <v>81</v>
      </c>
      <c r="AW1164" s="12" t="s">
        <v>4</v>
      </c>
      <c r="AX1164" s="12" t="s">
        <v>79</v>
      </c>
      <c r="AY1164" s="146" t="s">
        <v>127</v>
      </c>
    </row>
    <row r="1165" spans="2:65" s="1" customFormat="1" ht="21.75" customHeight="1">
      <c r="B1165" s="32"/>
      <c r="C1165" s="127" t="s">
        <v>2413</v>
      </c>
      <c r="D1165" s="127" t="s">
        <v>129</v>
      </c>
      <c r="E1165" s="128" t="s">
        <v>2414</v>
      </c>
      <c r="F1165" s="129" t="s">
        <v>2415</v>
      </c>
      <c r="G1165" s="130" t="s">
        <v>132</v>
      </c>
      <c r="H1165" s="131">
        <v>103.39</v>
      </c>
      <c r="I1165" s="132"/>
      <c r="J1165" s="133">
        <f>ROUND(I1165*H1165,2)</f>
        <v>0</v>
      </c>
      <c r="K1165" s="129" t="s">
        <v>133</v>
      </c>
      <c r="L1165" s="32"/>
      <c r="M1165" s="134" t="s">
        <v>19</v>
      </c>
      <c r="N1165" s="135" t="s">
        <v>42</v>
      </c>
      <c r="P1165" s="136">
        <f>O1165*H1165</f>
        <v>0</v>
      </c>
      <c r="Q1165" s="136">
        <v>0</v>
      </c>
      <c r="R1165" s="136">
        <f>Q1165*H1165</f>
        <v>0</v>
      </c>
      <c r="S1165" s="136">
        <v>0</v>
      </c>
      <c r="T1165" s="137">
        <f>S1165*H1165</f>
        <v>0</v>
      </c>
      <c r="AR1165" s="138" t="s">
        <v>229</v>
      </c>
      <c r="AT1165" s="138" t="s">
        <v>129</v>
      </c>
      <c r="AU1165" s="138" t="s">
        <v>81</v>
      </c>
      <c r="AY1165" s="17" t="s">
        <v>127</v>
      </c>
      <c r="BE1165" s="139">
        <f>IF(N1165="základní",J1165,0)</f>
        <v>0</v>
      </c>
      <c r="BF1165" s="139">
        <f>IF(N1165="snížená",J1165,0)</f>
        <v>0</v>
      </c>
      <c r="BG1165" s="139">
        <f>IF(N1165="zákl. přenesená",J1165,0)</f>
        <v>0</v>
      </c>
      <c r="BH1165" s="139">
        <f>IF(N1165="sníž. přenesená",J1165,0)</f>
        <v>0</v>
      </c>
      <c r="BI1165" s="139">
        <f>IF(N1165="nulová",J1165,0)</f>
        <v>0</v>
      </c>
      <c r="BJ1165" s="17" t="s">
        <v>79</v>
      </c>
      <c r="BK1165" s="139">
        <f>ROUND(I1165*H1165,2)</f>
        <v>0</v>
      </c>
      <c r="BL1165" s="17" t="s">
        <v>229</v>
      </c>
      <c r="BM1165" s="138" t="s">
        <v>2416</v>
      </c>
    </row>
    <row r="1166" spans="2:65" s="1" customFormat="1">
      <c r="B1166" s="32"/>
      <c r="D1166" s="140" t="s">
        <v>136</v>
      </c>
      <c r="F1166" s="141" t="s">
        <v>2417</v>
      </c>
      <c r="I1166" s="142"/>
      <c r="L1166" s="32"/>
      <c r="M1166" s="143"/>
      <c r="T1166" s="51"/>
      <c r="AT1166" s="17" t="s">
        <v>136</v>
      </c>
      <c r="AU1166" s="17" t="s">
        <v>81</v>
      </c>
    </row>
    <row r="1167" spans="2:65" s="12" customFormat="1">
      <c r="B1167" s="144"/>
      <c r="D1167" s="145" t="s">
        <v>138</v>
      </c>
      <c r="E1167" s="146" t="s">
        <v>19</v>
      </c>
      <c r="F1167" s="147" t="s">
        <v>2397</v>
      </c>
      <c r="H1167" s="148">
        <v>89.89</v>
      </c>
      <c r="I1167" s="149"/>
      <c r="L1167" s="144"/>
      <c r="M1167" s="150"/>
      <c r="T1167" s="151"/>
      <c r="AT1167" s="146" t="s">
        <v>138</v>
      </c>
      <c r="AU1167" s="146" t="s">
        <v>81</v>
      </c>
      <c r="AV1167" s="12" t="s">
        <v>81</v>
      </c>
      <c r="AW1167" s="12" t="s">
        <v>33</v>
      </c>
      <c r="AX1167" s="12" t="s">
        <v>71</v>
      </c>
      <c r="AY1167" s="146" t="s">
        <v>127</v>
      </c>
    </row>
    <row r="1168" spans="2:65" s="12" customFormat="1">
      <c r="B1168" s="144"/>
      <c r="D1168" s="145" t="s">
        <v>138</v>
      </c>
      <c r="E1168" s="146" t="s">
        <v>19</v>
      </c>
      <c r="F1168" s="147" t="s">
        <v>1422</v>
      </c>
      <c r="H1168" s="148">
        <v>13.5</v>
      </c>
      <c r="I1168" s="149"/>
      <c r="L1168" s="144"/>
      <c r="M1168" s="150"/>
      <c r="T1168" s="151"/>
      <c r="AT1168" s="146" t="s">
        <v>138</v>
      </c>
      <c r="AU1168" s="146" t="s">
        <v>81</v>
      </c>
      <c r="AV1168" s="12" t="s">
        <v>81</v>
      </c>
      <c r="AW1168" s="12" t="s">
        <v>33</v>
      </c>
      <c r="AX1168" s="12" t="s">
        <v>71</v>
      </c>
      <c r="AY1168" s="146" t="s">
        <v>127</v>
      </c>
    </row>
    <row r="1169" spans="2:65" s="13" customFormat="1">
      <c r="B1169" s="152"/>
      <c r="D1169" s="145" t="s">
        <v>138</v>
      </c>
      <c r="E1169" s="153" t="s">
        <v>19</v>
      </c>
      <c r="F1169" s="154" t="s">
        <v>152</v>
      </c>
      <c r="H1169" s="155">
        <v>103.39</v>
      </c>
      <c r="I1169" s="156"/>
      <c r="L1169" s="152"/>
      <c r="M1169" s="157"/>
      <c r="T1169" s="158"/>
      <c r="AT1169" s="153" t="s">
        <v>138</v>
      </c>
      <c r="AU1169" s="153" t="s">
        <v>81</v>
      </c>
      <c r="AV1169" s="13" t="s">
        <v>134</v>
      </c>
      <c r="AW1169" s="13" t="s">
        <v>33</v>
      </c>
      <c r="AX1169" s="13" t="s">
        <v>79</v>
      </c>
      <c r="AY1169" s="153" t="s">
        <v>127</v>
      </c>
    </row>
    <row r="1170" spans="2:65" s="1" customFormat="1" ht="16.5" customHeight="1">
      <c r="B1170" s="32"/>
      <c r="C1170" s="127" t="s">
        <v>2418</v>
      </c>
      <c r="D1170" s="127" t="s">
        <v>129</v>
      </c>
      <c r="E1170" s="128" t="s">
        <v>2419</v>
      </c>
      <c r="F1170" s="129" t="s">
        <v>2420</v>
      </c>
      <c r="G1170" s="130" t="s">
        <v>257</v>
      </c>
      <c r="H1170" s="131">
        <v>36.950000000000003</v>
      </c>
      <c r="I1170" s="132"/>
      <c r="J1170" s="133">
        <f>ROUND(I1170*H1170,2)</f>
        <v>0</v>
      </c>
      <c r="K1170" s="129" t="s">
        <v>133</v>
      </c>
      <c r="L1170" s="32"/>
      <c r="M1170" s="134" t="s">
        <v>19</v>
      </c>
      <c r="N1170" s="135" t="s">
        <v>42</v>
      </c>
      <c r="P1170" s="136">
        <f>O1170*H1170</f>
        <v>0</v>
      </c>
      <c r="Q1170" s="136">
        <v>5.5000000000000003E-4</v>
      </c>
      <c r="R1170" s="136">
        <f>Q1170*H1170</f>
        <v>2.0322500000000004E-2</v>
      </c>
      <c r="S1170" s="136">
        <v>0</v>
      </c>
      <c r="T1170" s="137">
        <f>S1170*H1170</f>
        <v>0</v>
      </c>
      <c r="AR1170" s="138" t="s">
        <v>229</v>
      </c>
      <c r="AT1170" s="138" t="s">
        <v>129</v>
      </c>
      <c r="AU1170" s="138" t="s">
        <v>81</v>
      </c>
      <c r="AY1170" s="17" t="s">
        <v>127</v>
      </c>
      <c r="BE1170" s="139">
        <f>IF(N1170="základní",J1170,0)</f>
        <v>0</v>
      </c>
      <c r="BF1170" s="139">
        <f>IF(N1170="snížená",J1170,0)</f>
        <v>0</v>
      </c>
      <c r="BG1170" s="139">
        <f>IF(N1170="zákl. přenesená",J1170,0)</f>
        <v>0</v>
      </c>
      <c r="BH1170" s="139">
        <f>IF(N1170="sníž. přenesená",J1170,0)</f>
        <v>0</v>
      </c>
      <c r="BI1170" s="139">
        <f>IF(N1170="nulová",J1170,0)</f>
        <v>0</v>
      </c>
      <c r="BJ1170" s="17" t="s">
        <v>79</v>
      </c>
      <c r="BK1170" s="139">
        <f>ROUND(I1170*H1170,2)</f>
        <v>0</v>
      </c>
      <c r="BL1170" s="17" t="s">
        <v>229</v>
      </c>
      <c r="BM1170" s="138" t="s">
        <v>2421</v>
      </c>
    </row>
    <row r="1171" spans="2:65" s="1" customFormat="1">
      <c r="B1171" s="32"/>
      <c r="D1171" s="140" t="s">
        <v>136</v>
      </c>
      <c r="F1171" s="141" t="s">
        <v>2422</v>
      </c>
      <c r="I1171" s="142"/>
      <c r="L1171" s="32"/>
      <c r="M1171" s="143"/>
      <c r="T1171" s="51"/>
      <c r="AT1171" s="17" t="s">
        <v>136</v>
      </c>
      <c r="AU1171" s="17" t="s">
        <v>81</v>
      </c>
    </row>
    <row r="1172" spans="2:65" s="12" customFormat="1">
      <c r="B1172" s="144"/>
      <c r="D1172" s="145" t="s">
        <v>138</v>
      </c>
      <c r="E1172" s="146" t="s">
        <v>19</v>
      </c>
      <c r="F1172" s="147" t="s">
        <v>2423</v>
      </c>
      <c r="H1172" s="148">
        <v>9.9499999999999993</v>
      </c>
      <c r="I1172" s="149"/>
      <c r="L1172" s="144"/>
      <c r="M1172" s="150"/>
      <c r="T1172" s="151"/>
      <c r="AT1172" s="146" t="s">
        <v>138</v>
      </c>
      <c r="AU1172" s="146" t="s">
        <v>81</v>
      </c>
      <c r="AV1172" s="12" t="s">
        <v>81</v>
      </c>
      <c r="AW1172" s="12" t="s">
        <v>33</v>
      </c>
      <c r="AX1172" s="12" t="s">
        <v>71</v>
      </c>
      <c r="AY1172" s="146" t="s">
        <v>127</v>
      </c>
    </row>
    <row r="1173" spans="2:65" s="12" customFormat="1">
      <c r="B1173" s="144"/>
      <c r="D1173" s="145" t="s">
        <v>138</v>
      </c>
      <c r="E1173" s="146" t="s">
        <v>19</v>
      </c>
      <c r="F1173" s="147" t="s">
        <v>2424</v>
      </c>
      <c r="H1173" s="148">
        <v>27</v>
      </c>
      <c r="I1173" s="149"/>
      <c r="L1173" s="144"/>
      <c r="M1173" s="150"/>
      <c r="T1173" s="151"/>
      <c r="AT1173" s="146" t="s">
        <v>138</v>
      </c>
      <c r="AU1173" s="146" t="s">
        <v>81</v>
      </c>
      <c r="AV1173" s="12" t="s">
        <v>81</v>
      </c>
      <c r="AW1173" s="12" t="s">
        <v>33</v>
      </c>
      <c r="AX1173" s="12" t="s">
        <v>71</v>
      </c>
      <c r="AY1173" s="146" t="s">
        <v>127</v>
      </c>
    </row>
    <row r="1174" spans="2:65" s="13" customFormat="1">
      <c r="B1174" s="152"/>
      <c r="D1174" s="145" t="s">
        <v>138</v>
      </c>
      <c r="E1174" s="153" t="s">
        <v>19</v>
      </c>
      <c r="F1174" s="154" t="s">
        <v>152</v>
      </c>
      <c r="H1174" s="155">
        <v>36.950000000000003</v>
      </c>
      <c r="I1174" s="156"/>
      <c r="L1174" s="152"/>
      <c r="M1174" s="157"/>
      <c r="T1174" s="158"/>
      <c r="AT1174" s="153" t="s">
        <v>138</v>
      </c>
      <c r="AU1174" s="153" t="s">
        <v>81</v>
      </c>
      <c r="AV1174" s="13" t="s">
        <v>134</v>
      </c>
      <c r="AW1174" s="13" t="s">
        <v>33</v>
      </c>
      <c r="AX1174" s="13" t="s">
        <v>79</v>
      </c>
      <c r="AY1174" s="153" t="s">
        <v>127</v>
      </c>
    </row>
    <row r="1175" spans="2:65" s="1" customFormat="1" ht="16.5" customHeight="1">
      <c r="B1175" s="32"/>
      <c r="C1175" s="127" t="s">
        <v>2425</v>
      </c>
      <c r="D1175" s="127" t="s">
        <v>129</v>
      </c>
      <c r="E1175" s="128" t="s">
        <v>2426</v>
      </c>
      <c r="F1175" s="129" t="s">
        <v>2427</v>
      </c>
      <c r="G1175" s="130" t="s">
        <v>257</v>
      </c>
      <c r="H1175" s="131">
        <v>63</v>
      </c>
      <c r="I1175" s="132"/>
      <c r="J1175" s="133">
        <f>ROUND(I1175*H1175,2)</f>
        <v>0</v>
      </c>
      <c r="K1175" s="129" t="s">
        <v>133</v>
      </c>
      <c r="L1175" s="32"/>
      <c r="M1175" s="134" t="s">
        <v>19</v>
      </c>
      <c r="N1175" s="135" t="s">
        <v>42</v>
      </c>
      <c r="P1175" s="136">
        <f>O1175*H1175</f>
        <v>0</v>
      </c>
      <c r="Q1175" s="136">
        <v>3.0000000000000001E-5</v>
      </c>
      <c r="R1175" s="136">
        <f>Q1175*H1175</f>
        <v>1.89E-3</v>
      </c>
      <c r="S1175" s="136">
        <v>0</v>
      </c>
      <c r="T1175" s="137">
        <f>S1175*H1175</f>
        <v>0</v>
      </c>
      <c r="AR1175" s="138" t="s">
        <v>229</v>
      </c>
      <c r="AT1175" s="138" t="s">
        <v>129</v>
      </c>
      <c r="AU1175" s="138" t="s">
        <v>81</v>
      </c>
      <c r="AY1175" s="17" t="s">
        <v>127</v>
      </c>
      <c r="BE1175" s="139">
        <f>IF(N1175="základní",J1175,0)</f>
        <v>0</v>
      </c>
      <c r="BF1175" s="139">
        <f>IF(N1175="snížená",J1175,0)</f>
        <v>0</v>
      </c>
      <c r="BG1175" s="139">
        <f>IF(N1175="zákl. přenesená",J1175,0)</f>
        <v>0</v>
      </c>
      <c r="BH1175" s="139">
        <f>IF(N1175="sníž. přenesená",J1175,0)</f>
        <v>0</v>
      </c>
      <c r="BI1175" s="139">
        <f>IF(N1175="nulová",J1175,0)</f>
        <v>0</v>
      </c>
      <c r="BJ1175" s="17" t="s">
        <v>79</v>
      </c>
      <c r="BK1175" s="139">
        <f>ROUND(I1175*H1175,2)</f>
        <v>0</v>
      </c>
      <c r="BL1175" s="17" t="s">
        <v>229</v>
      </c>
      <c r="BM1175" s="138" t="s">
        <v>2428</v>
      </c>
    </row>
    <row r="1176" spans="2:65" s="1" customFormat="1">
      <c r="B1176" s="32"/>
      <c r="D1176" s="140" t="s">
        <v>136</v>
      </c>
      <c r="F1176" s="141" t="s">
        <v>2429</v>
      </c>
      <c r="I1176" s="142"/>
      <c r="L1176" s="32"/>
      <c r="M1176" s="143"/>
      <c r="T1176" s="51"/>
      <c r="AT1176" s="17" t="s">
        <v>136</v>
      </c>
      <c r="AU1176" s="17" t="s">
        <v>81</v>
      </c>
    </row>
    <row r="1177" spans="2:65" s="12" customFormat="1">
      <c r="B1177" s="144"/>
      <c r="D1177" s="145" t="s">
        <v>138</v>
      </c>
      <c r="E1177" s="146" t="s">
        <v>19</v>
      </c>
      <c r="F1177" s="147" t="s">
        <v>2430</v>
      </c>
      <c r="H1177" s="148">
        <v>63</v>
      </c>
      <c r="I1177" s="149"/>
      <c r="L1177" s="144"/>
      <c r="M1177" s="150"/>
      <c r="T1177" s="151"/>
      <c r="AT1177" s="146" t="s">
        <v>138</v>
      </c>
      <c r="AU1177" s="146" t="s">
        <v>81</v>
      </c>
      <c r="AV1177" s="12" t="s">
        <v>81</v>
      </c>
      <c r="AW1177" s="12" t="s">
        <v>33</v>
      </c>
      <c r="AX1177" s="12" t="s">
        <v>79</v>
      </c>
      <c r="AY1177" s="146" t="s">
        <v>127</v>
      </c>
    </row>
    <row r="1178" spans="2:65" s="1" customFormat="1" ht="16.5" customHeight="1">
      <c r="B1178" s="32"/>
      <c r="C1178" s="127" t="s">
        <v>2431</v>
      </c>
      <c r="D1178" s="127" t="s">
        <v>129</v>
      </c>
      <c r="E1178" s="128" t="s">
        <v>2432</v>
      </c>
      <c r="F1178" s="129" t="s">
        <v>2433</v>
      </c>
      <c r="G1178" s="130" t="s">
        <v>132</v>
      </c>
      <c r="H1178" s="131">
        <v>103.39</v>
      </c>
      <c r="I1178" s="132"/>
      <c r="J1178" s="133">
        <f>ROUND(I1178*H1178,2)</f>
        <v>0</v>
      </c>
      <c r="K1178" s="129" t="s">
        <v>133</v>
      </c>
      <c r="L1178" s="32"/>
      <c r="M1178" s="134" t="s">
        <v>19</v>
      </c>
      <c r="N1178" s="135" t="s">
        <v>42</v>
      </c>
      <c r="P1178" s="136">
        <f>O1178*H1178</f>
        <v>0</v>
      </c>
      <c r="Q1178" s="136">
        <v>5.0000000000000002E-5</v>
      </c>
      <c r="R1178" s="136">
        <f>Q1178*H1178</f>
        <v>5.1695000000000005E-3</v>
      </c>
      <c r="S1178" s="136">
        <v>0</v>
      </c>
      <c r="T1178" s="137">
        <f>S1178*H1178</f>
        <v>0</v>
      </c>
      <c r="AR1178" s="138" t="s">
        <v>229</v>
      </c>
      <c r="AT1178" s="138" t="s">
        <v>129</v>
      </c>
      <c r="AU1178" s="138" t="s">
        <v>81</v>
      </c>
      <c r="AY1178" s="17" t="s">
        <v>127</v>
      </c>
      <c r="BE1178" s="139">
        <f>IF(N1178="základní",J1178,0)</f>
        <v>0</v>
      </c>
      <c r="BF1178" s="139">
        <f>IF(N1178="snížená",J1178,0)</f>
        <v>0</v>
      </c>
      <c r="BG1178" s="139">
        <f>IF(N1178="zákl. přenesená",J1178,0)</f>
        <v>0</v>
      </c>
      <c r="BH1178" s="139">
        <f>IF(N1178="sníž. přenesená",J1178,0)</f>
        <v>0</v>
      </c>
      <c r="BI1178" s="139">
        <f>IF(N1178="nulová",J1178,0)</f>
        <v>0</v>
      </c>
      <c r="BJ1178" s="17" t="s">
        <v>79</v>
      </c>
      <c r="BK1178" s="139">
        <f>ROUND(I1178*H1178,2)</f>
        <v>0</v>
      </c>
      <c r="BL1178" s="17" t="s">
        <v>229</v>
      </c>
      <c r="BM1178" s="138" t="s">
        <v>2434</v>
      </c>
    </row>
    <row r="1179" spans="2:65" s="1" customFormat="1">
      <c r="B1179" s="32"/>
      <c r="D1179" s="140" t="s">
        <v>136</v>
      </c>
      <c r="F1179" s="141" t="s">
        <v>2435</v>
      </c>
      <c r="I1179" s="142"/>
      <c r="L1179" s="32"/>
      <c r="M1179" s="143"/>
      <c r="T1179" s="51"/>
      <c r="AT1179" s="17" t="s">
        <v>136</v>
      </c>
      <c r="AU1179" s="17" t="s">
        <v>81</v>
      </c>
    </row>
    <row r="1180" spans="2:65" s="12" customFormat="1">
      <c r="B1180" s="144"/>
      <c r="D1180" s="145" t="s">
        <v>138</v>
      </c>
      <c r="E1180" s="146" t="s">
        <v>19</v>
      </c>
      <c r="F1180" s="147" t="s">
        <v>2397</v>
      </c>
      <c r="H1180" s="148">
        <v>89.89</v>
      </c>
      <c r="I1180" s="149"/>
      <c r="L1180" s="144"/>
      <c r="M1180" s="150"/>
      <c r="T1180" s="151"/>
      <c r="AT1180" s="146" t="s">
        <v>138</v>
      </c>
      <c r="AU1180" s="146" t="s">
        <v>81</v>
      </c>
      <c r="AV1180" s="12" t="s">
        <v>81</v>
      </c>
      <c r="AW1180" s="12" t="s">
        <v>33</v>
      </c>
      <c r="AX1180" s="12" t="s">
        <v>71</v>
      </c>
      <c r="AY1180" s="146" t="s">
        <v>127</v>
      </c>
    </row>
    <row r="1181" spans="2:65" s="12" customFormat="1">
      <c r="B1181" s="144"/>
      <c r="D1181" s="145" t="s">
        <v>138</v>
      </c>
      <c r="E1181" s="146" t="s">
        <v>19</v>
      </c>
      <c r="F1181" s="147" t="s">
        <v>1422</v>
      </c>
      <c r="H1181" s="148">
        <v>13.5</v>
      </c>
      <c r="I1181" s="149"/>
      <c r="L1181" s="144"/>
      <c r="M1181" s="150"/>
      <c r="T1181" s="151"/>
      <c r="AT1181" s="146" t="s">
        <v>138</v>
      </c>
      <c r="AU1181" s="146" t="s">
        <v>81</v>
      </c>
      <c r="AV1181" s="12" t="s">
        <v>81</v>
      </c>
      <c r="AW1181" s="12" t="s">
        <v>33</v>
      </c>
      <c r="AX1181" s="12" t="s">
        <v>71</v>
      </c>
      <c r="AY1181" s="146" t="s">
        <v>127</v>
      </c>
    </row>
    <row r="1182" spans="2:65" s="13" customFormat="1">
      <c r="B1182" s="152"/>
      <c r="D1182" s="145" t="s">
        <v>138</v>
      </c>
      <c r="E1182" s="153" t="s">
        <v>19</v>
      </c>
      <c r="F1182" s="154" t="s">
        <v>152</v>
      </c>
      <c r="H1182" s="155">
        <v>103.39</v>
      </c>
      <c r="I1182" s="156"/>
      <c r="L1182" s="152"/>
      <c r="M1182" s="157"/>
      <c r="T1182" s="158"/>
      <c r="AT1182" s="153" t="s">
        <v>138</v>
      </c>
      <c r="AU1182" s="153" t="s">
        <v>81</v>
      </c>
      <c r="AV1182" s="13" t="s">
        <v>134</v>
      </c>
      <c r="AW1182" s="13" t="s">
        <v>33</v>
      </c>
      <c r="AX1182" s="13" t="s">
        <v>79</v>
      </c>
      <c r="AY1182" s="153" t="s">
        <v>127</v>
      </c>
    </row>
    <row r="1183" spans="2:65" s="1" customFormat="1" ht="24.2" customHeight="1">
      <c r="B1183" s="32"/>
      <c r="C1183" s="127" t="s">
        <v>2436</v>
      </c>
      <c r="D1183" s="127" t="s">
        <v>129</v>
      </c>
      <c r="E1183" s="128" t="s">
        <v>2437</v>
      </c>
      <c r="F1183" s="129" t="s">
        <v>2438</v>
      </c>
      <c r="G1183" s="130" t="s">
        <v>425</v>
      </c>
      <c r="H1183" s="169"/>
      <c r="I1183" s="132"/>
      <c r="J1183" s="133">
        <f>ROUND(I1183*H1183,2)</f>
        <v>0</v>
      </c>
      <c r="K1183" s="129" t="s">
        <v>133</v>
      </c>
      <c r="L1183" s="32"/>
      <c r="M1183" s="134" t="s">
        <v>19</v>
      </c>
      <c r="N1183" s="135" t="s">
        <v>42</v>
      </c>
      <c r="P1183" s="136">
        <f>O1183*H1183</f>
        <v>0</v>
      </c>
      <c r="Q1183" s="136">
        <v>0</v>
      </c>
      <c r="R1183" s="136">
        <f>Q1183*H1183</f>
        <v>0</v>
      </c>
      <c r="S1183" s="136">
        <v>0</v>
      </c>
      <c r="T1183" s="137">
        <f>S1183*H1183</f>
        <v>0</v>
      </c>
      <c r="AR1183" s="138" t="s">
        <v>229</v>
      </c>
      <c r="AT1183" s="138" t="s">
        <v>129</v>
      </c>
      <c r="AU1183" s="138" t="s">
        <v>81</v>
      </c>
      <c r="AY1183" s="17" t="s">
        <v>127</v>
      </c>
      <c r="BE1183" s="139">
        <f>IF(N1183="základní",J1183,0)</f>
        <v>0</v>
      </c>
      <c r="BF1183" s="139">
        <f>IF(N1183="snížená",J1183,0)</f>
        <v>0</v>
      </c>
      <c r="BG1183" s="139">
        <f>IF(N1183="zákl. přenesená",J1183,0)</f>
        <v>0</v>
      </c>
      <c r="BH1183" s="139">
        <f>IF(N1183="sníž. přenesená",J1183,0)</f>
        <v>0</v>
      </c>
      <c r="BI1183" s="139">
        <f>IF(N1183="nulová",J1183,0)</f>
        <v>0</v>
      </c>
      <c r="BJ1183" s="17" t="s">
        <v>79</v>
      </c>
      <c r="BK1183" s="139">
        <f>ROUND(I1183*H1183,2)</f>
        <v>0</v>
      </c>
      <c r="BL1183" s="17" t="s">
        <v>229</v>
      </c>
      <c r="BM1183" s="138" t="s">
        <v>2439</v>
      </c>
    </row>
    <row r="1184" spans="2:65" s="1" customFormat="1">
      <c r="B1184" s="32"/>
      <c r="D1184" s="140" t="s">
        <v>136</v>
      </c>
      <c r="F1184" s="141" t="s">
        <v>2440</v>
      </c>
      <c r="I1184" s="142"/>
      <c r="L1184" s="32"/>
      <c r="M1184" s="143"/>
      <c r="T1184" s="51"/>
      <c r="AT1184" s="17" t="s">
        <v>136</v>
      </c>
      <c r="AU1184" s="17" t="s">
        <v>81</v>
      </c>
    </row>
    <row r="1185" spans="2:65" s="11" customFormat="1" ht="22.9" customHeight="1">
      <c r="B1185" s="115"/>
      <c r="D1185" s="116" t="s">
        <v>70</v>
      </c>
      <c r="E1185" s="125" t="s">
        <v>2441</v>
      </c>
      <c r="F1185" s="125" t="s">
        <v>2442</v>
      </c>
      <c r="I1185" s="118"/>
      <c r="J1185" s="126">
        <f>BK1185</f>
        <v>0</v>
      </c>
      <c r="L1185" s="115"/>
      <c r="M1185" s="120"/>
      <c r="P1185" s="121">
        <f>SUM(P1186:P1192)</f>
        <v>0</v>
      </c>
      <c r="R1185" s="121">
        <f>SUM(R1186:R1192)</f>
        <v>0.16995000000000002</v>
      </c>
      <c r="T1185" s="122">
        <f>SUM(T1186:T1192)</f>
        <v>0</v>
      </c>
      <c r="AR1185" s="116" t="s">
        <v>81</v>
      </c>
      <c r="AT1185" s="123" t="s">
        <v>70</v>
      </c>
      <c r="AU1185" s="123" t="s">
        <v>79</v>
      </c>
      <c r="AY1185" s="116" t="s">
        <v>127</v>
      </c>
      <c r="BK1185" s="124">
        <f>SUM(BK1186:BK1192)</f>
        <v>0</v>
      </c>
    </row>
    <row r="1186" spans="2:65" s="1" customFormat="1" ht="24.2" customHeight="1">
      <c r="B1186" s="32"/>
      <c r="C1186" s="127" t="s">
        <v>2443</v>
      </c>
      <c r="D1186" s="127" t="s">
        <v>129</v>
      </c>
      <c r="E1186" s="128" t="s">
        <v>2444</v>
      </c>
      <c r="F1186" s="129" t="s">
        <v>2445</v>
      </c>
      <c r="G1186" s="130" t="s">
        <v>132</v>
      </c>
      <c r="H1186" s="131">
        <v>1.5</v>
      </c>
      <c r="I1186" s="132"/>
      <c r="J1186" s="133">
        <f>ROUND(I1186*H1186,2)</f>
        <v>0</v>
      </c>
      <c r="K1186" s="129" t="s">
        <v>133</v>
      </c>
      <c r="L1186" s="32"/>
      <c r="M1186" s="134" t="s">
        <v>19</v>
      </c>
      <c r="N1186" s="135" t="s">
        <v>42</v>
      </c>
      <c r="P1186" s="136">
        <f>O1186*H1186</f>
        <v>0</v>
      </c>
      <c r="Q1186" s="136">
        <v>8.3000000000000001E-3</v>
      </c>
      <c r="R1186" s="136">
        <f>Q1186*H1186</f>
        <v>1.2449999999999999E-2</v>
      </c>
      <c r="S1186" s="136">
        <v>0</v>
      </c>
      <c r="T1186" s="137">
        <f>S1186*H1186</f>
        <v>0</v>
      </c>
      <c r="AR1186" s="138" t="s">
        <v>229</v>
      </c>
      <c r="AT1186" s="138" t="s">
        <v>129</v>
      </c>
      <c r="AU1186" s="138" t="s">
        <v>81</v>
      </c>
      <c r="AY1186" s="17" t="s">
        <v>127</v>
      </c>
      <c r="BE1186" s="139">
        <f>IF(N1186="základní",J1186,0)</f>
        <v>0</v>
      </c>
      <c r="BF1186" s="139">
        <f>IF(N1186="snížená",J1186,0)</f>
        <v>0</v>
      </c>
      <c r="BG1186" s="139">
        <f>IF(N1186="zákl. přenesená",J1186,0)</f>
        <v>0</v>
      </c>
      <c r="BH1186" s="139">
        <f>IF(N1186="sníž. přenesená",J1186,0)</f>
        <v>0</v>
      </c>
      <c r="BI1186" s="139">
        <f>IF(N1186="nulová",J1186,0)</f>
        <v>0</v>
      </c>
      <c r="BJ1186" s="17" t="s">
        <v>79</v>
      </c>
      <c r="BK1186" s="139">
        <f>ROUND(I1186*H1186,2)</f>
        <v>0</v>
      </c>
      <c r="BL1186" s="17" t="s">
        <v>229</v>
      </c>
      <c r="BM1186" s="138" t="s">
        <v>2446</v>
      </c>
    </row>
    <row r="1187" spans="2:65" s="1" customFormat="1">
      <c r="B1187" s="32"/>
      <c r="D1187" s="140" t="s">
        <v>136</v>
      </c>
      <c r="F1187" s="141" t="s">
        <v>2447</v>
      </c>
      <c r="I1187" s="142"/>
      <c r="L1187" s="32"/>
      <c r="M1187" s="143"/>
      <c r="T1187" s="51"/>
      <c r="AT1187" s="17" t="s">
        <v>136</v>
      </c>
      <c r="AU1187" s="17" t="s">
        <v>81</v>
      </c>
    </row>
    <row r="1188" spans="2:65" s="12" customFormat="1">
      <c r="B1188" s="144"/>
      <c r="D1188" s="145" t="s">
        <v>138</v>
      </c>
      <c r="E1188" s="146" t="s">
        <v>19</v>
      </c>
      <c r="F1188" s="147" t="s">
        <v>866</v>
      </c>
      <c r="H1188" s="148">
        <v>1.5</v>
      </c>
      <c r="I1188" s="149"/>
      <c r="L1188" s="144"/>
      <c r="M1188" s="150"/>
      <c r="T1188" s="151"/>
      <c r="AT1188" s="146" t="s">
        <v>138</v>
      </c>
      <c r="AU1188" s="146" t="s">
        <v>81</v>
      </c>
      <c r="AV1188" s="12" t="s">
        <v>81</v>
      </c>
      <c r="AW1188" s="12" t="s">
        <v>33</v>
      </c>
      <c r="AX1188" s="12" t="s">
        <v>79</v>
      </c>
      <c r="AY1188" s="146" t="s">
        <v>127</v>
      </c>
    </row>
    <row r="1189" spans="2:65" s="1" customFormat="1" ht="16.5" customHeight="1">
      <c r="B1189" s="32"/>
      <c r="C1189" s="159" t="s">
        <v>2448</v>
      </c>
      <c r="D1189" s="159" t="s">
        <v>413</v>
      </c>
      <c r="E1189" s="160" t="s">
        <v>2449</v>
      </c>
      <c r="F1189" s="161" t="s">
        <v>2450</v>
      </c>
      <c r="G1189" s="162" t="s">
        <v>132</v>
      </c>
      <c r="H1189" s="163">
        <v>2.25</v>
      </c>
      <c r="I1189" s="164"/>
      <c r="J1189" s="165">
        <f>ROUND(I1189*H1189,2)</f>
        <v>0</v>
      </c>
      <c r="K1189" s="161" t="s">
        <v>133</v>
      </c>
      <c r="L1189" s="166"/>
      <c r="M1189" s="167" t="s">
        <v>19</v>
      </c>
      <c r="N1189" s="168" t="s">
        <v>42</v>
      </c>
      <c r="P1189" s="136">
        <f>O1189*H1189</f>
        <v>0</v>
      </c>
      <c r="Q1189" s="136">
        <v>7.0000000000000007E-2</v>
      </c>
      <c r="R1189" s="136">
        <f>Q1189*H1189</f>
        <v>0.15750000000000003</v>
      </c>
      <c r="S1189" s="136">
        <v>0</v>
      </c>
      <c r="T1189" s="137">
        <f>S1189*H1189</f>
        <v>0</v>
      </c>
      <c r="AR1189" s="138" t="s">
        <v>333</v>
      </c>
      <c r="AT1189" s="138" t="s">
        <v>413</v>
      </c>
      <c r="AU1189" s="138" t="s">
        <v>81</v>
      </c>
      <c r="AY1189" s="17" t="s">
        <v>127</v>
      </c>
      <c r="BE1189" s="139">
        <f>IF(N1189="základní",J1189,0)</f>
        <v>0</v>
      </c>
      <c r="BF1189" s="139">
        <f>IF(N1189="snížená",J1189,0)</f>
        <v>0</v>
      </c>
      <c r="BG1189" s="139">
        <f>IF(N1189="zákl. přenesená",J1189,0)</f>
        <v>0</v>
      </c>
      <c r="BH1189" s="139">
        <f>IF(N1189="sníž. přenesená",J1189,0)</f>
        <v>0</v>
      </c>
      <c r="BI1189" s="139">
        <f>IF(N1189="nulová",J1189,0)</f>
        <v>0</v>
      </c>
      <c r="BJ1189" s="17" t="s">
        <v>79</v>
      </c>
      <c r="BK1189" s="139">
        <f>ROUND(I1189*H1189,2)</f>
        <v>0</v>
      </c>
      <c r="BL1189" s="17" t="s">
        <v>229</v>
      </c>
      <c r="BM1189" s="138" t="s">
        <v>2451</v>
      </c>
    </row>
    <row r="1190" spans="2:65" s="12" customFormat="1">
      <c r="B1190" s="144"/>
      <c r="D1190" s="145" t="s">
        <v>138</v>
      </c>
      <c r="F1190" s="147" t="s">
        <v>2452</v>
      </c>
      <c r="H1190" s="148">
        <v>2.25</v>
      </c>
      <c r="I1190" s="149"/>
      <c r="L1190" s="144"/>
      <c r="M1190" s="150"/>
      <c r="T1190" s="151"/>
      <c r="AT1190" s="146" t="s">
        <v>138</v>
      </c>
      <c r="AU1190" s="146" t="s">
        <v>81</v>
      </c>
      <c r="AV1190" s="12" t="s">
        <v>81</v>
      </c>
      <c r="AW1190" s="12" t="s">
        <v>4</v>
      </c>
      <c r="AX1190" s="12" t="s">
        <v>79</v>
      </c>
      <c r="AY1190" s="146" t="s">
        <v>127</v>
      </c>
    </row>
    <row r="1191" spans="2:65" s="1" customFormat="1" ht="24.2" customHeight="1">
      <c r="B1191" s="32"/>
      <c r="C1191" s="127" t="s">
        <v>2453</v>
      </c>
      <c r="D1191" s="127" t="s">
        <v>129</v>
      </c>
      <c r="E1191" s="128" t="s">
        <v>2454</v>
      </c>
      <c r="F1191" s="129" t="s">
        <v>2455</v>
      </c>
      <c r="G1191" s="130" t="s">
        <v>425</v>
      </c>
      <c r="H1191" s="169"/>
      <c r="I1191" s="132"/>
      <c r="J1191" s="133">
        <f>ROUND(I1191*H1191,2)</f>
        <v>0</v>
      </c>
      <c r="K1191" s="129" t="s">
        <v>133</v>
      </c>
      <c r="L1191" s="32"/>
      <c r="M1191" s="134" t="s">
        <v>19</v>
      </c>
      <c r="N1191" s="135" t="s">
        <v>42</v>
      </c>
      <c r="P1191" s="136">
        <f>O1191*H1191</f>
        <v>0</v>
      </c>
      <c r="Q1191" s="136">
        <v>0</v>
      </c>
      <c r="R1191" s="136">
        <f>Q1191*H1191</f>
        <v>0</v>
      </c>
      <c r="S1191" s="136">
        <v>0</v>
      </c>
      <c r="T1191" s="137">
        <f>S1191*H1191</f>
        <v>0</v>
      </c>
      <c r="AR1191" s="138" t="s">
        <v>229</v>
      </c>
      <c r="AT1191" s="138" t="s">
        <v>129</v>
      </c>
      <c r="AU1191" s="138" t="s">
        <v>81</v>
      </c>
      <c r="AY1191" s="17" t="s">
        <v>127</v>
      </c>
      <c r="BE1191" s="139">
        <f>IF(N1191="základní",J1191,0)</f>
        <v>0</v>
      </c>
      <c r="BF1191" s="139">
        <f>IF(N1191="snížená",J1191,0)</f>
        <v>0</v>
      </c>
      <c r="BG1191" s="139">
        <f>IF(N1191="zákl. přenesená",J1191,0)</f>
        <v>0</v>
      </c>
      <c r="BH1191" s="139">
        <f>IF(N1191="sníž. přenesená",J1191,0)</f>
        <v>0</v>
      </c>
      <c r="BI1191" s="139">
        <f>IF(N1191="nulová",J1191,0)</f>
        <v>0</v>
      </c>
      <c r="BJ1191" s="17" t="s">
        <v>79</v>
      </c>
      <c r="BK1191" s="139">
        <f>ROUND(I1191*H1191,2)</f>
        <v>0</v>
      </c>
      <c r="BL1191" s="17" t="s">
        <v>229</v>
      </c>
      <c r="BM1191" s="138" t="s">
        <v>2456</v>
      </c>
    </row>
    <row r="1192" spans="2:65" s="1" customFormat="1">
      <c r="B1192" s="32"/>
      <c r="D1192" s="140" t="s">
        <v>136</v>
      </c>
      <c r="F1192" s="141" t="s">
        <v>2457</v>
      </c>
      <c r="I1192" s="142"/>
      <c r="L1192" s="32"/>
      <c r="M1192" s="143"/>
      <c r="T1192" s="51"/>
      <c r="AT1192" s="17" t="s">
        <v>136</v>
      </c>
      <c r="AU1192" s="17" t="s">
        <v>81</v>
      </c>
    </row>
    <row r="1193" spans="2:65" s="11" customFormat="1" ht="22.9" customHeight="1">
      <c r="B1193" s="115"/>
      <c r="D1193" s="116" t="s">
        <v>70</v>
      </c>
      <c r="E1193" s="125" t="s">
        <v>2458</v>
      </c>
      <c r="F1193" s="125" t="s">
        <v>2459</v>
      </c>
      <c r="I1193" s="118"/>
      <c r="J1193" s="126">
        <f>BK1193</f>
        <v>0</v>
      </c>
      <c r="L1193" s="115"/>
      <c r="M1193" s="120"/>
      <c r="P1193" s="121">
        <f>SUM(P1194:P1232)</f>
        <v>0</v>
      </c>
      <c r="R1193" s="121">
        <f>SUM(R1194:R1232)</f>
        <v>0.17283798</v>
      </c>
      <c r="T1193" s="122">
        <f>SUM(T1194:T1232)</f>
        <v>0</v>
      </c>
      <c r="AR1193" s="116" t="s">
        <v>81</v>
      </c>
      <c r="AT1193" s="123" t="s">
        <v>70</v>
      </c>
      <c r="AU1193" s="123" t="s">
        <v>79</v>
      </c>
      <c r="AY1193" s="116" t="s">
        <v>127</v>
      </c>
      <c r="BK1193" s="124">
        <f>SUM(BK1194:BK1232)</f>
        <v>0</v>
      </c>
    </row>
    <row r="1194" spans="2:65" s="1" customFormat="1" ht="21.75" customHeight="1">
      <c r="B1194" s="32"/>
      <c r="C1194" s="127" t="s">
        <v>2460</v>
      </c>
      <c r="D1194" s="127" t="s">
        <v>129</v>
      </c>
      <c r="E1194" s="128" t="s">
        <v>2461</v>
      </c>
      <c r="F1194" s="129" t="s">
        <v>2462</v>
      </c>
      <c r="G1194" s="130" t="s">
        <v>132</v>
      </c>
      <c r="H1194" s="131">
        <v>823.03800000000001</v>
      </c>
      <c r="I1194" s="132"/>
      <c r="J1194" s="133">
        <f>ROUND(I1194*H1194,2)</f>
        <v>0</v>
      </c>
      <c r="K1194" s="129" t="s">
        <v>133</v>
      </c>
      <c r="L1194" s="32"/>
      <c r="M1194" s="134" t="s">
        <v>19</v>
      </c>
      <c r="N1194" s="135" t="s">
        <v>42</v>
      </c>
      <c r="P1194" s="136">
        <f>O1194*H1194</f>
        <v>0</v>
      </c>
      <c r="Q1194" s="136">
        <v>6.9999999999999994E-5</v>
      </c>
      <c r="R1194" s="136">
        <f>Q1194*H1194</f>
        <v>5.7612659999999996E-2</v>
      </c>
      <c r="S1194" s="136">
        <v>0</v>
      </c>
      <c r="T1194" s="137">
        <f>S1194*H1194</f>
        <v>0</v>
      </c>
      <c r="AR1194" s="138" t="s">
        <v>229</v>
      </c>
      <c r="AT1194" s="138" t="s">
        <v>129</v>
      </c>
      <c r="AU1194" s="138" t="s">
        <v>81</v>
      </c>
      <c r="AY1194" s="17" t="s">
        <v>127</v>
      </c>
      <c r="BE1194" s="139">
        <f>IF(N1194="základní",J1194,0)</f>
        <v>0</v>
      </c>
      <c r="BF1194" s="139">
        <f>IF(N1194="snížená",J1194,0)</f>
        <v>0</v>
      </c>
      <c r="BG1194" s="139">
        <f>IF(N1194="zákl. přenesená",J1194,0)</f>
        <v>0</v>
      </c>
      <c r="BH1194" s="139">
        <f>IF(N1194="sníž. přenesená",J1194,0)</f>
        <v>0</v>
      </c>
      <c r="BI1194" s="139">
        <f>IF(N1194="nulová",J1194,0)</f>
        <v>0</v>
      </c>
      <c r="BJ1194" s="17" t="s">
        <v>79</v>
      </c>
      <c r="BK1194" s="139">
        <f>ROUND(I1194*H1194,2)</f>
        <v>0</v>
      </c>
      <c r="BL1194" s="17" t="s">
        <v>229</v>
      </c>
      <c r="BM1194" s="138" t="s">
        <v>2463</v>
      </c>
    </row>
    <row r="1195" spans="2:65" s="1" customFormat="1">
      <c r="B1195" s="32"/>
      <c r="D1195" s="140" t="s">
        <v>136</v>
      </c>
      <c r="F1195" s="141" t="s">
        <v>2464</v>
      </c>
      <c r="I1195" s="142"/>
      <c r="L1195" s="32"/>
      <c r="M1195" s="143"/>
      <c r="T1195" s="51"/>
      <c r="AT1195" s="17" t="s">
        <v>136</v>
      </c>
      <c r="AU1195" s="17" t="s">
        <v>81</v>
      </c>
    </row>
    <row r="1196" spans="2:65" s="12" customFormat="1">
      <c r="B1196" s="144"/>
      <c r="D1196" s="145" t="s">
        <v>138</v>
      </c>
      <c r="E1196" s="146" t="s">
        <v>19</v>
      </c>
      <c r="F1196" s="147" t="s">
        <v>2465</v>
      </c>
      <c r="H1196" s="148">
        <v>108.217</v>
      </c>
      <c r="I1196" s="149"/>
      <c r="L1196" s="144"/>
      <c r="M1196" s="150"/>
      <c r="T1196" s="151"/>
      <c r="AT1196" s="146" t="s">
        <v>138</v>
      </c>
      <c r="AU1196" s="146" t="s">
        <v>81</v>
      </c>
      <c r="AV1196" s="12" t="s">
        <v>81</v>
      </c>
      <c r="AW1196" s="12" t="s">
        <v>33</v>
      </c>
      <c r="AX1196" s="12" t="s">
        <v>71</v>
      </c>
      <c r="AY1196" s="146" t="s">
        <v>127</v>
      </c>
    </row>
    <row r="1197" spans="2:65" s="12" customFormat="1">
      <c r="B1197" s="144"/>
      <c r="D1197" s="145" t="s">
        <v>138</v>
      </c>
      <c r="E1197" s="146" t="s">
        <v>19</v>
      </c>
      <c r="F1197" s="147" t="s">
        <v>2466</v>
      </c>
      <c r="H1197" s="148">
        <v>68.082999999999998</v>
      </c>
      <c r="I1197" s="149"/>
      <c r="L1197" s="144"/>
      <c r="M1197" s="150"/>
      <c r="T1197" s="151"/>
      <c r="AT1197" s="146" t="s">
        <v>138</v>
      </c>
      <c r="AU1197" s="146" t="s">
        <v>81</v>
      </c>
      <c r="AV1197" s="12" t="s">
        <v>81</v>
      </c>
      <c r="AW1197" s="12" t="s">
        <v>33</v>
      </c>
      <c r="AX1197" s="12" t="s">
        <v>71</v>
      </c>
      <c r="AY1197" s="146" t="s">
        <v>127</v>
      </c>
    </row>
    <row r="1198" spans="2:65" s="12" customFormat="1">
      <c r="B1198" s="144"/>
      <c r="D1198" s="145" t="s">
        <v>138</v>
      </c>
      <c r="E1198" s="146" t="s">
        <v>19</v>
      </c>
      <c r="F1198" s="147" t="s">
        <v>2467</v>
      </c>
      <c r="H1198" s="148">
        <v>472.53300000000002</v>
      </c>
      <c r="I1198" s="149"/>
      <c r="L1198" s="144"/>
      <c r="M1198" s="150"/>
      <c r="T1198" s="151"/>
      <c r="AT1198" s="146" t="s">
        <v>138</v>
      </c>
      <c r="AU1198" s="146" t="s">
        <v>81</v>
      </c>
      <c r="AV1198" s="12" t="s">
        <v>81</v>
      </c>
      <c r="AW1198" s="12" t="s">
        <v>33</v>
      </c>
      <c r="AX1198" s="12" t="s">
        <v>71</v>
      </c>
      <c r="AY1198" s="146" t="s">
        <v>127</v>
      </c>
    </row>
    <row r="1199" spans="2:65" s="12" customFormat="1">
      <c r="B1199" s="144"/>
      <c r="D1199" s="145" t="s">
        <v>138</v>
      </c>
      <c r="E1199" s="146" t="s">
        <v>19</v>
      </c>
      <c r="F1199" s="147" t="s">
        <v>2468</v>
      </c>
      <c r="H1199" s="148">
        <v>3.2</v>
      </c>
      <c r="I1199" s="149"/>
      <c r="L1199" s="144"/>
      <c r="M1199" s="150"/>
      <c r="T1199" s="151"/>
      <c r="AT1199" s="146" t="s">
        <v>138</v>
      </c>
      <c r="AU1199" s="146" t="s">
        <v>81</v>
      </c>
      <c r="AV1199" s="12" t="s">
        <v>81</v>
      </c>
      <c r="AW1199" s="12" t="s">
        <v>33</v>
      </c>
      <c r="AX1199" s="12" t="s">
        <v>71</v>
      </c>
      <c r="AY1199" s="146" t="s">
        <v>127</v>
      </c>
    </row>
    <row r="1200" spans="2:65" s="12" customFormat="1">
      <c r="B1200" s="144"/>
      <c r="D1200" s="145" t="s">
        <v>138</v>
      </c>
      <c r="E1200" s="146" t="s">
        <v>19</v>
      </c>
      <c r="F1200" s="147" t="s">
        <v>2469</v>
      </c>
      <c r="H1200" s="148">
        <v>12.84</v>
      </c>
      <c r="I1200" s="149"/>
      <c r="L1200" s="144"/>
      <c r="M1200" s="150"/>
      <c r="T1200" s="151"/>
      <c r="AT1200" s="146" t="s">
        <v>138</v>
      </c>
      <c r="AU1200" s="146" t="s">
        <v>81</v>
      </c>
      <c r="AV1200" s="12" t="s">
        <v>81</v>
      </c>
      <c r="AW1200" s="12" t="s">
        <v>33</v>
      </c>
      <c r="AX1200" s="12" t="s">
        <v>71</v>
      </c>
      <c r="AY1200" s="146" t="s">
        <v>127</v>
      </c>
    </row>
    <row r="1201" spans="2:65" s="12" customFormat="1">
      <c r="B1201" s="144"/>
      <c r="D1201" s="145" t="s">
        <v>138</v>
      </c>
      <c r="E1201" s="146" t="s">
        <v>19</v>
      </c>
      <c r="F1201" s="147" t="s">
        <v>2470</v>
      </c>
      <c r="H1201" s="148">
        <v>14.85</v>
      </c>
      <c r="I1201" s="149"/>
      <c r="L1201" s="144"/>
      <c r="M1201" s="150"/>
      <c r="T1201" s="151"/>
      <c r="AT1201" s="146" t="s">
        <v>138</v>
      </c>
      <c r="AU1201" s="146" t="s">
        <v>81</v>
      </c>
      <c r="AV1201" s="12" t="s">
        <v>81</v>
      </c>
      <c r="AW1201" s="12" t="s">
        <v>33</v>
      </c>
      <c r="AX1201" s="12" t="s">
        <v>71</v>
      </c>
      <c r="AY1201" s="146" t="s">
        <v>127</v>
      </c>
    </row>
    <row r="1202" spans="2:65" s="12" customFormat="1">
      <c r="B1202" s="144"/>
      <c r="D1202" s="145" t="s">
        <v>138</v>
      </c>
      <c r="E1202" s="146" t="s">
        <v>19</v>
      </c>
      <c r="F1202" s="147" t="s">
        <v>2471</v>
      </c>
      <c r="H1202" s="148">
        <v>62.92</v>
      </c>
      <c r="I1202" s="149"/>
      <c r="L1202" s="144"/>
      <c r="M1202" s="150"/>
      <c r="T1202" s="151"/>
      <c r="AT1202" s="146" t="s">
        <v>138</v>
      </c>
      <c r="AU1202" s="146" t="s">
        <v>81</v>
      </c>
      <c r="AV1202" s="12" t="s">
        <v>81</v>
      </c>
      <c r="AW1202" s="12" t="s">
        <v>33</v>
      </c>
      <c r="AX1202" s="12" t="s">
        <v>71</v>
      </c>
      <c r="AY1202" s="146" t="s">
        <v>127</v>
      </c>
    </row>
    <row r="1203" spans="2:65" s="12" customFormat="1">
      <c r="B1203" s="144"/>
      <c r="D1203" s="145" t="s">
        <v>138</v>
      </c>
      <c r="E1203" s="146" t="s">
        <v>19</v>
      </c>
      <c r="F1203" s="147" t="s">
        <v>2472</v>
      </c>
      <c r="H1203" s="148">
        <v>27.143000000000001</v>
      </c>
      <c r="I1203" s="149"/>
      <c r="L1203" s="144"/>
      <c r="M1203" s="150"/>
      <c r="T1203" s="151"/>
      <c r="AT1203" s="146" t="s">
        <v>138</v>
      </c>
      <c r="AU1203" s="146" t="s">
        <v>81</v>
      </c>
      <c r="AV1203" s="12" t="s">
        <v>81</v>
      </c>
      <c r="AW1203" s="12" t="s">
        <v>33</v>
      </c>
      <c r="AX1203" s="12" t="s">
        <v>71</v>
      </c>
      <c r="AY1203" s="146" t="s">
        <v>127</v>
      </c>
    </row>
    <row r="1204" spans="2:65" s="12" customFormat="1">
      <c r="B1204" s="144"/>
      <c r="D1204" s="145" t="s">
        <v>138</v>
      </c>
      <c r="E1204" s="146" t="s">
        <v>19</v>
      </c>
      <c r="F1204" s="147" t="s">
        <v>2473</v>
      </c>
      <c r="H1204" s="148">
        <v>26.88</v>
      </c>
      <c r="I1204" s="149"/>
      <c r="L1204" s="144"/>
      <c r="M1204" s="150"/>
      <c r="T1204" s="151"/>
      <c r="AT1204" s="146" t="s">
        <v>138</v>
      </c>
      <c r="AU1204" s="146" t="s">
        <v>81</v>
      </c>
      <c r="AV1204" s="12" t="s">
        <v>81</v>
      </c>
      <c r="AW1204" s="12" t="s">
        <v>33</v>
      </c>
      <c r="AX1204" s="12" t="s">
        <v>71</v>
      </c>
      <c r="AY1204" s="146" t="s">
        <v>127</v>
      </c>
    </row>
    <row r="1205" spans="2:65" s="12" customFormat="1">
      <c r="B1205" s="144"/>
      <c r="D1205" s="145" t="s">
        <v>138</v>
      </c>
      <c r="E1205" s="146" t="s">
        <v>19</v>
      </c>
      <c r="F1205" s="147" t="s">
        <v>2474</v>
      </c>
      <c r="H1205" s="148">
        <v>26.372</v>
      </c>
      <c r="I1205" s="149"/>
      <c r="L1205" s="144"/>
      <c r="M1205" s="150"/>
      <c r="T1205" s="151"/>
      <c r="AT1205" s="146" t="s">
        <v>138</v>
      </c>
      <c r="AU1205" s="146" t="s">
        <v>81</v>
      </c>
      <c r="AV1205" s="12" t="s">
        <v>81</v>
      </c>
      <c r="AW1205" s="12" t="s">
        <v>33</v>
      </c>
      <c r="AX1205" s="12" t="s">
        <v>71</v>
      </c>
      <c r="AY1205" s="146" t="s">
        <v>127</v>
      </c>
    </row>
    <row r="1206" spans="2:65" s="13" customFormat="1">
      <c r="B1206" s="152"/>
      <c r="D1206" s="145" t="s">
        <v>138</v>
      </c>
      <c r="E1206" s="153" t="s">
        <v>19</v>
      </c>
      <c r="F1206" s="154" t="s">
        <v>152</v>
      </c>
      <c r="H1206" s="155">
        <v>823.03800000000012</v>
      </c>
      <c r="I1206" s="156"/>
      <c r="L1206" s="152"/>
      <c r="M1206" s="157"/>
      <c r="T1206" s="158"/>
      <c r="AT1206" s="153" t="s">
        <v>138</v>
      </c>
      <c r="AU1206" s="153" t="s">
        <v>81</v>
      </c>
      <c r="AV1206" s="13" t="s">
        <v>134</v>
      </c>
      <c r="AW1206" s="13" t="s">
        <v>33</v>
      </c>
      <c r="AX1206" s="13" t="s">
        <v>79</v>
      </c>
      <c r="AY1206" s="153" t="s">
        <v>127</v>
      </c>
    </row>
    <row r="1207" spans="2:65" s="1" customFormat="1" ht="16.5" customHeight="1">
      <c r="B1207" s="32"/>
      <c r="C1207" s="127" t="s">
        <v>2475</v>
      </c>
      <c r="D1207" s="127" t="s">
        <v>129</v>
      </c>
      <c r="E1207" s="128" t="s">
        <v>2476</v>
      </c>
      <c r="F1207" s="129" t="s">
        <v>2477</v>
      </c>
      <c r="G1207" s="130" t="s">
        <v>132</v>
      </c>
      <c r="H1207" s="131">
        <v>823.03800000000001</v>
      </c>
      <c r="I1207" s="132"/>
      <c r="J1207" s="133">
        <f>ROUND(I1207*H1207,2)</f>
        <v>0</v>
      </c>
      <c r="K1207" s="129" t="s">
        <v>133</v>
      </c>
      <c r="L1207" s="32"/>
      <c r="M1207" s="134" t="s">
        <v>19</v>
      </c>
      <c r="N1207" s="135" t="s">
        <v>42</v>
      </c>
      <c r="P1207" s="136">
        <f>O1207*H1207</f>
        <v>0</v>
      </c>
      <c r="Q1207" s="136">
        <v>0</v>
      </c>
      <c r="R1207" s="136">
        <f>Q1207*H1207</f>
        <v>0</v>
      </c>
      <c r="S1207" s="136">
        <v>0</v>
      </c>
      <c r="T1207" s="137">
        <f>S1207*H1207</f>
        <v>0</v>
      </c>
      <c r="AR1207" s="138" t="s">
        <v>229</v>
      </c>
      <c r="AT1207" s="138" t="s">
        <v>129</v>
      </c>
      <c r="AU1207" s="138" t="s">
        <v>81</v>
      </c>
      <c r="AY1207" s="17" t="s">
        <v>127</v>
      </c>
      <c r="BE1207" s="139">
        <f>IF(N1207="základní",J1207,0)</f>
        <v>0</v>
      </c>
      <c r="BF1207" s="139">
        <f>IF(N1207="snížená",J1207,0)</f>
        <v>0</v>
      </c>
      <c r="BG1207" s="139">
        <f>IF(N1207="zákl. přenesená",J1207,0)</f>
        <v>0</v>
      </c>
      <c r="BH1207" s="139">
        <f>IF(N1207="sníž. přenesená",J1207,0)</f>
        <v>0</v>
      </c>
      <c r="BI1207" s="139">
        <f>IF(N1207="nulová",J1207,0)</f>
        <v>0</v>
      </c>
      <c r="BJ1207" s="17" t="s">
        <v>79</v>
      </c>
      <c r="BK1207" s="139">
        <f>ROUND(I1207*H1207,2)</f>
        <v>0</v>
      </c>
      <c r="BL1207" s="17" t="s">
        <v>229</v>
      </c>
      <c r="BM1207" s="138" t="s">
        <v>2478</v>
      </c>
    </row>
    <row r="1208" spans="2:65" s="1" customFormat="1">
      <c r="B1208" s="32"/>
      <c r="D1208" s="140" t="s">
        <v>136</v>
      </c>
      <c r="F1208" s="141" t="s">
        <v>2479</v>
      </c>
      <c r="I1208" s="142"/>
      <c r="L1208" s="32"/>
      <c r="M1208" s="143"/>
      <c r="T1208" s="51"/>
      <c r="AT1208" s="17" t="s">
        <v>136</v>
      </c>
      <c r="AU1208" s="17" t="s">
        <v>81</v>
      </c>
    </row>
    <row r="1209" spans="2:65" s="12" customFormat="1">
      <c r="B1209" s="144"/>
      <c r="D1209" s="145" t="s">
        <v>138</v>
      </c>
      <c r="E1209" s="146" t="s">
        <v>19</v>
      </c>
      <c r="F1209" s="147" t="s">
        <v>2465</v>
      </c>
      <c r="H1209" s="148">
        <v>108.217</v>
      </c>
      <c r="I1209" s="149"/>
      <c r="L1209" s="144"/>
      <c r="M1209" s="150"/>
      <c r="T1209" s="151"/>
      <c r="AT1209" s="146" t="s">
        <v>138</v>
      </c>
      <c r="AU1209" s="146" t="s">
        <v>81</v>
      </c>
      <c r="AV1209" s="12" t="s">
        <v>81</v>
      </c>
      <c r="AW1209" s="12" t="s">
        <v>33</v>
      </c>
      <c r="AX1209" s="12" t="s">
        <v>71</v>
      </c>
      <c r="AY1209" s="146" t="s">
        <v>127</v>
      </c>
    </row>
    <row r="1210" spans="2:65" s="12" customFormat="1">
      <c r="B1210" s="144"/>
      <c r="D1210" s="145" t="s">
        <v>138</v>
      </c>
      <c r="E1210" s="146" t="s">
        <v>19</v>
      </c>
      <c r="F1210" s="147" t="s">
        <v>2466</v>
      </c>
      <c r="H1210" s="148">
        <v>68.082999999999998</v>
      </c>
      <c r="I1210" s="149"/>
      <c r="L1210" s="144"/>
      <c r="M1210" s="150"/>
      <c r="T1210" s="151"/>
      <c r="AT1210" s="146" t="s">
        <v>138</v>
      </c>
      <c r="AU1210" s="146" t="s">
        <v>81</v>
      </c>
      <c r="AV1210" s="12" t="s">
        <v>81</v>
      </c>
      <c r="AW1210" s="12" t="s">
        <v>33</v>
      </c>
      <c r="AX1210" s="12" t="s">
        <v>71</v>
      </c>
      <c r="AY1210" s="146" t="s">
        <v>127</v>
      </c>
    </row>
    <row r="1211" spans="2:65" s="12" customFormat="1">
      <c r="B1211" s="144"/>
      <c r="D1211" s="145" t="s">
        <v>138</v>
      </c>
      <c r="E1211" s="146" t="s">
        <v>19</v>
      </c>
      <c r="F1211" s="147" t="s">
        <v>2467</v>
      </c>
      <c r="H1211" s="148">
        <v>472.53300000000002</v>
      </c>
      <c r="I1211" s="149"/>
      <c r="L1211" s="144"/>
      <c r="M1211" s="150"/>
      <c r="T1211" s="151"/>
      <c r="AT1211" s="146" t="s">
        <v>138</v>
      </c>
      <c r="AU1211" s="146" t="s">
        <v>81</v>
      </c>
      <c r="AV1211" s="12" t="s">
        <v>81</v>
      </c>
      <c r="AW1211" s="12" t="s">
        <v>33</v>
      </c>
      <c r="AX1211" s="12" t="s">
        <v>71</v>
      </c>
      <c r="AY1211" s="146" t="s">
        <v>127</v>
      </c>
    </row>
    <row r="1212" spans="2:65" s="12" customFormat="1">
      <c r="B1212" s="144"/>
      <c r="D1212" s="145" t="s">
        <v>138</v>
      </c>
      <c r="E1212" s="146" t="s">
        <v>19</v>
      </c>
      <c r="F1212" s="147" t="s">
        <v>2468</v>
      </c>
      <c r="H1212" s="148">
        <v>3.2</v>
      </c>
      <c r="I1212" s="149"/>
      <c r="L1212" s="144"/>
      <c r="M1212" s="150"/>
      <c r="T1212" s="151"/>
      <c r="AT1212" s="146" t="s">
        <v>138</v>
      </c>
      <c r="AU1212" s="146" t="s">
        <v>81</v>
      </c>
      <c r="AV1212" s="12" t="s">
        <v>81</v>
      </c>
      <c r="AW1212" s="12" t="s">
        <v>33</v>
      </c>
      <c r="AX1212" s="12" t="s">
        <v>71</v>
      </c>
      <c r="AY1212" s="146" t="s">
        <v>127</v>
      </c>
    </row>
    <row r="1213" spans="2:65" s="12" customFormat="1">
      <c r="B1213" s="144"/>
      <c r="D1213" s="145" t="s">
        <v>138</v>
      </c>
      <c r="E1213" s="146" t="s">
        <v>19</v>
      </c>
      <c r="F1213" s="147" t="s">
        <v>2469</v>
      </c>
      <c r="H1213" s="148">
        <v>12.84</v>
      </c>
      <c r="I1213" s="149"/>
      <c r="L1213" s="144"/>
      <c r="M1213" s="150"/>
      <c r="T1213" s="151"/>
      <c r="AT1213" s="146" t="s">
        <v>138</v>
      </c>
      <c r="AU1213" s="146" t="s">
        <v>81</v>
      </c>
      <c r="AV1213" s="12" t="s">
        <v>81</v>
      </c>
      <c r="AW1213" s="12" t="s">
        <v>33</v>
      </c>
      <c r="AX1213" s="12" t="s">
        <v>71</v>
      </c>
      <c r="AY1213" s="146" t="s">
        <v>127</v>
      </c>
    </row>
    <row r="1214" spans="2:65" s="12" customFormat="1">
      <c r="B1214" s="144"/>
      <c r="D1214" s="145" t="s">
        <v>138</v>
      </c>
      <c r="E1214" s="146" t="s">
        <v>19</v>
      </c>
      <c r="F1214" s="147" t="s">
        <v>2470</v>
      </c>
      <c r="H1214" s="148">
        <v>14.85</v>
      </c>
      <c r="I1214" s="149"/>
      <c r="L1214" s="144"/>
      <c r="M1214" s="150"/>
      <c r="T1214" s="151"/>
      <c r="AT1214" s="146" t="s">
        <v>138</v>
      </c>
      <c r="AU1214" s="146" t="s">
        <v>81</v>
      </c>
      <c r="AV1214" s="12" t="s">
        <v>81</v>
      </c>
      <c r="AW1214" s="12" t="s">
        <v>33</v>
      </c>
      <c r="AX1214" s="12" t="s">
        <v>71</v>
      </c>
      <c r="AY1214" s="146" t="s">
        <v>127</v>
      </c>
    </row>
    <row r="1215" spans="2:65" s="12" customFormat="1">
      <c r="B1215" s="144"/>
      <c r="D1215" s="145" t="s">
        <v>138</v>
      </c>
      <c r="E1215" s="146" t="s">
        <v>19</v>
      </c>
      <c r="F1215" s="147" t="s">
        <v>2471</v>
      </c>
      <c r="H1215" s="148">
        <v>62.92</v>
      </c>
      <c r="I1215" s="149"/>
      <c r="L1215" s="144"/>
      <c r="M1215" s="150"/>
      <c r="T1215" s="151"/>
      <c r="AT1215" s="146" t="s">
        <v>138</v>
      </c>
      <c r="AU1215" s="146" t="s">
        <v>81</v>
      </c>
      <c r="AV1215" s="12" t="s">
        <v>81</v>
      </c>
      <c r="AW1215" s="12" t="s">
        <v>33</v>
      </c>
      <c r="AX1215" s="12" t="s">
        <v>71</v>
      </c>
      <c r="AY1215" s="146" t="s">
        <v>127</v>
      </c>
    </row>
    <row r="1216" spans="2:65" s="12" customFormat="1">
      <c r="B1216" s="144"/>
      <c r="D1216" s="145" t="s">
        <v>138</v>
      </c>
      <c r="E1216" s="146" t="s">
        <v>19</v>
      </c>
      <c r="F1216" s="147" t="s">
        <v>2472</v>
      </c>
      <c r="H1216" s="148">
        <v>27.143000000000001</v>
      </c>
      <c r="I1216" s="149"/>
      <c r="L1216" s="144"/>
      <c r="M1216" s="150"/>
      <c r="T1216" s="151"/>
      <c r="AT1216" s="146" t="s">
        <v>138</v>
      </c>
      <c r="AU1216" s="146" t="s">
        <v>81</v>
      </c>
      <c r="AV1216" s="12" t="s">
        <v>81</v>
      </c>
      <c r="AW1216" s="12" t="s">
        <v>33</v>
      </c>
      <c r="AX1216" s="12" t="s">
        <v>71</v>
      </c>
      <c r="AY1216" s="146" t="s">
        <v>127</v>
      </c>
    </row>
    <row r="1217" spans="2:65" s="12" customFormat="1">
      <c r="B1217" s="144"/>
      <c r="D1217" s="145" t="s">
        <v>138</v>
      </c>
      <c r="E1217" s="146" t="s">
        <v>19</v>
      </c>
      <c r="F1217" s="147" t="s">
        <v>2473</v>
      </c>
      <c r="H1217" s="148">
        <v>26.88</v>
      </c>
      <c r="I1217" s="149"/>
      <c r="L1217" s="144"/>
      <c r="M1217" s="150"/>
      <c r="T1217" s="151"/>
      <c r="AT1217" s="146" t="s">
        <v>138</v>
      </c>
      <c r="AU1217" s="146" t="s">
        <v>81</v>
      </c>
      <c r="AV1217" s="12" t="s">
        <v>81</v>
      </c>
      <c r="AW1217" s="12" t="s">
        <v>33</v>
      </c>
      <c r="AX1217" s="12" t="s">
        <v>71</v>
      </c>
      <c r="AY1217" s="146" t="s">
        <v>127</v>
      </c>
    </row>
    <row r="1218" spans="2:65" s="12" customFormat="1">
      <c r="B1218" s="144"/>
      <c r="D1218" s="145" t="s">
        <v>138</v>
      </c>
      <c r="E1218" s="146" t="s">
        <v>19</v>
      </c>
      <c r="F1218" s="147" t="s">
        <v>2474</v>
      </c>
      <c r="H1218" s="148">
        <v>26.372</v>
      </c>
      <c r="I1218" s="149"/>
      <c r="L1218" s="144"/>
      <c r="M1218" s="150"/>
      <c r="T1218" s="151"/>
      <c r="AT1218" s="146" t="s">
        <v>138</v>
      </c>
      <c r="AU1218" s="146" t="s">
        <v>81</v>
      </c>
      <c r="AV1218" s="12" t="s">
        <v>81</v>
      </c>
      <c r="AW1218" s="12" t="s">
        <v>33</v>
      </c>
      <c r="AX1218" s="12" t="s">
        <v>71</v>
      </c>
      <c r="AY1218" s="146" t="s">
        <v>127</v>
      </c>
    </row>
    <row r="1219" spans="2:65" s="13" customFormat="1">
      <c r="B1219" s="152"/>
      <c r="D1219" s="145" t="s">
        <v>138</v>
      </c>
      <c r="E1219" s="153" t="s">
        <v>19</v>
      </c>
      <c r="F1219" s="154" t="s">
        <v>152</v>
      </c>
      <c r="H1219" s="155">
        <v>823.03800000000012</v>
      </c>
      <c r="I1219" s="156"/>
      <c r="L1219" s="152"/>
      <c r="M1219" s="157"/>
      <c r="T1219" s="158"/>
      <c r="AT1219" s="153" t="s">
        <v>138</v>
      </c>
      <c r="AU1219" s="153" t="s">
        <v>81</v>
      </c>
      <c r="AV1219" s="13" t="s">
        <v>134</v>
      </c>
      <c r="AW1219" s="13" t="s">
        <v>33</v>
      </c>
      <c r="AX1219" s="13" t="s">
        <v>79</v>
      </c>
      <c r="AY1219" s="153" t="s">
        <v>127</v>
      </c>
    </row>
    <row r="1220" spans="2:65" s="1" customFormat="1" ht="16.5" customHeight="1">
      <c r="B1220" s="32"/>
      <c r="C1220" s="127" t="s">
        <v>2480</v>
      </c>
      <c r="D1220" s="127" t="s">
        <v>129</v>
      </c>
      <c r="E1220" s="128" t="s">
        <v>2481</v>
      </c>
      <c r="F1220" s="129" t="s">
        <v>2482</v>
      </c>
      <c r="G1220" s="130" t="s">
        <v>132</v>
      </c>
      <c r="H1220" s="131">
        <v>823.03800000000001</v>
      </c>
      <c r="I1220" s="132"/>
      <c r="J1220" s="133">
        <f>ROUND(I1220*H1220,2)</f>
        <v>0</v>
      </c>
      <c r="K1220" s="129" t="s">
        <v>133</v>
      </c>
      <c r="L1220" s="32"/>
      <c r="M1220" s="134" t="s">
        <v>19</v>
      </c>
      <c r="N1220" s="135" t="s">
        <v>42</v>
      </c>
      <c r="P1220" s="136">
        <f>O1220*H1220</f>
        <v>0</v>
      </c>
      <c r="Q1220" s="136">
        <v>1.3999999999999999E-4</v>
      </c>
      <c r="R1220" s="136">
        <f>Q1220*H1220</f>
        <v>0.11522531999999999</v>
      </c>
      <c r="S1220" s="136">
        <v>0</v>
      </c>
      <c r="T1220" s="137">
        <f>S1220*H1220</f>
        <v>0</v>
      </c>
      <c r="AR1220" s="138" t="s">
        <v>229</v>
      </c>
      <c r="AT1220" s="138" t="s">
        <v>129</v>
      </c>
      <c r="AU1220" s="138" t="s">
        <v>81</v>
      </c>
      <c r="AY1220" s="17" t="s">
        <v>127</v>
      </c>
      <c r="BE1220" s="139">
        <f>IF(N1220="základní",J1220,0)</f>
        <v>0</v>
      </c>
      <c r="BF1220" s="139">
        <f>IF(N1220="snížená",J1220,0)</f>
        <v>0</v>
      </c>
      <c r="BG1220" s="139">
        <f>IF(N1220="zákl. přenesená",J1220,0)</f>
        <v>0</v>
      </c>
      <c r="BH1220" s="139">
        <f>IF(N1220="sníž. přenesená",J1220,0)</f>
        <v>0</v>
      </c>
      <c r="BI1220" s="139">
        <f>IF(N1220="nulová",J1220,0)</f>
        <v>0</v>
      </c>
      <c r="BJ1220" s="17" t="s">
        <v>79</v>
      </c>
      <c r="BK1220" s="139">
        <f>ROUND(I1220*H1220,2)</f>
        <v>0</v>
      </c>
      <c r="BL1220" s="17" t="s">
        <v>229</v>
      </c>
      <c r="BM1220" s="138" t="s">
        <v>2483</v>
      </c>
    </row>
    <row r="1221" spans="2:65" s="1" customFormat="1">
      <c r="B1221" s="32"/>
      <c r="D1221" s="140" t="s">
        <v>136</v>
      </c>
      <c r="F1221" s="141" t="s">
        <v>2484</v>
      </c>
      <c r="I1221" s="142"/>
      <c r="L1221" s="32"/>
      <c r="M1221" s="143"/>
      <c r="T1221" s="51"/>
      <c r="AT1221" s="17" t="s">
        <v>136</v>
      </c>
      <c r="AU1221" s="17" t="s">
        <v>81</v>
      </c>
    </row>
    <row r="1222" spans="2:65" s="12" customFormat="1">
      <c r="B1222" s="144"/>
      <c r="D1222" s="145" t="s">
        <v>138</v>
      </c>
      <c r="E1222" s="146" t="s">
        <v>19</v>
      </c>
      <c r="F1222" s="147" t="s">
        <v>2465</v>
      </c>
      <c r="H1222" s="148">
        <v>108.217</v>
      </c>
      <c r="I1222" s="149"/>
      <c r="L1222" s="144"/>
      <c r="M1222" s="150"/>
      <c r="T1222" s="151"/>
      <c r="AT1222" s="146" t="s">
        <v>138</v>
      </c>
      <c r="AU1222" s="146" t="s">
        <v>81</v>
      </c>
      <c r="AV1222" s="12" t="s">
        <v>81</v>
      </c>
      <c r="AW1222" s="12" t="s">
        <v>33</v>
      </c>
      <c r="AX1222" s="12" t="s">
        <v>71</v>
      </c>
      <c r="AY1222" s="146" t="s">
        <v>127</v>
      </c>
    </row>
    <row r="1223" spans="2:65" s="12" customFormat="1">
      <c r="B1223" s="144"/>
      <c r="D1223" s="145" t="s">
        <v>138</v>
      </c>
      <c r="E1223" s="146" t="s">
        <v>19</v>
      </c>
      <c r="F1223" s="147" t="s">
        <v>2466</v>
      </c>
      <c r="H1223" s="148">
        <v>68.082999999999998</v>
      </c>
      <c r="I1223" s="149"/>
      <c r="L1223" s="144"/>
      <c r="M1223" s="150"/>
      <c r="T1223" s="151"/>
      <c r="AT1223" s="146" t="s">
        <v>138</v>
      </c>
      <c r="AU1223" s="146" t="s">
        <v>81</v>
      </c>
      <c r="AV1223" s="12" t="s">
        <v>81</v>
      </c>
      <c r="AW1223" s="12" t="s">
        <v>33</v>
      </c>
      <c r="AX1223" s="12" t="s">
        <v>71</v>
      </c>
      <c r="AY1223" s="146" t="s">
        <v>127</v>
      </c>
    </row>
    <row r="1224" spans="2:65" s="12" customFormat="1">
      <c r="B1224" s="144"/>
      <c r="D1224" s="145" t="s">
        <v>138</v>
      </c>
      <c r="E1224" s="146" t="s">
        <v>19</v>
      </c>
      <c r="F1224" s="147" t="s">
        <v>2467</v>
      </c>
      <c r="H1224" s="148">
        <v>472.53300000000002</v>
      </c>
      <c r="I1224" s="149"/>
      <c r="L1224" s="144"/>
      <c r="M1224" s="150"/>
      <c r="T1224" s="151"/>
      <c r="AT1224" s="146" t="s">
        <v>138</v>
      </c>
      <c r="AU1224" s="146" t="s">
        <v>81</v>
      </c>
      <c r="AV1224" s="12" t="s">
        <v>81</v>
      </c>
      <c r="AW1224" s="12" t="s">
        <v>33</v>
      </c>
      <c r="AX1224" s="12" t="s">
        <v>71</v>
      </c>
      <c r="AY1224" s="146" t="s">
        <v>127</v>
      </c>
    </row>
    <row r="1225" spans="2:65" s="12" customFormat="1">
      <c r="B1225" s="144"/>
      <c r="D1225" s="145" t="s">
        <v>138</v>
      </c>
      <c r="E1225" s="146" t="s">
        <v>19</v>
      </c>
      <c r="F1225" s="147" t="s">
        <v>2468</v>
      </c>
      <c r="H1225" s="148">
        <v>3.2</v>
      </c>
      <c r="I1225" s="149"/>
      <c r="L1225" s="144"/>
      <c r="M1225" s="150"/>
      <c r="T1225" s="151"/>
      <c r="AT1225" s="146" t="s">
        <v>138</v>
      </c>
      <c r="AU1225" s="146" t="s">
        <v>81</v>
      </c>
      <c r="AV1225" s="12" t="s">
        <v>81</v>
      </c>
      <c r="AW1225" s="12" t="s">
        <v>33</v>
      </c>
      <c r="AX1225" s="12" t="s">
        <v>71</v>
      </c>
      <c r="AY1225" s="146" t="s">
        <v>127</v>
      </c>
    </row>
    <row r="1226" spans="2:65" s="12" customFormat="1">
      <c r="B1226" s="144"/>
      <c r="D1226" s="145" t="s">
        <v>138</v>
      </c>
      <c r="E1226" s="146" t="s">
        <v>19</v>
      </c>
      <c r="F1226" s="147" t="s">
        <v>2469</v>
      </c>
      <c r="H1226" s="148">
        <v>12.84</v>
      </c>
      <c r="I1226" s="149"/>
      <c r="L1226" s="144"/>
      <c r="M1226" s="150"/>
      <c r="T1226" s="151"/>
      <c r="AT1226" s="146" t="s">
        <v>138</v>
      </c>
      <c r="AU1226" s="146" t="s">
        <v>81</v>
      </c>
      <c r="AV1226" s="12" t="s">
        <v>81</v>
      </c>
      <c r="AW1226" s="12" t="s">
        <v>33</v>
      </c>
      <c r="AX1226" s="12" t="s">
        <v>71</v>
      </c>
      <c r="AY1226" s="146" t="s">
        <v>127</v>
      </c>
    </row>
    <row r="1227" spans="2:65" s="12" customFormat="1">
      <c r="B1227" s="144"/>
      <c r="D1227" s="145" t="s">
        <v>138</v>
      </c>
      <c r="E1227" s="146" t="s">
        <v>19</v>
      </c>
      <c r="F1227" s="147" t="s">
        <v>2470</v>
      </c>
      <c r="H1227" s="148">
        <v>14.85</v>
      </c>
      <c r="I1227" s="149"/>
      <c r="L1227" s="144"/>
      <c r="M1227" s="150"/>
      <c r="T1227" s="151"/>
      <c r="AT1227" s="146" t="s">
        <v>138</v>
      </c>
      <c r="AU1227" s="146" t="s">
        <v>81</v>
      </c>
      <c r="AV1227" s="12" t="s">
        <v>81</v>
      </c>
      <c r="AW1227" s="12" t="s">
        <v>33</v>
      </c>
      <c r="AX1227" s="12" t="s">
        <v>71</v>
      </c>
      <c r="AY1227" s="146" t="s">
        <v>127</v>
      </c>
    </row>
    <row r="1228" spans="2:65" s="12" customFormat="1">
      <c r="B1228" s="144"/>
      <c r="D1228" s="145" t="s">
        <v>138</v>
      </c>
      <c r="E1228" s="146" t="s">
        <v>19</v>
      </c>
      <c r="F1228" s="147" t="s">
        <v>2471</v>
      </c>
      <c r="H1228" s="148">
        <v>62.92</v>
      </c>
      <c r="I1228" s="149"/>
      <c r="L1228" s="144"/>
      <c r="M1228" s="150"/>
      <c r="T1228" s="151"/>
      <c r="AT1228" s="146" t="s">
        <v>138</v>
      </c>
      <c r="AU1228" s="146" t="s">
        <v>81</v>
      </c>
      <c r="AV1228" s="12" t="s">
        <v>81</v>
      </c>
      <c r="AW1228" s="12" t="s">
        <v>33</v>
      </c>
      <c r="AX1228" s="12" t="s">
        <v>71</v>
      </c>
      <c r="AY1228" s="146" t="s">
        <v>127</v>
      </c>
    </row>
    <row r="1229" spans="2:65" s="12" customFormat="1">
      <c r="B1229" s="144"/>
      <c r="D1229" s="145" t="s">
        <v>138</v>
      </c>
      <c r="E1229" s="146" t="s">
        <v>19</v>
      </c>
      <c r="F1229" s="147" t="s">
        <v>2472</v>
      </c>
      <c r="H1229" s="148">
        <v>27.143000000000001</v>
      </c>
      <c r="I1229" s="149"/>
      <c r="L1229" s="144"/>
      <c r="M1229" s="150"/>
      <c r="T1229" s="151"/>
      <c r="AT1229" s="146" t="s">
        <v>138</v>
      </c>
      <c r="AU1229" s="146" t="s">
        <v>81</v>
      </c>
      <c r="AV1229" s="12" t="s">
        <v>81</v>
      </c>
      <c r="AW1229" s="12" t="s">
        <v>33</v>
      </c>
      <c r="AX1229" s="12" t="s">
        <v>71</v>
      </c>
      <c r="AY1229" s="146" t="s">
        <v>127</v>
      </c>
    </row>
    <row r="1230" spans="2:65" s="12" customFormat="1">
      <c r="B1230" s="144"/>
      <c r="D1230" s="145" t="s">
        <v>138</v>
      </c>
      <c r="E1230" s="146" t="s">
        <v>19</v>
      </c>
      <c r="F1230" s="147" t="s">
        <v>2473</v>
      </c>
      <c r="H1230" s="148">
        <v>26.88</v>
      </c>
      <c r="I1230" s="149"/>
      <c r="L1230" s="144"/>
      <c r="M1230" s="150"/>
      <c r="T1230" s="151"/>
      <c r="AT1230" s="146" t="s">
        <v>138</v>
      </c>
      <c r="AU1230" s="146" t="s">
        <v>81</v>
      </c>
      <c r="AV1230" s="12" t="s">
        <v>81</v>
      </c>
      <c r="AW1230" s="12" t="s">
        <v>33</v>
      </c>
      <c r="AX1230" s="12" t="s">
        <v>71</v>
      </c>
      <c r="AY1230" s="146" t="s">
        <v>127</v>
      </c>
    </row>
    <row r="1231" spans="2:65" s="12" customFormat="1">
      <c r="B1231" s="144"/>
      <c r="D1231" s="145" t="s">
        <v>138</v>
      </c>
      <c r="E1231" s="146" t="s">
        <v>19</v>
      </c>
      <c r="F1231" s="147" t="s">
        <v>2474</v>
      </c>
      <c r="H1231" s="148">
        <v>26.372</v>
      </c>
      <c r="I1231" s="149"/>
      <c r="L1231" s="144"/>
      <c r="M1231" s="150"/>
      <c r="T1231" s="151"/>
      <c r="AT1231" s="146" t="s">
        <v>138</v>
      </c>
      <c r="AU1231" s="146" t="s">
        <v>81</v>
      </c>
      <c r="AV1231" s="12" t="s">
        <v>81</v>
      </c>
      <c r="AW1231" s="12" t="s">
        <v>33</v>
      </c>
      <c r="AX1231" s="12" t="s">
        <v>71</v>
      </c>
      <c r="AY1231" s="146" t="s">
        <v>127</v>
      </c>
    </row>
    <row r="1232" spans="2:65" s="13" customFormat="1">
      <c r="B1232" s="152"/>
      <c r="D1232" s="145" t="s">
        <v>138</v>
      </c>
      <c r="E1232" s="153" t="s">
        <v>19</v>
      </c>
      <c r="F1232" s="154" t="s">
        <v>152</v>
      </c>
      <c r="H1232" s="155">
        <v>823.03800000000012</v>
      </c>
      <c r="I1232" s="156"/>
      <c r="L1232" s="152"/>
      <c r="M1232" s="157"/>
      <c r="T1232" s="158"/>
      <c r="AT1232" s="153" t="s">
        <v>138</v>
      </c>
      <c r="AU1232" s="153" t="s">
        <v>81</v>
      </c>
      <c r="AV1232" s="13" t="s">
        <v>134</v>
      </c>
      <c r="AW1232" s="13" t="s">
        <v>33</v>
      </c>
      <c r="AX1232" s="13" t="s">
        <v>79</v>
      </c>
      <c r="AY1232" s="153" t="s">
        <v>127</v>
      </c>
    </row>
    <row r="1233" spans="2:65" s="11" customFormat="1" ht="22.9" customHeight="1">
      <c r="B1233" s="115"/>
      <c r="D1233" s="116" t="s">
        <v>70</v>
      </c>
      <c r="E1233" s="125" t="s">
        <v>2485</v>
      </c>
      <c r="F1233" s="125" t="s">
        <v>2486</v>
      </c>
      <c r="I1233" s="118"/>
      <c r="J1233" s="126">
        <f>BK1233</f>
        <v>0</v>
      </c>
      <c r="L1233" s="115"/>
      <c r="M1233" s="120"/>
      <c r="P1233" s="121">
        <f>SUM(P1234:P1284)</f>
        <v>0</v>
      </c>
      <c r="R1233" s="121">
        <f>SUM(R1234:R1284)</f>
        <v>1.1527369999999999</v>
      </c>
      <c r="T1233" s="122">
        <f>SUM(T1234:T1284)</f>
        <v>0</v>
      </c>
      <c r="AR1233" s="116" t="s">
        <v>81</v>
      </c>
      <c r="AT1233" s="123" t="s">
        <v>70</v>
      </c>
      <c r="AU1233" s="123" t="s">
        <v>79</v>
      </c>
      <c r="AY1233" s="116" t="s">
        <v>127</v>
      </c>
      <c r="BK1233" s="124">
        <f>SUM(BK1234:BK1284)</f>
        <v>0</v>
      </c>
    </row>
    <row r="1234" spans="2:65" s="1" customFormat="1" ht="16.5" customHeight="1">
      <c r="B1234" s="32"/>
      <c r="C1234" s="127" t="s">
        <v>2487</v>
      </c>
      <c r="D1234" s="127" t="s">
        <v>129</v>
      </c>
      <c r="E1234" s="128" t="s">
        <v>2488</v>
      </c>
      <c r="F1234" s="129" t="s">
        <v>2489</v>
      </c>
      <c r="G1234" s="130" t="s">
        <v>132</v>
      </c>
      <c r="H1234" s="131">
        <v>2505.9499999999998</v>
      </c>
      <c r="I1234" s="132"/>
      <c r="J1234" s="133">
        <f>ROUND(I1234*H1234,2)</f>
        <v>0</v>
      </c>
      <c r="K1234" s="129" t="s">
        <v>133</v>
      </c>
      <c r="L1234" s="32"/>
      <c r="M1234" s="134" t="s">
        <v>19</v>
      </c>
      <c r="N1234" s="135" t="s">
        <v>42</v>
      </c>
      <c r="P1234" s="136">
        <f>O1234*H1234</f>
        <v>0</v>
      </c>
      <c r="Q1234" s="136">
        <v>0</v>
      </c>
      <c r="R1234" s="136">
        <f>Q1234*H1234</f>
        <v>0</v>
      </c>
      <c r="S1234" s="136">
        <v>0</v>
      </c>
      <c r="T1234" s="137">
        <f>S1234*H1234</f>
        <v>0</v>
      </c>
      <c r="AR1234" s="138" t="s">
        <v>229</v>
      </c>
      <c r="AT1234" s="138" t="s">
        <v>129</v>
      </c>
      <c r="AU1234" s="138" t="s">
        <v>81</v>
      </c>
      <c r="AY1234" s="17" t="s">
        <v>127</v>
      </c>
      <c r="BE1234" s="139">
        <f>IF(N1234="základní",J1234,0)</f>
        <v>0</v>
      </c>
      <c r="BF1234" s="139">
        <f>IF(N1234="snížená",J1234,0)</f>
        <v>0</v>
      </c>
      <c r="BG1234" s="139">
        <f>IF(N1234="zákl. přenesená",J1234,0)</f>
        <v>0</v>
      </c>
      <c r="BH1234" s="139">
        <f>IF(N1234="sníž. přenesená",J1234,0)</f>
        <v>0</v>
      </c>
      <c r="BI1234" s="139">
        <f>IF(N1234="nulová",J1234,0)</f>
        <v>0</v>
      </c>
      <c r="BJ1234" s="17" t="s">
        <v>79</v>
      </c>
      <c r="BK1234" s="139">
        <f>ROUND(I1234*H1234,2)</f>
        <v>0</v>
      </c>
      <c r="BL1234" s="17" t="s">
        <v>229</v>
      </c>
      <c r="BM1234" s="138" t="s">
        <v>2490</v>
      </c>
    </row>
    <row r="1235" spans="2:65" s="1" customFormat="1">
      <c r="B1235" s="32"/>
      <c r="D1235" s="140" t="s">
        <v>136</v>
      </c>
      <c r="F1235" s="141" t="s">
        <v>2491</v>
      </c>
      <c r="I1235" s="142"/>
      <c r="L1235" s="32"/>
      <c r="M1235" s="143"/>
      <c r="T1235" s="51"/>
      <c r="AT1235" s="17" t="s">
        <v>136</v>
      </c>
      <c r="AU1235" s="17" t="s">
        <v>81</v>
      </c>
    </row>
    <row r="1236" spans="2:65" s="12" customFormat="1">
      <c r="B1236" s="144"/>
      <c r="D1236" s="145" t="s">
        <v>138</v>
      </c>
      <c r="E1236" s="146" t="s">
        <v>19</v>
      </c>
      <c r="F1236" s="147" t="s">
        <v>834</v>
      </c>
      <c r="H1236" s="148">
        <v>312.74</v>
      </c>
      <c r="I1236" s="149"/>
      <c r="L1236" s="144"/>
      <c r="M1236" s="150"/>
      <c r="T1236" s="151"/>
      <c r="AT1236" s="146" t="s">
        <v>138</v>
      </c>
      <c r="AU1236" s="146" t="s">
        <v>81</v>
      </c>
      <c r="AV1236" s="12" t="s">
        <v>81</v>
      </c>
      <c r="AW1236" s="12" t="s">
        <v>33</v>
      </c>
      <c r="AX1236" s="12" t="s">
        <v>71</v>
      </c>
      <c r="AY1236" s="146" t="s">
        <v>127</v>
      </c>
    </row>
    <row r="1237" spans="2:65" s="12" customFormat="1">
      <c r="B1237" s="144"/>
      <c r="D1237" s="145" t="s">
        <v>138</v>
      </c>
      <c r="E1237" s="146" t="s">
        <v>19</v>
      </c>
      <c r="F1237" s="147" t="s">
        <v>835</v>
      </c>
      <c r="H1237" s="148">
        <v>23.94</v>
      </c>
      <c r="I1237" s="149"/>
      <c r="L1237" s="144"/>
      <c r="M1237" s="150"/>
      <c r="T1237" s="151"/>
      <c r="AT1237" s="146" t="s">
        <v>138</v>
      </c>
      <c r="AU1237" s="146" t="s">
        <v>81</v>
      </c>
      <c r="AV1237" s="12" t="s">
        <v>81</v>
      </c>
      <c r="AW1237" s="12" t="s">
        <v>33</v>
      </c>
      <c r="AX1237" s="12" t="s">
        <v>71</v>
      </c>
      <c r="AY1237" s="146" t="s">
        <v>127</v>
      </c>
    </row>
    <row r="1238" spans="2:65" s="12" customFormat="1">
      <c r="B1238" s="144"/>
      <c r="D1238" s="145" t="s">
        <v>138</v>
      </c>
      <c r="E1238" s="146" t="s">
        <v>19</v>
      </c>
      <c r="F1238" s="147" t="s">
        <v>836</v>
      </c>
      <c r="H1238" s="148">
        <v>96.54</v>
      </c>
      <c r="I1238" s="149"/>
      <c r="L1238" s="144"/>
      <c r="M1238" s="150"/>
      <c r="T1238" s="151"/>
      <c r="AT1238" s="146" t="s">
        <v>138</v>
      </c>
      <c r="AU1238" s="146" t="s">
        <v>81</v>
      </c>
      <c r="AV1238" s="12" t="s">
        <v>81</v>
      </c>
      <c r="AW1238" s="12" t="s">
        <v>33</v>
      </c>
      <c r="AX1238" s="12" t="s">
        <v>71</v>
      </c>
      <c r="AY1238" s="146" t="s">
        <v>127</v>
      </c>
    </row>
    <row r="1239" spans="2:65" s="12" customFormat="1">
      <c r="B1239" s="144"/>
      <c r="D1239" s="145" t="s">
        <v>138</v>
      </c>
      <c r="E1239" s="146" t="s">
        <v>19</v>
      </c>
      <c r="F1239" s="147" t="s">
        <v>837</v>
      </c>
      <c r="H1239" s="148">
        <v>13.68</v>
      </c>
      <c r="I1239" s="149"/>
      <c r="L1239" s="144"/>
      <c r="M1239" s="150"/>
      <c r="T1239" s="151"/>
      <c r="AT1239" s="146" t="s">
        <v>138</v>
      </c>
      <c r="AU1239" s="146" t="s">
        <v>81</v>
      </c>
      <c r="AV1239" s="12" t="s">
        <v>81</v>
      </c>
      <c r="AW1239" s="12" t="s">
        <v>33</v>
      </c>
      <c r="AX1239" s="12" t="s">
        <v>71</v>
      </c>
      <c r="AY1239" s="146" t="s">
        <v>127</v>
      </c>
    </row>
    <row r="1240" spans="2:65" s="12" customFormat="1">
      <c r="B1240" s="144"/>
      <c r="D1240" s="145" t="s">
        <v>138</v>
      </c>
      <c r="E1240" s="146" t="s">
        <v>19</v>
      </c>
      <c r="F1240" s="147" t="s">
        <v>838</v>
      </c>
      <c r="H1240" s="148">
        <v>220.61099999999999</v>
      </c>
      <c r="I1240" s="149"/>
      <c r="L1240" s="144"/>
      <c r="M1240" s="150"/>
      <c r="T1240" s="151"/>
      <c r="AT1240" s="146" t="s">
        <v>138</v>
      </c>
      <c r="AU1240" s="146" t="s">
        <v>81</v>
      </c>
      <c r="AV1240" s="12" t="s">
        <v>81</v>
      </c>
      <c r="AW1240" s="12" t="s">
        <v>33</v>
      </c>
      <c r="AX1240" s="12" t="s">
        <v>71</v>
      </c>
      <c r="AY1240" s="146" t="s">
        <v>127</v>
      </c>
    </row>
    <row r="1241" spans="2:65" s="12" customFormat="1">
      <c r="B1241" s="144"/>
      <c r="D1241" s="145" t="s">
        <v>138</v>
      </c>
      <c r="E1241" s="146" t="s">
        <v>19</v>
      </c>
      <c r="F1241" s="147" t="s">
        <v>852</v>
      </c>
      <c r="H1241" s="148">
        <v>133.30500000000001</v>
      </c>
      <c r="I1241" s="149"/>
      <c r="L1241" s="144"/>
      <c r="M1241" s="150"/>
      <c r="T1241" s="151"/>
      <c r="AT1241" s="146" t="s">
        <v>138</v>
      </c>
      <c r="AU1241" s="146" t="s">
        <v>81</v>
      </c>
      <c r="AV1241" s="12" t="s">
        <v>81</v>
      </c>
      <c r="AW1241" s="12" t="s">
        <v>33</v>
      </c>
      <c r="AX1241" s="12" t="s">
        <v>71</v>
      </c>
      <c r="AY1241" s="146" t="s">
        <v>127</v>
      </c>
    </row>
    <row r="1242" spans="2:65" s="12" customFormat="1">
      <c r="B1242" s="144"/>
      <c r="D1242" s="145" t="s">
        <v>138</v>
      </c>
      <c r="E1242" s="146" t="s">
        <v>19</v>
      </c>
      <c r="F1242" s="147" t="s">
        <v>2492</v>
      </c>
      <c r="H1242" s="148">
        <v>305.536</v>
      </c>
      <c r="I1242" s="149"/>
      <c r="L1242" s="144"/>
      <c r="M1242" s="150"/>
      <c r="T1242" s="151"/>
      <c r="AT1242" s="146" t="s">
        <v>138</v>
      </c>
      <c r="AU1242" s="146" t="s">
        <v>81</v>
      </c>
      <c r="AV1242" s="12" t="s">
        <v>81</v>
      </c>
      <c r="AW1242" s="12" t="s">
        <v>33</v>
      </c>
      <c r="AX1242" s="12" t="s">
        <v>71</v>
      </c>
      <c r="AY1242" s="146" t="s">
        <v>127</v>
      </c>
    </row>
    <row r="1243" spans="2:65" s="12" customFormat="1">
      <c r="B1243" s="144"/>
      <c r="D1243" s="145" t="s">
        <v>138</v>
      </c>
      <c r="E1243" s="146" t="s">
        <v>19</v>
      </c>
      <c r="F1243" s="147" t="s">
        <v>2493</v>
      </c>
      <c r="H1243" s="148">
        <v>144</v>
      </c>
      <c r="I1243" s="149"/>
      <c r="L1243" s="144"/>
      <c r="M1243" s="150"/>
      <c r="T1243" s="151"/>
      <c r="AT1243" s="146" t="s">
        <v>138</v>
      </c>
      <c r="AU1243" s="146" t="s">
        <v>81</v>
      </c>
      <c r="AV1243" s="12" t="s">
        <v>81</v>
      </c>
      <c r="AW1243" s="12" t="s">
        <v>33</v>
      </c>
      <c r="AX1243" s="12" t="s">
        <v>71</v>
      </c>
      <c r="AY1243" s="146" t="s">
        <v>127</v>
      </c>
    </row>
    <row r="1244" spans="2:65" s="12" customFormat="1">
      <c r="B1244" s="144"/>
      <c r="D1244" s="145" t="s">
        <v>138</v>
      </c>
      <c r="E1244" s="146" t="s">
        <v>19</v>
      </c>
      <c r="F1244" s="147" t="s">
        <v>1410</v>
      </c>
      <c r="H1244" s="148">
        <v>105.52800000000001</v>
      </c>
      <c r="I1244" s="149"/>
      <c r="L1244" s="144"/>
      <c r="M1244" s="150"/>
      <c r="T1244" s="151"/>
      <c r="AT1244" s="146" t="s">
        <v>138</v>
      </c>
      <c r="AU1244" s="146" t="s">
        <v>81</v>
      </c>
      <c r="AV1244" s="12" t="s">
        <v>81</v>
      </c>
      <c r="AW1244" s="12" t="s">
        <v>33</v>
      </c>
      <c r="AX1244" s="12" t="s">
        <v>71</v>
      </c>
      <c r="AY1244" s="146" t="s">
        <v>127</v>
      </c>
    </row>
    <row r="1245" spans="2:65" s="12" customFormat="1">
      <c r="B1245" s="144"/>
      <c r="D1245" s="145" t="s">
        <v>138</v>
      </c>
      <c r="E1245" s="146" t="s">
        <v>19</v>
      </c>
      <c r="F1245" s="147" t="s">
        <v>1445</v>
      </c>
      <c r="H1245" s="148">
        <v>650</v>
      </c>
      <c r="I1245" s="149"/>
      <c r="L1245" s="144"/>
      <c r="M1245" s="150"/>
      <c r="T1245" s="151"/>
      <c r="AT1245" s="146" t="s">
        <v>138</v>
      </c>
      <c r="AU1245" s="146" t="s">
        <v>81</v>
      </c>
      <c r="AV1245" s="12" t="s">
        <v>81</v>
      </c>
      <c r="AW1245" s="12" t="s">
        <v>33</v>
      </c>
      <c r="AX1245" s="12" t="s">
        <v>71</v>
      </c>
      <c r="AY1245" s="146" t="s">
        <v>127</v>
      </c>
    </row>
    <row r="1246" spans="2:65" s="12" customFormat="1">
      <c r="B1246" s="144"/>
      <c r="D1246" s="145" t="s">
        <v>138</v>
      </c>
      <c r="E1246" s="146" t="s">
        <v>19</v>
      </c>
      <c r="F1246" s="147" t="s">
        <v>1456</v>
      </c>
      <c r="H1246" s="148">
        <v>543.4</v>
      </c>
      <c r="I1246" s="149"/>
      <c r="L1246" s="144"/>
      <c r="M1246" s="150"/>
      <c r="T1246" s="151"/>
      <c r="AT1246" s="146" t="s">
        <v>138</v>
      </c>
      <c r="AU1246" s="146" t="s">
        <v>81</v>
      </c>
      <c r="AV1246" s="12" t="s">
        <v>81</v>
      </c>
      <c r="AW1246" s="12" t="s">
        <v>33</v>
      </c>
      <c r="AX1246" s="12" t="s">
        <v>71</v>
      </c>
      <c r="AY1246" s="146" t="s">
        <v>127</v>
      </c>
    </row>
    <row r="1247" spans="2:65" s="12" customFormat="1">
      <c r="B1247" s="144"/>
      <c r="D1247" s="145" t="s">
        <v>138</v>
      </c>
      <c r="E1247" s="146" t="s">
        <v>19</v>
      </c>
      <c r="F1247" s="147" t="s">
        <v>2494</v>
      </c>
      <c r="H1247" s="148">
        <v>-103.39</v>
      </c>
      <c r="I1247" s="149"/>
      <c r="L1247" s="144"/>
      <c r="M1247" s="150"/>
      <c r="T1247" s="151"/>
      <c r="AT1247" s="146" t="s">
        <v>138</v>
      </c>
      <c r="AU1247" s="146" t="s">
        <v>81</v>
      </c>
      <c r="AV1247" s="12" t="s">
        <v>81</v>
      </c>
      <c r="AW1247" s="12" t="s">
        <v>33</v>
      </c>
      <c r="AX1247" s="12" t="s">
        <v>71</v>
      </c>
      <c r="AY1247" s="146" t="s">
        <v>127</v>
      </c>
    </row>
    <row r="1248" spans="2:65" s="12" customFormat="1">
      <c r="B1248" s="144"/>
      <c r="D1248" s="145" t="s">
        <v>138</v>
      </c>
      <c r="E1248" s="146" t="s">
        <v>19</v>
      </c>
      <c r="F1248" s="147" t="s">
        <v>1433</v>
      </c>
      <c r="H1248" s="148">
        <v>23.66</v>
      </c>
      <c r="I1248" s="149"/>
      <c r="L1248" s="144"/>
      <c r="M1248" s="150"/>
      <c r="T1248" s="151"/>
      <c r="AT1248" s="146" t="s">
        <v>138</v>
      </c>
      <c r="AU1248" s="146" t="s">
        <v>81</v>
      </c>
      <c r="AV1248" s="12" t="s">
        <v>81</v>
      </c>
      <c r="AW1248" s="12" t="s">
        <v>33</v>
      </c>
      <c r="AX1248" s="12" t="s">
        <v>71</v>
      </c>
      <c r="AY1248" s="146" t="s">
        <v>127</v>
      </c>
    </row>
    <row r="1249" spans="2:65" s="12" customFormat="1">
      <c r="B1249" s="144"/>
      <c r="D1249" s="145" t="s">
        <v>138</v>
      </c>
      <c r="E1249" s="146" t="s">
        <v>19</v>
      </c>
      <c r="F1249" s="147" t="s">
        <v>1434</v>
      </c>
      <c r="H1249" s="148">
        <v>36.4</v>
      </c>
      <c r="I1249" s="149"/>
      <c r="L1249" s="144"/>
      <c r="M1249" s="150"/>
      <c r="T1249" s="151"/>
      <c r="AT1249" s="146" t="s">
        <v>138</v>
      </c>
      <c r="AU1249" s="146" t="s">
        <v>81</v>
      </c>
      <c r="AV1249" s="12" t="s">
        <v>81</v>
      </c>
      <c r="AW1249" s="12" t="s">
        <v>33</v>
      </c>
      <c r="AX1249" s="12" t="s">
        <v>71</v>
      </c>
      <c r="AY1249" s="146" t="s">
        <v>127</v>
      </c>
    </row>
    <row r="1250" spans="2:65" s="13" customFormat="1">
      <c r="B1250" s="152"/>
      <c r="D1250" s="145" t="s">
        <v>138</v>
      </c>
      <c r="E1250" s="153" t="s">
        <v>19</v>
      </c>
      <c r="F1250" s="154" t="s">
        <v>152</v>
      </c>
      <c r="H1250" s="155">
        <v>2505.9500000000003</v>
      </c>
      <c r="I1250" s="156"/>
      <c r="L1250" s="152"/>
      <c r="M1250" s="157"/>
      <c r="T1250" s="158"/>
      <c r="AT1250" s="153" t="s">
        <v>138</v>
      </c>
      <c r="AU1250" s="153" t="s">
        <v>81</v>
      </c>
      <c r="AV1250" s="13" t="s">
        <v>134</v>
      </c>
      <c r="AW1250" s="13" t="s">
        <v>33</v>
      </c>
      <c r="AX1250" s="13" t="s">
        <v>79</v>
      </c>
      <c r="AY1250" s="153" t="s">
        <v>127</v>
      </c>
    </row>
    <row r="1251" spans="2:65" s="1" customFormat="1" ht="16.5" customHeight="1">
      <c r="B1251" s="32"/>
      <c r="C1251" s="127" t="s">
        <v>2495</v>
      </c>
      <c r="D1251" s="127" t="s">
        <v>129</v>
      </c>
      <c r="E1251" s="128" t="s">
        <v>2496</v>
      </c>
      <c r="F1251" s="129" t="s">
        <v>2497</v>
      </c>
      <c r="G1251" s="130" t="s">
        <v>132</v>
      </c>
      <c r="H1251" s="131">
        <v>2505.9499999999998</v>
      </c>
      <c r="I1251" s="132"/>
      <c r="J1251" s="133">
        <f>ROUND(I1251*H1251,2)</f>
        <v>0</v>
      </c>
      <c r="K1251" s="129" t="s">
        <v>133</v>
      </c>
      <c r="L1251" s="32"/>
      <c r="M1251" s="134" t="s">
        <v>19</v>
      </c>
      <c r="N1251" s="135" t="s">
        <v>42</v>
      </c>
      <c r="P1251" s="136">
        <f>O1251*H1251</f>
        <v>0</v>
      </c>
      <c r="Q1251" s="136">
        <v>2.0000000000000001E-4</v>
      </c>
      <c r="R1251" s="136">
        <f>Q1251*H1251</f>
        <v>0.50119000000000002</v>
      </c>
      <c r="S1251" s="136">
        <v>0</v>
      </c>
      <c r="T1251" s="137">
        <f>S1251*H1251</f>
        <v>0</v>
      </c>
      <c r="AR1251" s="138" t="s">
        <v>229</v>
      </c>
      <c r="AT1251" s="138" t="s">
        <v>129</v>
      </c>
      <c r="AU1251" s="138" t="s">
        <v>81</v>
      </c>
      <c r="AY1251" s="17" t="s">
        <v>127</v>
      </c>
      <c r="BE1251" s="139">
        <f>IF(N1251="základní",J1251,0)</f>
        <v>0</v>
      </c>
      <c r="BF1251" s="139">
        <f>IF(N1251="snížená",J1251,0)</f>
        <v>0</v>
      </c>
      <c r="BG1251" s="139">
        <f>IF(N1251="zákl. přenesená",J1251,0)</f>
        <v>0</v>
      </c>
      <c r="BH1251" s="139">
        <f>IF(N1251="sníž. přenesená",J1251,0)</f>
        <v>0</v>
      </c>
      <c r="BI1251" s="139">
        <f>IF(N1251="nulová",J1251,0)</f>
        <v>0</v>
      </c>
      <c r="BJ1251" s="17" t="s">
        <v>79</v>
      </c>
      <c r="BK1251" s="139">
        <f>ROUND(I1251*H1251,2)</f>
        <v>0</v>
      </c>
      <c r="BL1251" s="17" t="s">
        <v>229</v>
      </c>
      <c r="BM1251" s="138" t="s">
        <v>2498</v>
      </c>
    </row>
    <row r="1252" spans="2:65" s="1" customFormat="1">
      <c r="B1252" s="32"/>
      <c r="D1252" s="140" t="s">
        <v>136</v>
      </c>
      <c r="F1252" s="141" t="s">
        <v>2499</v>
      </c>
      <c r="I1252" s="142"/>
      <c r="L1252" s="32"/>
      <c r="M1252" s="143"/>
      <c r="T1252" s="51"/>
      <c r="AT1252" s="17" t="s">
        <v>136</v>
      </c>
      <c r="AU1252" s="17" t="s">
        <v>81</v>
      </c>
    </row>
    <row r="1253" spans="2:65" s="12" customFormat="1">
      <c r="B1253" s="144"/>
      <c r="D1253" s="145" t="s">
        <v>138</v>
      </c>
      <c r="E1253" s="146" t="s">
        <v>19</v>
      </c>
      <c r="F1253" s="147" t="s">
        <v>834</v>
      </c>
      <c r="H1253" s="148">
        <v>312.74</v>
      </c>
      <c r="I1253" s="149"/>
      <c r="L1253" s="144"/>
      <c r="M1253" s="150"/>
      <c r="T1253" s="151"/>
      <c r="AT1253" s="146" t="s">
        <v>138</v>
      </c>
      <c r="AU1253" s="146" t="s">
        <v>81</v>
      </c>
      <c r="AV1253" s="12" t="s">
        <v>81</v>
      </c>
      <c r="AW1253" s="12" t="s">
        <v>33</v>
      </c>
      <c r="AX1253" s="12" t="s">
        <v>71</v>
      </c>
      <c r="AY1253" s="146" t="s">
        <v>127</v>
      </c>
    </row>
    <row r="1254" spans="2:65" s="12" customFormat="1">
      <c r="B1254" s="144"/>
      <c r="D1254" s="145" t="s">
        <v>138</v>
      </c>
      <c r="E1254" s="146" t="s">
        <v>19</v>
      </c>
      <c r="F1254" s="147" t="s">
        <v>835</v>
      </c>
      <c r="H1254" s="148">
        <v>23.94</v>
      </c>
      <c r="I1254" s="149"/>
      <c r="L1254" s="144"/>
      <c r="M1254" s="150"/>
      <c r="T1254" s="151"/>
      <c r="AT1254" s="146" t="s">
        <v>138</v>
      </c>
      <c r="AU1254" s="146" t="s">
        <v>81</v>
      </c>
      <c r="AV1254" s="12" t="s">
        <v>81</v>
      </c>
      <c r="AW1254" s="12" t="s">
        <v>33</v>
      </c>
      <c r="AX1254" s="12" t="s">
        <v>71</v>
      </c>
      <c r="AY1254" s="146" t="s">
        <v>127</v>
      </c>
    </row>
    <row r="1255" spans="2:65" s="12" customFormat="1">
      <c r="B1255" s="144"/>
      <c r="D1255" s="145" t="s">
        <v>138</v>
      </c>
      <c r="E1255" s="146" t="s">
        <v>19</v>
      </c>
      <c r="F1255" s="147" t="s">
        <v>836</v>
      </c>
      <c r="H1255" s="148">
        <v>96.54</v>
      </c>
      <c r="I1255" s="149"/>
      <c r="L1255" s="144"/>
      <c r="M1255" s="150"/>
      <c r="T1255" s="151"/>
      <c r="AT1255" s="146" t="s">
        <v>138</v>
      </c>
      <c r="AU1255" s="146" t="s">
        <v>81</v>
      </c>
      <c r="AV1255" s="12" t="s">
        <v>81</v>
      </c>
      <c r="AW1255" s="12" t="s">
        <v>33</v>
      </c>
      <c r="AX1255" s="12" t="s">
        <v>71</v>
      </c>
      <c r="AY1255" s="146" t="s">
        <v>127</v>
      </c>
    </row>
    <row r="1256" spans="2:65" s="12" customFormat="1">
      <c r="B1256" s="144"/>
      <c r="D1256" s="145" t="s">
        <v>138</v>
      </c>
      <c r="E1256" s="146" t="s">
        <v>19</v>
      </c>
      <c r="F1256" s="147" t="s">
        <v>837</v>
      </c>
      <c r="H1256" s="148">
        <v>13.68</v>
      </c>
      <c r="I1256" s="149"/>
      <c r="L1256" s="144"/>
      <c r="M1256" s="150"/>
      <c r="T1256" s="151"/>
      <c r="AT1256" s="146" t="s">
        <v>138</v>
      </c>
      <c r="AU1256" s="146" t="s">
        <v>81</v>
      </c>
      <c r="AV1256" s="12" t="s">
        <v>81</v>
      </c>
      <c r="AW1256" s="12" t="s">
        <v>33</v>
      </c>
      <c r="AX1256" s="12" t="s">
        <v>71</v>
      </c>
      <c r="AY1256" s="146" t="s">
        <v>127</v>
      </c>
    </row>
    <row r="1257" spans="2:65" s="12" customFormat="1">
      <c r="B1257" s="144"/>
      <c r="D1257" s="145" t="s">
        <v>138</v>
      </c>
      <c r="E1257" s="146" t="s">
        <v>19</v>
      </c>
      <c r="F1257" s="147" t="s">
        <v>838</v>
      </c>
      <c r="H1257" s="148">
        <v>220.61099999999999</v>
      </c>
      <c r="I1257" s="149"/>
      <c r="L1257" s="144"/>
      <c r="M1257" s="150"/>
      <c r="T1257" s="151"/>
      <c r="AT1257" s="146" t="s">
        <v>138</v>
      </c>
      <c r="AU1257" s="146" t="s">
        <v>81</v>
      </c>
      <c r="AV1257" s="12" t="s">
        <v>81</v>
      </c>
      <c r="AW1257" s="12" t="s">
        <v>33</v>
      </c>
      <c r="AX1257" s="12" t="s">
        <v>71</v>
      </c>
      <c r="AY1257" s="146" t="s">
        <v>127</v>
      </c>
    </row>
    <row r="1258" spans="2:65" s="12" customFormat="1">
      <c r="B1258" s="144"/>
      <c r="D1258" s="145" t="s">
        <v>138</v>
      </c>
      <c r="E1258" s="146" t="s">
        <v>19</v>
      </c>
      <c r="F1258" s="147" t="s">
        <v>852</v>
      </c>
      <c r="H1258" s="148">
        <v>133.30500000000001</v>
      </c>
      <c r="I1258" s="149"/>
      <c r="L1258" s="144"/>
      <c r="M1258" s="150"/>
      <c r="T1258" s="151"/>
      <c r="AT1258" s="146" t="s">
        <v>138</v>
      </c>
      <c r="AU1258" s="146" t="s">
        <v>81</v>
      </c>
      <c r="AV1258" s="12" t="s">
        <v>81</v>
      </c>
      <c r="AW1258" s="12" t="s">
        <v>33</v>
      </c>
      <c r="AX1258" s="12" t="s">
        <v>71</v>
      </c>
      <c r="AY1258" s="146" t="s">
        <v>127</v>
      </c>
    </row>
    <row r="1259" spans="2:65" s="12" customFormat="1">
      <c r="B1259" s="144"/>
      <c r="D1259" s="145" t="s">
        <v>138</v>
      </c>
      <c r="E1259" s="146" t="s">
        <v>19</v>
      </c>
      <c r="F1259" s="147" t="s">
        <v>2492</v>
      </c>
      <c r="H1259" s="148">
        <v>305.536</v>
      </c>
      <c r="I1259" s="149"/>
      <c r="L1259" s="144"/>
      <c r="M1259" s="150"/>
      <c r="T1259" s="151"/>
      <c r="AT1259" s="146" t="s">
        <v>138</v>
      </c>
      <c r="AU1259" s="146" t="s">
        <v>81</v>
      </c>
      <c r="AV1259" s="12" t="s">
        <v>81</v>
      </c>
      <c r="AW1259" s="12" t="s">
        <v>33</v>
      </c>
      <c r="AX1259" s="12" t="s">
        <v>71</v>
      </c>
      <c r="AY1259" s="146" t="s">
        <v>127</v>
      </c>
    </row>
    <row r="1260" spans="2:65" s="12" customFormat="1">
      <c r="B1260" s="144"/>
      <c r="D1260" s="145" t="s">
        <v>138</v>
      </c>
      <c r="E1260" s="146" t="s">
        <v>19</v>
      </c>
      <c r="F1260" s="147" t="s">
        <v>2493</v>
      </c>
      <c r="H1260" s="148">
        <v>144</v>
      </c>
      <c r="I1260" s="149"/>
      <c r="L1260" s="144"/>
      <c r="M1260" s="150"/>
      <c r="T1260" s="151"/>
      <c r="AT1260" s="146" t="s">
        <v>138</v>
      </c>
      <c r="AU1260" s="146" t="s">
        <v>81</v>
      </c>
      <c r="AV1260" s="12" t="s">
        <v>81</v>
      </c>
      <c r="AW1260" s="12" t="s">
        <v>33</v>
      </c>
      <c r="AX1260" s="12" t="s">
        <v>71</v>
      </c>
      <c r="AY1260" s="146" t="s">
        <v>127</v>
      </c>
    </row>
    <row r="1261" spans="2:65" s="12" customFormat="1">
      <c r="B1261" s="144"/>
      <c r="D1261" s="145" t="s">
        <v>138</v>
      </c>
      <c r="E1261" s="146" t="s">
        <v>19</v>
      </c>
      <c r="F1261" s="147" t="s">
        <v>1410</v>
      </c>
      <c r="H1261" s="148">
        <v>105.52800000000001</v>
      </c>
      <c r="I1261" s="149"/>
      <c r="L1261" s="144"/>
      <c r="M1261" s="150"/>
      <c r="T1261" s="151"/>
      <c r="AT1261" s="146" t="s">
        <v>138</v>
      </c>
      <c r="AU1261" s="146" t="s">
        <v>81</v>
      </c>
      <c r="AV1261" s="12" t="s">
        <v>81</v>
      </c>
      <c r="AW1261" s="12" t="s">
        <v>33</v>
      </c>
      <c r="AX1261" s="12" t="s">
        <v>71</v>
      </c>
      <c r="AY1261" s="146" t="s">
        <v>127</v>
      </c>
    </row>
    <row r="1262" spans="2:65" s="12" customFormat="1">
      <c r="B1262" s="144"/>
      <c r="D1262" s="145" t="s">
        <v>138</v>
      </c>
      <c r="E1262" s="146" t="s">
        <v>19</v>
      </c>
      <c r="F1262" s="147" t="s">
        <v>1445</v>
      </c>
      <c r="H1262" s="148">
        <v>650</v>
      </c>
      <c r="I1262" s="149"/>
      <c r="L1262" s="144"/>
      <c r="M1262" s="150"/>
      <c r="T1262" s="151"/>
      <c r="AT1262" s="146" t="s">
        <v>138</v>
      </c>
      <c r="AU1262" s="146" t="s">
        <v>81</v>
      </c>
      <c r="AV1262" s="12" t="s">
        <v>81</v>
      </c>
      <c r="AW1262" s="12" t="s">
        <v>33</v>
      </c>
      <c r="AX1262" s="12" t="s">
        <v>71</v>
      </c>
      <c r="AY1262" s="146" t="s">
        <v>127</v>
      </c>
    </row>
    <row r="1263" spans="2:65" s="12" customFormat="1">
      <c r="B1263" s="144"/>
      <c r="D1263" s="145" t="s">
        <v>138</v>
      </c>
      <c r="E1263" s="146" t="s">
        <v>19</v>
      </c>
      <c r="F1263" s="147" t="s">
        <v>1456</v>
      </c>
      <c r="H1263" s="148">
        <v>543.4</v>
      </c>
      <c r="I1263" s="149"/>
      <c r="L1263" s="144"/>
      <c r="M1263" s="150"/>
      <c r="T1263" s="151"/>
      <c r="AT1263" s="146" t="s">
        <v>138</v>
      </c>
      <c r="AU1263" s="146" t="s">
        <v>81</v>
      </c>
      <c r="AV1263" s="12" t="s">
        <v>81</v>
      </c>
      <c r="AW1263" s="12" t="s">
        <v>33</v>
      </c>
      <c r="AX1263" s="12" t="s">
        <v>71</v>
      </c>
      <c r="AY1263" s="146" t="s">
        <v>127</v>
      </c>
    </row>
    <row r="1264" spans="2:65" s="12" customFormat="1">
      <c r="B1264" s="144"/>
      <c r="D1264" s="145" t="s">
        <v>138</v>
      </c>
      <c r="E1264" s="146" t="s">
        <v>19</v>
      </c>
      <c r="F1264" s="147" t="s">
        <v>2494</v>
      </c>
      <c r="H1264" s="148">
        <v>-103.39</v>
      </c>
      <c r="I1264" s="149"/>
      <c r="L1264" s="144"/>
      <c r="M1264" s="150"/>
      <c r="T1264" s="151"/>
      <c r="AT1264" s="146" t="s">
        <v>138</v>
      </c>
      <c r="AU1264" s="146" t="s">
        <v>81</v>
      </c>
      <c r="AV1264" s="12" t="s">
        <v>81</v>
      </c>
      <c r="AW1264" s="12" t="s">
        <v>33</v>
      </c>
      <c r="AX1264" s="12" t="s">
        <v>71</v>
      </c>
      <c r="AY1264" s="146" t="s">
        <v>127</v>
      </c>
    </row>
    <row r="1265" spans="2:65" s="12" customFormat="1">
      <c r="B1265" s="144"/>
      <c r="D1265" s="145" t="s">
        <v>138</v>
      </c>
      <c r="E1265" s="146" t="s">
        <v>19</v>
      </c>
      <c r="F1265" s="147" t="s">
        <v>1433</v>
      </c>
      <c r="H1265" s="148">
        <v>23.66</v>
      </c>
      <c r="I1265" s="149"/>
      <c r="L1265" s="144"/>
      <c r="M1265" s="150"/>
      <c r="T1265" s="151"/>
      <c r="AT1265" s="146" t="s">
        <v>138</v>
      </c>
      <c r="AU1265" s="146" t="s">
        <v>81</v>
      </c>
      <c r="AV1265" s="12" t="s">
        <v>81</v>
      </c>
      <c r="AW1265" s="12" t="s">
        <v>33</v>
      </c>
      <c r="AX1265" s="12" t="s">
        <v>71</v>
      </c>
      <c r="AY1265" s="146" t="s">
        <v>127</v>
      </c>
    </row>
    <row r="1266" spans="2:65" s="12" customFormat="1">
      <c r="B1266" s="144"/>
      <c r="D1266" s="145" t="s">
        <v>138</v>
      </c>
      <c r="E1266" s="146" t="s">
        <v>19</v>
      </c>
      <c r="F1266" s="147" t="s">
        <v>1434</v>
      </c>
      <c r="H1266" s="148">
        <v>36.4</v>
      </c>
      <c r="I1266" s="149"/>
      <c r="L1266" s="144"/>
      <c r="M1266" s="150"/>
      <c r="T1266" s="151"/>
      <c r="AT1266" s="146" t="s">
        <v>138</v>
      </c>
      <c r="AU1266" s="146" t="s">
        <v>81</v>
      </c>
      <c r="AV1266" s="12" t="s">
        <v>81</v>
      </c>
      <c r="AW1266" s="12" t="s">
        <v>33</v>
      </c>
      <c r="AX1266" s="12" t="s">
        <v>71</v>
      </c>
      <c r="AY1266" s="146" t="s">
        <v>127</v>
      </c>
    </row>
    <row r="1267" spans="2:65" s="13" customFormat="1">
      <c r="B1267" s="152"/>
      <c r="D1267" s="145" t="s">
        <v>138</v>
      </c>
      <c r="E1267" s="153" t="s">
        <v>19</v>
      </c>
      <c r="F1267" s="154" t="s">
        <v>152</v>
      </c>
      <c r="H1267" s="155">
        <v>2505.9500000000003</v>
      </c>
      <c r="I1267" s="156"/>
      <c r="L1267" s="152"/>
      <c r="M1267" s="157"/>
      <c r="T1267" s="158"/>
      <c r="AT1267" s="153" t="s">
        <v>138</v>
      </c>
      <c r="AU1267" s="153" t="s">
        <v>81</v>
      </c>
      <c r="AV1267" s="13" t="s">
        <v>134</v>
      </c>
      <c r="AW1267" s="13" t="s">
        <v>33</v>
      </c>
      <c r="AX1267" s="13" t="s">
        <v>79</v>
      </c>
      <c r="AY1267" s="153" t="s">
        <v>127</v>
      </c>
    </row>
    <row r="1268" spans="2:65" s="1" customFormat="1" ht="24.2" customHeight="1">
      <c r="B1268" s="32"/>
      <c r="C1268" s="127" t="s">
        <v>2500</v>
      </c>
      <c r="D1268" s="127" t="s">
        <v>129</v>
      </c>
      <c r="E1268" s="128" t="s">
        <v>2501</v>
      </c>
      <c r="F1268" s="129" t="s">
        <v>2502</v>
      </c>
      <c r="G1268" s="130" t="s">
        <v>132</v>
      </c>
      <c r="H1268" s="131">
        <v>2505.9499999999998</v>
      </c>
      <c r="I1268" s="132"/>
      <c r="J1268" s="133">
        <f>ROUND(I1268*H1268,2)</f>
        <v>0</v>
      </c>
      <c r="K1268" s="129" t="s">
        <v>133</v>
      </c>
      <c r="L1268" s="32"/>
      <c r="M1268" s="134" t="s">
        <v>19</v>
      </c>
      <c r="N1268" s="135" t="s">
        <v>42</v>
      </c>
      <c r="P1268" s="136">
        <f>O1268*H1268</f>
        <v>0</v>
      </c>
      <c r="Q1268" s="136">
        <v>2.5999999999999998E-4</v>
      </c>
      <c r="R1268" s="136">
        <f>Q1268*H1268</f>
        <v>0.65154699999999988</v>
      </c>
      <c r="S1268" s="136">
        <v>0</v>
      </c>
      <c r="T1268" s="137">
        <f>S1268*H1268</f>
        <v>0</v>
      </c>
      <c r="AR1268" s="138" t="s">
        <v>229</v>
      </c>
      <c r="AT1268" s="138" t="s">
        <v>129</v>
      </c>
      <c r="AU1268" s="138" t="s">
        <v>81</v>
      </c>
      <c r="AY1268" s="17" t="s">
        <v>127</v>
      </c>
      <c r="BE1268" s="139">
        <f>IF(N1268="základní",J1268,0)</f>
        <v>0</v>
      </c>
      <c r="BF1268" s="139">
        <f>IF(N1268="snížená",J1268,0)</f>
        <v>0</v>
      </c>
      <c r="BG1268" s="139">
        <f>IF(N1268="zákl. přenesená",J1268,0)</f>
        <v>0</v>
      </c>
      <c r="BH1268" s="139">
        <f>IF(N1268="sníž. přenesená",J1268,0)</f>
        <v>0</v>
      </c>
      <c r="BI1268" s="139">
        <f>IF(N1268="nulová",J1268,0)</f>
        <v>0</v>
      </c>
      <c r="BJ1268" s="17" t="s">
        <v>79</v>
      </c>
      <c r="BK1268" s="139">
        <f>ROUND(I1268*H1268,2)</f>
        <v>0</v>
      </c>
      <c r="BL1268" s="17" t="s">
        <v>229</v>
      </c>
      <c r="BM1268" s="138" t="s">
        <v>2503</v>
      </c>
    </row>
    <row r="1269" spans="2:65" s="1" customFormat="1">
      <c r="B1269" s="32"/>
      <c r="D1269" s="140" t="s">
        <v>136</v>
      </c>
      <c r="F1269" s="141" t="s">
        <v>2504</v>
      </c>
      <c r="I1269" s="142"/>
      <c r="L1269" s="32"/>
      <c r="M1269" s="143"/>
      <c r="T1269" s="51"/>
      <c r="AT1269" s="17" t="s">
        <v>136</v>
      </c>
      <c r="AU1269" s="17" t="s">
        <v>81</v>
      </c>
    </row>
    <row r="1270" spans="2:65" s="12" customFormat="1">
      <c r="B1270" s="144"/>
      <c r="D1270" s="145" t="s">
        <v>138</v>
      </c>
      <c r="E1270" s="146" t="s">
        <v>19</v>
      </c>
      <c r="F1270" s="147" t="s">
        <v>834</v>
      </c>
      <c r="H1270" s="148">
        <v>312.74</v>
      </c>
      <c r="I1270" s="149"/>
      <c r="L1270" s="144"/>
      <c r="M1270" s="150"/>
      <c r="T1270" s="151"/>
      <c r="AT1270" s="146" t="s">
        <v>138</v>
      </c>
      <c r="AU1270" s="146" t="s">
        <v>81</v>
      </c>
      <c r="AV1270" s="12" t="s">
        <v>81</v>
      </c>
      <c r="AW1270" s="12" t="s">
        <v>33</v>
      </c>
      <c r="AX1270" s="12" t="s">
        <v>71</v>
      </c>
      <c r="AY1270" s="146" t="s">
        <v>127</v>
      </c>
    </row>
    <row r="1271" spans="2:65" s="12" customFormat="1">
      <c r="B1271" s="144"/>
      <c r="D1271" s="145" t="s">
        <v>138</v>
      </c>
      <c r="E1271" s="146" t="s">
        <v>19</v>
      </c>
      <c r="F1271" s="147" t="s">
        <v>835</v>
      </c>
      <c r="H1271" s="148">
        <v>23.94</v>
      </c>
      <c r="I1271" s="149"/>
      <c r="L1271" s="144"/>
      <c r="M1271" s="150"/>
      <c r="T1271" s="151"/>
      <c r="AT1271" s="146" t="s">
        <v>138</v>
      </c>
      <c r="AU1271" s="146" t="s">
        <v>81</v>
      </c>
      <c r="AV1271" s="12" t="s">
        <v>81</v>
      </c>
      <c r="AW1271" s="12" t="s">
        <v>33</v>
      </c>
      <c r="AX1271" s="12" t="s">
        <v>71</v>
      </c>
      <c r="AY1271" s="146" t="s">
        <v>127</v>
      </c>
    </row>
    <row r="1272" spans="2:65" s="12" customFormat="1">
      <c r="B1272" s="144"/>
      <c r="D1272" s="145" t="s">
        <v>138</v>
      </c>
      <c r="E1272" s="146" t="s">
        <v>19</v>
      </c>
      <c r="F1272" s="147" t="s">
        <v>836</v>
      </c>
      <c r="H1272" s="148">
        <v>96.54</v>
      </c>
      <c r="I1272" s="149"/>
      <c r="L1272" s="144"/>
      <c r="M1272" s="150"/>
      <c r="T1272" s="151"/>
      <c r="AT1272" s="146" t="s">
        <v>138</v>
      </c>
      <c r="AU1272" s="146" t="s">
        <v>81</v>
      </c>
      <c r="AV1272" s="12" t="s">
        <v>81</v>
      </c>
      <c r="AW1272" s="12" t="s">
        <v>33</v>
      </c>
      <c r="AX1272" s="12" t="s">
        <v>71</v>
      </c>
      <c r="AY1272" s="146" t="s">
        <v>127</v>
      </c>
    </row>
    <row r="1273" spans="2:65" s="12" customFormat="1">
      <c r="B1273" s="144"/>
      <c r="D1273" s="145" t="s">
        <v>138</v>
      </c>
      <c r="E1273" s="146" t="s">
        <v>19</v>
      </c>
      <c r="F1273" s="147" t="s">
        <v>837</v>
      </c>
      <c r="H1273" s="148">
        <v>13.68</v>
      </c>
      <c r="I1273" s="149"/>
      <c r="L1273" s="144"/>
      <c r="M1273" s="150"/>
      <c r="T1273" s="151"/>
      <c r="AT1273" s="146" t="s">
        <v>138</v>
      </c>
      <c r="AU1273" s="146" t="s">
        <v>81</v>
      </c>
      <c r="AV1273" s="12" t="s">
        <v>81</v>
      </c>
      <c r="AW1273" s="12" t="s">
        <v>33</v>
      </c>
      <c r="AX1273" s="12" t="s">
        <v>71</v>
      </c>
      <c r="AY1273" s="146" t="s">
        <v>127</v>
      </c>
    </row>
    <row r="1274" spans="2:65" s="12" customFormat="1">
      <c r="B1274" s="144"/>
      <c r="D1274" s="145" t="s">
        <v>138</v>
      </c>
      <c r="E1274" s="146" t="s">
        <v>19</v>
      </c>
      <c r="F1274" s="147" t="s">
        <v>838</v>
      </c>
      <c r="H1274" s="148">
        <v>220.61099999999999</v>
      </c>
      <c r="I1274" s="149"/>
      <c r="L1274" s="144"/>
      <c r="M1274" s="150"/>
      <c r="T1274" s="151"/>
      <c r="AT1274" s="146" t="s">
        <v>138</v>
      </c>
      <c r="AU1274" s="146" t="s">
        <v>81</v>
      </c>
      <c r="AV1274" s="12" t="s">
        <v>81</v>
      </c>
      <c r="AW1274" s="12" t="s">
        <v>33</v>
      </c>
      <c r="AX1274" s="12" t="s">
        <v>71</v>
      </c>
      <c r="AY1274" s="146" t="s">
        <v>127</v>
      </c>
    </row>
    <row r="1275" spans="2:65" s="12" customFormat="1">
      <c r="B1275" s="144"/>
      <c r="D1275" s="145" t="s">
        <v>138</v>
      </c>
      <c r="E1275" s="146" t="s">
        <v>19</v>
      </c>
      <c r="F1275" s="147" t="s">
        <v>852</v>
      </c>
      <c r="H1275" s="148">
        <v>133.30500000000001</v>
      </c>
      <c r="I1275" s="149"/>
      <c r="L1275" s="144"/>
      <c r="M1275" s="150"/>
      <c r="T1275" s="151"/>
      <c r="AT1275" s="146" t="s">
        <v>138</v>
      </c>
      <c r="AU1275" s="146" t="s">
        <v>81</v>
      </c>
      <c r="AV1275" s="12" t="s">
        <v>81</v>
      </c>
      <c r="AW1275" s="12" t="s">
        <v>33</v>
      </c>
      <c r="AX1275" s="12" t="s">
        <v>71</v>
      </c>
      <c r="AY1275" s="146" t="s">
        <v>127</v>
      </c>
    </row>
    <row r="1276" spans="2:65" s="12" customFormat="1">
      <c r="B1276" s="144"/>
      <c r="D1276" s="145" t="s">
        <v>138</v>
      </c>
      <c r="E1276" s="146" t="s">
        <v>19</v>
      </c>
      <c r="F1276" s="147" t="s">
        <v>2492</v>
      </c>
      <c r="H1276" s="148">
        <v>305.536</v>
      </c>
      <c r="I1276" s="149"/>
      <c r="L1276" s="144"/>
      <c r="M1276" s="150"/>
      <c r="T1276" s="151"/>
      <c r="AT1276" s="146" t="s">
        <v>138</v>
      </c>
      <c r="AU1276" s="146" t="s">
        <v>81</v>
      </c>
      <c r="AV1276" s="12" t="s">
        <v>81</v>
      </c>
      <c r="AW1276" s="12" t="s">
        <v>33</v>
      </c>
      <c r="AX1276" s="12" t="s">
        <v>71</v>
      </c>
      <c r="AY1276" s="146" t="s">
        <v>127</v>
      </c>
    </row>
    <row r="1277" spans="2:65" s="12" customFormat="1">
      <c r="B1277" s="144"/>
      <c r="D1277" s="145" t="s">
        <v>138</v>
      </c>
      <c r="E1277" s="146" t="s">
        <v>19</v>
      </c>
      <c r="F1277" s="147" t="s">
        <v>2493</v>
      </c>
      <c r="H1277" s="148">
        <v>144</v>
      </c>
      <c r="I1277" s="149"/>
      <c r="L1277" s="144"/>
      <c r="M1277" s="150"/>
      <c r="T1277" s="151"/>
      <c r="AT1277" s="146" t="s">
        <v>138</v>
      </c>
      <c r="AU1277" s="146" t="s">
        <v>81</v>
      </c>
      <c r="AV1277" s="12" t="s">
        <v>81</v>
      </c>
      <c r="AW1277" s="12" t="s">
        <v>33</v>
      </c>
      <c r="AX1277" s="12" t="s">
        <v>71</v>
      </c>
      <c r="AY1277" s="146" t="s">
        <v>127</v>
      </c>
    </row>
    <row r="1278" spans="2:65" s="12" customFormat="1">
      <c r="B1278" s="144"/>
      <c r="D1278" s="145" t="s">
        <v>138</v>
      </c>
      <c r="E1278" s="146" t="s">
        <v>19</v>
      </c>
      <c r="F1278" s="147" t="s">
        <v>1410</v>
      </c>
      <c r="H1278" s="148">
        <v>105.52800000000001</v>
      </c>
      <c r="I1278" s="149"/>
      <c r="L1278" s="144"/>
      <c r="M1278" s="150"/>
      <c r="T1278" s="151"/>
      <c r="AT1278" s="146" t="s">
        <v>138</v>
      </c>
      <c r="AU1278" s="146" t="s">
        <v>81</v>
      </c>
      <c r="AV1278" s="12" t="s">
        <v>81</v>
      </c>
      <c r="AW1278" s="12" t="s">
        <v>33</v>
      </c>
      <c r="AX1278" s="12" t="s">
        <v>71</v>
      </c>
      <c r="AY1278" s="146" t="s">
        <v>127</v>
      </c>
    </row>
    <row r="1279" spans="2:65" s="12" customFormat="1">
      <c r="B1279" s="144"/>
      <c r="D1279" s="145" t="s">
        <v>138</v>
      </c>
      <c r="E1279" s="146" t="s">
        <v>19</v>
      </c>
      <c r="F1279" s="147" t="s">
        <v>1445</v>
      </c>
      <c r="H1279" s="148">
        <v>650</v>
      </c>
      <c r="I1279" s="149"/>
      <c r="L1279" s="144"/>
      <c r="M1279" s="150"/>
      <c r="T1279" s="151"/>
      <c r="AT1279" s="146" t="s">
        <v>138</v>
      </c>
      <c r="AU1279" s="146" t="s">
        <v>81</v>
      </c>
      <c r="AV1279" s="12" t="s">
        <v>81</v>
      </c>
      <c r="AW1279" s="12" t="s">
        <v>33</v>
      </c>
      <c r="AX1279" s="12" t="s">
        <v>71</v>
      </c>
      <c r="AY1279" s="146" t="s">
        <v>127</v>
      </c>
    </row>
    <row r="1280" spans="2:65" s="12" customFormat="1">
      <c r="B1280" s="144"/>
      <c r="D1280" s="145" t="s">
        <v>138</v>
      </c>
      <c r="E1280" s="146" t="s">
        <v>19</v>
      </c>
      <c r="F1280" s="147" t="s">
        <v>1456</v>
      </c>
      <c r="H1280" s="148">
        <v>543.4</v>
      </c>
      <c r="I1280" s="149"/>
      <c r="L1280" s="144"/>
      <c r="M1280" s="150"/>
      <c r="T1280" s="151"/>
      <c r="AT1280" s="146" t="s">
        <v>138</v>
      </c>
      <c r="AU1280" s="146" t="s">
        <v>81</v>
      </c>
      <c r="AV1280" s="12" t="s">
        <v>81</v>
      </c>
      <c r="AW1280" s="12" t="s">
        <v>33</v>
      </c>
      <c r="AX1280" s="12" t="s">
        <v>71</v>
      </c>
      <c r="AY1280" s="146" t="s">
        <v>127</v>
      </c>
    </row>
    <row r="1281" spans="2:65" s="12" customFormat="1">
      <c r="B1281" s="144"/>
      <c r="D1281" s="145" t="s">
        <v>138</v>
      </c>
      <c r="E1281" s="146" t="s">
        <v>19</v>
      </c>
      <c r="F1281" s="147" t="s">
        <v>2494</v>
      </c>
      <c r="H1281" s="148">
        <v>-103.39</v>
      </c>
      <c r="I1281" s="149"/>
      <c r="L1281" s="144"/>
      <c r="M1281" s="150"/>
      <c r="T1281" s="151"/>
      <c r="AT1281" s="146" t="s">
        <v>138</v>
      </c>
      <c r="AU1281" s="146" t="s">
        <v>81</v>
      </c>
      <c r="AV1281" s="12" t="s">
        <v>81</v>
      </c>
      <c r="AW1281" s="12" t="s">
        <v>33</v>
      </c>
      <c r="AX1281" s="12" t="s">
        <v>71</v>
      </c>
      <c r="AY1281" s="146" t="s">
        <v>127</v>
      </c>
    </row>
    <row r="1282" spans="2:65" s="12" customFormat="1">
      <c r="B1282" s="144"/>
      <c r="D1282" s="145" t="s">
        <v>138</v>
      </c>
      <c r="E1282" s="146" t="s">
        <v>19</v>
      </c>
      <c r="F1282" s="147" t="s">
        <v>1433</v>
      </c>
      <c r="H1282" s="148">
        <v>23.66</v>
      </c>
      <c r="I1282" s="149"/>
      <c r="L1282" s="144"/>
      <c r="M1282" s="150"/>
      <c r="T1282" s="151"/>
      <c r="AT1282" s="146" t="s">
        <v>138</v>
      </c>
      <c r="AU1282" s="146" t="s">
        <v>81</v>
      </c>
      <c r="AV1282" s="12" t="s">
        <v>81</v>
      </c>
      <c r="AW1282" s="12" t="s">
        <v>33</v>
      </c>
      <c r="AX1282" s="12" t="s">
        <v>71</v>
      </c>
      <c r="AY1282" s="146" t="s">
        <v>127</v>
      </c>
    </row>
    <row r="1283" spans="2:65" s="12" customFormat="1">
      <c r="B1283" s="144"/>
      <c r="D1283" s="145" t="s">
        <v>138</v>
      </c>
      <c r="E1283" s="146" t="s">
        <v>19</v>
      </c>
      <c r="F1283" s="147" t="s">
        <v>1434</v>
      </c>
      <c r="H1283" s="148">
        <v>36.4</v>
      </c>
      <c r="I1283" s="149"/>
      <c r="L1283" s="144"/>
      <c r="M1283" s="150"/>
      <c r="T1283" s="151"/>
      <c r="AT1283" s="146" t="s">
        <v>138</v>
      </c>
      <c r="AU1283" s="146" t="s">
        <v>81</v>
      </c>
      <c r="AV1283" s="12" t="s">
        <v>81</v>
      </c>
      <c r="AW1283" s="12" t="s">
        <v>33</v>
      </c>
      <c r="AX1283" s="12" t="s">
        <v>71</v>
      </c>
      <c r="AY1283" s="146" t="s">
        <v>127</v>
      </c>
    </row>
    <row r="1284" spans="2:65" s="13" customFormat="1">
      <c r="B1284" s="152"/>
      <c r="D1284" s="145" t="s">
        <v>138</v>
      </c>
      <c r="E1284" s="153" t="s">
        <v>19</v>
      </c>
      <c r="F1284" s="154" t="s">
        <v>152</v>
      </c>
      <c r="H1284" s="155">
        <v>2505.9500000000003</v>
      </c>
      <c r="I1284" s="156"/>
      <c r="L1284" s="152"/>
      <c r="M1284" s="157"/>
      <c r="T1284" s="158"/>
      <c r="AT1284" s="153" t="s">
        <v>138</v>
      </c>
      <c r="AU1284" s="153" t="s">
        <v>81</v>
      </c>
      <c r="AV1284" s="13" t="s">
        <v>134</v>
      </c>
      <c r="AW1284" s="13" t="s">
        <v>33</v>
      </c>
      <c r="AX1284" s="13" t="s">
        <v>79</v>
      </c>
      <c r="AY1284" s="153" t="s">
        <v>127</v>
      </c>
    </row>
    <row r="1285" spans="2:65" s="11" customFormat="1" ht="22.9" customHeight="1">
      <c r="B1285" s="115"/>
      <c r="D1285" s="116" t="s">
        <v>70</v>
      </c>
      <c r="E1285" s="125" t="s">
        <v>2505</v>
      </c>
      <c r="F1285" s="125" t="s">
        <v>2506</v>
      </c>
      <c r="I1285" s="118"/>
      <c r="J1285" s="126">
        <f>BK1285</f>
        <v>0</v>
      </c>
      <c r="L1285" s="115"/>
      <c r="M1285" s="120"/>
      <c r="P1285" s="121">
        <f>SUM(P1286:P1295)</f>
        <v>0</v>
      </c>
      <c r="R1285" s="121">
        <f>SUM(R1286:R1295)</f>
        <v>2.8027400000000001E-2</v>
      </c>
      <c r="T1285" s="122">
        <f>SUM(T1286:T1295)</f>
        <v>0</v>
      </c>
      <c r="AR1285" s="116" t="s">
        <v>81</v>
      </c>
      <c r="AT1285" s="123" t="s">
        <v>70</v>
      </c>
      <c r="AU1285" s="123" t="s">
        <v>79</v>
      </c>
      <c r="AY1285" s="116" t="s">
        <v>127</v>
      </c>
      <c r="BK1285" s="124">
        <f>SUM(BK1286:BK1295)</f>
        <v>0</v>
      </c>
    </row>
    <row r="1286" spans="2:65" s="1" customFormat="1" ht="16.5" customHeight="1">
      <c r="B1286" s="32"/>
      <c r="C1286" s="127" t="s">
        <v>2507</v>
      </c>
      <c r="D1286" s="127" t="s">
        <v>129</v>
      </c>
      <c r="E1286" s="128" t="s">
        <v>2508</v>
      </c>
      <c r="F1286" s="129" t="s">
        <v>2509</v>
      </c>
      <c r="G1286" s="130" t="s">
        <v>304</v>
      </c>
      <c r="H1286" s="131">
        <v>24</v>
      </c>
      <c r="I1286" s="132"/>
      <c r="J1286" s="133">
        <f>ROUND(I1286*H1286,2)</f>
        <v>0</v>
      </c>
      <c r="K1286" s="129" t="s">
        <v>133</v>
      </c>
      <c r="L1286" s="32"/>
      <c r="M1286" s="134" t="s">
        <v>19</v>
      </c>
      <c r="N1286" s="135" t="s">
        <v>42</v>
      </c>
      <c r="P1286" s="136">
        <f>O1286*H1286</f>
        <v>0</v>
      </c>
      <c r="Q1286" s="136">
        <v>0</v>
      </c>
      <c r="R1286" s="136">
        <f>Q1286*H1286</f>
        <v>0</v>
      </c>
      <c r="S1286" s="136">
        <v>0</v>
      </c>
      <c r="T1286" s="137">
        <f>S1286*H1286</f>
        <v>0</v>
      </c>
      <c r="AR1286" s="138" t="s">
        <v>229</v>
      </c>
      <c r="AT1286" s="138" t="s">
        <v>129</v>
      </c>
      <c r="AU1286" s="138" t="s">
        <v>81</v>
      </c>
      <c r="AY1286" s="17" t="s">
        <v>127</v>
      </c>
      <c r="BE1286" s="139">
        <f>IF(N1286="základní",J1286,0)</f>
        <v>0</v>
      </c>
      <c r="BF1286" s="139">
        <f>IF(N1286="snížená",J1286,0)</f>
        <v>0</v>
      </c>
      <c r="BG1286" s="139">
        <f>IF(N1286="zákl. přenesená",J1286,0)</f>
        <v>0</v>
      </c>
      <c r="BH1286" s="139">
        <f>IF(N1286="sníž. přenesená",J1286,0)</f>
        <v>0</v>
      </c>
      <c r="BI1286" s="139">
        <f>IF(N1286="nulová",J1286,0)</f>
        <v>0</v>
      </c>
      <c r="BJ1286" s="17" t="s">
        <v>79</v>
      </c>
      <c r="BK1286" s="139">
        <f>ROUND(I1286*H1286,2)</f>
        <v>0</v>
      </c>
      <c r="BL1286" s="17" t="s">
        <v>229</v>
      </c>
      <c r="BM1286" s="138" t="s">
        <v>2510</v>
      </c>
    </row>
    <row r="1287" spans="2:65" s="1" customFormat="1">
      <c r="B1287" s="32"/>
      <c r="D1287" s="140" t="s">
        <v>136</v>
      </c>
      <c r="F1287" s="141" t="s">
        <v>2511</v>
      </c>
      <c r="I1287" s="142"/>
      <c r="L1287" s="32"/>
      <c r="M1287" s="143"/>
      <c r="T1287" s="51"/>
      <c r="AT1287" s="17" t="s">
        <v>136</v>
      </c>
      <c r="AU1287" s="17" t="s">
        <v>81</v>
      </c>
    </row>
    <row r="1288" spans="2:65" s="1" customFormat="1" ht="16.5" customHeight="1">
      <c r="B1288" s="32"/>
      <c r="C1288" s="159" t="s">
        <v>2512</v>
      </c>
      <c r="D1288" s="159" t="s">
        <v>413</v>
      </c>
      <c r="E1288" s="160" t="s">
        <v>2513</v>
      </c>
      <c r="F1288" s="161" t="s">
        <v>2514</v>
      </c>
      <c r="G1288" s="162" t="s">
        <v>304</v>
      </c>
      <c r="H1288" s="163">
        <v>2</v>
      </c>
      <c r="I1288" s="164"/>
      <c r="J1288" s="165">
        <f>ROUND(I1288*H1288,2)</f>
        <v>0</v>
      </c>
      <c r="K1288" s="161" t="s">
        <v>133</v>
      </c>
      <c r="L1288" s="166"/>
      <c r="M1288" s="167" t="s">
        <v>19</v>
      </c>
      <c r="N1288" s="168" t="s">
        <v>42</v>
      </c>
      <c r="P1288" s="136">
        <f>O1288*H1288</f>
        <v>0</v>
      </c>
      <c r="Q1288" s="136">
        <v>7.2999999999999996E-4</v>
      </c>
      <c r="R1288" s="136">
        <f>Q1288*H1288</f>
        <v>1.4599999999999999E-3</v>
      </c>
      <c r="S1288" s="136">
        <v>0</v>
      </c>
      <c r="T1288" s="137">
        <f>S1288*H1288</f>
        <v>0</v>
      </c>
      <c r="AR1288" s="138" t="s">
        <v>333</v>
      </c>
      <c r="AT1288" s="138" t="s">
        <v>413</v>
      </c>
      <c r="AU1288" s="138" t="s">
        <v>81</v>
      </c>
      <c r="AY1288" s="17" t="s">
        <v>127</v>
      </c>
      <c r="BE1288" s="139">
        <f>IF(N1288="základní",J1288,0)</f>
        <v>0</v>
      </c>
      <c r="BF1288" s="139">
        <f>IF(N1288="snížená",J1288,0)</f>
        <v>0</v>
      </c>
      <c r="BG1288" s="139">
        <f>IF(N1288="zákl. přenesená",J1288,0)</f>
        <v>0</v>
      </c>
      <c r="BH1288" s="139">
        <f>IF(N1288="sníž. přenesená",J1288,0)</f>
        <v>0</v>
      </c>
      <c r="BI1288" s="139">
        <f>IF(N1288="nulová",J1288,0)</f>
        <v>0</v>
      </c>
      <c r="BJ1288" s="17" t="s">
        <v>79</v>
      </c>
      <c r="BK1288" s="139">
        <f>ROUND(I1288*H1288,2)</f>
        <v>0</v>
      </c>
      <c r="BL1288" s="17" t="s">
        <v>229</v>
      </c>
      <c r="BM1288" s="138" t="s">
        <v>2515</v>
      </c>
    </row>
    <row r="1289" spans="2:65" s="1" customFormat="1" ht="16.5" customHeight="1">
      <c r="B1289" s="32"/>
      <c r="C1289" s="159" t="s">
        <v>2516</v>
      </c>
      <c r="D1289" s="159" t="s">
        <v>413</v>
      </c>
      <c r="E1289" s="160" t="s">
        <v>2517</v>
      </c>
      <c r="F1289" s="161" t="s">
        <v>2518</v>
      </c>
      <c r="G1289" s="162" t="s">
        <v>304</v>
      </c>
      <c r="H1289" s="163">
        <v>22</v>
      </c>
      <c r="I1289" s="164"/>
      <c r="J1289" s="165">
        <f>ROUND(I1289*H1289,2)</f>
        <v>0</v>
      </c>
      <c r="K1289" s="161" t="s">
        <v>19</v>
      </c>
      <c r="L1289" s="166"/>
      <c r="M1289" s="167" t="s">
        <v>19</v>
      </c>
      <c r="N1289" s="168" t="s">
        <v>42</v>
      </c>
      <c r="P1289" s="136">
        <f>O1289*H1289</f>
        <v>0</v>
      </c>
      <c r="Q1289" s="136">
        <v>1.06E-3</v>
      </c>
      <c r="R1289" s="136">
        <f>Q1289*H1289</f>
        <v>2.332E-2</v>
      </c>
      <c r="S1289" s="136">
        <v>0</v>
      </c>
      <c r="T1289" s="137">
        <f>S1289*H1289</f>
        <v>0</v>
      </c>
      <c r="AR1289" s="138" t="s">
        <v>333</v>
      </c>
      <c r="AT1289" s="138" t="s">
        <v>413</v>
      </c>
      <c r="AU1289" s="138" t="s">
        <v>81</v>
      </c>
      <c r="AY1289" s="17" t="s">
        <v>127</v>
      </c>
      <c r="BE1289" s="139">
        <f>IF(N1289="základní",J1289,0)</f>
        <v>0</v>
      </c>
      <c r="BF1289" s="139">
        <f>IF(N1289="snížená",J1289,0)</f>
        <v>0</v>
      </c>
      <c r="BG1289" s="139">
        <f>IF(N1289="zákl. přenesená",J1289,0)</f>
        <v>0</v>
      </c>
      <c r="BH1289" s="139">
        <f>IF(N1289="sníž. přenesená",J1289,0)</f>
        <v>0</v>
      </c>
      <c r="BI1289" s="139">
        <f>IF(N1289="nulová",J1289,0)</f>
        <v>0</v>
      </c>
      <c r="BJ1289" s="17" t="s">
        <v>79</v>
      </c>
      <c r="BK1289" s="139">
        <f>ROUND(I1289*H1289,2)</f>
        <v>0</v>
      </c>
      <c r="BL1289" s="17" t="s">
        <v>229</v>
      </c>
      <c r="BM1289" s="138" t="s">
        <v>2519</v>
      </c>
    </row>
    <row r="1290" spans="2:65" s="1" customFormat="1" ht="16.5" customHeight="1">
      <c r="B1290" s="32"/>
      <c r="C1290" s="127" t="s">
        <v>2520</v>
      </c>
      <c r="D1290" s="127" t="s">
        <v>129</v>
      </c>
      <c r="E1290" s="128" t="s">
        <v>2521</v>
      </c>
      <c r="F1290" s="129" t="s">
        <v>2522</v>
      </c>
      <c r="G1290" s="130" t="s">
        <v>132</v>
      </c>
      <c r="H1290" s="131">
        <v>2.4980000000000002</v>
      </c>
      <c r="I1290" s="132"/>
      <c r="J1290" s="133">
        <f>ROUND(I1290*H1290,2)</f>
        <v>0</v>
      </c>
      <c r="K1290" s="129" t="s">
        <v>133</v>
      </c>
      <c r="L1290" s="32"/>
      <c r="M1290" s="134" t="s">
        <v>19</v>
      </c>
      <c r="N1290" s="135" t="s">
        <v>42</v>
      </c>
      <c r="P1290" s="136">
        <f>O1290*H1290</f>
        <v>0</v>
      </c>
      <c r="Q1290" s="136">
        <v>0</v>
      </c>
      <c r="R1290" s="136">
        <f>Q1290*H1290</f>
        <v>0</v>
      </c>
      <c r="S1290" s="136">
        <v>0</v>
      </c>
      <c r="T1290" s="137">
        <f>S1290*H1290</f>
        <v>0</v>
      </c>
      <c r="AR1290" s="138" t="s">
        <v>229</v>
      </c>
      <c r="AT1290" s="138" t="s">
        <v>129</v>
      </c>
      <c r="AU1290" s="138" t="s">
        <v>81</v>
      </c>
      <c r="AY1290" s="17" t="s">
        <v>127</v>
      </c>
      <c r="BE1290" s="139">
        <f>IF(N1290="základní",J1290,0)</f>
        <v>0</v>
      </c>
      <c r="BF1290" s="139">
        <f>IF(N1290="snížená",J1290,0)</f>
        <v>0</v>
      </c>
      <c r="BG1290" s="139">
        <f>IF(N1290="zákl. přenesená",J1290,0)</f>
        <v>0</v>
      </c>
      <c r="BH1290" s="139">
        <f>IF(N1290="sníž. přenesená",J1290,0)</f>
        <v>0</v>
      </c>
      <c r="BI1290" s="139">
        <f>IF(N1290="nulová",J1290,0)</f>
        <v>0</v>
      </c>
      <c r="BJ1290" s="17" t="s">
        <v>79</v>
      </c>
      <c r="BK1290" s="139">
        <f>ROUND(I1290*H1290,2)</f>
        <v>0</v>
      </c>
      <c r="BL1290" s="17" t="s">
        <v>229</v>
      </c>
      <c r="BM1290" s="138" t="s">
        <v>2523</v>
      </c>
    </row>
    <row r="1291" spans="2:65" s="1" customFormat="1">
      <c r="B1291" s="32"/>
      <c r="D1291" s="140" t="s">
        <v>136</v>
      </c>
      <c r="F1291" s="141" t="s">
        <v>2524</v>
      </c>
      <c r="I1291" s="142"/>
      <c r="L1291" s="32"/>
      <c r="M1291" s="143"/>
      <c r="T1291" s="51"/>
      <c r="AT1291" s="17" t="s">
        <v>136</v>
      </c>
      <c r="AU1291" s="17" t="s">
        <v>81</v>
      </c>
    </row>
    <row r="1292" spans="2:65" s="12" customFormat="1">
      <c r="B1292" s="144"/>
      <c r="D1292" s="145" t="s">
        <v>138</v>
      </c>
      <c r="E1292" s="146" t="s">
        <v>19</v>
      </c>
      <c r="F1292" s="147" t="s">
        <v>2525</v>
      </c>
      <c r="H1292" s="148">
        <v>2.4980000000000002</v>
      </c>
      <c r="I1292" s="149"/>
      <c r="L1292" s="144"/>
      <c r="M1292" s="150"/>
      <c r="T1292" s="151"/>
      <c r="AT1292" s="146" t="s">
        <v>138</v>
      </c>
      <c r="AU1292" s="146" t="s">
        <v>81</v>
      </c>
      <c r="AV1292" s="12" t="s">
        <v>81</v>
      </c>
      <c r="AW1292" s="12" t="s">
        <v>33</v>
      </c>
      <c r="AX1292" s="12" t="s">
        <v>79</v>
      </c>
      <c r="AY1292" s="146" t="s">
        <v>127</v>
      </c>
    </row>
    <row r="1293" spans="2:65" s="1" customFormat="1" ht="16.5" customHeight="1">
      <c r="B1293" s="32"/>
      <c r="C1293" s="159" t="s">
        <v>2526</v>
      </c>
      <c r="D1293" s="159" t="s">
        <v>413</v>
      </c>
      <c r="E1293" s="160" t="s">
        <v>2527</v>
      </c>
      <c r="F1293" s="161" t="s">
        <v>2528</v>
      </c>
      <c r="G1293" s="162" t="s">
        <v>132</v>
      </c>
      <c r="H1293" s="163">
        <v>2.4980000000000002</v>
      </c>
      <c r="I1293" s="164"/>
      <c r="J1293" s="165">
        <f>ROUND(I1293*H1293,2)</f>
        <v>0</v>
      </c>
      <c r="K1293" s="161" t="s">
        <v>133</v>
      </c>
      <c r="L1293" s="166"/>
      <c r="M1293" s="167" t="s">
        <v>19</v>
      </c>
      <c r="N1293" s="168" t="s">
        <v>42</v>
      </c>
      <c r="P1293" s="136">
        <f>O1293*H1293</f>
        <v>0</v>
      </c>
      <c r="Q1293" s="136">
        <v>1.2999999999999999E-3</v>
      </c>
      <c r="R1293" s="136">
        <f>Q1293*H1293</f>
        <v>3.2474000000000001E-3</v>
      </c>
      <c r="S1293" s="136">
        <v>0</v>
      </c>
      <c r="T1293" s="137">
        <f>S1293*H1293</f>
        <v>0</v>
      </c>
      <c r="AR1293" s="138" t="s">
        <v>333</v>
      </c>
      <c r="AT1293" s="138" t="s">
        <v>413</v>
      </c>
      <c r="AU1293" s="138" t="s">
        <v>81</v>
      </c>
      <c r="AY1293" s="17" t="s">
        <v>127</v>
      </c>
      <c r="BE1293" s="139">
        <f>IF(N1293="základní",J1293,0)</f>
        <v>0</v>
      </c>
      <c r="BF1293" s="139">
        <f>IF(N1293="snížená",J1293,0)</f>
        <v>0</v>
      </c>
      <c r="BG1293" s="139">
        <f>IF(N1293="zákl. přenesená",J1293,0)</f>
        <v>0</v>
      </c>
      <c r="BH1293" s="139">
        <f>IF(N1293="sníž. přenesená",J1293,0)</f>
        <v>0</v>
      </c>
      <c r="BI1293" s="139">
        <f>IF(N1293="nulová",J1293,0)</f>
        <v>0</v>
      </c>
      <c r="BJ1293" s="17" t="s">
        <v>79</v>
      </c>
      <c r="BK1293" s="139">
        <f>ROUND(I1293*H1293,2)</f>
        <v>0</v>
      </c>
      <c r="BL1293" s="17" t="s">
        <v>229</v>
      </c>
      <c r="BM1293" s="138" t="s">
        <v>2529</v>
      </c>
    </row>
    <row r="1294" spans="2:65" s="1" customFormat="1" ht="24.2" customHeight="1">
      <c r="B1294" s="32"/>
      <c r="C1294" s="127" t="s">
        <v>2530</v>
      </c>
      <c r="D1294" s="127" t="s">
        <v>129</v>
      </c>
      <c r="E1294" s="128" t="s">
        <v>2531</v>
      </c>
      <c r="F1294" s="129" t="s">
        <v>2532</v>
      </c>
      <c r="G1294" s="130" t="s">
        <v>425</v>
      </c>
      <c r="H1294" s="169"/>
      <c r="I1294" s="132"/>
      <c r="J1294" s="133">
        <f>ROUND(I1294*H1294,2)</f>
        <v>0</v>
      </c>
      <c r="K1294" s="129" t="s">
        <v>133</v>
      </c>
      <c r="L1294" s="32"/>
      <c r="M1294" s="134" t="s">
        <v>19</v>
      </c>
      <c r="N1294" s="135" t="s">
        <v>42</v>
      </c>
      <c r="P1294" s="136">
        <f>O1294*H1294</f>
        <v>0</v>
      </c>
      <c r="Q1294" s="136">
        <v>0</v>
      </c>
      <c r="R1294" s="136">
        <f>Q1294*H1294</f>
        <v>0</v>
      </c>
      <c r="S1294" s="136">
        <v>0</v>
      </c>
      <c r="T1294" s="137">
        <f>S1294*H1294</f>
        <v>0</v>
      </c>
      <c r="AR1294" s="138" t="s">
        <v>229</v>
      </c>
      <c r="AT1294" s="138" t="s">
        <v>129</v>
      </c>
      <c r="AU1294" s="138" t="s">
        <v>81</v>
      </c>
      <c r="AY1294" s="17" t="s">
        <v>127</v>
      </c>
      <c r="BE1294" s="139">
        <f>IF(N1294="základní",J1294,0)</f>
        <v>0</v>
      </c>
      <c r="BF1294" s="139">
        <f>IF(N1294="snížená",J1294,0)</f>
        <v>0</v>
      </c>
      <c r="BG1294" s="139">
        <f>IF(N1294="zákl. přenesená",J1294,0)</f>
        <v>0</v>
      </c>
      <c r="BH1294" s="139">
        <f>IF(N1294="sníž. přenesená",J1294,0)</f>
        <v>0</v>
      </c>
      <c r="BI1294" s="139">
        <f>IF(N1294="nulová",J1294,0)</f>
        <v>0</v>
      </c>
      <c r="BJ1294" s="17" t="s">
        <v>79</v>
      </c>
      <c r="BK1294" s="139">
        <f>ROUND(I1294*H1294,2)</f>
        <v>0</v>
      </c>
      <c r="BL1294" s="17" t="s">
        <v>229</v>
      </c>
      <c r="BM1294" s="138" t="s">
        <v>2533</v>
      </c>
    </row>
    <row r="1295" spans="2:65" s="1" customFormat="1">
      <c r="B1295" s="32"/>
      <c r="D1295" s="140" t="s">
        <v>136</v>
      </c>
      <c r="F1295" s="141" t="s">
        <v>2534</v>
      </c>
      <c r="I1295" s="142"/>
      <c r="L1295" s="32"/>
      <c r="M1295" s="143"/>
      <c r="T1295" s="51"/>
      <c r="AT1295" s="17" t="s">
        <v>136</v>
      </c>
      <c r="AU1295" s="17" t="s">
        <v>81</v>
      </c>
    </row>
    <row r="1296" spans="2:65" s="11" customFormat="1" ht="25.9" customHeight="1">
      <c r="B1296" s="115"/>
      <c r="D1296" s="116" t="s">
        <v>70</v>
      </c>
      <c r="E1296" s="117" t="s">
        <v>2535</v>
      </c>
      <c r="F1296" s="117" t="s">
        <v>2536</v>
      </c>
      <c r="I1296" s="118"/>
      <c r="J1296" s="119">
        <f>BK1296</f>
        <v>0</v>
      </c>
      <c r="L1296" s="115"/>
      <c r="M1296" s="120"/>
      <c r="P1296" s="121">
        <f>SUM(P1297:P1299)</f>
        <v>0</v>
      </c>
      <c r="R1296" s="121">
        <f>SUM(R1297:R1299)</f>
        <v>0</v>
      </c>
      <c r="T1296" s="122">
        <f>SUM(T1297:T1299)</f>
        <v>0</v>
      </c>
      <c r="AR1296" s="116" t="s">
        <v>134</v>
      </c>
      <c r="AT1296" s="123" t="s">
        <v>70</v>
      </c>
      <c r="AU1296" s="123" t="s">
        <v>71</v>
      </c>
      <c r="AY1296" s="116" t="s">
        <v>127</v>
      </c>
      <c r="BK1296" s="124">
        <f>SUM(BK1297:BK1299)</f>
        <v>0</v>
      </c>
    </row>
    <row r="1297" spans="2:65" s="1" customFormat="1" ht="24.2" customHeight="1">
      <c r="B1297" s="32"/>
      <c r="C1297" s="127" t="s">
        <v>2537</v>
      </c>
      <c r="D1297" s="127" t="s">
        <v>129</v>
      </c>
      <c r="E1297" s="128" t="s">
        <v>2538</v>
      </c>
      <c r="F1297" s="129" t="s">
        <v>2539</v>
      </c>
      <c r="G1297" s="130" t="s">
        <v>1013</v>
      </c>
      <c r="H1297" s="131">
        <v>300</v>
      </c>
      <c r="I1297" s="132"/>
      <c r="J1297" s="133">
        <f>ROUND(I1297*H1297,2)</f>
        <v>0</v>
      </c>
      <c r="K1297" s="129" t="s">
        <v>133</v>
      </c>
      <c r="L1297" s="32"/>
      <c r="M1297" s="134" t="s">
        <v>19</v>
      </c>
      <c r="N1297" s="135" t="s">
        <v>42</v>
      </c>
      <c r="P1297" s="136">
        <f>O1297*H1297</f>
        <v>0</v>
      </c>
      <c r="Q1297" s="136">
        <v>0</v>
      </c>
      <c r="R1297" s="136">
        <f>Q1297*H1297</f>
        <v>0</v>
      </c>
      <c r="S1297" s="136">
        <v>0</v>
      </c>
      <c r="T1297" s="137">
        <f>S1297*H1297</f>
        <v>0</v>
      </c>
      <c r="AR1297" s="138" t="s">
        <v>2540</v>
      </c>
      <c r="AT1297" s="138" t="s">
        <v>129</v>
      </c>
      <c r="AU1297" s="138" t="s">
        <v>79</v>
      </c>
      <c r="AY1297" s="17" t="s">
        <v>127</v>
      </c>
      <c r="BE1297" s="139">
        <f>IF(N1297="základní",J1297,0)</f>
        <v>0</v>
      </c>
      <c r="BF1297" s="139">
        <f>IF(N1297="snížená",J1297,0)</f>
        <v>0</v>
      </c>
      <c r="BG1297" s="139">
        <f>IF(N1297="zákl. přenesená",J1297,0)</f>
        <v>0</v>
      </c>
      <c r="BH1297" s="139">
        <f>IF(N1297="sníž. přenesená",J1297,0)</f>
        <v>0</v>
      </c>
      <c r="BI1297" s="139">
        <f>IF(N1297="nulová",J1297,0)</f>
        <v>0</v>
      </c>
      <c r="BJ1297" s="17" t="s">
        <v>79</v>
      </c>
      <c r="BK1297" s="139">
        <f>ROUND(I1297*H1297,2)</f>
        <v>0</v>
      </c>
      <c r="BL1297" s="17" t="s">
        <v>2540</v>
      </c>
      <c r="BM1297" s="138" t="s">
        <v>2541</v>
      </c>
    </row>
    <row r="1298" spans="2:65" s="1" customFormat="1">
      <c r="B1298" s="32"/>
      <c r="D1298" s="140" t="s">
        <v>136</v>
      </c>
      <c r="F1298" s="141" t="s">
        <v>2542</v>
      </c>
      <c r="I1298" s="142"/>
      <c r="L1298" s="32"/>
      <c r="M1298" s="143"/>
      <c r="T1298" s="51"/>
      <c r="AT1298" s="17" t="s">
        <v>136</v>
      </c>
      <c r="AU1298" s="17" t="s">
        <v>79</v>
      </c>
    </row>
    <row r="1299" spans="2:65" s="12" customFormat="1">
      <c r="B1299" s="144"/>
      <c r="D1299" s="145" t="s">
        <v>138</v>
      </c>
      <c r="E1299" s="146" t="s">
        <v>19</v>
      </c>
      <c r="F1299" s="147" t="s">
        <v>2543</v>
      </c>
      <c r="H1299" s="148">
        <v>300</v>
      </c>
      <c r="I1299" s="149"/>
      <c r="L1299" s="144"/>
      <c r="M1299" s="150"/>
      <c r="T1299" s="151"/>
      <c r="AT1299" s="146" t="s">
        <v>138</v>
      </c>
      <c r="AU1299" s="146" t="s">
        <v>79</v>
      </c>
      <c r="AV1299" s="12" t="s">
        <v>81</v>
      </c>
      <c r="AW1299" s="12" t="s">
        <v>33</v>
      </c>
      <c r="AX1299" s="12" t="s">
        <v>79</v>
      </c>
      <c r="AY1299" s="146" t="s">
        <v>127</v>
      </c>
    </row>
    <row r="1300" spans="2:65" s="11" customFormat="1" ht="25.9" customHeight="1">
      <c r="B1300" s="115"/>
      <c r="D1300" s="116" t="s">
        <v>70</v>
      </c>
      <c r="E1300" s="117" t="s">
        <v>2544</v>
      </c>
      <c r="F1300" s="117" t="s">
        <v>2545</v>
      </c>
      <c r="I1300" s="118"/>
      <c r="J1300" s="119">
        <f>BK1300</f>
        <v>0</v>
      </c>
      <c r="L1300" s="115"/>
      <c r="M1300" s="120"/>
      <c r="P1300" s="121">
        <f>SUM(P1301:P1304)</f>
        <v>0</v>
      </c>
      <c r="R1300" s="121">
        <f>SUM(R1301:R1304)</f>
        <v>0</v>
      </c>
      <c r="T1300" s="122">
        <f>SUM(T1301:T1304)</f>
        <v>0</v>
      </c>
      <c r="AR1300" s="116" t="s">
        <v>134</v>
      </c>
      <c r="AT1300" s="123" t="s">
        <v>70</v>
      </c>
      <c r="AU1300" s="123" t="s">
        <v>71</v>
      </c>
      <c r="AY1300" s="116" t="s">
        <v>127</v>
      </c>
      <c r="BK1300" s="124">
        <f>SUM(BK1301:BK1304)</f>
        <v>0</v>
      </c>
    </row>
    <row r="1301" spans="2:65" s="1" customFormat="1" ht="16.5" customHeight="1">
      <c r="B1301" s="32"/>
      <c r="C1301" s="127" t="s">
        <v>2546</v>
      </c>
      <c r="D1301" s="127" t="s">
        <v>129</v>
      </c>
      <c r="E1301" s="128" t="s">
        <v>2547</v>
      </c>
      <c r="F1301" s="129" t="s">
        <v>2548</v>
      </c>
      <c r="G1301" s="130" t="s">
        <v>191</v>
      </c>
      <c r="H1301" s="131">
        <v>1</v>
      </c>
      <c r="I1301" s="132"/>
      <c r="J1301" s="133">
        <f>ROUND(I1301*H1301,2)</f>
        <v>0</v>
      </c>
      <c r="K1301" s="129" t="s">
        <v>19</v>
      </c>
      <c r="L1301" s="32"/>
      <c r="M1301" s="134" t="s">
        <v>19</v>
      </c>
      <c r="N1301" s="135" t="s">
        <v>42</v>
      </c>
      <c r="P1301" s="136">
        <f>O1301*H1301</f>
        <v>0</v>
      </c>
      <c r="Q1301" s="136">
        <v>0</v>
      </c>
      <c r="R1301" s="136">
        <f>Q1301*H1301</f>
        <v>0</v>
      </c>
      <c r="S1301" s="136">
        <v>0</v>
      </c>
      <c r="T1301" s="137">
        <f>S1301*H1301</f>
        <v>0</v>
      </c>
      <c r="AR1301" s="138" t="s">
        <v>2540</v>
      </c>
      <c r="AT1301" s="138" t="s">
        <v>129</v>
      </c>
      <c r="AU1301" s="138" t="s">
        <v>79</v>
      </c>
      <c r="AY1301" s="17" t="s">
        <v>127</v>
      </c>
      <c r="BE1301" s="139">
        <f>IF(N1301="základní",J1301,0)</f>
        <v>0</v>
      </c>
      <c r="BF1301" s="139">
        <f>IF(N1301="snížená",J1301,0)</f>
        <v>0</v>
      </c>
      <c r="BG1301" s="139">
        <f>IF(N1301="zákl. přenesená",J1301,0)</f>
        <v>0</v>
      </c>
      <c r="BH1301" s="139">
        <f>IF(N1301="sníž. přenesená",J1301,0)</f>
        <v>0</v>
      </c>
      <c r="BI1301" s="139">
        <f>IF(N1301="nulová",J1301,0)</f>
        <v>0</v>
      </c>
      <c r="BJ1301" s="17" t="s">
        <v>79</v>
      </c>
      <c r="BK1301" s="139">
        <f>ROUND(I1301*H1301,2)</f>
        <v>0</v>
      </c>
      <c r="BL1301" s="17" t="s">
        <v>2540</v>
      </c>
      <c r="BM1301" s="138" t="s">
        <v>2549</v>
      </c>
    </row>
    <row r="1302" spans="2:65" s="1" customFormat="1" ht="16.5" customHeight="1">
      <c r="B1302" s="32"/>
      <c r="C1302" s="127" t="s">
        <v>2550</v>
      </c>
      <c r="D1302" s="127" t="s">
        <v>129</v>
      </c>
      <c r="E1302" s="128" t="s">
        <v>2551</v>
      </c>
      <c r="F1302" s="129" t="s">
        <v>2552</v>
      </c>
      <c r="G1302" s="130" t="s">
        <v>191</v>
      </c>
      <c r="H1302" s="131">
        <v>1</v>
      </c>
      <c r="I1302" s="132"/>
      <c r="J1302" s="133">
        <f>ROUND(I1302*H1302,2)</f>
        <v>0</v>
      </c>
      <c r="K1302" s="129" t="s">
        <v>19</v>
      </c>
      <c r="L1302" s="32"/>
      <c r="M1302" s="134" t="s">
        <v>19</v>
      </c>
      <c r="N1302" s="135" t="s">
        <v>42</v>
      </c>
      <c r="P1302" s="136">
        <f>O1302*H1302</f>
        <v>0</v>
      </c>
      <c r="Q1302" s="136">
        <v>0</v>
      </c>
      <c r="R1302" s="136">
        <f>Q1302*H1302</f>
        <v>0</v>
      </c>
      <c r="S1302" s="136">
        <v>0</v>
      </c>
      <c r="T1302" s="137">
        <f>S1302*H1302</f>
        <v>0</v>
      </c>
      <c r="AR1302" s="138" t="s">
        <v>2540</v>
      </c>
      <c r="AT1302" s="138" t="s">
        <v>129</v>
      </c>
      <c r="AU1302" s="138" t="s">
        <v>79</v>
      </c>
      <c r="AY1302" s="17" t="s">
        <v>127</v>
      </c>
      <c r="BE1302" s="139">
        <f>IF(N1302="základní",J1302,0)</f>
        <v>0</v>
      </c>
      <c r="BF1302" s="139">
        <f>IF(N1302="snížená",J1302,0)</f>
        <v>0</v>
      </c>
      <c r="BG1302" s="139">
        <f>IF(N1302="zákl. přenesená",J1302,0)</f>
        <v>0</v>
      </c>
      <c r="BH1302" s="139">
        <f>IF(N1302="sníž. přenesená",J1302,0)</f>
        <v>0</v>
      </c>
      <c r="BI1302" s="139">
        <f>IF(N1302="nulová",J1302,0)</f>
        <v>0</v>
      </c>
      <c r="BJ1302" s="17" t="s">
        <v>79</v>
      </c>
      <c r="BK1302" s="139">
        <f>ROUND(I1302*H1302,2)</f>
        <v>0</v>
      </c>
      <c r="BL1302" s="17" t="s">
        <v>2540</v>
      </c>
      <c r="BM1302" s="138" t="s">
        <v>2553</v>
      </c>
    </row>
    <row r="1303" spans="2:65" s="1" customFormat="1" ht="16.5" customHeight="1">
      <c r="B1303" s="32"/>
      <c r="C1303" s="127" t="s">
        <v>2554</v>
      </c>
      <c r="D1303" s="127" t="s">
        <v>129</v>
      </c>
      <c r="E1303" s="128" t="s">
        <v>2555</v>
      </c>
      <c r="F1303" s="129" t="s">
        <v>2556</v>
      </c>
      <c r="G1303" s="130" t="s">
        <v>191</v>
      </c>
      <c r="H1303" s="131">
        <v>1</v>
      </c>
      <c r="I1303" s="132"/>
      <c r="J1303" s="133">
        <f>ROUND(I1303*H1303,2)</f>
        <v>0</v>
      </c>
      <c r="K1303" s="129" t="s">
        <v>19</v>
      </c>
      <c r="L1303" s="32"/>
      <c r="M1303" s="134" t="s">
        <v>19</v>
      </c>
      <c r="N1303" s="135" t="s">
        <v>42</v>
      </c>
      <c r="P1303" s="136">
        <f>O1303*H1303</f>
        <v>0</v>
      </c>
      <c r="Q1303" s="136">
        <v>0</v>
      </c>
      <c r="R1303" s="136">
        <f>Q1303*H1303</f>
        <v>0</v>
      </c>
      <c r="S1303" s="136">
        <v>0</v>
      </c>
      <c r="T1303" s="137">
        <f>S1303*H1303</f>
        <v>0</v>
      </c>
      <c r="AR1303" s="138" t="s">
        <v>2540</v>
      </c>
      <c r="AT1303" s="138" t="s">
        <v>129</v>
      </c>
      <c r="AU1303" s="138" t="s">
        <v>79</v>
      </c>
      <c r="AY1303" s="17" t="s">
        <v>127</v>
      </c>
      <c r="BE1303" s="139">
        <f>IF(N1303="základní",J1303,0)</f>
        <v>0</v>
      </c>
      <c r="BF1303" s="139">
        <f>IF(N1303="snížená",J1303,0)</f>
        <v>0</v>
      </c>
      <c r="BG1303" s="139">
        <f>IF(N1303="zákl. přenesená",J1303,0)</f>
        <v>0</v>
      </c>
      <c r="BH1303" s="139">
        <f>IF(N1303="sníž. přenesená",J1303,0)</f>
        <v>0</v>
      </c>
      <c r="BI1303" s="139">
        <f>IF(N1303="nulová",J1303,0)</f>
        <v>0</v>
      </c>
      <c r="BJ1303" s="17" t="s">
        <v>79</v>
      </c>
      <c r="BK1303" s="139">
        <f>ROUND(I1303*H1303,2)</f>
        <v>0</v>
      </c>
      <c r="BL1303" s="17" t="s">
        <v>2540</v>
      </c>
      <c r="BM1303" s="138" t="s">
        <v>2557</v>
      </c>
    </row>
    <row r="1304" spans="2:65" s="1" customFormat="1" ht="16.5" customHeight="1">
      <c r="B1304" s="32"/>
      <c r="C1304" s="127" t="s">
        <v>2558</v>
      </c>
      <c r="D1304" s="127" t="s">
        <v>129</v>
      </c>
      <c r="E1304" s="128" t="s">
        <v>2559</v>
      </c>
      <c r="F1304" s="129" t="s">
        <v>2560</v>
      </c>
      <c r="G1304" s="130" t="s">
        <v>191</v>
      </c>
      <c r="H1304" s="131">
        <v>1</v>
      </c>
      <c r="I1304" s="132"/>
      <c r="J1304" s="133">
        <f>ROUND(I1304*H1304,2)</f>
        <v>0</v>
      </c>
      <c r="K1304" s="129" t="s">
        <v>19</v>
      </c>
      <c r="L1304" s="32"/>
      <c r="M1304" s="179" t="s">
        <v>19</v>
      </c>
      <c r="N1304" s="180" t="s">
        <v>42</v>
      </c>
      <c r="O1304" s="171"/>
      <c r="P1304" s="181">
        <f>O1304*H1304</f>
        <v>0</v>
      </c>
      <c r="Q1304" s="181">
        <v>0</v>
      </c>
      <c r="R1304" s="181">
        <f>Q1304*H1304</f>
        <v>0</v>
      </c>
      <c r="S1304" s="181">
        <v>0</v>
      </c>
      <c r="T1304" s="182">
        <f>S1304*H1304</f>
        <v>0</v>
      </c>
      <c r="AR1304" s="138" t="s">
        <v>2540</v>
      </c>
      <c r="AT1304" s="138" t="s">
        <v>129</v>
      </c>
      <c r="AU1304" s="138" t="s">
        <v>79</v>
      </c>
      <c r="AY1304" s="17" t="s">
        <v>127</v>
      </c>
      <c r="BE1304" s="139">
        <f>IF(N1304="základní",J1304,0)</f>
        <v>0</v>
      </c>
      <c r="BF1304" s="139">
        <f>IF(N1304="snížená",J1304,0)</f>
        <v>0</v>
      </c>
      <c r="BG1304" s="139">
        <f>IF(N1304="zákl. přenesená",J1304,0)</f>
        <v>0</v>
      </c>
      <c r="BH1304" s="139">
        <f>IF(N1304="sníž. přenesená",J1304,0)</f>
        <v>0</v>
      </c>
      <c r="BI1304" s="139">
        <f>IF(N1304="nulová",J1304,0)</f>
        <v>0</v>
      </c>
      <c r="BJ1304" s="17" t="s">
        <v>79</v>
      </c>
      <c r="BK1304" s="139">
        <f>ROUND(I1304*H1304,2)</f>
        <v>0</v>
      </c>
      <c r="BL1304" s="17" t="s">
        <v>2540</v>
      </c>
      <c r="BM1304" s="138" t="s">
        <v>2561</v>
      </c>
    </row>
    <row r="1305" spans="2:65" s="1" customFormat="1" ht="6.95" customHeight="1">
      <c r="B1305" s="40"/>
      <c r="C1305" s="41"/>
      <c r="D1305" s="41"/>
      <c r="E1305" s="41"/>
      <c r="F1305" s="41"/>
      <c r="G1305" s="41"/>
      <c r="H1305" s="41"/>
      <c r="I1305" s="41"/>
      <c r="J1305" s="41"/>
      <c r="K1305" s="41"/>
      <c r="L1305" s="32"/>
    </row>
  </sheetData>
  <sheetProtection algorithmName="SHA-512" hashValue="f3pHrl2oUu/398/Rldgh2iolJO18zEKE9O6GO0vdZrv1RmhKQSMLw0StqSPIB8Enw78eM6Ksw6I45ifGwmMsZQ==" saltValue="H1O7Or6FpzVUHIf/IiRya5cf3i3pmE+otAbXXBC+JPf+NPab2HnY1A8STtzbXJJtu/PGkmtVM9gpOts7s3NopQ==" spinCount="100000" sheet="1" objects="1" scenarios="1" formatColumns="0" formatRows="0" autoFilter="0"/>
  <autoFilter ref="C110:K1304" xr:uid="{00000000-0009-0000-0000-000002000000}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15" r:id="rId1" xr:uid="{00000000-0004-0000-0200-000000000000}"/>
    <hyperlink ref="F118" r:id="rId2" xr:uid="{00000000-0004-0000-0200-000001000000}"/>
    <hyperlink ref="F121" r:id="rId3" xr:uid="{00000000-0004-0000-0200-000002000000}"/>
    <hyperlink ref="F124" r:id="rId4" xr:uid="{00000000-0004-0000-0200-000003000000}"/>
    <hyperlink ref="F126" r:id="rId5" xr:uid="{00000000-0004-0000-0200-000004000000}"/>
    <hyperlink ref="F130" r:id="rId6" xr:uid="{00000000-0004-0000-0200-000005000000}"/>
    <hyperlink ref="F135" r:id="rId7" xr:uid="{00000000-0004-0000-0200-000006000000}"/>
    <hyperlink ref="F138" r:id="rId8" xr:uid="{00000000-0004-0000-0200-000007000000}"/>
    <hyperlink ref="F140" r:id="rId9" xr:uid="{00000000-0004-0000-0200-000008000000}"/>
    <hyperlink ref="F147" r:id="rId10" xr:uid="{00000000-0004-0000-0200-000009000000}"/>
    <hyperlink ref="F150" r:id="rId11" xr:uid="{00000000-0004-0000-0200-00000A000000}"/>
    <hyperlink ref="F153" r:id="rId12" xr:uid="{00000000-0004-0000-0200-00000B000000}"/>
    <hyperlink ref="F156" r:id="rId13" xr:uid="{00000000-0004-0000-0200-00000C000000}"/>
    <hyperlink ref="F159" r:id="rId14" xr:uid="{00000000-0004-0000-0200-00000D000000}"/>
    <hyperlink ref="F165" r:id="rId15" xr:uid="{00000000-0004-0000-0200-00000E000000}"/>
    <hyperlink ref="F170" r:id="rId16" xr:uid="{00000000-0004-0000-0200-00000F000000}"/>
    <hyperlink ref="F173" r:id="rId17" xr:uid="{00000000-0004-0000-0200-000010000000}"/>
    <hyperlink ref="F179" r:id="rId18" xr:uid="{00000000-0004-0000-0200-000011000000}"/>
    <hyperlink ref="F185" r:id="rId19" xr:uid="{00000000-0004-0000-0200-000012000000}"/>
    <hyperlink ref="F200" r:id="rId20" xr:uid="{00000000-0004-0000-0200-000013000000}"/>
    <hyperlink ref="F206" r:id="rId21" xr:uid="{00000000-0004-0000-0200-000014000000}"/>
    <hyperlink ref="F212" r:id="rId22" xr:uid="{00000000-0004-0000-0200-000015000000}"/>
    <hyperlink ref="F214" r:id="rId23" xr:uid="{00000000-0004-0000-0200-000016000000}"/>
    <hyperlink ref="F221" r:id="rId24" xr:uid="{00000000-0004-0000-0200-000017000000}"/>
    <hyperlink ref="F224" r:id="rId25" xr:uid="{00000000-0004-0000-0200-000018000000}"/>
    <hyperlink ref="F228" r:id="rId26" xr:uid="{00000000-0004-0000-0200-000019000000}"/>
    <hyperlink ref="F231" r:id="rId27" xr:uid="{00000000-0004-0000-0200-00001A000000}"/>
    <hyperlink ref="F234" r:id="rId28" xr:uid="{00000000-0004-0000-0200-00001B000000}"/>
    <hyperlink ref="F237" r:id="rId29" xr:uid="{00000000-0004-0000-0200-00001C000000}"/>
    <hyperlink ref="F243" r:id="rId30" xr:uid="{00000000-0004-0000-0200-00001D000000}"/>
    <hyperlink ref="F251" r:id="rId31" xr:uid="{00000000-0004-0000-0200-00001E000000}"/>
    <hyperlink ref="F259" r:id="rId32" xr:uid="{00000000-0004-0000-0200-00001F000000}"/>
    <hyperlink ref="F262" r:id="rId33" xr:uid="{00000000-0004-0000-0200-000020000000}"/>
    <hyperlink ref="F265" r:id="rId34" xr:uid="{00000000-0004-0000-0200-000021000000}"/>
    <hyperlink ref="F268" r:id="rId35" xr:uid="{00000000-0004-0000-0200-000022000000}"/>
    <hyperlink ref="F271" r:id="rId36" xr:uid="{00000000-0004-0000-0200-000023000000}"/>
    <hyperlink ref="F276" r:id="rId37" xr:uid="{00000000-0004-0000-0200-000024000000}"/>
    <hyperlink ref="F279" r:id="rId38" xr:uid="{00000000-0004-0000-0200-000025000000}"/>
    <hyperlink ref="F285" r:id="rId39" xr:uid="{00000000-0004-0000-0200-000026000000}"/>
    <hyperlink ref="F290" r:id="rId40" xr:uid="{00000000-0004-0000-0200-000027000000}"/>
    <hyperlink ref="F295" r:id="rId41" xr:uid="{00000000-0004-0000-0200-000028000000}"/>
    <hyperlink ref="F306" r:id="rId42" xr:uid="{00000000-0004-0000-0200-000029000000}"/>
    <hyperlink ref="F311" r:id="rId43" xr:uid="{00000000-0004-0000-0200-00002A000000}"/>
    <hyperlink ref="F322" r:id="rId44" xr:uid="{00000000-0004-0000-0200-00002B000000}"/>
    <hyperlink ref="F325" r:id="rId45" xr:uid="{00000000-0004-0000-0200-00002C000000}"/>
    <hyperlink ref="F330" r:id="rId46" xr:uid="{00000000-0004-0000-0200-00002D000000}"/>
    <hyperlink ref="F333" r:id="rId47" xr:uid="{00000000-0004-0000-0200-00002E000000}"/>
    <hyperlink ref="F336" r:id="rId48" xr:uid="{00000000-0004-0000-0200-00002F000000}"/>
    <hyperlink ref="F339" r:id="rId49" xr:uid="{00000000-0004-0000-0200-000030000000}"/>
    <hyperlink ref="F344" r:id="rId50" xr:uid="{00000000-0004-0000-0200-000031000000}"/>
    <hyperlink ref="F349" r:id="rId51" xr:uid="{00000000-0004-0000-0200-000032000000}"/>
    <hyperlink ref="F355" r:id="rId52" xr:uid="{00000000-0004-0000-0200-000033000000}"/>
    <hyperlink ref="F361" r:id="rId53" xr:uid="{00000000-0004-0000-0200-000034000000}"/>
    <hyperlink ref="F364" r:id="rId54" xr:uid="{00000000-0004-0000-0200-000035000000}"/>
    <hyperlink ref="F367" r:id="rId55" xr:uid="{00000000-0004-0000-0200-000036000000}"/>
    <hyperlink ref="F372" r:id="rId56" xr:uid="{00000000-0004-0000-0200-000037000000}"/>
    <hyperlink ref="F374" r:id="rId57" xr:uid="{00000000-0004-0000-0200-000038000000}"/>
    <hyperlink ref="F376" r:id="rId58" xr:uid="{00000000-0004-0000-0200-000039000000}"/>
    <hyperlink ref="F379" r:id="rId59" xr:uid="{00000000-0004-0000-0200-00003A000000}"/>
    <hyperlink ref="F382" r:id="rId60" xr:uid="{00000000-0004-0000-0200-00003B000000}"/>
    <hyperlink ref="F384" r:id="rId61" xr:uid="{00000000-0004-0000-0200-00003C000000}"/>
    <hyperlink ref="F387" r:id="rId62" xr:uid="{00000000-0004-0000-0200-00003D000000}"/>
    <hyperlink ref="F390" r:id="rId63" xr:uid="{00000000-0004-0000-0200-00003E000000}"/>
    <hyperlink ref="F393" r:id="rId64" xr:uid="{00000000-0004-0000-0200-00003F000000}"/>
    <hyperlink ref="F396" r:id="rId65" xr:uid="{00000000-0004-0000-0200-000040000000}"/>
    <hyperlink ref="F399" r:id="rId66" xr:uid="{00000000-0004-0000-0200-000041000000}"/>
    <hyperlink ref="F402" r:id="rId67" xr:uid="{00000000-0004-0000-0200-000042000000}"/>
    <hyperlink ref="F407" r:id="rId68" xr:uid="{00000000-0004-0000-0200-000043000000}"/>
    <hyperlink ref="F409" r:id="rId69" xr:uid="{00000000-0004-0000-0200-000044000000}"/>
    <hyperlink ref="F411" r:id="rId70" xr:uid="{00000000-0004-0000-0200-000045000000}"/>
    <hyperlink ref="F414" r:id="rId71" xr:uid="{00000000-0004-0000-0200-000046000000}"/>
    <hyperlink ref="F417" r:id="rId72" xr:uid="{00000000-0004-0000-0200-000047000000}"/>
    <hyperlink ref="F421" r:id="rId73" xr:uid="{00000000-0004-0000-0200-000048000000}"/>
    <hyperlink ref="F426" r:id="rId74" xr:uid="{00000000-0004-0000-0200-000049000000}"/>
    <hyperlink ref="F431" r:id="rId75" xr:uid="{00000000-0004-0000-0200-00004A000000}"/>
    <hyperlink ref="F434" r:id="rId76" xr:uid="{00000000-0004-0000-0200-00004B000000}"/>
    <hyperlink ref="F439" r:id="rId77" xr:uid="{00000000-0004-0000-0200-00004C000000}"/>
    <hyperlink ref="F446" r:id="rId78" xr:uid="{00000000-0004-0000-0200-00004D000000}"/>
    <hyperlink ref="F451" r:id="rId79" xr:uid="{00000000-0004-0000-0200-00004E000000}"/>
    <hyperlink ref="F456" r:id="rId80" xr:uid="{00000000-0004-0000-0200-00004F000000}"/>
    <hyperlink ref="F479" r:id="rId81" xr:uid="{00000000-0004-0000-0200-000050000000}"/>
    <hyperlink ref="F486" r:id="rId82" xr:uid="{00000000-0004-0000-0200-000051000000}"/>
    <hyperlink ref="F505" r:id="rId83" xr:uid="{00000000-0004-0000-0200-000052000000}"/>
    <hyperlink ref="F512" r:id="rId84" xr:uid="{00000000-0004-0000-0200-000053000000}"/>
    <hyperlink ref="F520" r:id="rId85" xr:uid="{00000000-0004-0000-0200-000054000000}"/>
    <hyperlink ref="F530" r:id="rId86" xr:uid="{00000000-0004-0000-0200-000055000000}"/>
    <hyperlink ref="F536" r:id="rId87" xr:uid="{00000000-0004-0000-0200-000056000000}"/>
    <hyperlink ref="F542" r:id="rId88" xr:uid="{00000000-0004-0000-0200-000057000000}"/>
    <hyperlink ref="F548" r:id="rId89" xr:uid="{00000000-0004-0000-0200-000058000000}"/>
    <hyperlink ref="F554" r:id="rId90" xr:uid="{00000000-0004-0000-0200-000059000000}"/>
    <hyperlink ref="F557" r:id="rId91" xr:uid="{00000000-0004-0000-0200-00005A000000}"/>
    <hyperlink ref="F564" r:id="rId92" xr:uid="{00000000-0004-0000-0200-00005B000000}"/>
    <hyperlink ref="F570" r:id="rId93" xr:uid="{00000000-0004-0000-0200-00005C000000}"/>
    <hyperlink ref="F575" r:id="rId94" xr:uid="{00000000-0004-0000-0200-00005D000000}"/>
    <hyperlink ref="F588" r:id="rId95" xr:uid="{00000000-0004-0000-0200-00005E000000}"/>
    <hyperlink ref="F591" r:id="rId96" xr:uid="{00000000-0004-0000-0200-00005F000000}"/>
    <hyperlink ref="F594" r:id="rId97" xr:uid="{00000000-0004-0000-0200-000060000000}"/>
    <hyperlink ref="F597" r:id="rId98" xr:uid="{00000000-0004-0000-0200-000061000000}"/>
    <hyperlink ref="F608" r:id="rId99" xr:uid="{00000000-0004-0000-0200-000062000000}"/>
    <hyperlink ref="F614" r:id="rId100" xr:uid="{00000000-0004-0000-0200-000063000000}"/>
    <hyperlink ref="F617" r:id="rId101" xr:uid="{00000000-0004-0000-0200-000064000000}"/>
    <hyperlink ref="F620" r:id="rId102" xr:uid="{00000000-0004-0000-0200-000065000000}"/>
    <hyperlink ref="F623" r:id="rId103" xr:uid="{00000000-0004-0000-0200-000066000000}"/>
    <hyperlink ref="F626" r:id="rId104" xr:uid="{00000000-0004-0000-0200-000067000000}"/>
    <hyperlink ref="F629" r:id="rId105" xr:uid="{00000000-0004-0000-0200-000068000000}"/>
    <hyperlink ref="F634" r:id="rId106" xr:uid="{00000000-0004-0000-0200-000069000000}"/>
    <hyperlink ref="F641" r:id="rId107" xr:uid="{00000000-0004-0000-0200-00006A000000}"/>
    <hyperlink ref="F646" r:id="rId108" xr:uid="{00000000-0004-0000-0200-00006B000000}"/>
    <hyperlink ref="F649" r:id="rId109" xr:uid="{00000000-0004-0000-0200-00006C000000}"/>
    <hyperlink ref="F652" r:id="rId110" xr:uid="{00000000-0004-0000-0200-00006D000000}"/>
    <hyperlink ref="F656" r:id="rId111" xr:uid="{00000000-0004-0000-0200-00006E000000}"/>
    <hyperlink ref="F659" r:id="rId112" xr:uid="{00000000-0004-0000-0200-00006F000000}"/>
    <hyperlink ref="F666" r:id="rId113" xr:uid="{00000000-0004-0000-0200-000070000000}"/>
    <hyperlink ref="F671" r:id="rId114" xr:uid="{00000000-0004-0000-0200-000071000000}"/>
    <hyperlink ref="F674" r:id="rId115" xr:uid="{00000000-0004-0000-0200-000072000000}"/>
    <hyperlink ref="F686" r:id="rId116" xr:uid="{00000000-0004-0000-0200-000073000000}"/>
    <hyperlink ref="F689" r:id="rId117" xr:uid="{00000000-0004-0000-0200-000074000000}"/>
    <hyperlink ref="F696" r:id="rId118" xr:uid="{00000000-0004-0000-0200-000075000000}"/>
    <hyperlink ref="F701" r:id="rId119" xr:uid="{00000000-0004-0000-0200-000076000000}"/>
    <hyperlink ref="F706" r:id="rId120" xr:uid="{00000000-0004-0000-0200-000077000000}"/>
    <hyperlink ref="F711" r:id="rId121" xr:uid="{00000000-0004-0000-0200-000078000000}"/>
    <hyperlink ref="F714" r:id="rId122" xr:uid="{00000000-0004-0000-0200-000079000000}"/>
    <hyperlink ref="F717" r:id="rId123" xr:uid="{00000000-0004-0000-0200-00007A000000}"/>
    <hyperlink ref="F722" r:id="rId124" xr:uid="{00000000-0004-0000-0200-00007B000000}"/>
    <hyperlink ref="F725" r:id="rId125" xr:uid="{00000000-0004-0000-0200-00007C000000}"/>
    <hyperlink ref="F730" r:id="rId126" xr:uid="{00000000-0004-0000-0200-00007D000000}"/>
    <hyperlink ref="F735" r:id="rId127" xr:uid="{00000000-0004-0000-0200-00007E000000}"/>
    <hyperlink ref="F738" r:id="rId128" xr:uid="{00000000-0004-0000-0200-00007F000000}"/>
    <hyperlink ref="F741" r:id="rId129" xr:uid="{00000000-0004-0000-0200-000080000000}"/>
    <hyperlink ref="F744" r:id="rId130" xr:uid="{00000000-0004-0000-0200-000081000000}"/>
    <hyperlink ref="F749" r:id="rId131" xr:uid="{00000000-0004-0000-0200-000082000000}"/>
    <hyperlink ref="F752" r:id="rId132" xr:uid="{00000000-0004-0000-0200-000083000000}"/>
    <hyperlink ref="F766" r:id="rId133" xr:uid="{00000000-0004-0000-0200-000084000000}"/>
    <hyperlink ref="F771" r:id="rId134" xr:uid="{00000000-0004-0000-0200-000085000000}"/>
    <hyperlink ref="F776" r:id="rId135" xr:uid="{00000000-0004-0000-0200-000086000000}"/>
    <hyperlink ref="F779" r:id="rId136" xr:uid="{00000000-0004-0000-0200-000087000000}"/>
    <hyperlink ref="F782" r:id="rId137" xr:uid="{00000000-0004-0000-0200-000088000000}"/>
    <hyperlink ref="F785" r:id="rId138" xr:uid="{00000000-0004-0000-0200-000089000000}"/>
    <hyperlink ref="F789" r:id="rId139" xr:uid="{00000000-0004-0000-0200-00008A000000}"/>
    <hyperlink ref="F793" r:id="rId140" xr:uid="{00000000-0004-0000-0200-00008B000000}"/>
    <hyperlink ref="F797" r:id="rId141" xr:uid="{00000000-0004-0000-0200-00008C000000}"/>
    <hyperlink ref="F802" r:id="rId142" xr:uid="{00000000-0004-0000-0200-00008D000000}"/>
    <hyperlink ref="F805" r:id="rId143" xr:uid="{00000000-0004-0000-0200-00008E000000}"/>
    <hyperlink ref="F810" r:id="rId144" xr:uid="{00000000-0004-0000-0200-00008F000000}"/>
    <hyperlink ref="F818" r:id="rId145" xr:uid="{00000000-0004-0000-0200-000090000000}"/>
    <hyperlink ref="F823" r:id="rId146" xr:uid="{00000000-0004-0000-0200-000091000000}"/>
    <hyperlink ref="F826" r:id="rId147" xr:uid="{00000000-0004-0000-0200-000092000000}"/>
    <hyperlink ref="F829" r:id="rId148" xr:uid="{00000000-0004-0000-0200-000093000000}"/>
    <hyperlink ref="F832" r:id="rId149" xr:uid="{00000000-0004-0000-0200-000094000000}"/>
    <hyperlink ref="F835" r:id="rId150" xr:uid="{00000000-0004-0000-0200-000095000000}"/>
    <hyperlink ref="F839" r:id="rId151" xr:uid="{00000000-0004-0000-0200-000096000000}"/>
    <hyperlink ref="F846" r:id="rId152" xr:uid="{00000000-0004-0000-0200-000097000000}"/>
    <hyperlink ref="F859" r:id="rId153" xr:uid="{00000000-0004-0000-0200-000098000000}"/>
    <hyperlink ref="F865" r:id="rId154" xr:uid="{00000000-0004-0000-0200-000099000000}"/>
    <hyperlink ref="F896" r:id="rId155" xr:uid="{00000000-0004-0000-0200-00009A000000}"/>
    <hyperlink ref="F899" r:id="rId156" xr:uid="{00000000-0004-0000-0200-00009B000000}"/>
    <hyperlink ref="F903" r:id="rId157" xr:uid="{00000000-0004-0000-0200-00009C000000}"/>
    <hyperlink ref="F907" r:id="rId158" xr:uid="{00000000-0004-0000-0200-00009D000000}"/>
    <hyperlink ref="F913" r:id="rId159" xr:uid="{00000000-0004-0000-0200-00009E000000}"/>
    <hyperlink ref="F919" r:id="rId160" xr:uid="{00000000-0004-0000-0200-00009F000000}"/>
    <hyperlink ref="F925" r:id="rId161" xr:uid="{00000000-0004-0000-0200-0000A0000000}"/>
    <hyperlink ref="F929" r:id="rId162" xr:uid="{00000000-0004-0000-0200-0000A1000000}"/>
    <hyperlink ref="F940" r:id="rId163" xr:uid="{00000000-0004-0000-0200-0000A2000000}"/>
    <hyperlink ref="F1006" r:id="rId164" xr:uid="{00000000-0004-0000-0200-0000A3000000}"/>
    <hyperlink ref="F1009" r:id="rId165" xr:uid="{00000000-0004-0000-0200-0000A4000000}"/>
    <hyperlink ref="F1015" r:id="rId166" xr:uid="{00000000-0004-0000-0200-0000A5000000}"/>
    <hyperlink ref="F1018" r:id="rId167" xr:uid="{00000000-0004-0000-0200-0000A6000000}"/>
    <hyperlink ref="F1025" r:id="rId168" xr:uid="{00000000-0004-0000-0200-0000A7000000}"/>
    <hyperlink ref="F1031" r:id="rId169" xr:uid="{00000000-0004-0000-0200-0000A8000000}"/>
    <hyperlink ref="F1036" r:id="rId170" xr:uid="{00000000-0004-0000-0200-0000A9000000}"/>
    <hyperlink ref="F1042" r:id="rId171" xr:uid="{00000000-0004-0000-0200-0000AA000000}"/>
    <hyperlink ref="F1048" r:id="rId172" xr:uid="{00000000-0004-0000-0200-0000AB000000}"/>
    <hyperlink ref="F1055" r:id="rId173" xr:uid="{00000000-0004-0000-0200-0000AC000000}"/>
    <hyperlink ref="F1060" r:id="rId174" xr:uid="{00000000-0004-0000-0200-0000AD000000}"/>
    <hyperlink ref="F1068" r:id="rId175" xr:uid="{00000000-0004-0000-0200-0000AE000000}"/>
    <hyperlink ref="F1073" r:id="rId176" xr:uid="{00000000-0004-0000-0200-0000AF000000}"/>
    <hyperlink ref="F1081" r:id="rId177" xr:uid="{00000000-0004-0000-0200-0000B0000000}"/>
    <hyperlink ref="F1087" r:id="rId178" xr:uid="{00000000-0004-0000-0200-0000B1000000}"/>
    <hyperlink ref="F1090" r:id="rId179" xr:uid="{00000000-0004-0000-0200-0000B2000000}"/>
    <hyperlink ref="F1093" r:id="rId180" xr:uid="{00000000-0004-0000-0200-0000B3000000}"/>
    <hyperlink ref="F1096" r:id="rId181" xr:uid="{00000000-0004-0000-0200-0000B4000000}"/>
    <hyperlink ref="F1103" r:id="rId182" xr:uid="{00000000-0004-0000-0200-0000B5000000}"/>
    <hyperlink ref="F1106" r:id="rId183" xr:uid="{00000000-0004-0000-0200-0000B6000000}"/>
    <hyperlink ref="F1109" r:id="rId184" xr:uid="{00000000-0004-0000-0200-0000B7000000}"/>
    <hyperlink ref="F1112" r:id="rId185" xr:uid="{00000000-0004-0000-0200-0000B8000000}"/>
    <hyperlink ref="F1115" r:id="rId186" xr:uid="{00000000-0004-0000-0200-0000B9000000}"/>
    <hyperlink ref="F1120" r:id="rId187" xr:uid="{00000000-0004-0000-0200-0000BA000000}"/>
    <hyperlink ref="F1125" r:id="rId188" xr:uid="{00000000-0004-0000-0200-0000BB000000}"/>
    <hyperlink ref="F1128" r:id="rId189" xr:uid="{00000000-0004-0000-0200-0000BC000000}"/>
    <hyperlink ref="F1131" r:id="rId190" xr:uid="{00000000-0004-0000-0200-0000BD000000}"/>
    <hyperlink ref="F1134" r:id="rId191" xr:uid="{00000000-0004-0000-0200-0000BE000000}"/>
    <hyperlink ref="F1137" r:id="rId192" xr:uid="{00000000-0004-0000-0200-0000BF000000}"/>
    <hyperlink ref="F1140" r:id="rId193" xr:uid="{00000000-0004-0000-0200-0000C0000000}"/>
    <hyperlink ref="F1143" r:id="rId194" xr:uid="{00000000-0004-0000-0200-0000C1000000}"/>
    <hyperlink ref="F1146" r:id="rId195" xr:uid="{00000000-0004-0000-0200-0000C2000000}"/>
    <hyperlink ref="F1149" r:id="rId196" xr:uid="{00000000-0004-0000-0200-0000C3000000}"/>
    <hyperlink ref="F1154" r:id="rId197" xr:uid="{00000000-0004-0000-0200-0000C4000000}"/>
    <hyperlink ref="F1159" r:id="rId198" xr:uid="{00000000-0004-0000-0200-0000C5000000}"/>
    <hyperlink ref="F1166" r:id="rId199" xr:uid="{00000000-0004-0000-0200-0000C6000000}"/>
    <hyperlink ref="F1171" r:id="rId200" xr:uid="{00000000-0004-0000-0200-0000C7000000}"/>
    <hyperlink ref="F1176" r:id="rId201" xr:uid="{00000000-0004-0000-0200-0000C8000000}"/>
    <hyperlink ref="F1179" r:id="rId202" xr:uid="{00000000-0004-0000-0200-0000C9000000}"/>
    <hyperlink ref="F1184" r:id="rId203" xr:uid="{00000000-0004-0000-0200-0000CA000000}"/>
    <hyperlink ref="F1187" r:id="rId204" xr:uid="{00000000-0004-0000-0200-0000CB000000}"/>
    <hyperlink ref="F1192" r:id="rId205" xr:uid="{00000000-0004-0000-0200-0000CC000000}"/>
    <hyperlink ref="F1195" r:id="rId206" xr:uid="{00000000-0004-0000-0200-0000CD000000}"/>
    <hyperlink ref="F1208" r:id="rId207" xr:uid="{00000000-0004-0000-0200-0000CE000000}"/>
    <hyperlink ref="F1221" r:id="rId208" xr:uid="{00000000-0004-0000-0200-0000CF000000}"/>
    <hyperlink ref="F1235" r:id="rId209" xr:uid="{00000000-0004-0000-0200-0000D0000000}"/>
    <hyperlink ref="F1252" r:id="rId210" xr:uid="{00000000-0004-0000-0200-0000D1000000}"/>
    <hyperlink ref="F1269" r:id="rId211" xr:uid="{00000000-0004-0000-0200-0000D2000000}"/>
    <hyperlink ref="F1287" r:id="rId212" xr:uid="{00000000-0004-0000-0200-0000D3000000}"/>
    <hyperlink ref="F1291" r:id="rId213" xr:uid="{00000000-0004-0000-0200-0000D4000000}"/>
    <hyperlink ref="F1295" r:id="rId214" xr:uid="{00000000-0004-0000-0200-0000D5000000}"/>
    <hyperlink ref="F1298" r:id="rId215" xr:uid="{00000000-0004-0000-0200-0000D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2669-2D9D-4A35-81A3-5EC7B65E48E9}">
  <dimension ref="A1:AK150"/>
  <sheetViews>
    <sheetView topLeftCell="A112" zoomScaleNormal="100" zoomScaleSheetLayoutView="100" workbookViewId="0">
      <selection activeCell="D128" sqref="D128"/>
    </sheetView>
  </sheetViews>
  <sheetFormatPr defaultColWidth="14" defaultRowHeight="12.75"/>
  <cols>
    <col min="1" max="1" width="3.33203125" style="263" customWidth="1"/>
    <col min="2" max="2" width="1.5" style="263" customWidth="1"/>
    <col min="3" max="3" width="17.33203125" style="263" customWidth="1"/>
    <col min="4" max="4" width="69.33203125" style="263" customWidth="1"/>
    <col min="5" max="5" width="10.6640625" style="263" customWidth="1"/>
    <col min="6" max="6" width="12.5" style="263" customWidth="1"/>
    <col min="7" max="7" width="17.33203125" style="263" customWidth="1"/>
    <col min="8" max="8" width="14.83203125" style="263" customWidth="1"/>
    <col min="9" max="9" width="13.5" style="263" customWidth="1"/>
    <col min="10" max="10" width="16.1640625" style="263" customWidth="1"/>
    <col min="11" max="12" width="14.33203125" style="263" customWidth="1"/>
    <col min="13" max="13" width="14" style="263" customWidth="1"/>
    <col min="14" max="37" width="14.83203125" style="263" hidden="1" customWidth="1"/>
    <col min="38" max="256" width="14" style="263"/>
    <col min="257" max="257" width="3.33203125" style="263" customWidth="1"/>
    <col min="258" max="258" width="1.5" style="263" customWidth="1"/>
    <col min="259" max="259" width="17.33203125" style="263" customWidth="1"/>
    <col min="260" max="260" width="69.33203125" style="263" customWidth="1"/>
    <col min="261" max="261" width="10.6640625" style="263" customWidth="1"/>
    <col min="262" max="262" width="12.5" style="263" customWidth="1"/>
    <col min="263" max="263" width="17.33203125" style="263" customWidth="1"/>
    <col min="264" max="264" width="14.83203125" style="263" customWidth="1"/>
    <col min="265" max="265" width="13.5" style="263" customWidth="1"/>
    <col min="266" max="266" width="16.1640625" style="263" customWidth="1"/>
    <col min="267" max="268" width="14.33203125" style="263" customWidth="1"/>
    <col min="269" max="269" width="14" style="263"/>
    <col min="270" max="293" width="0" style="263" hidden="1" customWidth="1"/>
    <col min="294" max="512" width="14" style="263"/>
    <col min="513" max="513" width="3.33203125" style="263" customWidth="1"/>
    <col min="514" max="514" width="1.5" style="263" customWidth="1"/>
    <col min="515" max="515" width="17.33203125" style="263" customWidth="1"/>
    <col min="516" max="516" width="69.33203125" style="263" customWidth="1"/>
    <col min="517" max="517" width="10.6640625" style="263" customWidth="1"/>
    <col min="518" max="518" width="12.5" style="263" customWidth="1"/>
    <col min="519" max="519" width="17.33203125" style="263" customWidth="1"/>
    <col min="520" max="520" width="14.83203125" style="263" customWidth="1"/>
    <col min="521" max="521" width="13.5" style="263" customWidth="1"/>
    <col min="522" max="522" width="16.1640625" style="263" customWidth="1"/>
    <col min="523" max="524" width="14.33203125" style="263" customWidth="1"/>
    <col min="525" max="525" width="14" style="263"/>
    <col min="526" max="549" width="0" style="263" hidden="1" customWidth="1"/>
    <col min="550" max="768" width="14" style="263"/>
    <col min="769" max="769" width="3.33203125" style="263" customWidth="1"/>
    <col min="770" max="770" width="1.5" style="263" customWidth="1"/>
    <col min="771" max="771" width="17.33203125" style="263" customWidth="1"/>
    <col min="772" max="772" width="69.33203125" style="263" customWidth="1"/>
    <col min="773" max="773" width="10.6640625" style="263" customWidth="1"/>
    <col min="774" max="774" width="12.5" style="263" customWidth="1"/>
    <col min="775" max="775" width="17.33203125" style="263" customWidth="1"/>
    <col min="776" max="776" width="14.83203125" style="263" customWidth="1"/>
    <col min="777" max="777" width="13.5" style="263" customWidth="1"/>
    <col min="778" max="778" width="16.1640625" style="263" customWidth="1"/>
    <col min="779" max="780" width="14.33203125" style="263" customWidth="1"/>
    <col min="781" max="781" width="14" style="263"/>
    <col min="782" max="805" width="0" style="263" hidden="1" customWidth="1"/>
    <col min="806" max="1024" width="14" style="263"/>
    <col min="1025" max="1025" width="3.33203125" style="263" customWidth="1"/>
    <col min="1026" max="1026" width="1.5" style="263" customWidth="1"/>
    <col min="1027" max="1027" width="17.33203125" style="263" customWidth="1"/>
    <col min="1028" max="1028" width="69.33203125" style="263" customWidth="1"/>
    <col min="1029" max="1029" width="10.6640625" style="263" customWidth="1"/>
    <col min="1030" max="1030" width="12.5" style="263" customWidth="1"/>
    <col min="1031" max="1031" width="17.33203125" style="263" customWidth="1"/>
    <col min="1032" max="1032" width="14.83203125" style="263" customWidth="1"/>
    <col min="1033" max="1033" width="13.5" style="263" customWidth="1"/>
    <col min="1034" max="1034" width="16.1640625" style="263" customWidth="1"/>
    <col min="1035" max="1036" width="14.33203125" style="263" customWidth="1"/>
    <col min="1037" max="1037" width="14" style="263"/>
    <col min="1038" max="1061" width="0" style="263" hidden="1" customWidth="1"/>
    <col min="1062" max="1280" width="14" style="263"/>
    <col min="1281" max="1281" width="3.33203125" style="263" customWidth="1"/>
    <col min="1282" max="1282" width="1.5" style="263" customWidth="1"/>
    <col min="1283" max="1283" width="17.33203125" style="263" customWidth="1"/>
    <col min="1284" max="1284" width="69.33203125" style="263" customWidth="1"/>
    <col min="1285" max="1285" width="10.6640625" style="263" customWidth="1"/>
    <col min="1286" max="1286" width="12.5" style="263" customWidth="1"/>
    <col min="1287" max="1287" width="17.33203125" style="263" customWidth="1"/>
    <col min="1288" max="1288" width="14.83203125" style="263" customWidth="1"/>
    <col min="1289" max="1289" width="13.5" style="263" customWidth="1"/>
    <col min="1290" max="1290" width="16.1640625" style="263" customWidth="1"/>
    <col min="1291" max="1292" width="14.33203125" style="263" customWidth="1"/>
    <col min="1293" max="1293" width="14" style="263"/>
    <col min="1294" max="1317" width="0" style="263" hidden="1" customWidth="1"/>
    <col min="1318" max="1536" width="14" style="263"/>
    <col min="1537" max="1537" width="3.33203125" style="263" customWidth="1"/>
    <col min="1538" max="1538" width="1.5" style="263" customWidth="1"/>
    <col min="1539" max="1539" width="17.33203125" style="263" customWidth="1"/>
    <col min="1540" max="1540" width="69.33203125" style="263" customWidth="1"/>
    <col min="1541" max="1541" width="10.6640625" style="263" customWidth="1"/>
    <col min="1542" max="1542" width="12.5" style="263" customWidth="1"/>
    <col min="1543" max="1543" width="17.33203125" style="263" customWidth="1"/>
    <col min="1544" max="1544" width="14.83203125" style="263" customWidth="1"/>
    <col min="1545" max="1545" width="13.5" style="263" customWidth="1"/>
    <col min="1546" max="1546" width="16.1640625" style="263" customWidth="1"/>
    <col min="1547" max="1548" width="14.33203125" style="263" customWidth="1"/>
    <col min="1549" max="1549" width="14" style="263"/>
    <col min="1550" max="1573" width="0" style="263" hidden="1" customWidth="1"/>
    <col min="1574" max="1792" width="14" style="263"/>
    <col min="1793" max="1793" width="3.33203125" style="263" customWidth="1"/>
    <col min="1794" max="1794" width="1.5" style="263" customWidth="1"/>
    <col min="1795" max="1795" width="17.33203125" style="263" customWidth="1"/>
    <col min="1796" max="1796" width="69.33203125" style="263" customWidth="1"/>
    <col min="1797" max="1797" width="10.6640625" style="263" customWidth="1"/>
    <col min="1798" max="1798" width="12.5" style="263" customWidth="1"/>
    <col min="1799" max="1799" width="17.33203125" style="263" customWidth="1"/>
    <col min="1800" max="1800" width="14.83203125" style="263" customWidth="1"/>
    <col min="1801" max="1801" width="13.5" style="263" customWidth="1"/>
    <col min="1802" max="1802" width="16.1640625" style="263" customWidth="1"/>
    <col min="1803" max="1804" width="14.33203125" style="263" customWidth="1"/>
    <col min="1805" max="1805" width="14" style="263"/>
    <col min="1806" max="1829" width="0" style="263" hidden="1" customWidth="1"/>
    <col min="1830" max="2048" width="14" style="263"/>
    <col min="2049" max="2049" width="3.33203125" style="263" customWidth="1"/>
    <col min="2050" max="2050" width="1.5" style="263" customWidth="1"/>
    <col min="2051" max="2051" width="17.33203125" style="263" customWidth="1"/>
    <col min="2052" max="2052" width="69.33203125" style="263" customWidth="1"/>
    <col min="2053" max="2053" width="10.6640625" style="263" customWidth="1"/>
    <col min="2054" max="2054" width="12.5" style="263" customWidth="1"/>
    <col min="2055" max="2055" width="17.33203125" style="263" customWidth="1"/>
    <col min="2056" max="2056" width="14.83203125" style="263" customWidth="1"/>
    <col min="2057" max="2057" width="13.5" style="263" customWidth="1"/>
    <col min="2058" max="2058" width="16.1640625" style="263" customWidth="1"/>
    <col min="2059" max="2060" width="14.33203125" style="263" customWidth="1"/>
    <col min="2061" max="2061" width="14" style="263"/>
    <col min="2062" max="2085" width="0" style="263" hidden="1" customWidth="1"/>
    <col min="2086" max="2304" width="14" style="263"/>
    <col min="2305" max="2305" width="3.33203125" style="263" customWidth="1"/>
    <col min="2306" max="2306" width="1.5" style="263" customWidth="1"/>
    <col min="2307" max="2307" width="17.33203125" style="263" customWidth="1"/>
    <col min="2308" max="2308" width="69.33203125" style="263" customWidth="1"/>
    <col min="2309" max="2309" width="10.6640625" style="263" customWidth="1"/>
    <col min="2310" max="2310" width="12.5" style="263" customWidth="1"/>
    <col min="2311" max="2311" width="17.33203125" style="263" customWidth="1"/>
    <col min="2312" max="2312" width="14.83203125" style="263" customWidth="1"/>
    <col min="2313" max="2313" width="13.5" style="263" customWidth="1"/>
    <col min="2314" max="2314" width="16.1640625" style="263" customWidth="1"/>
    <col min="2315" max="2316" width="14.33203125" style="263" customWidth="1"/>
    <col min="2317" max="2317" width="14" style="263"/>
    <col min="2318" max="2341" width="0" style="263" hidden="1" customWidth="1"/>
    <col min="2342" max="2560" width="14" style="263"/>
    <col min="2561" max="2561" width="3.33203125" style="263" customWidth="1"/>
    <col min="2562" max="2562" width="1.5" style="263" customWidth="1"/>
    <col min="2563" max="2563" width="17.33203125" style="263" customWidth="1"/>
    <col min="2564" max="2564" width="69.33203125" style="263" customWidth="1"/>
    <col min="2565" max="2565" width="10.6640625" style="263" customWidth="1"/>
    <col min="2566" max="2566" width="12.5" style="263" customWidth="1"/>
    <col min="2567" max="2567" width="17.33203125" style="263" customWidth="1"/>
    <col min="2568" max="2568" width="14.83203125" style="263" customWidth="1"/>
    <col min="2569" max="2569" width="13.5" style="263" customWidth="1"/>
    <col min="2570" max="2570" width="16.1640625" style="263" customWidth="1"/>
    <col min="2571" max="2572" width="14.33203125" style="263" customWidth="1"/>
    <col min="2573" max="2573" width="14" style="263"/>
    <col min="2574" max="2597" width="0" style="263" hidden="1" customWidth="1"/>
    <col min="2598" max="2816" width="14" style="263"/>
    <col min="2817" max="2817" width="3.33203125" style="263" customWidth="1"/>
    <col min="2818" max="2818" width="1.5" style="263" customWidth="1"/>
    <col min="2819" max="2819" width="17.33203125" style="263" customWidth="1"/>
    <col min="2820" max="2820" width="69.33203125" style="263" customWidth="1"/>
    <col min="2821" max="2821" width="10.6640625" style="263" customWidth="1"/>
    <col min="2822" max="2822" width="12.5" style="263" customWidth="1"/>
    <col min="2823" max="2823" width="17.33203125" style="263" customWidth="1"/>
    <col min="2824" max="2824" width="14.83203125" style="263" customWidth="1"/>
    <col min="2825" max="2825" width="13.5" style="263" customWidth="1"/>
    <col min="2826" max="2826" width="16.1640625" style="263" customWidth="1"/>
    <col min="2827" max="2828" width="14.33203125" style="263" customWidth="1"/>
    <col min="2829" max="2829" width="14" style="263"/>
    <col min="2830" max="2853" width="0" style="263" hidden="1" customWidth="1"/>
    <col min="2854" max="3072" width="14" style="263"/>
    <col min="3073" max="3073" width="3.33203125" style="263" customWidth="1"/>
    <col min="3074" max="3074" width="1.5" style="263" customWidth="1"/>
    <col min="3075" max="3075" width="17.33203125" style="263" customWidth="1"/>
    <col min="3076" max="3076" width="69.33203125" style="263" customWidth="1"/>
    <col min="3077" max="3077" width="10.6640625" style="263" customWidth="1"/>
    <col min="3078" max="3078" width="12.5" style="263" customWidth="1"/>
    <col min="3079" max="3079" width="17.33203125" style="263" customWidth="1"/>
    <col min="3080" max="3080" width="14.83203125" style="263" customWidth="1"/>
    <col min="3081" max="3081" width="13.5" style="263" customWidth="1"/>
    <col min="3082" max="3082" width="16.1640625" style="263" customWidth="1"/>
    <col min="3083" max="3084" width="14.33203125" style="263" customWidth="1"/>
    <col min="3085" max="3085" width="14" style="263"/>
    <col min="3086" max="3109" width="0" style="263" hidden="1" customWidth="1"/>
    <col min="3110" max="3328" width="14" style="263"/>
    <col min="3329" max="3329" width="3.33203125" style="263" customWidth="1"/>
    <col min="3330" max="3330" width="1.5" style="263" customWidth="1"/>
    <col min="3331" max="3331" width="17.33203125" style="263" customWidth="1"/>
    <col min="3332" max="3332" width="69.33203125" style="263" customWidth="1"/>
    <col min="3333" max="3333" width="10.6640625" style="263" customWidth="1"/>
    <col min="3334" max="3334" width="12.5" style="263" customWidth="1"/>
    <col min="3335" max="3335" width="17.33203125" style="263" customWidth="1"/>
    <col min="3336" max="3336" width="14.83203125" style="263" customWidth="1"/>
    <col min="3337" max="3337" width="13.5" style="263" customWidth="1"/>
    <col min="3338" max="3338" width="16.1640625" style="263" customWidth="1"/>
    <col min="3339" max="3340" width="14.33203125" style="263" customWidth="1"/>
    <col min="3341" max="3341" width="14" style="263"/>
    <col min="3342" max="3365" width="0" style="263" hidden="1" customWidth="1"/>
    <col min="3366" max="3584" width="14" style="263"/>
    <col min="3585" max="3585" width="3.33203125" style="263" customWidth="1"/>
    <col min="3586" max="3586" width="1.5" style="263" customWidth="1"/>
    <col min="3587" max="3587" width="17.33203125" style="263" customWidth="1"/>
    <col min="3588" max="3588" width="69.33203125" style="263" customWidth="1"/>
    <col min="3589" max="3589" width="10.6640625" style="263" customWidth="1"/>
    <col min="3590" max="3590" width="12.5" style="263" customWidth="1"/>
    <col min="3591" max="3591" width="17.33203125" style="263" customWidth="1"/>
    <col min="3592" max="3592" width="14.83203125" style="263" customWidth="1"/>
    <col min="3593" max="3593" width="13.5" style="263" customWidth="1"/>
    <col min="3594" max="3594" width="16.1640625" style="263" customWidth="1"/>
    <col min="3595" max="3596" width="14.33203125" style="263" customWidth="1"/>
    <col min="3597" max="3597" width="14" style="263"/>
    <col min="3598" max="3621" width="0" style="263" hidden="1" customWidth="1"/>
    <col min="3622" max="3840" width="14" style="263"/>
    <col min="3841" max="3841" width="3.33203125" style="263" customWidth="1"/>
    <col min="3842" max="3842" width="1.5" style="263" customWidth="1"/>
    <col min="3843" max="3843" width="17.33203125" style="263" customWidth="1"/>
    <col min="3844" max="3844" width="69.33203125" style="263" customWidth="1"/>
    <col min="3845" max="3845" width="10.6640625" style="263" customWidth="1"/>
    <col min="3846" max="3846" width="12.5" style="263" customWidth="1"/>
    <col min="3847" max="3847" width="17.33203125" style="263" customWidth="1"/>
    <col min="3848" max="3848" width="14.83203125" style="263" customWidth="1"/>
    <col min="3849" max="3849" width="13.5" style="263" customWidth="1"/>
    <col min="3850" max="3850" width="16.1640625" style="263" customWidth="1"/>
    <col min="3851" max="3852" width="14.33203125" style="263" customWidth="1"/>
    <col min="3853" max="3853" width="14" style="263"/>
    <col min="3854" max="3877" width="0" style="263" hidden="1" customWidth="1"/>
    <col min="3878" max="4096" width="14" style="263"/>
    <col min="4097" max="4097" width="3.33203125" style="263" customWidth="1"/>
    <col min="4098" max="4098" width="1.5" style="263" customWidth="1"/>
    <col min="4099" max="4099" width="17.33203125" style="263" customWidth="1"/>
    <col min="4100" max="4100" width="69.33203125" style="263" customWidth="1"/>
    <col min="4101" max="4101" width="10.6640625" style="263" customWidth="1"/>
    <col min="4102" max="4102" width="12.5" style="263" customWidth="1"/>
    <col min="4103" max="4103" width="17.33203125" style="263" customWidth="1"/>
    <col min="4104" max="4104" width="14.83203125" style="263" customWidth="1"/>
    <col min="4105" max="4105" width="13.5" style="263" customWidth="1"/>
    <col min="4106" max="4106" width="16.1640625" style="263" customWidth="1"/>
    <col min="4107" max="4108" width="14.33203125" style="263" customWidth="1"/>
    <col min="4109" max="4109" width="14" style="263"/>
    <col min="4110" max="4133" width="0" style="263" hidden="1" customWidth="1"/>
    <col min="4134" max="4352" width="14" style="263"/>
    <col min="4353" max="4353" width="3.33203125" style="263" customWidth="1"/>
    <col min="4354" max="4354" width="1.5" style="263" customWidth="1"/>
    <col min="4355" max="4355" width="17.33203125" style="263" customWidth="1"/>
    <col min="4356" max="4356" width="69.33203125" style="263" customWidth="1"/>
    <col min="4357" max="4357" width="10.6640625" style="263" customWidth="1"/>
    <col min="4358" max="4358" width="12.5" style="263" customWidth="1"/>
    <col min="4359" max="4359" width="17.33203125" style="263" customWidth="1"/>
    <col min="4360" max="4360" width="14.83203125" style="263" customWidth="1"/>
    <col min="4361" max="4361" width="13.5" style="263" customWidth="1"/>
    <col min="4362" max="4362" width="16.1640625" style="263" customWidth="1"/>
    <col min="4363" max="4364" width="14.33203125" style="263" customWidth="1"/>
    <col min="4365" max="4365" width="14" style="263"/>
    <col min="4366" max="4389" width="0" style="263" hidden="1" customWidth="1"/>
    <col min="4390" max="4608" width="14" style="263"/>
    <col min="4609" max="4609" width="3.33203125" style="263" customWidth="1"/>
    <col min="4610" max="4610" width="1.5" style="263" customWidth="1"/>
    <col min="4611" max="4611" width="17.33203125" style="263" customWidth="1"/>
    <col min="4612" max="4612" width="69.33203125" style="263" customWidth="1"/>
    <col min="4613" max="4613" width="10.6640625" style="263" customWidth="1"/>
    <col min="4614" max="4614" width="12.5" style="263" customWidth="1"/>
    <col min="4615" max="4615" width="17.33203125" style="263" customWidth="1"/>
    <col min="4616" max="4616" width="14.83203125" style="263" customWidth="1"/>
    <col min="4617" max="4617" width="13.5" style="263" customWidth="1"/>
    <col min="4618" max="4618" width="16.1640625" style="263" customWidth="1"/>
    <col min="4619" max="4620" width="14.33203125" style="263" customWidth="1"/>
    <col min="4621" max="4621" width="14" style="263"/>
    <col min="4622" max="4645" width="0" style="263" hidden="1" customWidth="1"/>
    <col min="4646" max="4864" width="14" style="263"/>
    <col min="4865" max="4865" width="3.33203125" style="263" customWidth="1"/>
    <col min="4866" max="4866" width="1.5" style="263" customWidth="1"/>
    <col min="4867" max="4867" width="17.33203125" style="263" customWidth="1"/>
    <col min="4868" max="4868" width="69.33203125" style="263" customWidth="1"/>
    <col min="4869" max="4869" width="10.6640625" style="263" customWidth="1"/>
    <col min="4870" max="4870" width="12.5" style="263" customWidth="1"/>
    <col min="4871" max="4871" width="17.33203125" style="263" customWidth="1"/>
    <col min="4872" max="4872" width="14.83203125" style="263" customWidth="1"/>
    <col min="4873" max="4873" width="13.5" style="263" customWidth="1"/>
    <col min="4874" max="4874" width="16.1640625" style="263" customWidth="1"/>
    <col min="4875" max="4876" width="14.33203125" style="263" customWidth="1"/>
    <col min="4877" max="4877" width="14" style="263"/>
    <col min="4878" max="4901" width="0" style="263" hidden="1" customWidth="1"/>
    <col min="4902" max="5120" width="14" style="263"/>
    <col min="5121" max="5121" width="3.33203125" style="263" customWidth="1"/>
    <col min="5122" max="5122" width="1.5" style="263" customWidth="1"/>
    <col min="5123" max="5123" width="17.33203125" style="263" customWidth="1"/>
    <col min="5124" max="5124" width="69.33203125" style="263" customWidth="1"/>
    <col min="5125" max="5125" width="10.6640625" style="263" customWidth="1"/>
    <col min="5126" max="5126" width="12.5" style="263" customWidth="1"/>
    <col min="5127" max="5127" width="17.33203125" style="263" customWidth="1"/>
    <col min="5128" max="5128" width="14.83203125" style="263" customWidth="1"/>
    <col min="5129" max="5129" width="13.5" style="263" customWidth="1"/>
    <col min="5130" max="5130" width="16.1640625" style="263" customWidth="1"/>
    <col min="5131" max="5132" width="14.33203125" style="263" customWidth="1"/>
    <col min="5133" max="5133" width="14" style="263"/>
    <col min="5134" max="5157" width="0" style="263" hidden="1" customWidth="1"/>
    <col min="5158" max="5376" width="14" style="263"/>
    <col min="5377" max="5377" width="3.33203125" style="263" customWidth="1"/>
    <col min="5378" max="5378" width="1.5" style="263" customWidth="1"/>
    <col min="5379" max="5379" width="17.33203125" style="263" customWidth="1"/>
    <col min="5380" max="5380" width="69.33203125" style="263" customWidth="1"/>
    <col min="5381" max="5381" width="10.6640625" style="263" customWidth="1"/>
    <col min="5382" max="5382" width="12.5" style="263" customWidth="1"/>
    <col min="5383" max="5383" width="17.33203125" style="263" customWidth="1"/>
    <col min="5384" max="5384" width="14.83203125" style="263" customWidth="1"/>
    <col min="5385" max="5385" width="13.5" style="263" customWidth="1"/>
    <col min="5386" max="5386" width="16.1640625" style="263" customWidth="1"/>
    <col min="5387" max="5388" width="14.33203125" style="263" customWidth="1"/>
    <col min="5389" max="5389" width="14" style="263"/>
    <col min="5390" max="5413" width="0" style="263" hidden="1" customWidth="1"/>
    <col min="5414" max="5632" width="14" style="263"/>
    <col min="5633" max="5633" width="3.33203125" style="263" customWidth="1"/>
    <col min="5634" max="5634" width="1.5" style="263" customWidth="1"/>
    <col min="5635" max="5635" width="17.33203125" style="263" customWidth="1"/>
    <col min="5636" max="5636" width="69.33203125" style="263" customWidth="1"/>
    <col min="5637" max="5637" width="10.6640625" style="263" customWidth="1"/>
    <col min="5638" max="5638" width="12.5" style="263" customWidth="1"/>
    <col min="5639" max="5639" width="17.33203125" style="263" customWidth="1"/>
    <col min="5640" max="5640" width="14.83203125" style="263" customWidth="1"/>
    <col min="5641" max="5641" width="13.5" style="263" customWidth="1"/>
    <col min="5642" max="5642" width="16.1640625" style="263" customWidth="1"/>
    <col min="5643" max="5644" width="14.33203125" style="263" customWidth="1"/>
    <col min="5645" max="5645" width="14" style="263"/>
    <col min="5646" max="5669" width="0" style="263" hidden="1" customWidth="1"/>
    <col min="5670" max="5888" width="14" style="263"/>
    <col min="5889" max="5889" width="3.33203125" style="263" customWidth="1"/>
    <col min="5890" max="5890" width="1.5" style="263" customWidth="1"/>
    <col min="5891" max="5891" width="17.33203125" style="263" customWidth="1"/>
    <col min="5892" max="5892" width="69.33203125" style="263" customWidth="1"/>
    <col min="5893" max="5893" width="10.6640625" style="263" customWidth="1"/>
    <col min="5894" max="5894" width="12.5" style="263" customWidth="1"/>
    <col min="5895" max="5895" width="17.33203125" style="263" customWidth="1"/>
    <col min="5896" max="5896" width="14.83203125" style="263" customWidth="1"/>
    <col min="5897" max="5897" width="13.5" style="263" customWidth="1"/>
    <col min="5898" max="5898" width="16.1640625" style="263" customWidth="1"/>
    <col min="5899" max="5900" width="14.33203125" style="263" customWidth="1"/>
    <col min="5901" max="5901" width="14" style="263"/>
    <col min="5902" max="5925" width="0" style="263" hidden="1" customWidth="1"/>
    <col min="5926" max="6144" width="14" style="263"/>
    <col min="6145" max="6145" width="3.33203125" style="263" customWidth="1"/>
    <col min="6146" max="6146" width="1.5" style="263" customWidth="1"/>
    <col min="6147" max="6147" width="17.33203125" style="263" customWidth="1"/>
    <col min="6148" max="6148" width="69.33203125" style="263" customWidth="1"/>
    <col min="6149" max="6149" width="10.6640625" style="263" customWidth="1"/>
    <col min="6150" max="6150" width="12.5" style="263" customWidth="1"/>
    <col min="6151" max="6151" width="17.33203125" style="263" customWidth="1"/>
    <col min="6152" max="6152" width="14.83203125" style="263" customWidth="1"/>
    <col min="6153" max="6153" width="13.5" style="263" customWidth="1"/>
    <col min="6154" max="6154" width="16.1640625" style="263" customWidth="1"/>
    <col min="6155" max="6156" width="14.33203125" style="263" customWidth="1"/>
    <col min="6157" max="6157" width="14" style="263"/>
    <col min="6158" max="6181" width="0" style="263" hidden="1" customWidth="1"/>
    <col min="6182" max="6400" width="14" style="263"/>
    <col min="6401" max="6401" width="3.33203125" style="263" customWidth="1"/>
    <col min="6402" max="6402" width="1.5" style="263" customWidth="1"/>
    <col min="6403" max="6403" width="17.33203125" style="263" customWidth="1"/>
    <col min="6404" max="6404" width="69.33203125" style="263" customWidth="1"/>
    <col min="6405" max="6405" width="10.6640625" style="263" customWidth="1"/>
    <col min="6406" max="6406" width="12.5" style="263" customWidth="1"/>
    <col min="6407" max="6407" width="17.33203125" style="263" customWidth="1"/>
    <col min="6408" max="6408" width="14.83203125" style="263" customWidth="1"/>
    <col min="6409" max="6409" width="13.5" style="263" customWidth="1"/>
    <col min="6410" max="6410" width="16.1640625" style="263" customWidth="1"/>
    <col min="6411" max="6412" width="14.33203125" style="263" customWidth="1"/>
    <col min="6413" max="6413" width="14" style="263"/>
    <col min="6414" max="6437" width="0" style="263" hidden="1" customWidth="1"/>
    <col min="6438" max="6656" width="14" style="263"/>
    <col min="6657" max="6657" width="3.33203125" style="263" customWidth="1"/>
    <col min="6658" max="6658" width="1.5" style="263" customWidth="1"/>
    <col min="6659" max="6659" width="17.33203125" style="263" customWidth="1"/>
    <col min="6660" max="6660" width="69.33203125" style="263" customWidth="1"/>
    <col min="6661" max="6661" width="10.6640625" style="263" customWidth="1"/>
    <col min="6662" max="6662" width="12.5" style="263" customWidth="1"/>
    <col min="6663" max="6663" width="17.33203125" style="263" customWidth="1"/>
    <col min="6664" max="6664" width="14.83203125" style="263" customWidth="1"/>
    <col min="6665" max="6665" width="13.5" style="263" customWidth="1"/>
    <col min="6666" max="6666" width="16.1640625" style="263" customWidth="1"/>
    <col min="6667" max="6668" width="14.33203125" style="263" customWidth="1"/>
    <col min="6669" max="6669" width="14" style="263"/>
    <col min="6670" max="6693" width="0" style="263" hidden="1" customWidth="1"/>
    <col min="6694" max="6912" width="14" style="263"/>
    <col min="6913" max="6913" width="3.33203125" style="263" customWidth="1"/>
    <col min="6914" max="6914" width="1.5" style="263" customWidth="1"/>
    <col min="6915" max="6915" width="17.33203125" style="263" customWidth="1"/>
    <col min="6916" max="6916" width="69.33203125" style="263" customWidth="1"/>
    <col min="6917" max="6917" width="10.6640625" style="263" customWidth="1"/>
    <col min="6918" max="6918" width="12.5" style="263" customWidth="1"/>
    <col min="6919" max="6919" width="17.33203125" style="263" customWidth="1"/>
    <col min="6920" max="6920" width="14.83203125" style="263" customWidth="1"/>
    <col min="6921" max="6921" width="13.5" style="263" customWidth="1"/>
    <col min="6922" max="6922" width="16.1640625" style="263" customWidth="1"/>
    <col min="6923" max="6924" width="14.33203125" style="263" customWidth="1"/>
    <col min="6925" max="6925" width="14" style="263"/>
    <col min="6926" max="6949" width="0" style="263" hidden="1" customWidth="1"/>
    <col min="6950" max="7168" width="14" style="263"/>
    <col min="7169" max="7169" width="3.33203125" style="263" customWidth="1"/>
    <col min="7170" max="7170" width="1.5" style="263" customWidth="1"/>
    <col min="7171" max="7171" width="17.33203125" style="263" customWidth="1"/>
    <col min="7172" max="7172" width="69.33203125" style="263" customWidth="1"/>
    <col min="7173" max="7173" width="10.6640625" style="263" customWidth="1"/>
    <col min="7174" max="7174" width="12.5" style="263" customWidth="1"/>
    <col min="7175" max="7175" width="17.33203125" style="263" customWidth="1"/>
    <col min="7176" max="7176" width="14.83203125" style="263" customWidth="1"/>
    <col min="7177" max="7177" width="13.5" style="263" customWidth="1"/>
    <col min="7178" max="7178" width="16.1640625" style="263" customWidth="1"/>
    <col min="7179" max="7180" width="14.33203125" style="263" customWidth="1"/>
    <col min="7181" max="7181" width="14" style="263"/>
    <col min="7182" max="7205" width="0" style="263" hidden="1" customWidth="1"/>
    <col min="7206" max="7424" width="14" style="263"/>
    <col min="7425" max="7425" width="3.33203125" style="263" customWidth="1"/>
    <col min="7426" max="7426" width="1.5" style="263" customWidth="1"/>
    <col min="7427" max="7427" width="17.33203125" style="263" customWidth="1"/>
    <col min="7428" max="7428" width="69.33203125" style="263" customWidth="1"/>
    <col min="7429" max="7429" width="10.6640625" style="263" customWidth="1"/>
    <col min="7430" max="7430" width="12.5" style="263" customWidth="1"/>
    <col min="7431" max="7431" width="17.33203125" style="263" customWidth="1"/>
    <col min="7432" max="7432" width="14.83203125" style="263" customWidth="1"/>
    <col min="7433" max="7433" width="13.5" style="263" customWidth="1"/>
    <col min="7434" max="7434" width="16.1640625" style="263" customWidth="1"/>
    <col min="7435" max="7436" width="14.33203125" style="263" customWidth="1"/>
    <col min="7437" max="7437" width="14" style="263"/>
    <col min="7438" max="7461" width="0" style="263" hidden="1" customWidth="1"/>
    <col min="7462" max="7680" width="14" style="263"/>
    <col min="7681" max="7681" width="3.33203125" style="263" customWidth="1"/>
    <col min="7682" max="7682" width="1.5" style="263" customWidth="1"/>
    <col min="7683" max="7683" width="17.33203125" style="263" customWidth="1"/>
    <col min="7684" max="7684" width="69.33203125" style="263" customWidth="1"/>
    <col min="7685" max="7685" width="10.6640625" style="263" customWidth="1"/>
    <col min="7686" max="7686" width="12.5" style="263" customWidth="1"/>
    <col min="7687" max="7687" width="17.33203125" style="263" customWidth="1"/>
    <col min="7688" max="7688" width="14.83203125" style="263" customWidth="1"/>
    <col min="7689" max="7689" width="13.5" style="263" customWidth="1"/>
    <col min="7690" max="7690" width="16.1640625" style="263" customWidth="1"/>
    <col min="7691" max="7692" width="14.33203125" style="263" customWidth="1"/>
    <col min="7693" max="7693" width="14" style="263"/>
    <col min="7694" max="7717" width="0" style="263" hidden="1" customWidth="1"/>
    <col min="7718" max="7936" width="14" style="263"/>
    <col min="7937" max="7937" width="3.33203125" style="263" customWidth="1"/>
    <col min="7938" max="7938" width="1.5" style="263" customWidth="1"/>
    <col min="7939" max="7939" width="17.33203125" style="263" customWidth="1"/>
    <col min="7940" max="7940" width="69.33203125" style="263" customWidth="1"/>
    <col min="7941" max="7941" width="10.6640625" style="263" customWidth="1"/>
    <col min="7942" max="7942" width="12.5" style="263" customWidth="1"/>
    <col min="7943" max="7943" width="17.33203125" style="263" customWidth="1"/>
    <col min="7944" max="7944" width="14.83203125" style="263" customWidth="1"/>
    <col min="7945" max="7945" width="13.5" style="263" customWidth="1"/>
    <col min="7946" max="7946" width="16.1640625" style="263" customWidth="1"/>
    <col min="7947" max="7948" width="14.33203125" style="263" customWidth="1"/>
    <col min="7949" max="7949" width="14" style="263"/>
    <col min="7950" max="7973" width="0" style="263" hidden="1" customWidth="1"/>
    <col min="7974" max="8192" width="14" style="263"/>
    <col min="8193" max="8193" width="3.33203125" style="263" customWidth="1"/>
    <col min="8194" max="8194" width="1.5" style="263" customWidth="1"/>
    <col min="8195" max="8195" width="17.33203125" style="263" customWidth="1"/>
    <col min="8196" max="8196" width="69.33203125" style="263" customWidth="1"/>
    <col min="8197" max="8197" width="10.6640625" style="263" customWidth="1"/>
    <col min="8198" max="8198" width="12.5" style="263" customWidth="1"/>
    <col min="8199" max="8199" width="17.33203125" style="263" customWidth="1"/>
    <col min="8200" max="8200" width="14.83203125" style="263" customWidth="1"/>
    <col min="8201" max="8201" width="13.5" style="263" customWidth="1"/>
    <col min="8202" max="8202" width="16.1640625" style="263" customWidth="1"/>
    <col min="8203" max="8204" width="14.33203125" style="263" customWidth="1"/>
    <col min="8205" max="8205" width="14" style="263"/>
    <col min="8206" max="8229" width="0" style="263" hidden="1" customWidth="1"/>
    <col min="8230" max="8448" width="14" style="263"/>
    <col min="8449" max="8449" width="3.33203125" style="263" customWidth="1"/>
    <col min="8450" max="8450" width="1.5" style="263" customWidth="1"/>
    <col min="8451" max="8451" width="17.33203125" style="263" customWidth="1"/>
    <col min="8452" max="8452" width="69.33203125" style="263" customWidth="1"/>
    <col min="8453" max="8453" width="10.6640625" style="263" customWidth="1"/>
    <col min="8454" max="8454" width="12.5" style="263" customWidth="1"/>
    <col min="8455" max="8455" width="17.33203125" style="263" customWidth="1"/>
    <col min="8456" max="8456" width="14.83203125" style="263" customWidth="1"/>
    <col min="8457" max="8457" width="13.5" style="263" customWidth="1"/>
    <col min="8458" max="8458" width="16.1640625" style="263" customWidth="1"/>
    <col min="8459" max="8460" width="14.33203125" style="263" customWidth="1"/>
    <col min="8461" max="8461" width="14" style="263"/>
    <col min="8462" max="8485" width="0" style="263" hidden="1" customWidth="1"/>
    <col min="8486" max="8704" width="14" style="263"/>
    <col min="8705" max="8705" width="3.33203125" style="263" customWidth="1"/>
    <col min="8706" max="8706" width="1.5" style="263" customWidth="1"/>
    <col min="8707" max="8707" width="17.33203125" style="263" customWidth="1"/>
    <col min="8708" max="8708" width="69.33203125" style="263" customWidth="1"/>
    <col min="8709" max="8709" width="10.6640625" style="263" customWidth="1"/>
    <col min="8710" max="8710" width="12.5" style="263" customWidth="1"/>
    <col min="8711" max="8711" width="17.33203125" style="263" customWidth="1"/>
    <col min="8712" max="8712" width="14.83203125" style="263" customWidth="1"/>
    <col min="8713" max="8713" width="13.5" style="263" customWidth="1"/>
    <col min="8714" max="8714" width="16.1640625" style="263" customWidth="1"/>
    <col min="8715" max="8716" width="14.33203125" style="263" customWidth="1"/>
    <col min="8717" max="8717" width="14" style="263"/>
    <col min="8718" max="8741" width="0" style="263" hidden="1" customWidth="1"/>
    <col min="8742" max="8960" width="14" style="263"/>
    <col min="8961" max="8961" width="3.33203125" style="263" customWidth="1"/>
    <col min="8962" max="8962" width="1.5" style="263" customWidth="1"/>
    <col min="8963" max="8963" width="17.33203125" style="263" customWidth="1"/>
    <col min="8964" max="8964" width="69.33203125" style="263" customWidth="1"/>
    <col min="8965" max="8965" width="10.6640625" style="263" customWidth="1"/>
    <col min="8966" max="8966" width="12.5" style="263" customWidth="1"/>
    <col min="8967" max="8967" width="17.33203125" style="263" customWidth="1"/>
    <col min="8968" max="8968" width="14.83203125" style="263" customWidth="1"/>
    <col min="8969" max="8969" width="13.5" style="263" customWidth="1"/>
    <col min="8970" max="8970" width="16.1640625" style="263" customWidth="1"/>
    <col min="8971" max="8972" width="14.33203125" style="263" customWidth="1"/>
    <col min="8973" max="8973" width="14" style="263"/>
    <col min="8974" max="8997" width="0" style="263" hidden="1" customWidth="1"/>
    <col min="8998" max="9216" width="14" style="263"/>
    <col min="9217" max="9217" width="3.33203125" style="263" customWidth="1"/>
    <col min="9218" max="9218" width="1.5" style="263" customWidth="1"/>
    <col min="9219" max="9219" width="17.33203125" style="263" customWidth="1"/>
    <col min="9220" max="9220" width="69.33203125" style="263" customWidth="1"/>
    <col min="9221" max="9221" width="10.6640625" style="263" customWidth="1"/>
    <col min="9222" max="9222" width="12.5" style="263" customWidth="1"/>
    <col min="9223" max="9223" width="17.33203125" style="263" customWidth="1"/>
    <col min="9224" max="9224" width="14.83203125" style="263" customWidth="1"/>
    <col min="9225" max="9225" width="13.5" style="263" customWidth="1"/>
    <col min="9226" max="9226" width="16.1640625" style="263" customWidth="1"/>
    <col min="9227" max="9228" width="14.33203125" style="263" customWidth="1"/>
    <col min="9229" max="9229" width="14" style="263"/>
    <col min="9230" max="9253" width="0" style="263" hidden="1" customWidth="1"/>
    <col min="9254" max="9472" width="14" style="263"/>
    <col min="9473" max="9473" width="3.33203125" style="263" customWidth="1"/>
    <col min="9474" max="9474" width="1.5" style="263" customWidth="1"/>
    <col min="9475" max="9475" width="17.33203125" style="263" customWidth="1"/>
    <col min="9476" max="9476" width="69.33203125" style="263" customWidth="1"/>
    <col min="9477" max="9477" width="10.6640625" style="263" customWidth="1"/>
    <col min="9478" max="9478" width="12.5" style="263" customWidth="1"/>
    <col min="9479" max="9479" width="17.33203125" style="263" customWidth="1"/>
    <col min="9480" max="9480" width="14.83203125" style="263" customWidth="1"/>
    <col min="9481" max="9481" width="13.5" style="263" customWidth="1"/>
    <col min="9482" max="9482" width="16.1640625" style="263" customWidth="1"/>
    <col min="9483" max="9484" width="14.33203125" style="263" customWidth="1"/>
    <col min="9485" max="9485" width="14" style="263"/>
    <col min="9486" max="9509" width="0" style="263" hidden="1" customWidth="1"/>
    <col min="9510" max="9728" width="14" style="263"/>
    <col min="9729" max="9729" width="3.33203125" style="263" customWidth="1"/>
    <col min="9730" max="9730" width="1.5" style="263" customWidth="1"/>
    <col min="9731" max="9731" width="17.33203125" style="263" customWidth="1"/>
    <col min="9732" max="9732" width="69.33203125" style="263" customWidth="1"/>
    <col min="9733" max="9733" width="10.6640625" style="263" customWidth="1"/>
    <col min="9734" max="9734" width="12.5" style="263" customWidth="1"/>
    <col min="9735" max="9735" width="17.33203125" style="263" customWidth="1"/>
    <col min="9736" max="9736" width="14.83203125" style="263" customWidth="1"/>
    <col min="9737" max="9737" width="13.5" style="263" customWidth="1"/>
    <col min="9738" max="9738" width="16.1640625" style="263" customWidth="1"/>
    <col min="9739" max="9740" width="14.33203125" style="263" customWidth="1"/>
    <col min="9741" max="9741" width="14" style="263"/>
    <col min="9742" max="9765" width="0" style="263" hidden="1" customWidth="1"/>
    <col min="9766" max="9984" width="14" style="263"/>
    <col min="9985" max="9985" width="3.33203125" style="263" customWidth="1"/>
    <col min="9986" max="9986" width="1.5" style="263" customWidth="1"/>
    <col min="9987" max="9987" width="17.33203125" style="263" customWidth="1"/>
    <col min="9988" max="9988" width="69.33203125" style="263" customWidth="1"/>
    <col min="9989" max="9989" width="10.6640625" style="263" customWidth="1"/>
    <col min="9990" max="9990" width="12.5" style="263" customWidth="1"/>
    <col min="9991" max="9991" width="17.33203125" style="263" customWidth="1"/>
    <col min="9992" max="9992" width="14.83203125" style="263" customWidth="1"/>
    <col min="9993" max="9993" width="13.5" style="263" customWidth="1"/>
    <col min="9994" max="9994" width="16.1640625" style="263" customWidth="1"/>
    <col min="9995" max="9996" width="14.33203125" style="263" customWidth="1"/>
    <col min="9997" max="9997" width="14" style="263"/>
    <col min="9998" max="10021" width="0" style="263" hidden="1" customWidth="1"/>
    <col min="10022" max="10240" width="14" style="263"/>
    <col min="10241" max="10241" width="3.33203125" style="263" customWidth="1"/>
    <col min="10242" max="10242" width="1.5" style="263" customWidth="1"/>
    <col min="10243" max="10243" width="17.33203125" style="263" customWidth="1"/>
    <col min="10244" max="10244" width="69.33203125" style="263" customWidth="1"/>
    <col min="10245" max="10245" width="10.6640625" style="263" customWidth="1"/>
    <col min="10246" max="10246" width="12.5" style="263" customWidth="1"/>
    <col min="10247" max="10247" width="17.33203125" style="263" customWidth="1"/>
    <col min="10248" max="10248" width="14.83203125" style="263" customWidth="1"/>
    <col min="10249" max="10249" width="13.5" style="263" customWidth="1"/>
    <col min="10250" max="10250" width="16.1640625" style="263" customWidth="1"/>
    <col min="10251" max="10252" width="14.33203125" style="263" customWidth="1"/>
    <col min="10253" max="10253" width="14" style="263"/>
    <col min="10254" max="10277" width="0" style="263" hidden="1" customWidth="1"/>
    <col min="10278" max="10496" width="14" style="263"/>
    <col min="10497" max="10497" width="3.33203125" style="263" customWidth="1"/>
    <col min="10498" max="10498" width="1.5" style="263" customWidth="1"/>
    <col min="10499" max="10499" width="17.33203125" style="263" customWidth="1"/>
    <col min="10500" max="10500" width="69.33203125" style="263" customWidth="1"/>
    <col min="10501" max="10501" width="10.6640625" style="263" customWidth="1"/>
    <col min="10502" max="10502" width="12.5" style="263" customWidth="1"/>
    <col min="10503" max="10503" width="17.33203125" style="263" customWidth="1"/>
    <col min="10504" max="10504" width="14.83203125" style="263" customWidth="1"/>
    <col min="10505" max="10505" width="13.5" style="263" customWidth="1"/>
    <col min="10506" max="10506" width="16.1640625" style="263" customWidth="1"/>
    <col min="10507" max="10508" width="14.33203125" style="263" customWidth="1"/>
    <col min="10509" max="10509" width="14" style="263"/>
    <col min="10510" max="10533" width="0" style="263" hidden="1" customWidth="1"/>
    <col min="10534" max="10752" width="14" style="263"/>
    <col min="10753" max="10753" width="3.33203125" style="263" customWidth="1"/>
    <col min="10754" max="10754" width="1.5" style="263" customWidth="1"/>
    <col min="10755" max="10755" width="17.33203125" style="263" customWidth="1"/>
    <col min="10756" max="10756" width="69.33203125" style="263" customWidth="1"/>
    <col min="10757" max="10757" width="10.6640625" style="263" customWidth="1"/>
    <col min="10758" max="10758" width="12.5" style="263" customWidth="1"/>
    <col min="10759" max="10759" width="17.33203125" style="263" customWidth="1"/>
    <col min="10760" max="10760" width="14.83203125" style="263" customWidth="1"/>
    <col min="10761" max="10761" width="13.5" style="263" customWidth="1"/>
    <col min="10762" max="10762" width="16.1640625" style="263" customWidth="1"/>
    <col min="10763" max="10764" width="14.33203125" style="263" customWidth="1"/>
    <col min="10765" max="10765" width="14" style="263"/>
    <col min="10766" max="10789" width="0" style="263" hidden="1" customWidth="1"/>
    <col min="10790" max="11008" width="14" style="263"/>
    <col min="11009" max="11009" width="3.33203125" style="263" customWidth="1"/>
    <col min="11010" max="11010" width="1.5" style="263" customWidth="1"/>
    <col min="11011" max="11011" width="17.33203125" style="263" customWidth="1"/>
    <col min="11012" max="11012" width="69.33203125" style="263" customWidth="1"/>
    <col min="11013" max="11013" width="10.6640625" style="263" customWidth="1"/>
    <col min="11014" max="11014" width="12.5" style="263" customWidth="1"/>
    <col min="11015" max="11015" width="17.33203125" style="263" customWidth="1"/>
    <col min="11016" max="11016" width="14.83203125" style="263" customWidth="1"/>
    <col min="11017" max="11017" width="13.5" style="263" customWidth="1"/>
    <col min="11018" max="11018" width="16.1640625" style="263" customWidth="1"/>
    <col min="11019" max="11020" width="14.33203125" style="263" customWidth="1"/>
    <col min="11021" max="11021" width="14" style="263"/>
    <col min="11022" max="11045" width="0" style="263" hidden="1" customWidth="1"/>
    <col min="11046" max="11264" width="14" style="263"/>
    <col min="11265" max="11265" width="3.33203125" style="263" customWidth="1"/>
    <col min="11266" max="11266" width="1.5" style="263" customWidth="1"/>
    <col min="11267" max="11267" width="17.33203125" style="263" customWidth="1"/>
    <col min="11268" max="11268" width="69.33203125" style="263" customWidth="1"/>
    <col min="11269" max="11269" width="10.6640625" style="263" customWidth="1"/>
    <col min="11270" max="11270" width="12.5" style="263" customWidth="1"/>
    <col min="11271" max="11271" width="17.33203125" style="263" customWidth="1"/>
    <col min="11272" max="11272" width="14.83203125" style="263" customWidth="1"/>
    <col min="11273" max="11273" width="13.5" style="263" customWidth="1"/>
    <col min="11274" max="11274" width="16.1640625" style="263" customWidth="1"/>
    <col min="11275" max="11276" width="14.33203125" style="263" customWidth="1"/>
    <col min="11277" max="11277" width="14" style="263"/>
    <col min="11278" max="11301" width="0" style="263" hidden="1" customWidth="1"/>
    <col min="11302" max="11520" width="14" style="263"/>
    <col min="11521" max="11521" width="3.33203125" style="263" customWidth="1"/>
    <col min="11522" max="11522" width="1.5" style="263" customWidth="1"/>
    <col min="11523" max="11523" width="17.33203125" style="263" customWidth="1"/>
    <col min="11524" max="11524" width="69.33203125" style="263" customWidth="1"/>
    <col min="11525" max="11525" width="10.6640625" style="263" customWidth="1"/>
    <col min="11526" max="11526" width="12.5" style="263" customWidth="1"/>
    <col min="11527" max="11527" width="17.33203125" style="263" customWidth="1"/>
    <col min="11528" max="11528" width="14.83203125" style="263" customWidth="1"/>
    <col min="11529" max="11529" width="13.5" style="263" customWidth="1"/>
    <col min="11530" max="11530" width="16.1640625" style="263" customWidth="1"/>
    <col min="11531" max="11532" width="14.33203125" style="263" customWidth="1"/>
    <col min="11533" max="11533" width="14" style="263"/>
    <col min="11534" max="11557" width="0" style="263" hidden="1" customWidth="1"/>
    <col min="11558" max="11776" width="14" style="263"/>
    <col min="11777" max="11777" width="3.33203125" style="263" customWidth="1"/>
    <col min="11778" max="11778" width="1.5" style="263" customWidth="1"/>
    <col min="11779" max="11779" width="17.33203125" style="263" customWidth="1"/>
    <col min="11780" max="11780" width="69.33203125" style="263" customWidth="1"/>
    <col min="11781" max="11781" width="10.6640625" style="263" customWidth="1"/>
    <col min="11782" max="11782" width="12.5" style="263" customWidth="1"/>
    <col min="11783" max="11783" width="17.33203125" style="263" customWidth="1"/>
    <col min="11784" max="11784" width="14.83203125" style="263" customWidth="1"/>
    <col min="11785" max="11785" width="13.5" style="263" customWidth="1"/>
    <col min="11786" max="11786" width="16.1640625" style="263" customWidth="1"/>
    <col min="11787" max="11788" width="14.33203125" style="263" customWidth="1"/>
    <col min="11789" max="11789" width="14" style="263"/>
    <col min="11790" max="11813" width="0" style="263" hidden="1" customWidth="1"/>
    <col min="11814" max="12032" width="14" style="263"/>
    <col min="12033" max="12033" width="3.33203125" style="263" customWidth="1"/>
    <col min="12034" max="12034" width="1.5" style="263" customWidth="1"/>
    <col min="12035" max="12035" width="17.33203125" style="263" customWidth="1"/>
    <col min="12036" max="12036" width="69.33203125" style="263" customWidth="1"/>
    <col min="12037" max="12037" width="10.6640625" style="263" customWidth="1"/>
    <col min="12038" max="12038" width="12.5" style="263" customWidth="1"/>
    <col min="12039" max="12039" width="17.33203125" style="263" customWidth="1"/>
    <col min="12040" max="12040" width="14.83203125" style="263" customWidth="1"/>
    <col min="12041" max="12041" width="13.5" style="263" customWidth="1"/>
    <col min="12042" max="12042" width="16.1640625" style="263" customWidth="1"/>
    <col min="12043" max="12044" width="14.33203125" style="263" customWidth="1"/>
    <col min="12045" max="12045" width="14" style="263"/>
    <col min="12046" max="12069" width="0" style="263" hidden="1" customWidth="1"/>
    <col min="12070" max="12288" width="14" style="263"/>
    <col min="12289" max="12289" width="3.33203125" style="263" customWidth="1"/>
    <col min="12290" max="12290" width="1.5" style="263" customWidth="1"/>
    <col min="12291" max="12291" width="17.33203125" style="263" customWidth="1"/>
    <col min="12292" max="12292" width="69.33203125" style="263" customWidth="1"/>
    <col min="12293" max="12293" width="10.6640625" style="263" customWidth="1"/>
    <col min="12294" max="12294" width="12.5" style="263" customWidth="1"/>
    <col min="12295" max="12295" width="17.33203125" style="263" customWidth="1"/>
    <col min="12296" max="12296" width="14.83203125" style="263" customWidth="1"/>
    <col min="12297" max="12297" width="13.5" style="263" customWidth="1"/>
    <col min="12298" max="12298" width="16.1640625" style="263" customWidth="1"/>
    <col min="12299" max="12300" width="14.33203125" style="263" customWidth="1"/>
    <col min="12301" max="12301" width="14" style="263"/>
    <col min="12302" max="12325" width="0" style="263" hidden="1" customWidth="1"/>
    <col min="12326" max="12544" width="14" style="263"/>
    <col min="12545" max="12545" width="3.33203125" style="263" customWidth="1"/>
    <col min="12546" max="12546" width="1.5" style="263" customWidth="1"/>
    <col min="12547" max="12547" width="17.33203125" style="263" customWidth="1"/>
    <col min="12548" max="12548" width="69.33203125" style="263" customWidth="1"/>
    <col min="12549" max="12549" width="10.6640625" style="263" customWidth="1"/>
    <col min="12550" max="12550" width="12.5" style="263" customWidth="1"/>
    <col min="12551" max="12551" width="17.33203125" style="263" customWidth="1"/>
    <col min="12552" max="12552" width="14.83203125" style="263" customWidth="1"/>
    <col min="12553" max="12553" width="13.5" style="263" customWidth="1"/>
    <col min="12554" max="12554" width="16.1640625" style="263" customWidth="1"/>
    <col min="12555" max="12556" width="14.33203125" style="263" customWidth="1"/>
    <col min="12557" max="12557" width="14" style="263"/>
    <col min="12558" max="12581" width="0" style="263" hidden="1" customWidth="1"/>
    <col min="12582" max="12800" width="14" style="263"/>
    <col min="12801" max="12801" width="3.33203125" style="263" customWidth="1"/>
    <col min="12802" max="12802" width="1.5" style="263" customWidth="1"/>
    <col min="12803" max="12803" width="17.33203125" style="263" customWidth="1"/>
    <col min="12804" max="12804" width="69.33203125" style="263" customWidth="1"/>
    <col min="12805" max="12805" width="10.6640625" style="263" customWidth="1"/>
    <col min="12806" max="12806" width="12.5" style="263" customWidth="1"/>
    <col min="12807" max="12807" width="17.33203125" style="263" customWidth="1"/>
    <col min="12808" max="12808" width="14.83203125" style="263" customWidth="1"/>
    <col min="12809" max="12809" width="13.5" style="263" customWidth="1"/>
    <col min="12810" max="12810" width="16.1640625" style="263" customWidth="1"/>
    <col min="12811" max="12812" width="14.33203125" style="263" customWidth="1"/>
    <col min="12813" max="12813" width="14" style="263"/>
    <col min="12814" max="12837" width="0" style="263" hidden="1" customWidth="1"/>
    <col min="12838" max="13056" width="14" style="263"/>
    <col min="13057" max="13057" width="3.33203125" style="263" customWidth="1"/>
    <col min="13058" max="13058" width="1.5" style="263" customWidth="1"/>
    <col min="13059" max="13059" width="17.33203125" style="263" customWidth="1"/>
    <col min="13060" max="13060" width="69.33203125" style="263" customWidth="1"/>
    <col min="13061" max="13061" width="10.6640625" style="263" customWidth="1"/>
    <col min="13062" max="13062" width="12.5" style="263" customWidth="1"/>
    <col min="13063" max="13063" width="17.33203125" style="263" customWidth="1"/>
    <col min="13064" max="13064" width="14.83203125" style="263" customWidth="1"/>
    <col min="13065" max="13065" width="13.5" style="263" customWidth="1"/>
    <col min="13066" max="13066" width="16.1640625" style="263" customWidth="1"/>
    <col min="13067" max="13068" width="14.33203125" style="263" customWidth="1"/>
    <col min="13069" max="13069" width="14" style="263"/>
    <col min="13070" max="13093" width="0" style="263" hidden="1" customWidth="1"/>
    <col min="13094" max="13312" width="14" style="263"/>
    <col min="13313" max="13313" width="3.33203125" style="263" customWidth="1"/>
    <col min="13314" max="13314" width="1.5" style="263" customWidth="1"/>
    <col min="13315" max="13315" width="17.33203125" style="263" customWidth="1"/>
    <col min="13316" max="13316" width="69.33203125" style="263" customWidth="1"/>
    <col min="13317" max="13317" width="10.6640625" style="263" customWidth="1"/>
    <col min="13318" max="13318" width="12.5" style="263" customWidth="1"/>
    <col min="13319" max="13319" width="17.33203125" style="263" customWidth="1"/>
    <col min="13320" max="13320" width="14.83203125" style="263" customWidth="1"/>
    <col min="13321" max="13321" width="13.5" style="263" customWidth="1"/>
    <col min="13322" max="13322" width="16.1640625" style="263" customWidth="1"/>
    <col min="13323" max="13324" width="14.33203125" style="263" customWidth="1"/>
    <col min="13325" max="13325" width="14" style="263"/>
    <col min="13326" max="13349" width="0" style="263" hidden="1" customWidth="1"/>
    <col min="13350" max="13568" width="14" style="263"/>
    <col min="13569" max="13569" width="3.33203125" style="263" customWidth="1"/>
    <col min="13570" max="13570" width="1.5" style="263" customWidth="1"/>
    <col min="13571" max="13571" width="17.33203125" style="263" customWidth="1"/>
    <col min="13572" max="13572" width="69.33203125" style="263" customWidth="1"/>
    <col min="13573" max="13573" width="10.6640625" style="263" customWidth="1"/>
    <col min="13574" max="13574" width="12.5" style="263" customWidth="1"/>
    <col min="13575" max="13575" width="17.33203125" style="263" customWidth="1"/>
    <col min="13576" max="13576" width="14.83203125" style="263" customWidth="1"/>
    <col min="13577" max="13577" width="13.5" style="263" customWidth="1"/>
    <col min="13578" max="13578" width="16.1640625" style="263" customWidth="1"/>
    <col min="13579" max="13580" width="14.33203125" style="263" customWidth="1"/>
    <col min="13581" max="13581" width="14" style="263"/>
    <col min="13582" max="13605" width="0" style="263" hidden="1" customWidth="1"/>
    <col min="13606" max="13824" width="14" style="263"/>
    <col min="13825" max="13825" width="3.33203125" style="263" customWidth="1"/>
    <col min="13826" max="13826" width="1.5" style="263" customWidth="1"/>
    <col min="13827" max="13827" width="17.33203125" style="263" customWidth="1"/>
    <col min="13828" max="13828" width="69.33203125" style="263" customWidth="1"/>
    <col min="13829" max="13829" width="10.6640625" style="263" customWidth="1"/>
    <col min="13830" max="13830" width="12.5" style="263" customWidth="1"/>
    <col min="13831" max="13831" width="17.33203125" style="263" customWidth="1"/>
    <col min="13832" max="13832" width="14.83203125" style="263" customWidth="1"/>
    <col min="13833" max="13833" width="13.5" style="263" customWidth="1"/>
    <col min="13834" max="13834" width="16.1640625" style="263" customWidth="1"/>
    <col min="13835" max="13836" width="14.33203125" style="263" customWidth="1"/>
    <col min="13837" max="13837" width="14" style="263"/>
    <col min="13838" max="13861" width="0" style="263" hidden="1" customWidth="1"/>
    <col min="13862" max="14080" width="14" style="263"/>
    <col min="14081" max="14081" width="3.33203125" style="263" customWidth="1"/>
    <col min="14082" max="14082" width="1.5" style="263" customWidth="1"/>
    <col min="14083" max="14083" width="17.33203125" style="263" customWidth="1"/>
    <col min="14084" max="14084" width="69.33203125" style="263" customWidth="1"/>
    <col min="14085" max="14085" width="10.6640625" style="263" customWidth="1"/>
    <col min="14086" max="14086" width="12.5" style="263" customWidth="1"/>
    <col min="14087" max="14087" width="17.33203125" style="263" customWidth="1"/>
    <col min="14088" max="14088" width="14.83203125" style="263" customWidth="1"/>
    <col min="14089" max="14089" width="13.5" style="263" customWidth="1"/>
    <col min="14090" max="14090" width="16.1640625" style="263" customWidth="1"/>
    <col min="14091" max="14092" width="14.33203125" style="263" customWidth="1"/>
    <col min="14093" max="14093" width="14" style="263"/>
    <col min="14094" max="14117" width="0" style="263" hidden="1" customWidth="1"/>
    <col min="14118" max="14336" width="14" style="263"/>
    <col min="14337" max="14337" width="3.33203125" style="263" customWidth="1"/>
    <col min="14338" max="14338" width="1.5" style="263" customWidth="1"/>
    <col min="14339" max="14339" width="17.33203125" style="263" customWidth="1"/>
    <col min="14340" max="14340" width="69.33203125" style="263" customWidth="1"/>
    <col min="14341" max="14341" width="10.6640625" style="263" customWidth="1"/>
    <col min="14342" max="14342" width="12.5" style="263" customWidth="1"/>
    <col min="14343" max="14343" width="17.33203125" style="263" customWidth="1"/>
    <col min="14344" max="14344" width="14.83203125" style="263" customWidth="1"/>
    <col min="14345" max="14345" width="13.5" style="263" customWidth="1"/>
    <col min="14346" max="14346" width="16.1640625" style="263" customWidth="1"/>
    <col min="14347" max="14348" width="14.33203125" style="263" customWidth="1"/>
    <col min="14349" max="14349" width="14" style="263"/>
    <col min="14350" max="14373" width="0" style="263" hidden="1" customWidth="1"/>
    <col min="14374" max="14592" width="14" style="263"/>
    <col min="14593" max="14593" width="3.33203125" style="263" customWidth="1"/>
    <col min="14594" max="14594" width="1.5" style="263" customWidth="1"/>
    <col min="14595" max="14595" width="17.33203125" style="263" customWidth="1"/>
    <col min="14596" max="14596" width="69.33203125" style="263" customWidth="1"/>
    <col min="14597" max="14597" width="10.6640625" style="263" customWidth="1"/>
    <col min="14598" max="14598" width="12.5" style="263" customWidth="1"/>
    <col min="14599" max="14599" width="17.33203125" style="263" customWidth="1"/>
    <col min="14600" max="14600" width="14.83203125" style="263" customWidth="1"/>
    <col min="14601" max="14601" width="13.5" style="263" customWidth="1"/>
    <col min="14602" max="14602" width="16.1640625" style="263" customWidth="1"/>
    <col min="14603" max="14604" width="14.33203125" style="263" customWidth="1"/>
    <col min="14605" max="14605" width="14" style="263"/>
    <col min="14606" max="14629" width="0" style="263" hidden="1" customWidth="1"/>
    <col min="14630" max="14848" width="14" style="263"/>
    <col min="14849" max="14849" width="3.33203125" style="263" customWidth="1"/>
    <col min="14850" max="14850" width="1.5" style="263" customWidth="1"/>
    <col min="14851" max="14851" width="17.33203125" style="263" customWidth="1"/>
    <col min="14852" max="14852" width="69.33203125" style="263" customWidth="1"/>
    <col min="14853" max="14853" width="10.6640625" style="263" customWidth="1"/>
    <col min="14854" max="14854" width="12.5" style="263" customWidth="1"/>
    <col min="14855" max="14855" width="17.33203125" style="263" customWidth="1"/>
    <col min="14856" max="14856" width="14.83203125" style="263" customWidth="1"/>
    <col min="14857" max="14857" width="13.5" style="263" customWidth="1"/>
    <col min="14858" max="14858" width="16.1640625" style="263" customWidth="1"/>
    <col min="14859" max="14860" width="14.33203125" style="263" customWidth="1"/>
    <col min="14861" max="14861" width="14" style="263"/>
    <col min="14862" max="14885" width="0" style="263" hidden="1" customWidth="1"/>
    <col min="14886" max="15104" width="14" style="263"/>
    <col min="15105" max="15105" width="3.33203125" style="263" customWidth="1"/>
    <col min="15106" max="15106" width="1.5" style="263" customWidth="1"/>
    <col min="15107" max="15107" width="17.33203125" style="263" customWidth="1"/>
    <col min="15108" max="15108" width="69.33203125" style="263" customWidth="1"/>
    <col min="15109" max="15109" width="10.6640625" style="263" customWidth="1"/>
    <col min="15110" max="15110" width="12.5" style="263" customWidth="1"/>
    <col min="15111" max="15111" width="17.33203125" style="263" customWidth="1"/>
    <col min="15112" max="15112" width="14.83203125" style="263" customWidth="1"/>
    <col min="15113" max="15113" width="13.5" style="263" customWidth="1"/>
    <col min="15114" max="15114" width="16.1640625" style="263" customWidth="1"/>
    <col min="15115" max="15116" width="14.33203125" style="263" customWidth="1"/>
    <col min="15117" max="15117" width="14" style="263"/>
    <col min="15118" max="15141" width="0" style="263" hidden="1" customWidth="1"/>
    <col min="15142" max="15360" width="14" style="263"/>
    <col min="15361" max="15361" width="3.33203125" style="263" customWidth="1"/>
    <col min="15362" max="15362" width="1.5" style="263" customWidth="1"/>
    <col min="15363" max="15363" width="17.33203125" style="263" customWidth="1"/>
    <col min="15364" max="15364" width="69.33203125" style="263" customWidth="1"/>
    <col min="15365" max="15365" width="10.6640625" style="263" customWidth="1"/>
    <col min="15366" max="15366" width="12.5" style="263" customWidth="1"/>
    <col min="15367" max="15367" width="17.33203125" style="263" customWidth="1"/>
    <col min="15368" max="15368" width="14.83203125" style="263" customWidth="1"/>
    <col min="15369" max="15369" width="13.5" style="263" customWidth="1"/>
    <col min="15370" max="15370" width="16.1640625" style="263" customWidth="1"/>
    <col min="15371" max="15372" width="14.33203125" style="263" customWidth="1"/>
    <col min="15373" max="15373" width="14" style="263"/>
    <col min="15374" max="15397" width="0" style="263" hidden="1" customWidth="1"/>
    <col min="15398" max="15616" width="14" style="263"/>
    <col min="15617" max="15617" width="3.33203125" style="263" customWidth="1"/>
    <col min="15618" max="15618" width="1.5" style="263" customWidth="1"/>
    <col min="15619" max="15619" width="17.33203125" style="263" customWidth="1"/>
    <col min="15620" max="15620" width="69.33203125" style="263" customWidth="1"/>
    <col min="15621" max="15621" width="10.6640625" style="263" customWidth="1"/>
    <col min="15622" max="15622" width="12.5" style="263" customWidth="1"/>
    <col min="15623" max="15623" width="17.33203125" style="263" customWidth="1"/>
    <col min="15624" max="15624" width="14.83203125" style="263" customWidth="1"/>
    <col min="15625" max="15625" width="13.5" style="263" customWidth="1"/>
    <col min="15626" max="15626" width="16.1640625" style="263" customWidth="1"/>
    <col min="15627" max="15628" width="14.33203125" style="263" customWidth="1"/>
    <col min="15629" max="15629" width="14" style="263"/>
    <col min="15630" max="15653" width="0" style="263" hidden="1" customWidth="1"/>
    <col min="15654" max="15872" width="14" style="263"/>
    <col min="15873" max="15873" width="3.33203125" style="263" customWidth="1"/>
    <col min="15874" max="15874" width="1.5" style="263" customWidth="1"/>
    <col min="15875" max="15875" width="17.33203125" style="263" customWidth="1"/>
    <col min="15876" max="15876" width="69.33203125" style="263" customWidth="1"/>
    <col min="15877" max="15877" width="10.6640625" style="263" customWidth="1"/>
    <col min="15878" max="15878" width="12.5" style="263" customWidth="1"/>
    <col min="15879" max="15879" width="17.33203125" style="263" customWidth="1"/>
    <col min="15880" max="15880" width="14.83203125" style="263" customWidth="1"/>
    <col min="15881" max="15881" width="13.5" style="263" customWidth="1"/>
    <col min="15882" max="15882" width="16.1640625" style="263" customWidth="1"/>
    <col min="15883" max="15884" width="14.33203125" style="263" customWidth="1"/>
    <col min="15885" max="15885" width="14" style="263"/>
    <col min="15886" max="15909" width="0" style="263" hidden="1" customWidth="1"/>
    <col min="15910" max="16128" width="14" style="263"/>
    <col min="16129" max="16129" width="3.33203125" style="263" customWidth="1"/>
    <col min="16130" max="16130" width="1.5" style="263" customWidth="1"/>
    <col min="16131" max="16131" width="17.33203125" style="263" customWidth="1"/>
    <col min="16132" max="16132" width="69.33203125" style="263" customWidth="1"/>
    <col min="16133" max="16133" width="10.6640625" style="263" customWidth="1"/>
    <col min="16134" max="16134" width="12.5" style="263" customWidth="1"/>
    <col min="16135" max="16135" width="17.33203125" style="263" customWidth="1"/>
    <col min="16136" max="16136" width="14.83203125" style="263" customWidth="1"/>
    <col min="16137" max="16137" width="13.5" style="263" customWidth="1"/>
    <col min="16138" max="16138" width="16.1640625" style="263" customWidth="1"/>
    <col min="16139" max="16140" width="14.33203125" style="263" customWidth="1"/>
    <col min="16141" max="16141" width="14" style="263"/>
    <col min="16142" max="16165" width="0" style="263" hidden="1" customWidth="1"/>
    <col min="16166" max="16384" width="14" style="263"/>
  </cols>
  <sheetData>
    <row r="1" spans="1:37" ht="21.95" customHeight="1">
      <c r="A1" s="603" t="s">
        <v>2821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</row>
    <row r="2" spans="1:37">
      <c r="A2" s="605" t="s">
        <v>2822</v>
      </c>
      <c r="B2" s="606"/>
      <c r="C2" s="606"/>
      <c r="D2" s="592" t="s">
        <v>2823</v>
      </c>
      <c r="E2" s="608" t="s">
        <v>2824</v>
      </c>
      <c r="F2" s="606"/>
      <c r="G2" s="608"/>
      <c r="H2" s="606"/>
      <c r="I2" s="608" t="s">
        <v>2825</v>
      </c>
      <c r="J2" s="608"/>
      <c r="K2" s="606"/>
      <c r="L2" s="609"/>
      <c r="M2" s="264"/>
    </row>
    <row r="3" spans="1:37">
      <c r="A3" s="602"/>
      <c r="B3" s="595"/>
      <c r="C3" s="595"/>
      <c r="D3" s="607"/>
      <c r="E3" s="595"/>
      <c r="F3" s="595"/>
      <c r="G3" s="595"/>
      <c r="H3" s="595"/>
      <c r="I3" s="595"/>
      <c r="J3" s="595"/>
      <c r="K3" s="595"/>
      <c r="L3" s="600"/>
      <c r="M3" s="264"/>
    </row>
    <row r="4" spans="1:37">
      <c r="A4" s="594" t="s">
        <v>2826</v>
      </c>
      <c r="B4" s="595"/>
      <c r="C4" s="595"/>
      <c r="D4" s="598" t="s">
        <v>2827</v>
      </c>
      <c r="E4" s="598" t="s">
        <v>2828</v>
      </c>
      <c r="F4" s="595"/>
      <c r="G4" s="599"/>
      <c r="H4" s="595"/>
      <c r="I4" s="598" t="s">
        <v>30</v>
      </c>
      <c r="J4" s="598"/>
      <c r="K4" s="595"/>
      <c r="L4" s="600"/>
      <c r="M4" s="264"/>
    </row>
    <row r="5" spans="1:37">
      <c r="A5" s="602"/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600"/>
      <c r="M5" s="264"/>
    </row>
    <row r="6" spans="1:37">
      <c r="A6" s="594" t="s">
        <v>2829</v>
      </c>
      <c r="B6" s="595"/>
      <c r="C6" s="595"/>
      <c r="D6" s="598"/>
      <c r="E6" s="598" t="s">
        <v>2830</v>
      </c>
      <c r="F6" s="595"/>
      <c r="G6" s="595"/>
      <c r="H6" s="595"/>
      <c r="I6" s="598" t="s">
        <v>2831</v>
      </c>
      <c r="J6" s="598"/>
      <c r="K6" s="595"/>
      <c r="L6" s="600"/>
      <c r="M6" s="264"/>
    </row>
    <row r="7" spans="1:37">
      <c r="A7" s="602"/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600"/>
      <c r="M7" s="264"/>
    </row>
    <row r="8" spans="1:37">
      <c r="A8" s="594" t="s">
        <v>2832</v>
      </c>
      <c r="B8" s="595"/>
      <c r="C8" s="595"/>
      <c r="D8" s="598"/>
      <c r="E8" s="598" t="s">
        <v>2833</v>
      </c>
      <c r="F8" s="595"/>
      <c r="G8" s="599"/>
      <c r="H8" s="595"/>
      <c r="I8" s="598" t="s">
        <v>2834</v>
      </c>
      <c r="J8" s="598"/>
      <c r="K8" s="595"/>
      <c r="L8" s="600"/>
      <c r="M8" s="264"/>
    </row>
    <row r="9" spans="1:37" ht="13.5" thickBot="1">
      <c r="A9" s="596"/>
      <c r="B9" s="597"/>
      <c r="C9" s="597"/>
      <c r="D9" s="597"/>
      <c r="E9" s="597"/>
      <c r="F9" s="597"/>
      <c r="G9" s="597"/>
      <c r="H9" s="597"/>
      <c r="I9" s="597"/>
      <c r="J9" s="597"/>
      <c r="K9" s="597"/>
      <c r="L9" s="601"/>
      <c r="M9" s="264"/>
    </row>
    <row r="10" spans="1:37">
      <c r="A10" s="266" t="s">
        <v>2835</v>
      </c>
      <c r="B10" s="267" t="s">
        <v>2835</v>
      </c>
      <c r="C10" s="267" t="s">
        <v>2835</v>
      </c>
      <c r="D10" s="267" t="s">
        <v>2835</v>
      </c>
      <c r="E10" s="267" t="s">
        <v>2835</v>
      </c>
      <c r="F10" s="267" t="s">
        <v>2835</v>
      </c>
      <c r="G10" s="268" t="s">
        <v>2836</v>
      </c>
      <c r="H10" s="587" t="s">
        <v>2837</v>
      </c>
      <c r="I10" s="588"/>
      <c r="J10" s="589"/>
      <c r="K10" s="587" t="s">
        <v>2838</v>
      </c>
      <c r="L10" s="589"/>
      <c r="M10" s="269"/>
    </row>
    <row r="11" spans="1:37" ht="13.5" thickBot="1">
      <c r="A11" s="270" t="s">
        <v>2839</v>
      </c>
      <c r="B11" s="271" t="s">
        <v>2757</v>
      </c>
      <c r="C11" s="271" t="s">
        <v>52</v>
      </c>
      <c r="D11" s="271" t="s">
        <v>2840</v>
      </c>
      <c r="E11" s="271" t="s">
        <v>2841</v>
      </c>
      <c r="F11" s="272" t="s">
        <v>115</v>
      </c>
      <c r="G11" s="273" t="s">
        <v>2842</v>
      </c>
      <c r="H11" s="274" t="s">
        <v>2843</v>
      </c>
      <c r="I11" s="275" t="s">
        <v>2844</v>
      </c>
      <c r="J11" s="276" t="s">
        <v>2845</v>
      </c>
      <c r="K11" s="274" t="s">
        <v>2836</v>
      </c>
      <c r="L11" s="276" t="s">
        <v>2845</v>
      </c>
      <c r="M11" s="269"/>
      <c r="P11" s="277" t="s">
        <v>2846</v>
      </c>
      <c r="Q11" s="277" t="s">
        <v>2847</v>
      </c>
      <c r="R11" s="277" t="s">
        <v>2848</v>
      </c>
      <c r="S11" s="277" t="s">
        <v>2849</v>
      </c>
      <c r="T11" s="277" t="s">
        <v>2850</v>
      </c>
      <c r="U11" s="277" t="s">
        <v>2851</v>
      </c>
      <c r="V11" s="277" t="s">
        <v>2852</v>
      </c>
      <c r="W11" s="277" t="s">
        <v>2853</v>
      </c>
      <c r="X11" s="277" t="s">
        <v>2854</v>
      </c>
    </row>
    <row r="12" spans="1:37">
      <c r="A12" s="278"/>
      <c r="B12" s="278"/>
      <c r="C12" s="279" t="s">
        <v>2855</v>
      </c>
      <c r="D12" s="590" t="s">
        <v>2856</v>
      </c>
      <c r="E12" s="591"/>
      <c r="F12" s="591"/>
      <c r="G12" s="591"/>
      <c r="H12" s="280"/>
      <c r="I12" s="281"/>
      <c r="J12" s="282">
        <f>SUM(J13:J79)</f>
        <v>0</v>
      </c>
      <c r="K12" s="281"/>
      <c r="L12" s="283">
        <f>SUM(L13:L79)</f>
        <v>0</v>
      </c>
      <c r="P12" s="283">
        <f>IF(Q12="PR",J12,SUM(O13:O79))</f>
        <v>0</v>
      </c>
      <c r="Q12" s="277" t="s">
        <v>2857</v>
      </c>
      <c r="R12" s="283">
        <f>IF(Q12="HS",H12,0)</f>
        <v>0</v>
      </c>
      <c r="S12" s="283">
        <f>IF(Q12="HS",I12-P12,0)</f>
        <v>0</v>
      </c>
      <c r="T12" s="283">
        <f>IF(Q12="PS",H12,0)</f>
        <v>0</v>
      </c>
      <c r="U12" s="283">
        <f>IF(Q12="PS",I12-P12,0)</f>
        <v>0</v>
      </c>
      <c r="V12" s="283">
        <f>IF(Q12="MP",H12,0)</f>
        <v>0</v>
      </c>
      <c r="W12" s="283">
        <f>IF(Q12="MP",I12-P12,0)</f>
        <v>0</v>
      </c>
      <c r="X12" s="283">
        <f>IF(Q12="OM",H12,0)</f>
        <v>0</v>
      </c>
      <c r="Y12" s="277" t="s">
        <v>2858</v>
      </c>
      <c r="AI12" s="283">
        <f>SUM(Z13:Z79)</f>
        <v>0</v>
      </c>
      <c r="AJ12" s="283">
        <f>SUM(AA13:AA79)</f>
        <v>0</v>
      </c>
      <c r="AK12" s="283">
        <f>SUM(AB13:AB79)</f>
        <v>0</v>
      </c>
    </row>
    <row r="13" spans="1:37">
      <c r="A13" s="265"/>
      <c r="B13" s="265"/>
      <c r="C13" s="265" t="s">
        <v>2859</v>
      </c>
      <c r="D13" s="265" t="s">
        <v>2860</v>
      </c>
      <c r="E13" s="284" t="s">
        <v>257</v>
      </c>
      <c r="F13" s="285">
        <f>(2+5+1+2+1+3)*1.25</f>
        <v>17.5</v>
      </c>
      <c r="G13" s="285">
        <f>H13+I13</f>
        <v>0</v>
      </c>
      <c r="H13" s="285"/>
      <c r="I13" s="285"/>
      <c r="J13" s="285">
        <f>ROUND(F13*G13,2)</f>
        <v>0</v>
      </c>
      <c r="K13" s="285"/>
      <c r="L13" s="285"/>
      <c r="N13" s="286" t="s">
        <v>79</v>
      </c>
      <c r="O13" s="285">
        <f>IF(N13="5",I13,0)</f>
        <v>0</v>
      </c>
      <c r="Z13" s="285">
        <f>IF(AD13=0,J13,0)</f>
        <v>0</v>
      </c>
      <c r="AA13" s="285">
        <f>IF(AD13=10,J13,0)</f>
        <v>0</v>
      </c>
      <c r="AB13" s="285">
        <f>IF(AD13=20,J13,0)</f>
        <v>0</v>
      </c>
      <c r="AD13" s="285">
        <v>20</v>
      </c>
      <c r="AE13" s="285">
        <f>G13*0.261294932395295</f>
        <v>0</v>
      </c>
      <c r="AF13" s="285">
        <f>G13*(1-0.261294932395295)</f>
        <v>0</v>
      </c>
    </row>
    <row r="14" spans="1:37">
      <c r="A14" s="265"/>
      <c r="B14" s="265"/>
      <c r="C14" s="265" t="s">
        <v>2861</v>
      </c>
      <c r="D14" s="265" t="s">
        <v>2862</v>
      </c>
      <c r="E14" s="284" t="s">
        <v>257</v>
      </c>
      <c r="F14" s="285">
        <v>35.4</v>
      </c>
      <c r="G14" s="285">
        <f t="shared" ref="G14:G21" si="0">H14+I14</f>
        <v>0</v>
      </c>
      <c r="H14" s="285"/>
      <c r="I14" s="285"/>
      <c r="J14" s="285">
        <f t="shared" ref="J14:J21" si="1">ROUND(F14*G14,2)</f>
        <v>0</v>
      </c>
      <c r="K14" s="285"/>
      <c r="L14" s="285"/>
      <c r="N14" s="286"/>
      <c r="O14" s="285"/>
      <c r="Z14" s="285"/>
      <c r="AA14" s="285"/>
      <c r="AB14" s="285"/>
      <c r="AD14" s="285"/>
      <c r="AE14" s="285"/>
      <c r="AF14" s="285"/>
    </row>
    <row r="15" spans="1:37">
      <c r="A15" s="265"/>
      <c r="B15" s="265"/>
      <c r="C15" s="265" t="s">
        <v>2863</v>
      </c>
      <c r="D15" s="265" t="s">
        <v>2864</v>
      </c>
      <c r="E15" s="284" t="s">
        <v>257</v>
      </c>
      <c r="F15" s="285">
        <f>(4+3+2)*1.25</f>
        <v>11.25</v>
      </c>
      <c r="G15" s="285">
        <f t="shared" si="0"/>
        <v>0</v>
      </c>
      <c r="H15" s="285"/>
      <c r="I15" s="285"/>
      <c r="J15" s="285">
        <f t="shared" si="1"/>
        <v>0</v>
      </c>
      <c r="K15" s="285"/>
      <c r="L15" s="285"/>
      <c r="N15" s="286" t="s">
        <v>79</v>
      </c>
      <c r="O15" s="285">
        <f>IF(N15="5",I15,0)</f>
        <v>0</v>
      </c>
      <c r="Z15" s="285">
        <f>IF(AD15=0,J15,0)</f>
        <v>0</v>
      </c>
      <c r="AA15" s="285">
        <f>IF(AD15=10,J15,0)</f>
        <v>0</v>
      </c>
      <c r="AB15" s="285">
        <f>IF(AD15=20,J15,0)</f>
        <v>0</v>
      </c>
      <c r="AD15" s="285">
        <v>20</v>
      </c>
      <c r="AE15" s="285">
        <f>G15*0.260217685885387</f>
        <v>0</v>
      </c>
      <c r="AF15" s="285">
        <f>G15*(1-0.260217685885387)</f>
        <v>0</v>
      </c>
    </row>
    <row r="16" spans="1:37">
      <c r="A16" s="265"/>
      <c r="B16" s="265"/>
      <c r="C16" s="265" t="s">
        <v>2865</v>
      </c>
      <c r="D16" s="265" t="s">
        <v>2866</v>
      </c>
      <c r="E16" s="284" t="s">
        <v>257</v>
      </c>
      <c r="F16" s="285">
        <f>(2+1+5+2+3)*1.25</f>
        <v>16.25</v>
      </c>
      <c r="G16" s="285">
        <f t="shared" si="0"/>
        <v>0</v>
      </c>
      <c r="H16" s="285"/>
      <c r="I16" s="285"/>
      <c r="J16" s="285">
        <f t="shared" si="1"/>
        <v>0</v>
      </c>
      <c r="K16" s="285"/>
      <c r="L16" s="285"/>
      <c r="N16" s="286" t="s">
        <v>79</v>
      </c>
      <c r="O16" s="285">
        <f>IF(N16="5",I16,0)</f>
        <v>0</v>
      </c>
      <c r="Z16" s="285">
        <f>IF(AD16=0,J16,0)</f>
        <v>0</v>
      </c>
      <c r="AA16" s="285">
        <f>IF(AD16=10,J16,0)</f>
        <v>0</v>
      </c>
      <c r="AB16" s="285">
        <f>IF(AD16=20,J16,0)</f>
        <v>0</v>
      </c>
      <c r="AD16" s="285">
        <v>20</v>
      </c>
      <c r="AE16" s="285">
        <f>G16*0.219328806569732</f>
        <v>0</v>
      </c>
      <c r="AF16" s="285">
        <f>G16*(1-0.219328806569732)</f>
        <v>0</v>
      </c>
    </row>
    <row r="17" spans="1:32">
      <c r="A17" s="265"/>
      <c r="B17" s="265"/>
      <c r="C17" s="265" t="s">
        <v>2867</v>
      </c>
      <c r="D17" s="265" t="s">
        <v>2868</v>
      </c>
      <c r="E17" s="284" t="s">
        <v>257</v>
      </c>
      <c r="F17" s="285">
        <f>6*3.8</f>
        <v>22.799999999999997</v>
      </c>
      <c r="G17" s="285">
        <f t="shared" si="0"/>
        <v>0</v>
      </c>
      <c r="H17" s="285"/>
      <c r="I17" s="285"/>
      <c r="J17" s="285">
        <f t="shared" si="1"/>
        <v>0</v>
      </c>
      <c r="K17" s="285"/>
      <c r="L17" s="285"/>
      <c r="N17" s="286" t="s">
        <v>79</v>
      </c>
      <c r="O17" s="285">
        <f>IF(N17="5",I17,0)</f>
        <v>0</v>
      </c>
      <c r="Z17" s="285">
        <f>IF(AD17=0,J17,0)</f>
        <v>0</v>
      </c>
      <c r="AA17" s="285">
        <f>IF(AD17=10,J17,0)</f>
        <v>0</v>
      </c>
      <c r="AB17" s="285">
        <f>IF(AD17=20,J17,0)</f>
        <v>0</v>
      </c>
      <c r="AD17" s="285">
        <v>20</v>
      </c>
      <c r="AE17" s="285">
        <f>G17*0.360559692684078</f>
        <v>0</v>
      </c>
      <c r="AF17" s="285">
        <f>G17*(1-0.360559692684078)</f>
        <v>0</v>
      </c>
    </row>
    <row r="18" spans="1:32">
      <c r="A18" s="265"/>
      <c r="B18" s="265"/>
      <c r="C18" s="265" t="s">
        <v>2869</v>
      </c>
      <c r="D18" s="265" t="s">
        <v>2870</v>
      </c>
      <c r="E18" s="284" t="s">
        <v>257</v>
      </c>
      <c r="F18" s="285">
        <f>12*3.8</f>
        <v>45.599999999999994</v>
      </c>
      <c r="G18" s="285">
        <f t="shared" si="0"/>
        <v>0</v>
      </c>
      <c r="H18" s="285"/>
      <c r="I18" s="285"/>
      <c r="J18" s="285">
        <f t="shared" si="1"/>
        <v>0</v>
      </c>
      <c r="K18" s="285"/>
      <c r="L18" s="285"/>
      <c r="N18" s="286" t="s">
        <v>79</v>
      </c>
      <c r="O18" s="285">
        <f>IF(N18="5",I18,0)</f>
        <v>0</v>
      </c>
      <c r="Z18" s="285">
        <f>IF(AD18=0,J18,0)</f>
        <v>0</v>
      </c>
      <c r="AA18" s="285">
        <f>IF(AD18=10,J18,0)</f>
        <v>0</v>
      </c>
      <c r="AB18" s="285">
        <f>IF(AD18=20,J18,0)</f>
        <v>0</v>
      </c>
      <c r="AD18" s="285">
        <v>20</v>
      </c>
      <c r="AE18" s="285">
        <f>G18*0.554492968649206</f>
        <v>0</v>
      </c>
      <c r="AF18" s="285">
        <f>G18*(1-0.554492968649206)</f>
        <v>0</v>
      </c>
    </row>
    <row r="19" spans="1:32">
      <c r="A19" s="265"/>
      <c r="B19" s="265"/>
      <c r="C19" s="287" t="s">
        <v>2871</v>
      </c>
      <c r="D19" s="288" t="s">
        <v>2872</v>
      </c>
      <c r="E19" s="289" t="s">
        <v>2873</v>
      </c>
      <c r="F19" s="287">
        <v>2</v>
      </c>
      <c r="G19" s="285">
        <f t="shared" si="0"/>
        <v>0</v>
      </c>
      <c r="H19" s="285"/>
      <c r="I19" s="285"/>
      <c r="J19" s="285">
        <f t="shared" si="1"/>
        <v>0</v>
      </c>
      <c r="K19" s="285"/>
      <c r="L19" s="285"/>
      <c r="N19" s="286"/>
      <c r="O19" s="285"/>
      <c r="Z19" s="285"/>
      <c r="AA19" s="285"/>
      <c r="AB19" s="285"/>
      <c r="AD19" s="285"/>
      <c r="AE19" s="285"/>
      <c r="AF19" s="285"/>
    </row>
    <row r="20" spans="1:32">
      <c r="A20" s="265"/>
      <c r="B20" s="265"/>
      <c r="C20" s="287" t="s">
        <v>2874</v>
      </c>
      <c r="D20" s="288" t="s">
        <v>2875</v>
      </c>
      <c r="E20" s="289" t="s">
        <v>2873</v>
      </c>
      <c r="F20" s="287">
        <v>11</v>
      </c>
      <c r="G20" s="285">
        <f t="shared" si="0"/>
        <v>0</v>
      </c>
      <c r="H20" s="285"/>
      <c r="I20" s="285"/>
      <c r="J20" s="285">
        <f t="shared" si="1"/>
        <v>0</v>
      </c>
      <c r="K20" s="285"/>
      <c r="L20" s="285"/>
      <c r="N20" s="286"/>
      <c r="O20" s="285"/>
      <c r="Z20" s="285"/>
      <c r="AA20" s="285"/>
      <c r="AB20" s="285"/>
      <c r="AD20" s="285"/>
      <c r="AE20" s="285"/>
      <c r="AF20" s="285"/>
    </row>
    <row r="21" spans="1:32">
      <c r="A21" s="265"/>
      <c r="B21" s="265"/>
      <c r="C21" s="287" t="s">
        <v>2876</v>
      </c>
      <c r="D21" s="288" t="s">
        <v>2877</v>
      </c>
      <c r="E21" s="289" t="s">
        <v>2873</v>
      </c>
      <c r="F21" s="287">
        <v>2</v>
      </c>
      <c r="G21" s="285">
        <f t="shared" si="0"/>
        <v>0</v>
      </c>
      <c r="H21" s="285"/>
      <c r="I21" s="285"/>
      <c r="J21" s="285">
        <f t="shared" si="1"/>
        <v>0</v>
      </c>
      <c r="K21" s="285"/>
      <c r="L21" s="285"/>
      <c r="N21" s="286"/>
      <c r="O21" s="285"/>
      <c r="Z21" s="285"/>
      <c r="AA21" s="285"/>
      <c r="AB21" s="285"/>
      <c r="AD21" s="285"/>
      <c r="AE21" s="285"/>
      <c r="AF21" s="285"/>
    </row>
    <row r="22" spans="1:32">
      <c r="A22" s="265"/>
      <c r="B22" s="265"/>
      <c r="C22" s="287"/>
      <c r="D22" s="290" t="s">
        <v>2878</v>
      </c>
      <c r="E22" s="289"/>
      <c r="F22" s="291"/>
      <c r="G22" s="285"/>
      <c r="H22" s="285"/>
      <c r="I22" s="285"/>
      <c r="J22" s="285"/>
      <c r="K22" s="285"/>
      <c r="L22" s="285"/>
      <c r="N22" s="286"/>
      <c r="O22" s="285"/>
      <c r="Z22" s="285"/>
      <c r="AA22" s="285"/>
      <c r="AB22" s="285"/>
      <c r="AD22" s="285"/>
      <c r="AE22" s="285"/>
      <c r="AF22" s="285"/>
    </row>
    <row r="23" spans="1:32">
      <c r="A23" s="265"/>
      <c r="B23" s="265"/>
      <c r="C23" s="287"/>
      <c r="D23" s="290" t="s">
        <v>2879</v>
      </c>
      <c r="E23" s="289"/>
      <c r="F23" s="291"/>
      <c r="G23" s="285"/>
      <c r="H23" s="285"/>
      <c r="I23" s="285"/>
      <c r="J23" s="285"/>
      <c r="K23" s="285"/>
      <c r="L23" s="285"/>
      <c r="N23" s="286"/>
      <c r="O23" s="285"/>
      <c r="Z23" s="285"/>
      <c r="AA23" s="285"/>
      <c r="AB23" s="285"/>
      <c r="AD23" s="285"/>
      <c r="AE23" s="285"/>
      <c r="AF23" s="285"/>
    </row>
    <row r="24" spans="1:32">
      <c r="A24" s="265"/>
      <c r="B24" s="265"/>
      <c r="C24" s="287" t="s">
        <v>2880</v>
      </c>
      <c r="D24" s="288" t="s">
        <v>2881</v>
      </c>
      <c r="E24" s="289" t="s">
        <v>2835</v>
      </c>
      <c r="F24" s="291"/>
      <c r="G24" s="285"/>
      <c r="H24" s="285"/>
      <c r="I24" s="285"/>
      <c r="J24" s="285"/>
      <c r="K24" s="285"/>
      <c r="L24" s="285"/>
      <c r="N24" s="286"/>
      <c r="O24" s="285"/>
      <c r="Z24" s="285"/>
      <c r="AA24" s="285"/>
      <c r="AB24" s="285"/>
      <c r="AD24" s="285"/>
      <c r="AE24" s="285"/>
      <c r="AF24" s="285"/>
    </row>
    <row r="25" spans="1:32" ht="15" customHeight="1">
      <c r="A25" s="265"/>
      <c r="B25" s="265"/>
      <c r="C25" s="287"/>
      <c r="D25" s="288" t="s">
        <v>2882</v>
      </c>
      <c r="E25" s="289" t="s">
        <v>425</v>
      </c>
      <c r="F25" s="287">
        <v>35</v>
      </c>
      <c r="G25" s="285">
        <f>H25+I25</f>
        <v>0</v>
      </c>
      <c r="H25" s="285"/>
      <c r="I25" s="285"/>
      <c r="J25" s="285">
        <f>ROUND(F25*G25,2)</f>
        <v>0</v>
      </c>
      <c r="K25" s="285"/>
      <c r="L25" s="285"/>
      <c r="N25" s="286"/>
      <c r="O25" s="285"/>
      <c r="Z25" s="285"/>
      <c r="AA25" s="285"/>
      <c r="AB25" s="285"/>
      <c r="AD25" s="285"/>
      <c r="AE25" s="285"/>
      <c r="AF25" s="285"/>
    </row>
    <row r="26" spans="1:32" ht="15" customHeight="1">
      <c r="A26" s="265"/>
      <c r="B26" s="265"/>
      <c r="C26" s="287"/>
      <c r="D26" s="290" t="s">
        <v>2883</v>
      </c>
      <c r="E26" s="289"/>
      <c r="F26" s="287"/>
      <c r="G26" s="285"/>
      <c r="H26" s="285"/>
      <c r="I26" s="285"/>
      <c r="J26" s="285"/>
      <c r="K26" s="285"/>
      <c r="L26" s="285"/>
      <c r="N26" s="286"/>
      <c r="O26" s="285"/>
      <c r="Z26" s="285"/>
      <c r="AA26" s="285"/>
      <c r="AB26" s="285"/>
      <c r="AD26" s="285"/>
      <c r="AE26" s="285"/>
      <c r="AF26" s="285"/>
    </row>
    <row r="27" spans="1:32" ht="15" customHeight="1">
      <c r="A27" s="265"/>
      <c r="B27" s="265"/>
      <c r="C27" s="287" t="s">
        <v>2884</v>
      </c>
      <c r="D27" s="292" t="s">
        <v>2885</v>
      </c>
      <c r="E27" s="289" t="s">
        <v>2873</v>
      </c>
      <c r="F27" s="287">
        <v>2</v>
      </c>
      <c r="G27" s="285">
        <f t="shared" ref="G27:G32" si="2">H27+I27</f>
        <v>0</v>
      </c>
      <c r="H27" s="285"/>
      <c r="I27" s="285"/>
      <c r="J27" s="285">
        <f t="shared" ref="J27:J32" si="3">ROUND(F27*G27,2)</f>
        <v>0</v>
      </c>
      <c r="K27" s="285"/>
      <c r="L27" s="285"/>
      <c r="N27" s="286"/>
      <c r="O27" s="285"/>
      <c r="Z27" s="285"/>
      <c r="AA27" s="285"/>
      <c r="AB27" s="285"/>
      <c r="AD27" s="285"/>
      <c r="AE27" s="285"/>
      <c r="AF27" s="285"/>
    </row>
    <row r="28" spans="1:32" ht="15" customHeight="1">
      <c r="A28" s="265"/>
      <c r="B28" s="265"/>
      <c r="C28" s="287" t="s">
        <v>2886</v>
      </c>
      <c r="D28" s="292" t="s">
        <v>2887</v>
      </c>
      <c r="E28" s="289" t="s">
        <v>2873</v>
      </c>
      <c r="F28" s="287">
        <v>11</v>
      </c>
      <c r="G28" s="285">
        <f t="shared" si="2"/>
        <v>0</v>
      </c>
      <c r="H28" s="285"/>
      <c r="I28" s="285"/>
      <c r="J28" s="285">
        <f t="shared" si="3"/>
        <v>0</v>
      </c>
      <c r="K28" s="285"/>
      <c r="L28" s="285"/>
      <c r="N28" s="286"/>
      <c r="O28" s="285"/>
      <c r="Z28" s="285"/>
      <c r="AA28" s="285"/>
      <c r="AB28" s="285"/>
      <c r="AD28" s="285"/>
      <c r="AE28" s="285"/>
      <c r="AF28" s="285"/>
    </row>
    <row r="29" spans="1:32" ht="15" customHeight="1">
      <c r="A29" s="265"/>
      <c r="B29" s="265"/>
      <c r="C29" s="287" t="s">
        <v>2888</v>
      </c>
      <c r="D29" s="292" t="s">
        <v>2889</v>
      </c>
      <c r="E29" s="289" t="s">
        <v>2873</v>
      </c>
      <c r="F29" s="287">
        <v>2</v>
      </c>
      <c r="G29" s="285">
        <f t="shared" si="2"/>
        <v>0</v>
      </c>
      <c r="H29" s="285"/>
      <c r="I29" s="285"/>
      <c r="J29" s="285">
        <f t="shared" si="3"/>
        <v>0</v>
      </c>
      <c r="K29" s="285"/>
      <c r="L29" s="285"/>
      <c r="N29" s="286"/>
      <c r="O29" s="285"/>
      <c r="Z29" s="285"/>
      <c r="AA29" s="285"/>
      <c r="AB29" s="285"/>
      <c r="AD29" s="285"/>
      <c r="AE29" s="285"/>
      <c r="AF29" s="285"/>
    </row>
    <row r="30" spans="1:32" ht="15" customHeight="1">
      <c r="A30" s="265"/>
      <c r="B30" s="265"/>
      <c r="C30" s="287" t="s">
        <v>2890</v>
      </c>
      <c r="D30" s="292" t="s">
        <v>2891</v>
      </c>
      <c r="E30" s="289" t="s">
        <v>2873</v>
      </c>
      <c r="F30" s="287">
        <v>5</v>
      </c>
      <c r="G30" s="285">
        <f t="shared" si="2"/>
        <v>0</v>
      </c>
      <c r="H30" s="285"/>
      <c r="I30" s="285"/>
      <c r="J30" s="285">
        <f t="shared" si="3"/>
        <v>0</v>
      </c>
      <c r="K30" s="285"/>
      <c r="L30" s="285"/>
      <c r="N30" s="286"/>
      <c r="O30" s="285"/>
      <c r="Z30" s="285"/>
      <c r="AA30" s="285"/>
      <c r="AB30" s="285"/>
      <c r="AD30" s="285"/>
      <c r="AE30" s="285"/>
      <c r="AF30" s="285"/>
    </row>
    <row r="31" spans="1:32" ht="15" customHeight="1">
      <c r="A31" s="265"/>
      <c r="B31" s="265"/>
      <c r="C31" s="287" t="s">
        <v>2892</v>
      </c>
      <c r="D31" s="292" t="s">
        <v>2893</v>
      </c>
      <c r="E31" s="289" t="s">
        <v>2873</v>
      </c>
      <c r="F31" s="287">
        <v>2</v>
      </c>
      <c r="G31" s="285">
        <f t="shared" si="2"/>
        <v>0</v>
      </c>
      <c r="H31" s="285"/>
      <c r="I31" s="285"/>
      <c r="J31" s="285">
        <f t="shared" si="3"/>
        <v>0</v>
      </c>
      <c r="K31" s="285"/>
      <c r="L31" s="285"/>
      <c r="N31" s="286"/>
      <c r="O31" s="285"/>
      <c r="Z31" s="285"/>
      <c r="AA31" s="285"/>
      <c r="AB31" s="285"/>
      <c r="AD31" s="285"/>
      <c r="AE31" s="285"/>
      <c r="AF31" s="285"/>
    </row>
    <row r="32" spans="1:32" ht="15" customHeight="1">
      <c r="A32" s="265"/>
      <c r="B32" s="265"/>
      <c r="C32" s="287" t="s">
        <v>2894</v>
      </c>
      <c r="D32" s="292" t="s">
        <v>2895</v>
      </c>
      <c r="E32" s="289" t="s">
        <v>2873</v>
      </c>
      <c r="F32" s="287">
        <v>1</v>
      </c>
      <c r="G32" s="285">
        <f t="shared" si="2"/>
        <v>0</v>
      </c>
      <c r="H32" s="285"/>
      <c r="I32" s="285"/>
      <c r="J32" s="285">
        <f t="shared" si="3"/>
        <v>0</v>
      </c>
      <c r="K32" s="285"/>
      <c r="L32" s="285"/>
      <c r="N32" s="286"/>
      <c r="O32" s="285"/>
      <c r="Z32" s="285"/>
      <c r="AA32" s="285"/>
      <c r="AB32" s="285"/>
      <c r="AD32" s="285"/>
      <c r="AE32" s="285"/>
      <c r="AF32" s="285"/>
    </row>
    <row r="33" spans="1:32" ht="15" customHeight="1">
      <c r="A33" s="265"/>
      <c r="B33" s="265"/>
      <c r="C33" s="287"/>
      <c r="D33" s="293" t="s">
        <v>2896</v>
      </c>
      <c r="E33" s="289"/>
      <c r="F33" s="291"/>
      <c r="G33" s="294"/>
      <c r="H33" s="285"/>
      <c r="I33" s="285"/>
      <c r="J33" s="285"/>
      <c r="K33" s="285"/>
      <c r="L33" s="285"/>
      <c r="N33" s="286"/>
      <c r="O33" s="285"/>
      <c r="Z33" s="285"/>
      <c r="AA33" s="285"/>
      <c r="AB33" s="285"/>
      <c r="AD33" s="285"/>
      <c r="AE33" s="285"/>
      <c r="AF33" s="285"/>
    </row>
    <row r="34" spans="1:32" ht="15" customHeight="1">
      <c r="A34" s="265"/>
      <c r="B34" s="265"/>
      <c r="C34" s="287"/>
      <c r="D34" s="288" t="s">
        <v>2881</v>
      </c>
      <c r="E34" s="289"/>
      <c r="F34" s="291"/>
      <c r="G34" s="294"/>
      <c r="H34" s="285"/>
      <c r="I34" s="285"/>
      <c r="J34" s="285"/>
      <c r="K34" s="285"/>
      <c r="L34" s="285"/>
      <c r="N34" s="286"/>
      <c r="O34" s="285"/>
      <c r="Z34" s="285"/>
      <c r="AA34" s="285"/>
      <c r="AB34" s="285"/>
      <c r="AD34" s="285"/>
      <c r="AE34" s="285"/>
      <c r="AF34" s="285"/>
    </row>
    <row r="35" spans="1:32" ht="15" customHeight="1">
      <c r="A35" s="265"/>
      <c r="B35" s="265"/>
      <c r="C35" s="287"/>
      <c r="D35" s="288" t="s">
        <v>2897</v>
      </c>
      <c r="E35" s="289"/>
      <c r="F35" s="291"/>
      <c r="G35" s="294"/>
      <c r="H35" s="285"/>
      <c r="I35" s="285"/>
      <c r="J35" s="285"/>
      <c r="K35" s="285"/>
      <c r="L35" s="285"/>
      <c r="N35" s="286"/>
      <c r="O35" s="285"/>
      <c r="Z35" s="285"/>
      <c r="AA35" s="285"/>
      <c r="AB35" s="285"/>
      <c r="AD35" s="285"/>
      <c r="AE35" s="285"/>
      <c r="AF35" s="285"/>
    </row>
    <row r="36" spans="1:32" ht="15" customHeight="1">
      <c r="A36" s="265"/>
      <c r="B36" s="265"/>
      <c r="C36" s="287" t="s">
        <v>2898</v>
      </c>
      <c r="D36" s="288" t="s">
        <v>2899</v>
      </c>
      <c r="E36" s="289" t="s">
        <v>425</v>
      </c>
      <c r="F36" s="287">
        <v>15</v>
      </c>
      <c r="G36" s="285">
        <f>H36+I36</f>
        <v>0</v>
      </c>
      <c r="H36" s="285"/>
      <c r="I36" s="285"/>
      <c r="J36" s="285">
        <f>ROUND(F36*G36,2)</f>
        <v>0</v>
      </c>
      <c r="K36" s="285"/>
      <c r="L36" s="285"/>
      <c r="N36" s="286"/>
      <c r="O36" s="285"/>
      <c r="Z36" s="285"/>
      <c r="AA36" s="285"/>
      <c r="AB36" s="285"/>
      <c r="AD36" s="285"/>
      <c r="AE36" s="285"/>
      <c r="AF36" s="285"/>
    </row>
    <row r="37" spans="1:32" ht="15" customHeight="1">
      <c r="A37" s="265"/>
      <c r="B37" s="265"/>
      <c r="C37" s="287"/>
      <c r="D37" s="293" t="s">
        <v>2900</v>
      </c>
      <c r="E37" s="289"/>
      <c r="F37" s="291"/>
      <c r="G37" s="294"/>
      <c r="H37" s="285"/>
      <c r="I37" s="285"/>
      <c r="J37" s="285"/>
      <c r="K37" s="285"/>
      <c r="L37" s="285"/>
      <c r="N37" s="286"/>
      <c r="O37" s="285"/>
      <c r="Z37" s="285"/>
      <c r="AA37" s="285"/>
      <c r="AB37" s="285"/>
      <c r="AD37" s="285"/>
      <c r="AE37" s="285"/>
      <c r="AF37" s="285"/>
    </row>
    <row r="38" spans="1:32" ht="15" customHeight="1">
      <c r="A38" s="265"/>
      <c r="B38" s="265"/>
      <c r="C38" s="287"/>
      <c r="D38" s="290" t="s">
        <v>2901</v>
      </c>
      <c r="E38" s="289"/>
      <c r="F38" s="291"/>
      <c r="G38" s="294"/>
      <c r="H38" s="285"/>
      <c r="I38" s="285"/>
      <c r="J38" s="285"/>
      <c r="K38" s="285"/>
      <c r="L38" s="285"/>
      <c r="N38" s="286"/>
      <c r="O38" s="285"/>
      <c r="Z38" s="285"/>
      <c r="AA38" s="285"/>
      <c r="AB38" s="285"/>
      <c r="AD38" s="285"/>
      <c r="AE38" s="285"/>
      <c r="AF38" s="285"/>
    </row>
    <row r="39" spans="1:32" ht="15" customHeight="1">
      <c r="A39" s="265"/>
      <c r="B39" s="265"/>
      <c r="C39" s="287"/>
      <c r="D39" s="290" t="s">
        <v>2902</v>
      </c>
      <c r="E39" s="289"/>
      <c r="F39" s="291"/>
      <c r="G39" s="294"/>
      <c r="H39" s="285"/>
      <c r="I39" s="285"/>
      <c r="J39" s="285"/>
      <c r="K39" s="285"/>
      <c r="L39" s="285"/>
      <c r="N39" s="286"/>
      <c r="O39" s="285"/>
      <c r="Z39" s="285"/>
      <c r="AA39" s="285"/>
      <c r="AB39" s="285"/>
      <c r="AD39" s="285"/>
      <c r="AE39" s="285"/>
      <c r="AF39" s="285"/>
    </row>
    <row r="40" spans="1:32" ht="15" customHeight="1">
      <c r="A40" s="265"/>
      <c r="B40" s="265"/>
      <c r="C40" s="287"/>
      <c r="D40" s="290" t="s">
        <v>2903</v>
      </c>
      <c r="E40" s="289"/>
      <c r="F40" s="291"/>
      <c r="G40" s="294"/>
      <c r="H40" s="285"/>
      <c r="I40" s="285"/>
      <c r="J40" s="285"/>
      <c r="K40" s="285"/>
      <c r="L40" s="285"/>
      <c r="N40" s="286"/>
      <c r="O40" s="285"/>
      <c r="Z40" s="285"/>
      <c r="AA40" s="285"/>
      <c r="AB40" s="285"/>
      <c r="AD40" s="285"/>
      <c r="AE40" s="285"/>
      <c r="AF40" s="285"/>
    </row>
    <row r="41" spans="1:32" ht="15" customHeight="1">
      <c r="A41" s="265"/>
      <c r="B41" s="265"/>
      <c r="C41" s="287" t="s">
        <v>2904</v>
      </c>
      <c r="D41" s="288" t="s">
        <v>2905</v>
      </c>
      <c r="E41" s="289" t="s">
        <v>2873</v>
      </c>
      <c r="F41" s="287">
        <v>12</v>
      </c>
      <c r="G41" s="285">
        <f>H41+I41</f>
        <v>0</v>
      </c>
      <c r="H41" s="285"/>
      <c r="I41" s="285"/>
      <c r="J41" s="285">
        <f>ROUND(F41*G41,2)</f>
        <v>0</v>
      </c>
      <c r="K41" s="285"/>
      <c r="L41" s="285"/>
      <c r="N41" s="286"/>
      <c r="O41" s="285"/>
      <c r="Z41" s="285"/>
      <c r="AA41" s="285"/>
      <c r="AB41" s="285"/>
      <c r="AD41" s="285"/>
      <c r="AE41" s="285"/>
      <c r="AF41" s="285"/>
    </row>
    <row r="42" spans="1:32" ht="15" customHeight="1">
      <c r="A42" s="265"/>
      <c r="B42" s="265"/>
      <c r="C42" s="287" t="s">
        <v>2906</v>
      </c>
      <c r="D42" s="288" t="s">
        <v>2907</v>
      </c>
      <c r="E42" s="289" t="s">
        <v>2873</v>
      </c>
      <c r="F42" s="287">
        <v>1</v>
      </c>
      <c r="G42" s="285">
        <f>H42+I42</f>
        <v>0</v>
      </c>
      <c r="H42" s="285"/>
      <c r="I42" s="285"/>
      <c r="J42" s="285">
        <f>ROUND(F42*G42,2)</f>
        <v>0</v>
      </c>
      <c r="K42" s="285"/>
      <c r="L42" s="285"/>
      <c r="N42" s="286"/>
      <c r="O42" s="285"/>
      <c r="Z42" s="285"/>
      <c r="AA42" s="285"/>
      <c r="AB42" s="285"/>
      <c r="AD42" s="285"/>
      <c r="AE42" s="285"/>
      <c r="AF42" s="285"/>
    </row>
    <row r="43" spans="1:32" ht="15" customHeight="1">
      <c r="A43" s="265"/>
      <c r="B43" s="265"/>
      <c r="C43" s="287"/>
      <c r="D43" s="295" t="s">
        <v>2908</v>
      </c>
      <c r="E43" s="289"/>
      <c r="F43" s="291"/>
      <c r="G43" s="287"/>
      <c r="H43" s="287"/>
      <c r="I43" s="296"/>
      <c r="J43" s="285"/>
      <c r="K43" s="285"/>
      <c r="L43" s="285"/>
      <c r="N43" s="286"/>
      <c r="O43" s="285"/>
      <c r="Z43" s="285"/>
      <c r="AA43" s="285"/>
      <c r="AB43" s="285"/>
      <c r="AD43" s="285"/>
      <c r="AE43" s="285"/>
      <c r="AF43" s="285"/>
    </row>
    <row r="44" spans="1:32" ht="15" customHeight="1">
      <c r="A44" s="265"/>
      <c r="B44" s="265"/>
      <c r="C44" s="287" t="s">
        <v>2909</v>
      </c>
      <c r="D44" s="288" t="s">
        <v>2910</v>
      </c>
      <c r="E44" s="289" t="s">
        <v>257</v>
      </c>
      <c r="F44" s="287">
        <v>20</v>
      </c>
      <c r="G44" s="285">
        <f>H44+I44</f>
        <v>0</v>
      </c>
      <c r="H44" s="285"/>
      <c r="I44" s="285"/>
      <c r="J44" s="285">
        <f>ROUND(F44*G44,2)</f>
        <v>0</v>
      </c>
      <c r="K44" s="285"/>
      <c r="L44" s="285"/>
      <c r="N44" s="286"/>
      <c r="O44" s="285"/>
      <c r="Z44" s="285"/>
      <c r="AA44" s="285"/>
      <c r="AB44" s="285"/>
      <c r="AD44" s="285"/>
      <c r="AE44" s="285"/>
      <c r="AF44" s="285"/>
    </row>
    <row r="45" spans="1:32" ht="15" customHeight="1">
      <c r="A45" s="265"/>
      <c r="B45" s="265"/>
      <c r="C45" s="287" t="s">
        <v>2911</v>
      </c>
      <c r="D45" s="288" t="s">
        <v>2912</v>
      </c>
      <c r="E45" s="289" t="s">
        <v>257</v>
      </c>
      <c r="F45" s="287">
        <v>20</v>
      </c>
      <c r="G45" s="285">
        <f>H45+I45</f>
        <v>0</v>
      </c>
      <c r="H45" s="285"/>
      <c r="I45" s="285"/>
      <c r="J45" s="285">
        <f>ROUND(F45*G45,2)</f>
        <v>0</v>
      </c>
      <c r="K45" s="285"/>
      <c r="L45" s="285"/>
      <c r="N45" s="286"/>
      <c r="O45" s="285"/>
      <c r="Z45" s="285"/>
      <c r="AA45" s="285"/>
      <c r="AB45" s="285"/>
      <c r="AD45" s="285"/>
      <c r="AE45" s="285"/>
      <c r="AF45" s="285"/>
    </row>
    <row r="46" spans="1:32" ht="15" customHeight="1">
      <c r="A46" s="265"/>
      <c r="B46" s="265"/>
      <c r="C46" s="287" t="s">
        <v>2913</v>
      </c>
      <c r="D46" s="288" t="s">
        <v>2914</v>
      </c>
      <c r="E46" s="289" t="s">
        <v>257</v>
      </c>
      <c r="F46" s="287">
        <v>20</v>
      </c>
      <c r="G46" s="285">
        <f>H46+I46</f>
        <v>0</v>
      </c>
      <c r="H46" s="285"/>
      <c r="I46" s="285"/>
      <c r="J46" s="285">
        <f>ROUND(F46*G46,2)</f>
        <v>0</v>
      </c>
      <c r="K46" s="285"/>
      <c r="L46" s="285"/>
      <c r="N46" s="286"/>
      <c r="O46" s="285"/>
      <c r="Z46" s="285"/>
      <c r="AA46" s="285"/>
      <c r="AB46" s="285"/>
      <c r="AD46" s="285"/>
      <c r="AE46" s="285"/>
      <c r="AF46" s="285"/>
    </row>
    <row r="47" spans="1:32" ht="15" customHeight="1">
      <c r="A47" s="265"/>
      <c r="B47" s="265"/>
      <c r="C47" s="287" t="s">
        <v>2915</v>
      </c>
      <c r="D47" s="288" t="s">
        <v>2916</v>
      </c>
      <c r="E47" s="289" t="s">
        <v>257</v>
      </c>
      <c r="F47" s="287">
        <v>70</v>
      </c>
      <c r="G47" s="285">
        <f>H47+I47</f>
        <v>0</v>
      </c>
      <c r="H47" s="285"/>
      <c r="I47" s="285"/>
      <c r="J47" s="285">
        <f>ROUND(F47*G47,2)</f>
        <v>0</v>
      </c>
      <c r="K47" s="285"/>
      <c r="L47" s="285"/>
      <c r="N47" s="286"/>
      <c r="O47" s="285"/>
      <c r="Z47" s="285"/>
      <c r="AA47" s="285"/>
      <c r="AB47" s="285"/>
      <c r="AD47" s="285"/>
      <c r="AE47" s="285"/>
      <c r="AF47" s="285"/>
    </row>
    <row r="48" spans="1:32" ht="15" customHeight="1">
      <c r="A48" s="265"/>
      <c r="B48" s="265"/>
      <c r="C48" s="297"/>
      <c r="D48" s="295" t="s">
        <v>2917</v>
      </c>
      <c r="E48" s="289"/>
      <c r="F48" s="291"/>
      <c r="G48" s="287"/>
      <c r="H48" s="287"/>
      <c r="I48" s="296"/>
      <c r="J48" s="285"/>
      <c r="K48" s="285"/>
      <c r="L48" s="285"/>
      <c r="N48" s="286"/>
      <c r="O48" s="285"/>
      <c r="Z48" s="285"/>
      <c r="AA48" s="285"/>
      <c r="AB48" s="285"/>
      <c r="AD48" s="285"/>
      <c r="AE48" s="285"/>
      <c r="AF48" s="285"/>
    </row>
    <row r="49" spans="1:32" ht="15" customHeight="1">
      <c r="A49" s="265"/>
      <c r="B49" s="265"/>
      <c r="C49" s="297" t="s">
        <v>2918</v>
      </c>
      <c r="D49" s="288" t="s">
        <v>2919</v>
      </c>
      <c r="E49" s="289" t="s">
        <v>2873</v>
      </c>
      <c r="F49" s="287">
        <v>12</v>
      </c>
      <c r="G49" s="285">
        <f>H49+I49</f>
        <v>0</v>
      </c>
      <c r="H49" s="285"/>
      <c r="I49" s="285"/>
      <c r="J49" s="285">
        <f>ROUND(F49*G49,2)</f>
        <v>0</v>
      </c>
      <c r="K49" s="285"/>
      <c r="L49" s="285"/>
      <c r="N49" s="286"/>
      <c r="O49" s="285"/>
      <c r="Z49" s="285"/>
      <c r="AA49" s="285"/>
      <c r="AB49" s="285"/>
      <c r="AD49" s="285"/>
      <c r="AE49" s="285"/>
      <c r="AF49" s="285"/>
    </row>
    <row r="50" spans="1:32" ht="15" customHeight="1">
      <c r="A50" s="265"/>
      <c r="B50" s="265"/>
      <c r="C50" s="297"/>
      <c r="D50" s="295" t="s">
        <v>2920</v>
      </c>
      <c r="E50" s="289"/>
      <c r="F50" s="287"/>
      <c r="G50" s="285"/>
      <c r="H50" s="285"/>
      <c r="I50" s="285"/>
      <c r="J50" s="285"/>
      <c r="K50" s="285"/>
      <c r="L50" s="285"/>
      <c r="N50" s="286"/>
      <c r="O50" s="285"/>
      <c r="Z50" s="285"/>
      <c r="AA50" s="285"/>
      <c r="AB50" s="285"/>
      <c r="AD50" s="285"/>
      <c r="AE50" s="285"/>
      <c r="AF50" s="285"/>
    </row>
    <row r="51" spans="1:32" ht="15" customHeight="1">
      <c r="A51" s="265"/>
      <c r="B51" s="265"/>
      <c r="C51" s="297" t="s">
        <v>2921</v>
      </c>
      <c r="D51" s="288" t="s">
        <v>2922</v>
      </c>
      <c r="E51" s="289" t="s">
        <v>2873</v>
      </c>
      <c r="F51" s="287">
        <v>9</v>
      </c>
      <c r="G51" s="285">
        <f>H51+I51</f>
        <v>0</v>
      </c>
      <c r="H51" s="285"/>
      <c r="I51" s="285"/>
      <c r="J51" s="285">
        <f>ROUND(F51*G51,2)</f>
        <v>0</v>
      </c>
      <c r="K51" s="285"/>
      <c r="L51" s="285"/>
      <c r="N51" s="286"/>
      <c r="O51" s="285"/>
      <c r="Z51" s="285"/>
      <c r="AA51" s="285"/>
      <c r="AB51" s="285"/>
      <c r="AD51" s="285"/>
      <c r="AE51" s="285"/>
      <c r="AF51" s="285"/>
    </row>
    <row r="52" spans="1:32" ht="15" customHeight="1">
      <c r="A52" s="265"/>
      <c r="B52" s="265"/>
      <c r="C52" s="297"/>
      <c r="D52" s="293" t="s">
        <v>2923</v>
      </c>
      <c r="E52" s="289"/>
      <c r="F52" s="291"/>
      <c r="G52" s="285"/>
      <c r="H52" s="285"/>
      <c r="I52" s="285"/>
      <c r="J52" s="285"/>
      <c r="K52" s="285"/>
      <c r="L52" s="285"/>
      <c r="N52" s="286"/>
      <c r="O52" s="285"/>
      <c r="Z52" s="285"/>
      <c r="AA52" s="285"/>
      <c r="AB52" s="285"/>
      <c r="AD52" s="285"/>
      <c r="AE52" s="285"/>
      <c r="AF52" s="285"/>
    </row>
    <row r="53" spans="1:32" ht="15" customHeight="1">
      <c r="A53" s="265"/>
      <c r="B53" s="265"/>
      <c r="C53" s="297" t="s">
        <v>2924</v>
      </c>
      <c r="D53" s="288" t="s">
        <v>2925</v>
      </c>
      <c r="E53" s="289" t="s">
        <v>2873</v>
      </c>
      <c r="F53" s="287">
        <v>1</v>
      </c>
      <c r="G53" s="285">
        <f>H53+I53</f>
        <v>0</v>
      </c>
      <c r="H53" s="285"/>
      <c r="I53" s="285"/>
      <c r="J53" s="285">
        <f>ROUND(F53*G53,2)</f>
        <v>0</v>
      </c>
      <c r="K53" s="285"/>
      <c r="L53" s="285"/>
      <c r="N53" s="286"/>
      <c r="O53" s="285"/>
      <c r="Z53" s="285"/>
      <c r="AA53" s="285"/>
      <c r="AB53" s="285"/>
      <c r="AD53" s="285"/>
      <c r="AE53" s="285"/>
      <c r="AF53" s="285"/>
    </row>
    <row r="54" spans="1:32" ht="15" customHeight="1">
      <c r="A54" s="265"/>
      <c r="B54" s="265"/>
      <c r="C54" s="297" t="s">
        <v>2926</v>
      </c>
      <c r="D54" s="292" t="s">
        <v>2927</v>
      </c>
      <c r="E54" s="289" t="s">
        <v>2873</v>
      </c>
      <c r="F54" s="287">
        <v>6</v>
      </c>
      <c r="G54" s="285">
        <f>H54+I54</f>
        <v>0</v>
      </c>
      <c r="H54" s="285"/>
      <c r="I54" s="285"/>
      <c r="J54" s="285">
        <f>ROUND(F54*G54,2)</f>
        <v>0</v>
      </c>
      <c r="K54" s="285"/>
      <c r="L54" s="285"/>
      <c r="N54" s="286"/>
      <c r="O54" s="285"/>
      <c r="Z54" s="285"/>
      <c r="AA54" s="285"/>
      <c r="AB54" s="285"/>
      <c r="AD54" s="285"/>
      <c r="AE54" s="285"/>
      <c r="AF54" s="285"/>
    </row>
    <row r="55" spans="1:32" ht="15" customHeight="1">
      <c r="A55" s="265"/>
      <c r="B55" s="265"/>
      <c r="C55" s="297" t="s">
        <v>2928</v>
      </c>
      <c r="D55" s="292" t="s">
        <v>2929</v>
      </c>
      <c r="E55" s="289" t="s">
        <v>2873</v>
      </c>
      <c r="F55" s="287">
        <v>1</v>
      </c>
      <c r="G55" s="285">
        <f>H55+I55</f>
        <v>0</v>
      </c>
      <c r="H55" s="285"/>
      <c r="I55" s="285"/>
      <c r="J55" s="285">
        <f>ROUND(F55*G55,2)</f>
        <v>0</v>
      </c>
      <c r="K55" s="285"/>
      <c r="L55" s="285"/>
      <c r="N55" s="286"/>
      <c r="O55" s="285"/>
      <c r="Z55" s="285"/>
      <c r="AA55" s="285"/>
      <c r="AB55" s="285"/>
      <c r="AD55" s="285"/>
      <c r="AE55" s="285"/>
      <c r="AF55" s="285"/>
    </row>
    <row r="56" spans="1:32" ht="15" customHeight="1">
      <c r="A56" s="265"/>
      <c r="B56" s="265"/>
      <c r="C56" s="297" t="s">
        <v>2930</v>
      </c>
      <c r="D56" s="292" t="s">
        <v>2931</v>
      </c>
      <c r="E56" s="289" t="s">
        <v>2873</v>
      </c>
      <c r="F56" s="287">
        <v>1</v>
      </c>
      <c r="G56" s="285">
        <f>H56+I56</f>
        <v>0</v>
      </c>
      <c r="H56" s="285"/>
      <c r="I56" s="285"/>
      <c r="J56" s="285">
        <f>ROUND(F56*G56,2)</f>
        <v>0</v>
      </c>
      <c r="K56" s="285"/>
      <c r="L56" s="285"/>
      <c r="N56" s="286"/>
      <c r="O56" s="285"/>
      <c r="Z56" s="285"/>
      <c r="AA56" s="285"/>
      <c r="AB56" s="285"/>
      <c r="AD56" s="285"/>
      <c r="AE56" s="285"/>
      <c r="AF56" s="285"/>
    </row>
    <row r="57" spans="1:32" ht="15" customHeight="1">
      <c r="A57" s="265"/>
      <c r="B57" s="265"/>
      <c r="C57" s="297"/>
      <c r="D57" s="295" t="s">
        <v>2932</v>
      </c>
      <c r="E57" s="289"/>
      <c r="F57" s="287"/>
      <c r="G57" s="285"/>
      <c r="H57" s="285"/>
      <c r="I57" s="285"/>
      <c r="J57" s="285"/>
      <c r="K57" s="285"/>
      <c r="L57" s="285"/>
      <c r="N57" s="286"/>
      <c r="O57" s="285"/>
      <c r="Z57" s="285"/>
      <c r="AA57" s="285"/>
      <c r="AB57" s="285"/>
      <c r="AD57" s="285"/>
      <c r="AE57" s="285"/>
      <c r="AF57" s="285"/>
    </row>
    <row r="58" spans="1:32" ht="15" customHeight="1">
      <c r="A58" s="265"/>
      <c r="B58" s="265"/>
      <c r="C58" s="297" t="s">
        <v>2933</v>
      </c>
      <c r="D58" s="288" t="s">
        <v>2934</v>
      </c>
      <c r="E58" s="289" t="s">
        <v>2873</v>
      </c>
      <c r="F58" s="298">
        <v>2</v>
      </c>
      <c r="G58" s="285">
        <f>H58+I58</f>
        <v>0</v>
      </c>
      <c r="H58" s="285"/>
      <c r="I58" s="285"/>
      <c r="J58" s="285">
        <f>ROUND(F58*G58,2)</f>
        <v>0</v>
      </c>
      <c r="K58" s="285"/>
      <c r="L58" s="285"/>
      <c r="N58" s="286"/>
      <c r="O58" s="285"/>
      <c r="Z58" s="285"/>
      <c r="AA58" s="285"/>
      <c r="AB58" s="285"/>
      <c r="AD58" s="285"/>
      <c r="AE58" s="285"/>
      <c r="AF58" s="285"/>
    </row>
    <row r="59" spans="1:32" ht="15" customHeight="1">
      <c r="A59" s="265"/>
      <c r="B59" s="265"/>
      <c r="C59" s="297"/>
      <c r="D59" s="295" t="s">
        <v>2935</v>
      </c>
      <c r="E59" s="289"/>
      <c r="F59" s="291"/>
      <c r="G59" s="285"/>
      <c r="H59" s="285"/>
      <c r="I59" s="285"/>
      <c r="J59" s="285"/>
      <c r="K59" s="285"/>
      <c r="L59" s="285"/>
      <c r="N59" s="286"/>
      <c r="O59" s="285"/>
      <c r="Z59" s="285"/>
      <c r="AA59" s="285"/>
      <c r="AB59" s="285"/>
      <c r="AD59" s="285"/>
      <c r="AE59" s="285"/>
      <c r="AF59" s="285"/>
    </row>
    <row r="60" spans="1:32" ht="15" customHeight="1">
      <c r="A60" s="265"/>
      <c r="B60" s="265"/>
      <c r="C60" s="297" t="s">
        <v>2936</v>
      </c>
      <c r="D60" s="288" t="s">
        <v>2937</v>
      </c>
      <c r="E60" s="289" t="s">
        <v>2873</v>
      </c>
      <c r="F60" s="287">
        <v>1</v>
      </c>
      <c r="G60" s="285">
        <f>H60+I60</f>
        <v>0</v>
      </c>
      <c r="H60" s="285"/>
      <c r="I60" s="285"/>
      <c r="J60" s="285">
        <f>ROUND(F60*G60,2)</f>
        <v>0</v>
      </c>
      <c r="K60" s="285"/>
      <c r="L60" s="285"/>
      <c r="N60" s="286"/>
      <c r="O60" s="285"/>
      <c r="Z60" s="285"/>
      <c r="AA60" s="285"/>
      <c r="AB60" s="285"/>
      <c r="AD60" s="285"/>
      <c r="AE60" s="285"/>
      <c r="AF60" s="285"/>
    </row>
    <row r="61" spans="1:32" ht="15" customHeight="1">
      <c r="A61" s="265"/>
      <c r="B61" s="265"/>
      <c r="C61" s="297"/>
      <c r="D61" s="295" t="s">
        <v>2938</v>
      </c>
      <c r="E61" s="289"/>
      <c r="F61" s="291"/>
      <c r="G61" s="285"/>
      <c r="H61" s="285"/>
      <c r="I61" s="285"/>
      <c r="J61" s="285"/>
      <c r="K61" s="285"/>
      <c r="L61" s="285"/>
      <c r="N61" s="286"/>
      <c r="O61" s="285"/>
      <c r="Z61" s="285"/>
      <c r="AA61" s="285"/>
      <c r="AB61" s="285"/>
      <c r="AD61" s="285"/>
      <c r="AE61" s="285"/>
      <c r="AF61" s="285"/>
    </row>
    <row r="62" spans="1:32" ht="15" customHeight="1">
      <c r="A62" s="265"/>
      <c r="B62" s="265"/>
      <c r="C62" s="297"/>
      <c r="D62" s="295" t="s">
        <v>2939</v>
      </c>
      <c r="E62" s="289"/>
      <c r="F62" s="291"/>
      <c r="G62" s="285"/>
      <c r="H62" s="285"/>
      <c r="I62" s="285"/>
      <c r="J62" s="285"/>
      <c r="K62" s="285"/>
      <c r="L62" s="285"/>
      <c r="N62" s="286"/>
      <c r="O62" s="285"/>
      <c r="Z62" s="285"/>
      <c r="AA62" s="285"/>
      <c r="AB62" s="285"/>
      <c r="AD62" s="285"/>
      <c r="AE62" s="285"/>
      <c r="AF62" s="285"/>
    </row>
    <row r="63" spans="1:32" ht="15" customHeight="1">
      <c r="A63" s="265"/>
      <c r="B63" s="265"/>
      <c r="C63" s="297"/>
      <c r="D63" s="295" t="s">
        <v>2940</v>
      </c>
      <c r="E63" s="289"/>
      <c r="F63" s="291"/>
      <c r="G63" s="285"/>
      <c r="H63" s="285"/>
      <c r="I63" s="285"/>
      <c r="J63" s="285"/>
      <c r="K63" s="285"/>
      <c r="L63" s="285"/>
      <c r="N63" s="286"/>
      <c r="O63" s="285"/>
      <c r="Z63" s="285"/>
      <c r="AA63" s="285"/>
      <c r="AB63" s="285"/>
      <c r="AD63" s="285"/>
      <c r="AE63" s="285"/>
      <c r="AF63" s="285"/>
    </row>
    <row r="64" spans="1:32" ht="15" customHeight="1">
      <c r="A64" s="265"/>
      <c r="B64" s="265"/>
      <c r="C64" s="297" t="s">
        <v>2941</v>
      </c>
      <c r="D64" s="288" t="s">
        <v>2942</v>
      </c>
      <c r="E64" s="289" t="s">
        <v>2943</v>
      </c>
      <c r="F64" s="287">
        <v>35</v>
      </c>
      <c r="G64" s="285">
        <f>H64+I64</f>
        <v>0</v>
      </c>
      <c r="H64" s="285"/>
      <c r="I64" s="285"/>
      <c r="J64" s="285">
        <f>ROUND(F64*G64,2)</f>
        <v>0</v>
      </c>
      <c r="K64" s="285"/>
      <c r="L64" s="285"/>
      <c r="N64" s="286"/>
      <c r="O64" s="285"/>
      <c r="Z64" s="285"/>
      <c r="AA64" s="285"/>
      <c r="AB64" s="285"/>
      <c r="AD64" s="285"/>
      <c r="AE64" s="285"/>
      <c r="AF64" s="285"/>
    </row>
    <row r="65" spans="1:37" ht="15" customHeight="1">
      <c r="A65" s="265"/>
      <c r="B65" s="265"/>
      <c r="C65" s="297"/>
      <c r="D65" s="295" t="s">
        <v>2944</v>
      </c>
      <c r="E65" s="289"/>
      <c r="F65" s="291"/>
      <c r="G65" s="285"/>
      <c r="H65" s="285"/>
      <c r="I65" s="285"/>
      <c r="J65" s="285"/>
      <c r="K65" s="285"/>
      <c r="L65" s="285"/>
      <c r="N65" s="286"/>
      <c r="O65" s="285"/>
      <c r="Z65" s="285"/>
      <c r="AA65" s="285"/>
      <c r="AB65" s="285"/>
      <c r="AD65" s="285"/>
      <c r="AE65" s="285"/>
      <c r="AF65" s="285"/>
    </row>
    <row r="66" spans="1:37" ht="15" customHeight="1">
      <c r="A66" s="265"/>
      <c r="B66" s="265"/>
      <c r="C66" s="297" t="s">
        <v>2945</v>
      </c>
      <c r="D66" s="288" t="s">
        <v>2946</v>
      </c>
      <c r="E66" s="289" t="s">
        <v>257</v>
      </c>
      <c r="F66" s="287">
        <v>33</v>
      </c>
      <c r="G66" s="285">
        <f>H66+I66</f>
        <v>0</v>
      </c>
      <c r="H66" s="285"/>
      <c r="I66" s="285"/>
      <c r="J66" s="285">
        <f>ROUND(F66*G66,2)</f>
        <v>0</v>
      </c>
      <c r="K66" s="285"/>
      <c r="L66" s="285"/>
      <c r="N66" s="286"/>
      <c r="O66" s="285"/>
      <c r="Z66" s="285"/>
      <c r="AA66" s="285"/>
      <c r="AB66" s="285"/>
      <c r="AD66" s="285"/>
      <c r="AE66" s="285"/>
      <c r="AF66" s="285"/>
    </row>
    <row r="67" spans="1:37" ht="15" customHeight="1">
      <c r="A67" s="265"/>
      <c r="B67" s="265"/>
      <c r="C67" s="297"/>
      <c r="D67" s="295" t="s">
        <v>2947</v>
      </c>
      <c r="E67" s="289"/>
      <c r="F67" s="291"/>
      <c r="G67" s="285"/>
      <c r="H67" s="285"/>
      <c r="I67" s="285"/>
      <c r="K67" s="285"/>
      <c r="L67" s="285"/>
      <c r="N67" s="286"/>
      <c r="O67" s="285"/>
      <c r="Z67" s="285"/>
      <c r="AA67" s="285"/>
      <c r="AB67" s="285"/>
      <c r="AD67" s="285"/>
      <c r="AE67" s="285"/>
      <c r="AF67" s="285"/>
    </row>
    <row r="68" spans="1:37" ht="15" customHeight="1">
      <c r="A68" s="265"/>
      <c r="B68" s="265"/>
      <c r="C68" s="297"/>
      <c r="D68" s="288" t="s">
        <v>2948</v>
      </c>
      <c r="E68" s="289" t="s">
        <v>257</v>
      </c>
      <c r="F68" s="287"/>
      <c r="G68" s="285"/>
      <c r="H68" s="285"/>
      <c r="I68" s="285"/>
      <c r="J68" s="285"/>
      <c r="K68" s="285"/>
      <c r="L68" s="285"/>
      <c r="N68" s="286"/>
      <c r="O68" s="285"/>
      <c r="Z68" s="285"/>
      <c r="AA68" s="285"/>
      <c r="AB68" s="285"/>
      <c r="AD68" s="285"/>
      <c r="AE68" s="285"/>
      <c r="AF68" s="285"/>
    </row>
    <row r="69" spans="1:37" ht="15" customHeight="1">
      <c r="A69" s="265"/>
      <c r="B69" s="265"/>
      <c r="C69" s="297" t="s">
        <v>2915</v>
      </c>
      <c r="D69" s="288" t="s">
        <v>2949</v>
      </c>
      <c r="E69" s="289" t="s">
        <v>257</v>
      </c>
      <c r="F69" s="287">
        <v>33</v>
      </c>
      <c r="G69" s="285">
        <f>H69+I69</f>
        <v>0</v>
      </c>
      <c r="H69" s="285"/>
      <c r="I69" s="285"/>
      <c r="J69" s="285">
        <f>ROUND(F69*G69,2)</f>
        <v>0</v>
      </c>
      <c r="K69" s="285"/>
      <c r="L69" s="285"/>
      <c r="N69" s="286"/>
      <c r="O69" s="285"/>
      <c r="Z69" s="285"/>
      <c r="AA69" s="285"/>
      <c r="AB69" s="285"/>
      <c r="AD69" s="285"/>
      <c r="AE69" s="285"/>
      <c r="AF69" s="285"/>
    </row>
    <row r="70" spans="1:37" ht="15" customHeight="1">
      <c r="A70" s="265"/>
      <c r="B70" s="265"/>
      <c r="C70" s="297"/>
      <c r="D70" s="293" t="s">
        <v>2950</v>
      </c>
      <c r="E70" s="289"/>
      <c r="F70" s="291"/>
      <c r="G70" s="285"/>
      <c r="H70" s="285"/>
      <c r="I70" s="285"/>
      <c r="J70" s="285"/>
      <c r="K70" s="285"/>
      <c r="L70" s="285"/>
      <c r="N70" s="286"/>
      <c r="O70" s="285"/>
      <c r="Z70" s="285"/>
      <c r="AA70" s="285"/>
      <c r="AB70" s="285"/>
      <c r="AD70" s="285"/>
      <c r="AE70" s="285"/>
      <c r="AF70" s="285"/>
    </row>
    <row r="71" spans="1:37" ht="15" customHeight="1">
      <c r="A71" s="265"/>
      <c r="B71" s="265"/>
      <c r="C71" s="297"/>
      <c r="D71" s="288" t="s">
        <v>2951</v>
      </c>
      <c r="E71" s="299"/>
      <c r="F71" s="291"/>
      <c r="G71" s="285"/>
      <c r="H71" s="285"/>
      <c r="I71" s="285"/>
      <c r="J71" s="285"/>
      <c r="K71" s="285"/>
      <c r="L71" s="285"/>
      <c r="N71" s="286"/>
      <c r="O71" s="285"/>
      <c r="Z71" s="285"/>
      <c r="AA71" s="285"/>
      <c r="AB71" s="285"/>
      <c r="AD71" s="285"/>
      <c r="AE71" s="285"/>
      <c r="AF71" s="285"/>
    </row>
    <row r="72" spans="1:37" ht="15" customHeight="1">
      <c r="A72" s="265"/>
      <c r="B72" s="265"/>
      <c r="C72" s="297" t="s">
        <v>2952</v>
      </c>
      <c r="D72" s="288" t="s">
        <v>2953</v>
      </c>
      <c r="E72" s="289" t="s">
        <v>257</v>
      </c>
      <c r="F72" s="287">
        <v>40</v>
      </c>
      <c r="G72" s="285">
        <f>H72+I72</f>
        <v>0</v>
      </c>
      <c r="H72" s="285"/>
      <c r="I72" s="285"/>
      <c r="J72" s="285">
        <f>ROUND(F72*G72,2)</f>
        <v>0</v>
      </c>
      <c r="K72" s="285"/>
      <c r="L72" s="285"/>
      <c r="N72" s="286"/>
      <c r="O72" s="285"/>
      <c r="Z72" s="285"/>
      <c r="AA72" s="285"/>
      <c r="AB72" s="285"/>
      <c r="AD72" s="285"/>
      <c r="AE72" s="285"/>
      <c r="AF72" s="285"/>
    </row>
    <row r="73" spans="1:37" ht="15" customHeight="1">
      <c r="A73" s="265"/>
      <c r="B73" s="265"/>
      <c r="C73" s="297"/>
      <c r="D73" s="295" t="s">
        <v>2954</v>
      </c>
      <c r="E73" s="289"/>
      <c r="F73" s="291"/>
      <c r="G73" s="285"/>
      <c r="H73" s="285"/>
      <c r="I73" s="285"/>
      <c r="J73" s="285"/>
      <c r="K73" s="285"/>
      <c r="L73" s="285"/>
      <c r="N73" s="286"/>
      <c r="O73" s="285"/>
      <c r="Z73" s="285"/>
      <c r="AA73" s="285"/>
      <c r="AB73" s="285"/>
      <c r="AD73" s="285"/>
      <c r="AE73" s="285"/>
      <c r="AF73" s="285"/>
    </row>
    <row r="74" spans="1:37">
      <c r="A74" s="265"/>
      <c r="B74" s="265"/>
      <c r="C74" s="265" t="s">
        <v>2955</v>
      </c>
      <c r="D74" s="265" t="s">
        <v>2956</v>
      </c>
      <c r="E74" s="284" t="s">
        <v>257</v>
      </c>
      <c r="F74" s="285">
        <f>F13+F15+F16</f>
        <v>45</v>
      </c>
      <c r="G74" s="285">
        <f>H74+I74</f>
        <v>0</v>
      </c>
      <c r="H74" s="285"/>
      <c r="I74" s="285"/>
      <c r="J74" s="285">
        <f>ROUND(F74*G74,2)</f>
        <v>0</v>
      </c>
      <c r="K74" s="285"/>
      <c r="L74" s="285"/>
      <c r="N74" s="286" t="s">
        <v>79</v>
      </c>
      <c r="O74" s="285">
        <f>IF(N74="5",I74,0)</f>
        <v>0</v>
      </c>
      <c r="Z74" s="285">
        <f>IF(AD74=0,J74,0)</f>
        <v>0</v>
      </c>
      <c r="AA74" s="285">
        <f>IF(AD74=10,J74,0)</f>
        <v>0</v>
      </c>
      <c r="AB74" s="285">
        <f>IF(AD74=20,J74,0)</f>
        <v>0</v>
      </c>
      <c r="AD74" s="285">
        <v>20</v>
      </c>
      <c r="AE74" s="285">
        <f>G74*0.0928512736236647</f>
        <v>0</v>
      </c>
      <c r="AF74" s="285">
        <f>G74*(1-0.0928512736236647)</f>
        <v>0</v>
      </c>
    </row>
    <row r="75" spans="1:37">
      <c r="A75" s="265"/>
      <c r="B75" s="265"/>
      <c r="C75" s="265" t="s">
        <v>2957</v>
      </c>
      <c r="D75" s="265" t="s">
        <v>2958</v>
      </c>
      <c r="E75" s="284" t="s">
        <v>2873</v>
      </c>
      <c r="F75" s="285">
        <v>4</v>
      </c>
      <c r="G75" s="285">
        <f>H75+I75</f>
        <v>0</v>
      </c>
      <c r="H75" s="285"/>
      <c r="I75" s="285"/>
      <c r="J75" s="285">
        <f>ROUND(F75*G75,2)</f>
        <v>0</v>
      </c>
      <c r="K75" s="285"/>
      <c r="L75" s="285"/>
      <c r="N75" s="286" t="s">
        <v>79</v>
      </c>
      <c r="O75" s="285">
        <f>IF(N75="5",I75,0)</f>
        <v>0</v>
      </c>
      <c r="Z75" s="285">
        <f>IF(AD75=0,J75,0)</f>
        <v>0</v>
      </c>
      <c r="AA75" s="285">
        <f>IF(AD75=10,J75,0)</f>
        <v>0</v>
      </c>
      <c r="AB75" s="285">
        <f>IF(AD75=20,J75,0)</f>
        <v>0</v>
      </c>
      <c r="AD75" s="285">
        <v>20</v>
      </c>
      <c r="AE75" s="285">
        <f>G75*0</f>
        <v>0</v>
      </c>
      <c r="AF75" s="285">
        <f>G75*(1-0)</f>
        <v>0</v>
      </c>
    </row>
    <row r="76" spans="1:37">
      <c r="A76" s="265"/>
      <c r="B76" s="265"/>
      <c r="C76" s="297" t="s">
        <v>2959</v>
      </c>
      <c r="D76" s="288" t="s">
        <v>2960</v>
      </c>
      <c r="E76" s="289" t="s">
        <v>257</v>
      </c>
      <c r="F76" s="287">
        <v>150</v>
      </c>
      <c r="G76" s="285">
        <f>H76+I76</f>
        <v>0</v>
      </c>
      <c r="H76" s="285"/>
      <c r="I76" s="285"/>
      <c r="J76" s="285">
        <f>ROUND(F76*G76,2)</f>
        <v>0</v>
      </c>
      <c r="K76" s="285"/>
      <c r="L76" s="285"/>
      <c r="N76" s="286"/>
      <c r="O76" s="285"/>
      <c r="Z76" s="285"/>
      <c r="AA76" s="285"/>
      <c r="AB76" s="285"/>
      <c r="AD76" s="285"/>
      <c r="AE76" s="285"/>
      <c r="AF76" s="285"/>
    </row>
    <row r="77" spans="1:37">
      <c r="A77" s="265"/>
      <c r="B77" s="265"/>
      <c r="C77" s="297"/>
      <c r="D77" s="288" t="s">
        <v>2961</v>
      </c>
      <c r="E77" s="289"/>
      <c r="F77" s="287"/>
      <c r="G77" s="285"/>
      <c r="H77" s="285"/>
      <c r="I77" s="285"/>
      <c r="J77" s="285"/>
      <c r="K77" s="285"/>
      <c r="L77" s="285"/>
      <c r="N77" s="286"/>
      <c r="O77" s="285"/>
      <c r="Z77" s="285"/>
      <c r="AA77" s="285"/>
      <c r="AB77" s="285"/>
      <c r="AD77" s="285"/>
      <c r="AE77" s="285"/>
      <c r="AF77" s="285"/>
    </row>
    <row r="78" spans="1:37">
      <c r="A78" s="265"/>
      <c r="B78" s="265"/>
      <c r="C78" s="297"/>
      <c r="D78" s="288" t="s">
        <v>2962</v>
      </c>
      <c r="E78" s="289"/>
      <c r="F78" s="287"/>
      <c r="G78" s="285"/>
      <c r="H78" s="285"/>
      <c r="I78" s="285"/>
      <c r="J78" s="285"/>
      <c r="K78" s="285"/>
      <c r="L78" s="285"/>
      <c r="N78" s="286"/>
      <c r="O78" s="285"/>
      <c r="Z78" s="285"/>
      <c r="AA78" s="285"/>
      <c r="AB78" s="285"/>
      <c r="AD78" s="285"/>
      <c r="AE78" s="285"/>
      <c r="AF78" s="285"/>
    </row>
    <row r="79" spans="1:37">
      <c r="A79" s="265"/>
      <c r="B79" s="265"/>
      <c r="C79" s="265" t="s">
        <v>2963</v>
      </c>
      <c r="D79" s="265" t="s">
        <v>2964</v>
      </c>
      <c r="E79" s="284" t="s">
        <v>425</v>
      </c>
      <c r="F79" s="285">
        <v>15</v>
      </c>
      <c r="G79" s="285">
        <f>H79+I79</f>
        <v>0</v>
      </c>
      <c r="H79" s="285"/>
      <c r="I79" s="285"/>
      <c r="J79" s="285">
        <f>ROUND(F79*G79,2)</f>
        <v>0</v>
      </c>
      <c r="K79" s="285"/>
      <c r="L79" s="285"/>
      <c r="N79" s="286" t="s">
        <v>159</v>
      </c>
      <c r="O79" s="285">
        <f>IF(N79="5",I79,0)</f>
        <v>0</v>
      </c>
      <c r="Z79" s="285">
        <f>IF(AD79=0,J79,0)</f>
        <v>0</v>
      </c>
      <c r="AA79" s="285">
        <f>IF(AD79=10,J79,0)</f>
        <v>0</v>
      </c>
      <c r="AB79" s="285">
        <f>IF(AD79=20,J79,0)</f>
        <v>0</v>
      </c>
      <c r="AD79" s="285">
        <v>20</v>
      </c>
      <c r="AE79" s="285">
        <f>G79*0</f>
        <v>0</v>
      </c>
      <c r="AF79" s="285">
        <f>G79*(1-0)</f>
        <v>0</v>
      </c>
    </row>
    <row r="80" spans="1:37">
      <c r="A80" s="278"/>
      <c r="B80" s="278"/>
      <c r="C80" s="279" t="s">
        <v>2965</v>
      </c>
      <c r="D80" s="590" t="s">
        <v>2966</v>
      </c>
      <c r="E80" s="590"/>
      <c r="F80" s="590"/>
      <c r="G80" s="590"/>
      <c r="H80" s="277"/>
      <c r="I80" s="283"/>
      <c r="J80" s="283">
        <f>SUM(J82:J121)</f>
        <v>0</v>
      </c>
      <c r="K80" s="277"/>
      <c r="L80" s="283"/>
      <c r="P80" s="283">
        <f>IF(Q80="PR",J80,SUM(O81:O121))</f>
        <v>0</v>
      </c>
      <c r="Q80" s="277" t="s">
        <v>2857</v>
      </c>
      <c r="R80" s="283">
        <f>IF(Q80="HS",H80,0)</f>
        <v>0</v>
      </c>
      <c r="S80" s="283">
        <f>IF(Q80="HS",I80-P80,0)</f>
        <v>0</v>
      </c>
      <c r="T80" s="283">
        <f>IF(Q80="PS",H80,0)</f>
        <v>0</v>
      </c>
      <c r="U80" s="283">
        <f>IF(Q80="PS",I80-P80,0)</f>
        <v>0</v>
      </c>
      <c r="V80" s="283">
        <f>IF(Q80="MP",H80,0)</f>
        <v>0</v>
      </c>
      <c r="W80" s="283">
        <f>IF(Q80="MP",I80-P80,0)</f>
        <v>0</v>
      </c>
      <c r="X80" s="283">
        <f>IF(Q80="OM",H80,0)</f>
        <v>0</v>
      </c>
      <c r="Y80" s="277" t="s">
        <v>2858</v>
      </c>
      <c r="AI80" s="283">
        <f>SUM(Z81:Z121)</f>
        <v>0</v>
      </c>
      <c r="AJ80" s="283">
        <f>SUM(AA81:AA121)</f>
        <v>0</v>
      </c>
      <c r="AK80" s="283">
        <f>SUM(AB81:AB121)</f>
        <v>0</v>
      </c>
    </row>
    <row r="81" spans="1:32">
      <c r="A81" s="265"/>
      <c r="B81" s="265"/>
      <c r="C81" s="265"/>
      <c r="D81" s="265"/>
      <c r="E81" s="265"/>
      <c r="F81" s="285"/>
      <c r="G81" s="285"/>
      <c r="H81" s="285"/>
      <c r="I81" s="285"/>
      <c r="J81" s="285"/>
      <c r="K81" s="285"/>
      <c r="L81" s="285"/>
      <c r="N81" s="286" t="s">
        <v>79</v>
      </c>
      <c r="O81" s="285">
        <f>IF(N81="5",I81,0)</f>
        <v>0</v>
      </c>
      <c r="Z81" s="285">
        <f>IF(AD81=0,J81,0)</f>
        <v>0</v>
      </c>
      <c r="AA81" s="285">
        <f>IF(AD81=10,J81,0)</f>
        <v>0</v>
      </c>
      <c r="AB81" s="285">
        <f>IF(AD81=20,J81,0)</f>
        <v>0</v>
      </c>
      <c r="AD81" s="285">
        <v>20</v>
      </c>
      <c r="AE81" s="285">
        <f>G81*0.228161456851348</f>
        <v>0</v>
      </c>
      <c r="AF81" s="285">
        <f>G81*(1-0.228161456851348)</f>
        <v>0</v>
      </c>
    </row>
    <row r="82" spans="1:32">
      <c r="A82" s="265"/>
      <c r="B82" s="265"/>
      <c r="C82" s="265" t="s">
        <v>2967</v>
      </c>
      <c r="D82" s="265" t="s">
        <v>2968</v>
      </c>
      <c r="E82" s="265" t="s">
        <v>257</v>
      </c>
      <c r="F82" s="285">
        <v>51.66</v>
      </c>
      <c r="G82" s="285">
        <f t="shared" ref="G82:G87" si="4">H82+I82</f>
        <v>0</v>
      </c>
      <c r="H82" s="285"/>
      <c r="I82" s="285"/>
      <c r="J82" s="285">
        <f t="shared" ref="J82:J87" si="5">ROUND(F82*G82,2)</f>
        <v>0</v>
      </c>
      <c r="K82" s="285"/>
      <c r="L82" s="285"/>
      <c r="N82" s="286" t="s">
        <v>79</v>
      </c>
      <c r="O82" s="285">
        <f>IF(N82="5",I82,0)</f>
        <v>0</v>
      </c>
      <c r="Z82" s="285">
        <f>IF(AD82=0,J82,0)</f>
        <v>0</v>
      </c>
      <c r="AA82" s="285">
        <f>IF(AD82=10,J82,0)</f>
        <v>0</v>
      </c>
      <c r="AB82" s="285">
        <f>IF(AD82=20,J82,0)</f>
        <v>0</v>
      </c>
      <c r="AD82" s="285">
        <v>20</v>
      </c>
      <c r="AE82" s="285">
        <f>G82*0.207372904972332</f>
        <v>0</v>
      </c>
      <c r="AF82" s="285">
        <f>G82*(1-0.207372904972332)</f>
        <v>0</v>
      </c>
    </row>
    <row r="83" spans="1:32" hidden="1">
      <c r="A83" s="265"/>
      <c r="B83" s="265"/>
      <c r="C83" s="265" t="s">
        <v>2969</v>
      </c>
      <c r="D83" s="265" t="s">
        <v>2970</v>
      </c>
      <c r="E83" s="265" t="s">
        <v>257</v>
      </c>
      <c r="F83" s="285">
        <v>20</v>
      </c>
      <c r="G83" s="285">
        <f t="shared" si="4"/>
        <v>0</v>
      </c>
      <c r="H83" s="285"/>
      <c r="I83" s="285"/>
      <c r="J83" s="285">
        <f t="shared" si="5"/>
        <v>0</v>
      </c>
      <c r="K83" s="285"/>
      <c r="L83" s="285"/>
      <c r="N83" s="286" t="s">
        <v>79</v>
      </c>
      <c r="O83" s="285">
        <f>IF(N83="5",I83,0)</f>
        <v>0</v>
      </c>
      <c r="Z83" s="285">
        <f>IF(AD83=0,J83,0)</f>
        <v>0</v>
      </c>
      <c r="AA83" s="285">
        <f>IF(AD83=10,J83,0)</f>
        <v>0</v>
      </c>
      <c r="AB83" s="285">
        <f>IF(AD83=20,J83,0)</f>
        <v>0</v>
      </c>
      <c r="AD83" s="285">
        <v>20</v>
      </c>
      <c r="AE83" s="285">
        <f>G83*0.24360678053998</f>
        <v>0</v>
      </c>
      <c r="AF83" s="285">
        <f>G83*(1-0.24360678053998)</f>
        <v>0</v>
      </c>
    </row>
    <row r="84" spans="1:32" hidden="1">
      <c r="A84" s="265"/>
      <c r="B84" s="265"/>
      <c r="C84" s="265" t="s">
        <v>2971</v>
      </c>
      <c r="D84" s="265" t="s">
        <v>2972</v>
      </c>
      <c r="E84" s="265" t="s">
        <v>257</v>
      </c>
      <c r="F84" s="285">
        <v>12</v>
      </c>
      <c r="G84" s="285">
        <f t="shared" si="4"/>
        <v>0</v>
      </c>
      <c r="H84" s="285"/>
      <c r="I84" s="285"/>
      <c r="J84" s="285">
        <f t="shared" si="5"/>
        <v>0</v>
      </c>
      <c r="K84" s="285"/>
      <c r="L84" s="285"/>
      <c r="N84" s="286" t="s">
        <v>79</v>
      </c>
      <c r="O84" s="285">
        <f>IF(N84="5",I84,0)</f>
        <v>0</v>
      </c>
      <c r="Z84" s="285">
        <f>IF(AD84=0,J84,0)</f>
        <v>0</v>
      </c>
      <c r="AA84" s="285">
        <f>IF(AD84=10,J84,0)</f>
        <v>0</v>
      </c>
      <c r="AB84" s="285">
        <f>IF(AD84=20,J84,0)</f>
        <v>0</v>
      </c>
      <c r="AD84" s="285">
        <v>20</v>
      </c>
      <c r="AE84" s="285">
        <f>G84*0.318081320103538</f>
        <v>0</v>
      </c>
      <c r="AF84" s="285">
        <f>G84*(1-0.318081320103538)</f>
        <v>0</v>
      </c>
    </row>
    <row r="85" spans="1:32" hidden="1">
      <c r="A85" s="265"/>
      <c r="B85" s="265"/>
      <c r="C85" s="265" t="s">
        <v>2973</v>
      </c>
      <c r="D85" s="265" t="s">
        <v>2974</v>
      </c>
      <c r="E85" s="265" t="s">
        <v>257</v>
      </c>
      <c r="F85" s="285">
        <v>12</v>
      </c>
      <c r="G85" s="285">
        <f t="shared" si="4"/>
        <v>0</v>
      </c>
      <c r="H85" s="285"/>
      <c r="I85" s="285"/>
      <c r="J85" s="285">
        <f t="shared" si="5"/>
        <v>0</v>
      </c>
      <c r="K85" s="285"/>
      <c r="L85" s="285"/>
      <c r="N85" s="286" t="s">
        <v>79</v>
      </c>
      <c r="O85" s="285">
        <f>IF(N85="5",I85,0)</f>
        <v>0</v>
      </c>
      <c r="Z85" s="285">
        <f>IF(AD85=0,J85,0)</f>
        <v>0</v>
      </c>
      <c r="AA85" s="285">
        <f>IF(AD85=10,J85,0)</f>
        <v>0</v>
      </c>
      <c r="AB85" s="285">
        <f>IF(AD85=20,J85,0)</f>
        <v>0</v>
      </c>
      <c r="AD85" s="285">
        <v>20</v>
      </c>
      <c r="AE85" s="285">
        <f>G85*0.43046265050618</f>
        <v>0</v>
      </c>
      <c r="AF85" s="285">
        <f>G85*(1-0.43046265050618)</f>
        <v>0</v>
      </c>
    </row>
    <row r="86" spans="1:32">
      <c r="A86" s="265"/>
      <c r="B86" s="265"/>
      <c r="C86" s="265" t="s">
        <v>2971</v>
      </c>
      <c r="D86" s="265" t="s">
        <v>2975</v>
      </c>
      <c r="E86" s="265" t="s">
        <v>257</v>
      </c>
      <c r="F86" s="285">
        <v>11</v>
      </c>
      <c r="G86" s="285">
        <f t="shared" si="4"/>
        <v>0</v>
      </c>
      <c r="H86" s="285"/>
      <c r="I86" s="285"/>
      <c r="J86" s="285">
        <f t="shared" si="5"/>
        <v>0</v>
      </c>
      <c r="K86" s="285"/>
      <c r="L86" s="285"/>
      <c r="N86" s="286"/>
      <c r="O86" s="285"/>
      <c r="Z86" s="285"/>
      <c r="AA86" s="285"/>
      <c r="AB86" s="285"/>
      <c r="AD86" s="285"/>
      <c r="AE86" s="285"/>
      <c r="AF86" s="285"/>
    </row>
    <row r="87" spans="1:32">
      <c r="A87" s="265"/>
      <c r="B87" s="265"/>
      <c r="C87" s="265" t="s">
        <v>2973</v>
      </c>
      <c r="D87" s="265" t="s">
        <v>2976</v>
      </c>
      <c r="E87" s="265" t="s">
        <v>257</v>
      </c>
      <c r="F87" s="285">
        <v>22.5</v>
      </c>
      <c r="G87" s="285">
        <f t="shared" si="4"/>
        <v>0</v>
      </c>
      <c r="H87" s="285"/>
      <c r="I87" s="285"/>
      <c r="J87" s="285">
        <f t="shared" si="5"/>
        <v>0</v>
      </c>
      <c r="K87" s="285"/>
      <c r="L87" s="285"/>
      <c r="N87" s="286"/>
      <c r="O87" s="285"/>
      <c r="Z87" s="285"/>
      <c r="AA87" s="285"/>
      <c r="AB87" s="285"/>
      <c r="AD87" s="285"/>
      <c r="AE87" s="285"/>
      <c r="AF87" s="285"/>
    </row>
    <row r="88" spans="1:32">
      <c r="A88" s="265"/>
      <c r="B88" s="265"/>
      <c r="C88" s="265"/>
      <c r="D88" s="265" t="s">
        <v>211</v>
      </c>
      <c r="E88" s="265" t="s">
        <v>257</v>
      </c>
      <c r="F88" s="285"/>
      <c r="G88" s="285"/>
      <c r="H88" s="285"/>
      <c r="I88" s="285"/>
      <c r="J88" s="285"/>
      <c r="K88" s="285"/>
      <c r="L88" s="285"/>
      <c r="N88" s="286"/>
      <c r="O88" s="285"/>
      <c r="Z88" s="285"/>
      <c r="AA88" s="285"/>
      <c r="AB88" s="285"/>
      <c r="AD88" s="285"/>
      <c r="AE88" s="285"/>
      <c r="AF88" s="285"/>
    </row>
    <row r="89" spans="1:32">
      <c r="A89" s="265"/>
      <c r="B89" s="265"/>
      <c r="C89" s="265" t="s">
        <v>2977</v>
      </c>
      <c r="D89" s="265" t="s">
        <v>2978</v>
      </c>
      <c r="E89" s="265" t="s">
        <v>257</v>
      </c>
      <c r="F89" s="285">
        <v>11.4</v>
      </c>
      <c r="G89" s="285">
        <f t="shared" ref="G89:G96" si="6">H89+I89</f>
        <v>0</v>
      </c>
      <c r="H89" s="285"/>
      <c r="I89" s="285"/>
      <c r="J89" s="285">
        <f t="shared" ref="J89:J96" si="7">ROUND(F89*G89,2)</f>
        <v>0</v>
      </c>
      <c r="K89" s="285"/>
      <c r="L89" s="285"/>
      <c r="N89" s="286" t="s">
        <v>79</v>
      </c>
      <c r="O89" s="285">
        <f>IF(N89="5",I89,0)</f>
        <v>0</v>
      </c>
      <c r="Z89" s="285">
        <f>IF(AD89=0,J89,0)</f>
        <v>0</v>
      </c>
      <c r="AA89" s="285">
        <f>IF(AD89=10,J89,0)</f>
        <v>0</v>
      </c>
      <c r="AB89" s="285">
        <f>IF(AD89=20,J89,0)</f>
        <v>0</v>
      </c>
      <c r="AD89" s="285">
        <v>20</v>
      </c>
      <c r="AE89" s="285">
        <f>G89*0.228067322546549</f>
        <v>0</v>
      </c>
      <c r="AF89" s="285">
        <f>G89*(1-0.228067322546549)</f>
        <v>0</v>
      </c>
    </row>
    <row r="90" spans="1:32" hidden="1">
      <c r="A90" s="265"/>
      <c r="B90" s="265"/>
      <c r="C90" s="265" t="s">
        <v>2979</v>
      </c>
      <c r="D90" s="265" t="s">
        <v>2980</v>
      </c>
      <c r="E90" s="265" t="s">
        <v>257</v>
      </c>
      <c r="F90" s="285">
        <v>36.6</v>
      </c>
      <c r="G90" s="285">
        <f t="shared" si="6"/>
        <v>0</v>
      </c>
      <c r="H90" s="285"/>
      <c r="I90" s="285"/>
      <c r="J90" s="285">
        <f t="shared" si="7"/>
        <v>0</v>
      </c>
      <c r="K90" s="285"/>
      <c r="L90" s="285"/>
      <c r="N90" s="286" t="s">
        <v>79</v>
      </c>
      <c r="O90" s="285">
        <f>IF(N90="5",I90,0)</f>
        <v>0</v>
      </c>
      <c r="Z90" s="285">
        <f>IF(AD90=0,J90,0)</f>
        <v>0</v>
      </c>
      <c r="AA90" s="285">
        <f>IF(AD90=10,J90,0)</f>
        <v>0</v>
      </c>
      <c r="AB90" s="285">
        <f>IF(AD90=20,J90,0)</f>
        <v>0</v>
      </c>
      <c r="AD90" s="285">
        <v>20</v>
      </c>
      <c r="AE90" s="285">
        <f>G90*0.231481838885243</f>
        <v>0</v>
      </c>
      <c r="AF90" s="285">
        <f>G90*(1-0.231481838885243)</f>
        <v>0</v>
      </c>
    </row>
    <row r="91" spans="1:32" hidden="1">
      <c r="A91" s="265"/>
      <c r="B91" s="265"/>
      <c r="C91" s="265" t="s">
        <v>2981</v>
      </c>
      <c r="D91" s="265" t="s">
        <v>2982</v>
      </c>
      <c r="E91" s="265" t="s">
        <v>257</v>
      </c>
      <c r="F91" s="285">
        <v>12</v>
      </c>
      <c r="G91" s="285">
        <f t="shared" si="6"/>
        <v>0</v>
      </c>
      <c r="H91" s="285"/>
      <c r="I91" s="285"/>
      <c r="J91" s="285">
        <f t="shared" si="7"/>
        <v>0</v>
      </c>
      <c r="K91" s="285"/>
      <c r="L91" s="285"/>
      <c r="N91" s="286" t="s">
        <v>79</v>
      </c>
      <c r="O91" s="285">
        <f>IF(N91="5",I91,0)</f>
        <v>0</v>
      </c>
      <c r="Z91" s="285">
        <f>IF(AD91=0,J91,0)</f>
        <v>0</v>
      </c>
      <c r="AA91" s="285">
        <f>IF(AD91=10,J91,0)</f>
        <v>0</v>
      </c>
      <c r="AB91" s="285">
        <f>IF(AD91=20,J91,0)</f>
        <v>0</v>
      </c>
      <c r="AD91" s="285">
        <v>20</v>
      </c>
      <c r="AE91" s="285">
        <f>G91*0.258342337761393</f>
        <v>0</v>
      </c>
      <c r="AF91" s="285">
        <f>G91*(1-0.258342337761393)</f>
        <v>0</v>
      </c>
    </row>
    <row r="92" spans="1:32" hidden="1">
      <c r="A92" s="265"/>
      <c r="B92" s="265"/>
      <c r="C92" s="265" t="s">
        <v>2983</v>
      </c>
      <c r="D92" s="265" t="s">
        <v>2984</v>
      </c>
      <c r="E92" s="265" t="s">
        <v>257</v>
      </c>
      <c r="F92" s="285">
        <v>24</v>
      </c>
      <c r="G92" s="285">
        <f t="shared" si="6"/>
        <v>0</v>
      </c>
      <c r="H92" s="285"/>
      <c r="I92" s="285"/>
      <c r="J92" s="285">
        <f t="shared" si="7"/>
        <v>0</v>
      </c>
      <c r="K92" s="285"/>
      <c r="L92" s="285"/>
      <c r="N92" s="286" t="s">
        <v>79</v>
      </c>
      <c r="O92" s="285">
        <f>IF(N92="5",I92,0)</f>
        <v>0</v>
      </c>
      <c r="Z92" s="285">
        <f>IF(AD92=0,J92,0)</f>
        <v>0</v>
      </c>
      <c r="AA92" s="285">
        <f>IF(AD92=10,J92,0)</f>
        <v>0</v>
      </c>
      <c r="AB92" s="285">
        <f>IF(AD92=20,J92,0)</f>
        <v>0</v>
      </c>
      <c r="AD92" s="285">
        <v>20</v>
      </c>
      <c r="AE92" s="285">
        <f>G92*0.333465106472697</f>
        <v>0</v>
      </c>
      <c r="AF92" s="285">
        <f>G92*(1-0.333465106472697)</f>
        <v>0</v>
      </c>
    </row>
    <row r="93" spans="1:32">
      <c r="A93" s="265"/>
      <c r="B93" s="265"/>
      <c r="C93" s="265" t="s">
        <v>2967</v>
      </c>
      <c r="D93" s="265" t="s">
        <v>2985</v>
      </c>
      <c r="E93" s="265" t="s">
        <v>257</v>
      </c>
      <c r="F93" s="285">
        <v>5.88</v>
      </c>
      <c r="G93" s="285">
        <f t="shared" si="6"/>
        <v>0</v>
      </c>
      <c r="H93" s="285"/>
      <c r="I93" s="285"/>
      <c r="J93" s="285">
        <f t="shared" si="7"/>
        <v>0</v>
      </c>
      <c r="K93" s="285"/>
      <c r="L93" s="285"/>
      <c r="N93" s="286"/>
      <c r="O93" s="285"/>
      <c r="Z93" s="285"/>
      <c r="AA93" s="285"/>
      <c r="AB93" s="285"/>
      <c r="AD93" s="285"/>
      <c r="AE93" s="285"/>
      <c r="AF93" s="285"/>
    </row>
    <row r="94" spans="1:32">
      <c r="A94" s="265"/>
      <c r="B94" s="265"/>
      <c r="C94" s="265"/>
      <c r="D94" s="265" t="s">
        <v>2986</v>
      </c>
      <c r="E94" s="265" t="s">
        <v>257</v>
      </c>
      <c r="F94" s="285">
        <v>21.84</v>
      </c>
      <c r="G94" s="285">
        <f t="shared" si="6"/>
        <v>0</v>
      </c>
      <c r="H94" s="285"/>
      <c r="I94" s="285"/>
      <c r="J94" s="285">
        <f t="shared" si="7"/>
        <v>0</v>
      </c>
      <c r="K94" s="285"/>
      <c r="L94" s="285"/>
      <c r="N94" s="286"/>
      <c r="O94" s="285"/>
      <c r="Z94" s="285"/>
      <c r="AA94" s="285"/>
      <c r="AB94" s="285"/>
      <c r="AD94" s="285"/>
      <c r="AE94" s="285"/>
      <c r="AF94" s="285"/>
    </row>
    <row r="95" spans="1:32">
      <c r="A95" s="265"/>
      <c r="B95" s="265"/>
      <c r="C95" s="265" t="s">
        <v>2967</v>
      </c>
      <c r="D95" s="265" t="s">
        <v>2987</v>
      </c>
      <c r="E95" s="265" t="s">
        <v>257</v>
      </c>
      <c r="F95" s="285">
        <v>5.88</v>
      </c>
      <c r="G95" s="285">
        <f t="shared" si="6"/>
        <v>0</v>
      </c>
      <c r="H95" s="285"/>
      <c r="I95" s="285"/>
      <c r="J95" s="285">
        <f t="shared" si="7"/>
        <v>0</v>
      </c>
      <c r="K95" s="285"/>
      <c r="L95" s="285"/>
      <c r="N95" s="286"/>
      <c r="O95" s="285"/>
      <c r="Z95" s="285"/>
      <c r="AA95" s="285"/>
      <c r="AB95" s="285"/>
      <c r="AD95" s="285"/>
      <c r="AE95" s="285"/>
      <c r="AF95" s="285"/>
    </row>
    <row r="96" spans="1:32">
      <c r="A96" s="265"/>
      <c r="B96" s="265"/>
      <c r="C96" s="265" t="s">
        <v>2967</v>
      </c>
      <c r="D96" s="265" t="s">
        <v>2988</v>
      </c>
      <c r="E96" s="265" t="s">
        <v>257</v>
      </c>
      <c r="F96" s="285">
        <v>21.84</v>
      </c>
      <c r="G96" s="285">
        <f t="shared" si="6"/>
        <v>0</v>
      </c>
      <c r="H96" s="285"/>
      <c r="I96" s="285"/>
      <c r="J96" s="285">
        <f t="shared" si="7"/>
        <v>0</v>
      </c>
      <c r="K96" s="285"/>
      <c r="L96" s="285"/>
      <c r="N96" s="286"/>
      <c r="O96" s="285"/>
      <c r="Z96" s="285"/>
      <c r="AA96" s="285"/>
      <c r="AB96" s="285"/>
      <c r="AD96" s="285"/>
      <c r="AE96" s="285"/>
      <c r="AF96" s="285"/>
    </row>
    <row r="97" spans="1:32">
      <c r="A97" s="265"/>
      <c r="B97" s="265"/>
      <c r="C97" s="265"/>
      <c r="D97" s="265"/>
      <c r="E97" s="265"/>
      <c r="F97" s="285"/>
      <c r="G97" s="285"/>
      <c r="H97" s="285"/>
      <c r="I97" s="285"/>
      <c r="J97" s="285"/>
      <c r="K97" s="285"/>
      <c r="L97" s="285"/>
      <c r="N97" s="286"/>
      <c r="O97" s="285"/>
      <c r="Z97" s="285"/>
      <c r="AA97" s="285"/>
      <c r="AB97" s="285"/>
      <c r="AD97" s="285"/>
      <c r="AE97" s="285"/>
      <c r="AF97" s="285"/>
    </row>
    <row r="98" spans="1:32">
      <c r="A98" s="265"/>
      <c r="B98" s="265"/>
      <c r="C98" s="265" t="s">
        <v>2989</v>
      </c>
      <c r="D98" s="265" t="s">
        <v>2990</v>
      </c>
      <c r="E98" s="265" t="s">
        <v>2873</v>
      </c>
      <c r="F98" s="285">
        <v>37</v>
      </c>
      <c r="G98" s="285">
        <f t="shared" ref="G98:G105" si="8">H98+I98</f>
        <v>0</v>
      </c>
      <c r="H98" s="285"/>
      <c r="I98" s="285"/>
      <c r="J98" s="285">
        <f t="shared" ref="J98:J105" si="9">ROUND(F98*G98,2)</f>
        <v>0</v>
      </c>
      <c r="K98" s="285"/>
      <c r="L98" s="285"/>
      <c r="N98" s="286"/>
      <c r="O98" s="285"/>
      <c r="Z98" s="285"/>
      <c r="AA98" s="285"/>
      <c r="AB98" s="285"/>
      <c r="AD98" s="285"/>
      <c r="AE98" s="285"/>
      <c r="AF98" s="285"/>
    </row>
    <row r="99" spans="1:32">
      <c r="A99" s="265"/>
      <c r="B99" s="265"/>
      <c r="C99" s="265"/>
      <c r="D99" s="265" t="s">
        <v>2991</v>
      </c>
      <c r="E99" s="265" t="s">
        <v>2873</v>
      </c>
      <c r="F99" s="285">
        <v>5</v>
      </c>
      <c r="G99" s="285">
        <f t="shared" si="8"/>
        <v>0</v>
      </c>
      <c r="H99" s="285"/>
      <c r="I99" s="285"/>
      <c r="J99" s="285">
        <f t="shared" si="9"/>
        <v>0</v>
      </c>
      <c r="K99" s="285"/>
      <c r="L99" s="285"/>
      <c r="N99" s="286"/>
      <c r="O99" s="285"/>
      <c r="Z99" s="285"/>
      <c r="AA99" s="285"/>
      <c r="AB99" s="285"/>
      <c r="AD99" s="285"/>
      <c r="AE99" s="285"/>
      <c r="AF99" s="285"/>
    </row>
    <row r="100" spans="1:32">
      <c r="A100" s="265"/>
      <c r="B100" s="265"/>
      <c r="C100" s="265"/>
      <c r="D100" s="265" t="s">
        <v>2992</v>
      </c>
      <c r="E100" s="265" t="s">
        <v>2873</v>
      </c>
      <c r="F100" s="285">
        <v>8</v>
      </c>
      <c r="G100" s="285">
        <f t="shared" si="8"/>
        <v>0</v>
      </c>
      <c r="H100" s="285"/>
      <c r="I100" s="285"/>
      <c r="J100" s="285">
        <f t="shared" si="9"/>
        <v>0</v>
      </c>
      <c r="K100" s="285"/>
      <c r="L100" s="285"/>
      <c r="N100" s="286"/>
      <c r="O100" s="285"/>
      <c r="Z100" s="285"/>
      <c r="AA100" s="285"/>
      <c r="AB100" s="285"/>
      <c r="AD100" s="285"/>
      <c r="AE100" s="285"/>
      <c r="AF100" s="285"/>
    </row>
    <row r="101" spans="1:32">
      <c r="A101" s="265"/>
      <c r="B101" s="265"/>
      <c r="C101" s="265"/>
      <c r="D101" s="265" t="s">
        <v>2993</v>
      </c>
      <c r="E101" s="265" t="s">
        <v>2873</v>
      </c>
      <c r="F101" s="285">
        <v>7</v>
      </c>
      <c r="G101" s="285">
        <f t="shared" si="8"/>
        <v>0</v>
      </c>
      <c r="H101" s="285"/>
      <c r="I101" s="285"/>
      <c r="J101" s="285">
        <f t="shared" si="9"/>
        <v>0</v>
      </c>
      <c r="K101" s="285"/>
      <c r="L101" s="285"/>
      <c r="N101" s="286"/>
      <c r="O101" s="285"/>
      <c r="Z101" s="285"/>
      <c r="AA101" s="285"/>
      <c r="AB101" s="285"/>
      <c r="AD101" s="285"/>
      <c r="AE101" s="285"/>
      <c r="AF101" s="285"/>
    </row>
    <row r="102" spans="1:32">
      <c r="A102" s="265"/>
      <c r="B102" s="265"/>
      <c r="C102" s="265" t="s">
        <v>2994</v>
      </c>
      <c r="D102" s="265" t="s">
        <v>2995</v>
      </c>
      <c r="E102" s="265" t="s">
        <v>2873</v>
      </c>
      <c r="F102" s="285">
        <v>5</v>
      </c>
      <c r="G102" s="285">
        <f t="shared" si="8"/>
        <v>0</v>
      </c>
      <c r="H102" s="285"/>
      <c r="I102" s="285"/>
      <c r="J102" s="285">
        <f t="shared" si="9"/>
        <v>0</v>
      </c>
      <c r="K102" s="285"/>
      <c r="L102" s="285"/>
      <c r="N102" s="286"/>
      <c r="O102" s="285"/>
      <c r="Z102" s="285"/>
      <c r="AA102" s="285"/>
      <c r="AB102" s="285"/>
      <c r="AD102" s="285"/>
      <c r="AE102" s="285"/>
      <c r="AF102" s="285"/>
    </row>
    <row r="103" spans="1:32">
      <c r="A103" s="265"/>
      <c r="B103" s="265"/>
      <c r="C103" s="265" t="s">
        <v>2994</v>
      </c>
      <c r="D103" s="265" t="s">
        <v>2996</v>
      </c>
      <c r="E103" s="265" t="s">
        <v>2873</v>
      </c>
      <c r="F103" s="285">
        <v>5</v>
      </c>
      <c r="G103" s="285">
        <f t="shared" si="8"/>
        <v>0</v>
      </c>
      <c r="H103" s="285"/>
      <c r="I103" s="285"/>
      <c r="J103" s="285">
        <f t="shared" si="9"/>
        <v>0</v>
      </c>
      <c r="K103" s="285"/>
      <c r="L103" s="285"/>
      <c r="N103" s="286"/>
      <c r="O103" s="285"/>
      <c r="Z103" s="285"/>
      <c r="AA103" s="285"/>
      <c r="AB103" s="285"/>
      <c r="AD103" s="285"/>
      <c r="AE103" s="285"/>
      <c r="AF103" s="285"/>
    </row>
    <row r="104" spans="1:32">
      <c r="A104" s="265"/>
      <c r="B104" s="265"/>
      <c r="C104" s="265" t="s">
        <v>2994</v>
      </c>
      <c r="D104" s="265" t="s">
        <v>2997</v>
      </c>
      <c r="E104" s="265" t="s">
        <v>2873</v>
      </c>
      <c r="F104" s="285">
        <v>1</v>
      </c>
      <c r="G104" s="285">
        <f t="shared" si="8"/>
        <v>0</v>
      </c>
      <c r="H104" s="285"/>
      <c r="I104" s="285"/>
      <c r="J104" s="285">
        <f t="shared" si="9"/>
        <v>0</v>
      </c>
      <c r="K104" s="285"/>
      <c r="L104" s="285"/>
      <c r="N104" s="286"/>
      <c r="O104" s="285"/>
      <c r="Z104" s="285"/>
      <c r="AA104" s="285"/>
      <c r="AB104" s="285"/>
      <c r="AD104" s="285"/>
      <c r="AE104" s="285"/>
      <c r="AF104" s="285"/>
    </row>
    <row r="105" spans="1:32">
      <c r="A105" s="265"/>
      <c r="B105" s="265"/>
      <c r="C105" s="265" t="s">
        <v>2998</v>
      </c>
      <c r="D105" s="265" t="s">
        <v>2999</v>
      </c>
      <c r="E105" s="265" t="s">
        <v>2873</v>
      </c>
      <c r="F105" s="285">
        <v>17</v>
      </c>
      <c r="G105" s="285">
        <f t="shared" si="8"/>
        <v>0</v>
      </c>
      <c r="H105" s="285"/>
      <c r="I105" s="285"/>
      <c r="J105" s="285">
        <f t="shared" si="9"/>
        <v>0</v>
      </c>
      <c r="K105" s="285"/>
      <c r="L105" s="285"/>
      <c r="N105" s="286"/>
      <c r="O105" s="285"/>
      <c r="Z105" s="285"/>
      <c r="AA105" s="285"/>
      <c r="AB105" s="285"/>
      <c r="AD105" s="285"/>
      <c r="AE105" s="285"/>
      <c r="AF105" s="285"/>
    </row>
    <row r="106" spans="1:32">
      <c r="A106" s="265"/>
      <c r="B106" s="265"/>
      <c r="C106" s="297"/>
      <c r="D106" s="295" t="s">
        <v>2947</v>
      </c>
      <c r="E106" s="300"/>
      <c r="F106" s="287"/>
      <c r="G106" s="285"/>
      <c r="H106" s="285"/>
      <c r="I106" s="285"/>
      <c r="J106" s="285"/>
      <c r="K106" s="285"/>
      <c r="L106" s="285"/>
      <c r="N106" s="286"/>
      <c r="O106" s="285"/>
      <c r="Z106" s="285"/>
      <c r="AA106" s="285"/>
      <c r="AB106" s="285"/>
      <c r="AD106" s="285"/>
      <c r="AE106" s="285"/>
      <c r="AF106" s="285"/>
    </row>
    <row r="107" spans="1:32">
      <c r="A107" s="265"/>
      <c r="B107" s="265"/>
      <c r="C107" s="297"/>
      <c r="D107" s="288" t="s">
        <v>2948</v>
      </c>
      <c r="E107" s="298"/>
      <c r="F107" s="287"/>
      <c r="G107" s="285"/>
      <c r="H107" s="285"/>
      <c r="I107" s="285"/>
      <c r="J107" s="285"/>
      <c r="K107" s="285"/>
      <c r="L107" s="285"/>
      <c r="N107" s="286"/>
      <c r="O107" s="285"/>
      <c r="Z107" s="285"/>
      <c r="AA107" s="285"/>
      <c r="AB107" s="285"/>
      <c r="AD107" s="285"/>
      <c r="AE107" s="285"/>
      <c r="AF107" s="285"/>
    </row>
    <row r="108" spans="1:32">
      <c r="A108" s="265"/>
      <c r="B108" s="265"/>
      <c r="C108" s="297" t="s">
        <v>2915</v>
      </c>
      <c r="D108" s="288" t="s">
        <v>2949</v>
      </c>
      <c r="E108" s="300" t="s">
        <v>257</v>
      </c>
      <c r="F108" s="287">
        <v>76</v>
      </c>
      <c r="G108" s="285">
        <f>H108+I108</f>
        <v>0</v>
      </c>
      <c r="H108" s="285"/>
      <c r="I108" s="285"/>
      <c r="J108" s="285">
        <f>ROUND(F108*G108,2)</f>
        <v>0</v>
      </c>
      <c r="K108" s="285"/>
      <c r="L108" s="285"/>
      <c r="N108" s="286"/>
      <c r="O108" s="285"/>
      <c r="Z108" s="285"/>
      <c r="AA108" s="285"/>
      <c r="AB108" s="285"/>
      <c r="AD108" s="285"/>
      <c r="AE108" s="285"/>
      <c r="AF108" s="285"/>
    </row>
    <row r="109" spans="1:32">
      <c r="A109" s="265"/>
      <c r="B109" s="265"/>
      <c r="C109" s="297" t="s">
        <v>3000</v>
      </c>
      <c r="D109" s="288" t="s">
        <v>3001</v>
      </c>
      <c r="E109" s="300" t="s">
        <v>257</v>
      </c>
      <c r="F109" s="287">
        <v>85</v>
      </c>
      <c r="G109" s="285">
        <f>H109+I109</f>
        <v>0</v>
      </c>
      <c r="H109" s="285"/>
      <c r="I109" s="285"/>
      <c r="J109" s="285">
        <f>ROUND(F109*G109,2)</f>
        <v>0</v>
      </c>
      <c r="K109" s="285"/>
      <c r="L109" s="285"/>
      <c r="N109" s="286"/>
      <c r="O109" s="285"/>
      <c r="Z109" s="285"/>
      <c r="AA109" s="285"/>
      <c r="AB109" s="285"/>
      <c r="AD109" s="285"/>
      <c r="AE109" s="285"/>
      <c r="AF109" s="285"/>
    </row>
    <row r="110" spans="1:32">
      <c r="A110" s="265"/>
      <c r="B110" s="265"/>
      <c r="C110" s="297"/>
      <c r="D110" s="293" t="s">
        <v>2950</v>
      </c>
      <c r="E110" s="298"/>
      <c r="F110" s="287"/>
      <c r="G110" s="285"/>
      <c r="H110" s="285"/>
      <c r="I110" s="285"/>
      <c r="J110" s="285"/>
      <c r="K110" s="285"/>
      <c r="L110" s="285"/>
      <c r="N110" s="286"/>
      <c r="O110" s="285"/>
      <c r="Z110" s="285"/>
      <c r="AA110" s="285"/>
      <c r="AB110" s="285"/>
      <c r="AD110" s="285"/>
      <c r="AE110" s="285"/>
      <c r="AF110" s="285"/>
    </row>
    <row r="111" spans="1:32">
      <c r="A111" s="265"/>
      <c r="B111" s="265"/>
      <c r="C111" s="297" t="s">
        <v>2835</v>
      </c>
      <c r="D111" s="288" t="s">
        <v>3002</v>
      </c>
      <c r="E111" s="298"/>
      <c r="F111" s="287"/>
      <c r="G111" s="285"/>
      <c r="H111" s="285"/>
      <c r="I111" s="285"/>
      <c r="J111" s="285"/>
      <c r="K111" s="285"/>
      <c r="L111" s="285"/>
      <c r="N111" s="286"/>
      <c r="O111" s="285"/>
      <c r="Z111" s="285"/>
      <c r="AA111" s="285"/>
      <c r="AB111" s="285"/>
      <c r="AD111" s="285"/>
      <c r="AE111" s="285"/>
      <c r="AF111" s="285"/>
    </row>
    <row r="112" spans="1:32">
      <c r="A112" s="265"/>
      <c r="B112" s="265"/>
      <c r="C112" s="297" t="s">
        <v>3003</v>
      </c>
      <c r="D112" s="288" t="s">
        <v>3004</v>
      </c>
      <c r="E112" s="300" t="s">
        <v>2943</v>
      </c>
      <c r="F112" s="287">
        <v>52</v>
      </c>
      <c r="G112" s="285">
        <f>H112+I112</f>
        <v>0</v>
      </c>
      <c r="H112" s="285"/>
      <c r="I112" s="285"/>
      <c r="J112" s="285">
        <f>ROUND(F112*G112,2)</f>
        <v>0</v>
      </c>
      <c r="K112" s="285"/>
      <c r="L112" s="285"/>
      <c r="N112" s="286"/>
      <c r="O112" s="285"/>
      <c r="Z112" s="285"/>
      <c r="AA112" s="285"/>
      <c r="AB112" s="285"/>
      <c r="AD112" s="285"/>
      <c r="AE112" s="285"/>
      <c r="AF112" s="285"/>
    </row>
    <row r="113" spans="1:37">
      <c r="A113" s="265"/>
      <c r="B113" s="265"/>
      <c r="C113" s="265" t="s">
        <v>3005</v>
      </c>
      <c r="D113" s="288" t="s">
        <v>3006</v>
      </c>
      <c r="E113" s="300" t="s">
        <v>2943</v>
      </c>
      <c r="F113" s="287">
        <v>11</v>
      </c>
      <c r="G113" s="285">
        <f>H113+I113</f>
        <v>0</v>
      </c>
      <c r="H113" s="285"/>
      <c r="I113" s="285"/>
      <c r="J113" s="285">
        <f>ROUND(F113*G113,2)</f>
        <v>0</v>
      </c>
      <c r="K113" s="285"/>
      <c r="L113" s="285"/>
      <c r="N113" s="286"/>
      <c r="O113" s="285"/>
      <c r="Z113" s="285"/>
      <c r="AA113" s="285"/>
      <c r="AB113" s="285"/>
      <c r="AD113" s="285"/>
      <c r="AE113" s="285"/>
      <c r="AF113" s="285"/>
    </row>
    <row r="114" spans="1:37">
      <c r="A114" s="265"/>
      <c r="B114" s="265"/>
      <c r="C114" s="265" t="s">
        <v>3007</v>
      </c>
      <c r="D114" s="288" t="s">
        <v>3008</v>
      </c>
      <c r="E114" s="300" t="s">
        <v>2943</v>
      </c>
      <c r="F114" s="287">
        <v>23</v>
      </c>
      <c r="G114" s="285">
        <f>H114+I114</f>
        <v>0</v>
      </c>
      <c r="H114" s="285"/>
      <c r="I114" s="285"/>
      <c r="J114" s="285">
        <f>ROUND(F114*G114,2)</f>
        <v>0</v>
      </c>
      <c r="K114" s="285"/>
      <c r="L114" s="285"/>
      <c r="N114" s="286"/>
      <c r="O114" s="285"/>
      <c r="Z114" s="285"/>
      <c r="AA114" s="285"/>
      <c r="AB114" s="285"/>
      <c r="AD114" s="285"/>
      <c r="AE114" s="285"/>
      <c r="AF114" s="285"/>
    </row>
    <row r="115" spans="1:37">
      <c r="A115" s="265"/>
      <c r="B115" s="265"/>
      <c r="C115" s="297"/>
      <c r="D115" s="288" t="s">
        <v>3009</v>
      </c>
      <c r="E115" s="300"/>
      <c r="F115" s="287"/>
      <c r="G115" s="285"/>
      <c r="H115" s="285"/>
      <c r="I115" s="285"/>
      <c r="J115" s="285"/>
      <c r="K115" s="285"/>
      <c r="L115" s="285"/>
      <c r="N115" s="286"/>
      <c r="O115" s="285"/>
      <c r="Z115" s="285"/>
      <c r="AA115" s="285"/>
      <c r="AB115" s="285"/>
      <c r="AD115" s="285"/>
      <c r="AE115" s="285"/>
      <c r="AF115" s="285"/>
    </row>
    <row r="116" spans="1:37">
      <c r="A116" s="265"/>
      <c r="B116" s="265"/>
      <c r="C116" s="297" t="s">
        <v>3010</v>
      </c>
      <c r="D116" s="288" t="s">
        <v>3011</v>
      </c>
      <c r="E116" s="300" t="s">
        <v>2943</v>
      </c>
      <c r="F116" s="287">
        <v>30</v>
      </c>
      <c r="G116" s="285">
        <f t="shared" ref="G116:G121" si="10">H116+I116</f>
        <v>0</v>
      </c>
      <c r="H116" s="285"/>
      <c r="I116" s="285"/>
      <c r="J116" s="285">
        <f t="shared" ref="J116:J121" si="11">ROUND(F116*G116,2)</f>
        <v>0</v>
      </c>
      <c r="K116" s="285"/>
      <c r="L116" s="285"/>
      <c r="N116" s="286"/>
      <c r="O116" s="285"/>
      <c r="Z116" s="285"/>
      <c r="AA116" s="285"/>
      <c r="AB116" s="285"/>
      <c r="AD116" s="285"/>
      <c r="AE116" s="285"/>
      <c r="AF116" s="285"/>
    </row>
    <row r="117" spans="1:37">
      <c r="A117" s="265"/>
      <c r="B117" s="265"/>
      <c r="C117" s="297" t="s">
        <v>3012</v>
      </c>
      <c r="D117" s="288" t="s">
        <v>3013</v>
      </c>
      <c r="E117" s="300" t="s">
        <v>2943</v>
      </c>
      <c r="F117" s="287">
        <v>30</v>
      </c>
      <c r="G117" s="285">
        <f t="shared" si="10"/>
        <v>0</v>
      </c>
      <c r="H117" s="285"/>
      <c r="I117" s="285"/>
      <c r="J117" s="285">
        <f t="shared" si="11"/>
        <v>0</v>
      </c>
      <c r="K117" s="285"/>
      <c r="L117" s="285"/>
      <c r="N117" s="286"/>
      <c r="O117" s="285"/>
      <c r="Z117" s="285"/>
      <c r="AA117" s="285"/>
      <c r="AB117" s="285"/>
      <c r="AD117" s="285"/>
      <c r="AE117" s="285"/>
      <c r="AF117" s="285"/>
    </row>
    <row r="118" spans="1:37">
      <c r="A118" s="265"/>
      <c r="B118" s="265"/>
      <c r="C118" s="297" t="s">
        <v>3014</v>
      </c>
      <c r="D118" s="288" t="s">
        <v>3015</v>
      </c>
      <c r="E118" s="300" t="s">
        <v>2943</v>
      </c>
      <c r="F118" s="287">
        <v>45</v>
      </c>
      <c r="G118" s="285">
        <f t="shared" si="10"/>
        <v>0</v>
      </c>
      <c r="H118" s="285"/>
      <c r="I118" s="285"/>
      <c r="J118" s="285">
        <f t="shared" si="11"/>
        <v>0</v>
      </c>
      <c r="K118" s="285"/>
      <c r="L118" s="285"/>
      <c r="N118" s="286"/>
      <c r="O118" s="285"/>
      <c r="Z118" s="285"/>
      <c r="AA118" s="285"/>
      <c r="AB118" s="285"/>
      <c r="AD118" s="285"/>
      <c r="AE118" s="285"/>
      <c r="AF118" s="285"/>
    </row>
    <row r="119" spans="1:37">
      <c r="A119" s="265"/>
      <c r="B119" s="265"/>
      <c r="C119" s="297" t="s">
        <v>2959</v>
      </c>
      <c r="D119" s="288" t="s">
        <v>3016</v>
      </c>
      <c r="E119" s="300" t="s">
        <v>257</v>
      </c>
      <c r="F119" s="287">
        <v>152</v>
      </c>
      <c r="G119" s="285">
        <f t="shared" si="10"/>
        <v>0</v>
      </c>
      <c r="H119" s="285"/>
      <c r="I119" s="285"/>
      <c r="J119" s="285">
        <f t="shared" si="11"/>
        <v>0</v>
      </c>
      <c r="K119" s="285"/>
      <c r="L119" s="285"/>
      <c r="N119" s="286"/>
      <c r="O119" s="285"/>
      <c r="Z119" s="285"/>
      <c r="AA119" s="285"/>
      <c r="AB119" s="285"/>
      <c r="AD119" s="285"/>
      <c r="AE119" s="285"/>
      <c r="AF119" s="285"/>
    </row>
    <row r="120" spans="1:37">
      <c r="A120" s="265"/>
      <c r="B120" s="265"/>
      <c r="C120" s="265" t="s">
        <v>3017</v>
      </c>
      <c r="D120" s="265" t="s">
        <v>3018</v>
      </c>
      <c r="E120" s="265" t="s">
        <v>257</v>
      </c>
      <c r="F120" s="285">
        <v>152</v>
      </c>
      <c r="G120" s="285">
        <f t="shared" si="10"/>
        <v>0</v>
      </c>
      <c r="H120" s="285"/>
      <c r="I120" s="285"/>
      <c r="J120" s="285">
        <f t="shared" si="11"/>
        <v>0</v>
      </c>
      <c r="K120" s="285"/>
      <c r="L120" s="285"/>
      <c r="N120" s="286" t="s">
        <v>79</v>
      </c>
      <c r="O120" s="285">
        <f>IF(N120="5",I120,0)</f>
        <v>0</v>
      </c>
      <c r="Z120" s="285">
        <f>IF(AD120=0,J120,0)</f>
        <v>0</v>
      </c>
      <c r="AA120" s="285">
        <f>IF(AD120=10,J120,0)</f>
        <v>0</v>
      </c>
      <c r="AB120" s="285">
        <f>IF(AD120=20,J120,0)</f>
        <v>0</v>
      </c>
      <c r="AD120" s="285">
        <v>20</v>
      </c>
      <c r="AE120" s="285">
        <f>G120*0.253854059609455</f>
        <v>0</v>
      </c>
      <c r="AF120" s="285">
        <f>G120*(1-0.253854059609455)</f>
        <v>0</v>
      </c>
    </row>
    <row r="121" spans="1:37">
      <c r="A121" s="265"/>
      <c r="B121" s="265"/>
      <c r="C121" s="265" t="s">
        <v>3019</v>
      </c>
      <c r="D121" s="265" t="s">
        <v>3020</v>
      </c>
      <c r="E121" s="265" t="s">
        <v>425</v>
      </c>
      <c r="F121" s="285">
        <v>15</v>
      </c>
      <c r="G121" s="285">
        <f t="shared" si="10"/>
        <v>0</v>
      </c>
      <c r="H121" s="285"/>
      <c r="I121" s="285"/>
      <c r="J121" s="285">
        <f t="shared" si="11"/>
        <v>0</v>
      </c>
      <c r="K121" s="285"/>
      <c r="L121" s="285"/>
      <c r="M121" s="301"/>
      <c r="N121" s="286" t="s">
        <v>159</v>
      </c>
      <c r="O121" s="285">
        <f>IF(N121="5",I121,0)</f>
        <v>0</v>
      </c>
      <c r="Z121" s="285">
        <f>IF(AD121=0,J121,0)</f>
        <v>0</v>
      </c>
      <c r="AA121" s="285">
        <f>IF(AD121=10,J121,0)</f>
        <v>0</v>
      </c>
      <c r="AB121" s="285">
        <f>IF(AD121=20,J121,0)</f>
        <v>0</v>
      </c>
      <c r="AD121" s="285">
        <v>20</v>
      </c>
      <c r="AE121" s="285">
        <f>G121*0</f>
        <v>0</v>
      </c>
      <c r="AF121" s="285">
        <f>G121*(1-0)</f>
        <v>0</v>
      </c>
    </row>
    <row r="122" spans="1:37">
      <c r="A122" s="278"/>
      <c r="B122" s="278"/>
      <c r="C122" s="279" t="s">
        <v>3021</v>
      </c>
      <c r="D122" s="590" t="s">
        <v>3022</v>
      </c>
      <c r="E122" s="591"/>
      <c r="F122" s="591"/>
      <c r="G122" s="591"/>
      <c r="H122" s="283"/>
      <c r="I122" s="283"/>
      <c r="J122" s="283">
        <f>SUM(J123:J149)</f>
        <v>0</v>
      </c>
      <c r="K122" s="277"/>
      <c r="L122" s="283"/>
      <c r="P122" s="283">
        <f>IF(Q122="PR",J122,SUM(O123:O149))</f>
        <v>0</v>
      </c>
      <c r="Q122" s="277" t="s">
        <v>2857</v>
      </c>
      <c r="R122" s="283">
        <f>IF(Q122="HS",H122,0)</f>
        <v>0</v>
      </c>
      <c r="S122" s="283">
        <f>IF(Q122="HS",I122-P122,0)</f>
        <v>0</v>
      </c>
      <c r="T122" s="283">
        <f>IF(Q122="PS",H122,0)</f>
        <v>0</v>
      </c>
      <c r="U122" s="283">
        <f>IF(Q122="PS",I122-P122,0)</f>
        <v>0</v>
      </c>
      <c r="V122" s="283">
        <f>IF(Q122="MP",H122,0)</f>
        <v>0</v>
      </c>
      <c r="W122" s="283">
        <f>IF(Q122="MP",I122-P122,0)</f>
        <v>0</v>
      </c>
      <c r="X122" s="283">
        <f>IF(Q122="OM",H122,0)</f>
        <v>0</v>
      </c>
      <c r="Y122" s="277" t="s">
        <v>2858</v>
      </c>
      <c r="AI122" s="283">
        <f>SUM(Z123:Z149)</f>
        <v>0</v>
      </c>
      <c r="AJ122" s="283">
        <f>SUM(AA123:AA149)</f>
        <v>0</v>
      </c>
      <c r="AK122" s="283">
        <f>SUM(AB123:AB149)</f>
        <v>0</v>
      </c>
    </row>
    <row r="123" spans="1:37">
      <c r="A123" s="265"/>
      <c r="B123" s="265"/>
      <c r="C123" s="265" t="s">
        <v>3023</v>
      </c>
      <c r="D123" s="265" t="s">
        <v>3024</v>
      </c>
      <c r="E123" s="265" t="s">
        <v>2873</v>
      </c>
      <c r="F123" s="285">
        <v>5</v>
      </c>
      <c r="G123" s="285">
        <f t="shared" ref="G123:G138" si="12">H123+I123</f>
        <v>0</v>
      </c>
      <c r="H123" s="285"/>
      <c r="I123" s="285"/>
      <c r="J123" s="285">
        <f t="shared" ref="J123:J138" si="13">ROUND(F123*G123,2)</f>
        <v>0</v>
      </c>
      <c r="K123" s="285"/>
      <c r="L123" s="285"/>
      <c r="N123" s="286" t="s">
        <v>71</v>
      </c>
      <c r="O123" s="285">
        <f>IF(N123="5",I123,0)</f>
        <v>0</v>
      </c>
      <c r="Z123" s="285">
        <f>IF(AD123=0,J123,0)</f>
        <v>0</v>
      </c>
      <c r="AA123" s="285">
        <f>IF(AD123=10,J123,0)</f>
        <v>0</v>
      </c>
      <c r="AB123" s="285">
        <f>IF(AD123=20,J123,0)</f>
        <v>0</v>
      </c>
      <c r="AD123" s="285">
        <v>20</v>
      </c>
      <c r="AE123" s="285">
        <f>G123*1</f>
        <v>0</v>
      </c>
      <c r="AF123" s="285">
        <f>G123*(1-1)</f>
        <v>0</v>
      </c>
    </row>
    <row r="124" spans="1:37">
      <c r="A124" s="265"/>
      <c r="B124" s="265"/>
      <c r="C124" s="265" t="s">
        <v>3025</v>
      </c>
      <c r="D124" s="265" t="s">
        <v>3026</v>
      </c>
      <c r="E124" s="265" t="s">
        <v>2873</v>
      </c>
      <c r="F124" s="285">
        <v>9</v>
      </c>
      <c r="G124" s="285">
        <f t="shared" si="12"/>
        <v>0</v>
      </c>
      <c r="H124" s="285"/>
      <c r="I124" s="285"/>
      <c r="J124" s="285">
        <f t="shared" si="13"/>
        <v>0</v>
      </c>
      <c r="K124" s="285"/>
      <c r="L124" s="285"/>
      <c r="N124" s="286"/>
      <c r="O124" s="285"/>
      <c r="Z124" s="285"/>
      <c r="AA124" s="285"/>
      <c r="AB124" s="285"/>
      <c r="AD124" s="285"/>
      <c r="AE124" s="285"/>
      <c r="AF124" s="285"/>
    </row>
    <row r="125" spans="1:37">
      <c r="A125" s="265"/>
      <c r="B125" s="265"/>
      <c r="C125" s="265" t="s">
        <v>3027</v>
      </c>
      <c r="D125" s="265" t="s">
        <v>3028</v>
      </c>
      <c r="E125" s="265" t="s">
        <v>3029</v>
      </c>
      <c r="F125" s="285">
        <v>5</v>
      </c>
      <c r="G125" s="285">
        <f t="shared" si="12"/>
        <v>0</v>
      </c>
      <c r="H125" s="285"/>
      <c r="I125" s="285"/>
      <c r="J125" s="285">
        <f t="shared" si="13"/>
        <v>0</v>
      </c>
      <c r="K125" s="285"/>
      <c r="L125" s="285"/>
      <c r="N125" s="286" t="s">
        <v>79</v>
      </c>
      <c r="O125" s="285">
        <f>IF(N125="5",I125,0)</f>
        <v>0</v>
      </c>
      <c r="Z125" s="285">
        <f>IF(AD125=0,J125,0)</f>
        <v>0</v>
      </c>
      <c r="AA125" s="285">
        <f>IF(AD125=10,J125,0)</f>
        <v>0</v>
      </c>
      <c r="AB125" s="285">
        <f>IF(AD125=20,J125,0)</f>
        <v>0</v>
      </c>
      <c r="AD125" s="285">
        <v>20</v>
      </c>
      <c r="AE125" s="285">
        <f>G125*0.882049450402264</f>
        <v>0</v>
      </c>
      <c r="AF125" s="285">
        <f>G125*(1-0.882049450402264)</f>
        <v>0</v>
      </c>
    </row>
    <row r="126" spans="1:37">
      <c r="A126" s="265"/>
      <c r="B126" s="265"/>
      <c r="C126" s="265" t="s">
        <v>3030</v>
      </c>
      <c r="D126" s="265" t="s">
        <v>3031</v>
      </c>
      <c r="E126" s="265" t="s">
        <v>3029</v>
      </c>
      <c r="F126" s="285">
        <v>1</v>
      </c>
      <c r="G126" s="285">
        <f t="shared" si="12"/>
        <v>0</v>
      </c>
      <c r="H126" s="285"/>
      <c r="I126" s="285"/>
      <c r="J126" s="285">
        <f t="shared" si="13"/>
        <v>0</v>
      </c>
      <c r="K126" s="285"/>
      <c r="L126" s="285"/>
      <c r="N126" s="286"/>
      <c r="O126" s="285"/>
      <c r="Z126" s="285"/>
      <c r="AA126" s="285"/>
      <c r="AB126" s="285"/>
      <c r="AD126" s="285"/>
      <c r="AE126" s="285"/>
      <c r="AF126" s="285"/>
    </row>
    <row r="127" spans="1:37">
      <c r="A127" s="265"/>
      <c r="B127" s="265"/>
      <c r="C127" s="265" t="s">
        <v>3032</v>
      </c>
      <c r="D127" s="265" t="s">
        <v>3033</v>
      </c>
      <c r="E127" s="265" t="s">
        <v>3029</v>
      </c>
      <c r="F127" s="285">
        <v>1</v>
      </c>
      <c r="G127" s="285">
        <f t="shared" si="12"/>
        <v>0</v>
      </c>
      <c r="H127" s="285"/>
      <c r="I127" s="285"/>
      <c r="J127" s="285">
        <f t="shared" si="13"/>
        <v>0</v>
      </c>
      <c r="K127" s="285"/>
      <c r="L127" s="285"/>
      <c r="N127" s="286" t="s">
        <v>79</v>
      </c>
      <c r="O127" s="285">
        <f>IF(N127="5",I127,0)</f>
        <v>0</v>
      </c>
      <c r="Z127" s="285">
        <f>IF(AD127=0,J127,0)</f>
        <v>0</v>
      </c>
      <c r="AA127" s="285">
        <f>IF(AD127=10,J127,0)</f>
        <v>0</v>
      </c>
      <c r="AB127" s="285">
        <f>IF(AD127=20,J127,0)</f>
        <v>0</v>
      </c>
      <c r="AD127" s="285">
        <v>20</v>
      </c>
      <c r="AE127" s="285">
        <f>G127*0.792629077306375</f>
        <v>0</v>
      </c>
      <c r="AF127" s="285">
        <f>G127*(1-0.792629077306375)</f>
        <v>0</v>
      </c>
    </row>
    <row r="128" spans="1:37">
      <c r="A128" s="265"/>
      <c r="B128" s="265"/>
      <c r="C128" s="265" t="s">
        <v>3034</v>
      </c>
      <c r="D128" s="265" t="s">
        <v>3035</v>
      </c>
      <c r="E128" s="265" t="s">
        <v>2873</v>
      </c>
      <c r="F128" s="285">
        <v>1</v>
      </c>
      <c r="G128" s="285">
        <f t="shared" si="12"/>
        <v>0</v>
      </c>
      <c r="H128" s="285"/>
      <c r="I128" s="285"/>
      <c r="J128" s="285">
        <f t="shared" si="13"/>
        <v>0</v>
      </c>
      <c r="K128" s="285"/>
      <c r="L128" s="285"/>
      <c r="N128" s="286"/>
      <c r="O128" s="285"/>
      <c r="Z128" s="285"/>
      <c r="AA128" s="285"/>
      <c r="AB128" s="285"/>
      <c r="AD128" s="285"/>
      <c r="AE128" s="285"/>
      <c r="AF128" s="285"/>
    </row>
    <row r="129" spans="1:32">
      <c r="A129" s="265"/>
      <c r="B129" s="265"/>
      <c r="C129" s="265" t="s">
        <v>3036</v>
      </c>
      <c r="D129" s="265" t="s">
        <v>3037</v>
      </c>
      <c r="E129" s="265" t="s">
        <v>2873</v>
      </c>
      <c r="F129" s="285">
        <v>1</v>
      </c>
      <c r="G129" s="285">
        <f t="shared" si="12"/>
        <v>0</v>
      </c>
      <c r="H129" s="285"/>
      <c r="I129" s="285"/>
      <c r="J129" s="285">
        <f t="shared" si="13"/>
        <v>0</v>
      </c>
      <c r="K129" s="285"/>
      <c r="L129" s="285"/>
      <c r="N129" s="286" t="s">
        <v>79</v>
      </c>
      <c r="O129" s="285">
        <f t="shared" ref="O129:O136" si="14">IF(N129="5",I129,0)</f>
        <v>0</v>
      </c>
      <c r="Z129" s="285">
        <f t="shared" ref="Z129:Z136" si="15">IF(AD129=0,J129,0)</f>
        <v>0</v>
      </c>
      <c r="AA129" s="285">
        <f t="shared" ref="AA129:AA136" si="16">IF(AD129=10,J129,0)</f>
        <v>0</v>
      </c>
      <c r="AB129" s="285">
        <f t="shared" ref="AB129:AB136" si="17">IF(AD129=20,J129,0)</f>
        <v>0</v>
      </c>
      <c r="AD129" s="285">
        <v>20</v>
      </c>
      <c r="AE129" s="285">
        <f>G129*0.712217244317401</f>
        <v>0</v>
      </c>
      <c r="AF129" s="285">
        <f>G129*(1-0.712217244317401)</f>
        <v>0</v>
      </c>
    </row>
    <row r="130" spans="1:32">
      <c r="A130" s="265"/>
      <c r="B130" s="265"/>
      <c r="C130" s="265" t="s">
        <v>3038</v>
      </c>
      <c r="D130" s="265" t="s">
        <v>3039</v>
      </c>
      <c r="E130" s="265" t="s">
        <v>3029</v>
      </c>
      <c r="F130" s="285">
        <f>F123</f>
        <v>5</v>
      </c>
      <c r="G130" s="285">
        <f t="shared" si="12"/>
        <v>0</v>
      </c>
      <c r="H130" s="285"/>
      <c r="I130" s="285"/>
      <c r="J130" s="285">
        <f t="shared" si="13"/>
        <v>0</v>
      </c>
      <c r="K130" s="285"/>
      <c r="L130" s="285"/>
      <c r="N130" s="286" t="s">
        <v>79</v>
      </c>
      <c r="O130" s="285">
        <f t="shared" si="14"/>
        <v>0</v>
      </c>
      <c r="Z130" s="285">
        <f t="shared" si="15"/>
        <v>0</v>
      </c>
      <c r="AA130" s="285">
        <f t="shared" si="16"/>
        <v>0</v>
      </c>
      <c r="AB130" s="285">
        <f t="shared" si="17"/>
        <v>0</v>
      </c>
      <c r="AD130" s="285">
        <v>20</v>
      </c>
      <c r="AE130" s="285">
        <f>G130*0.898950103436346</f>
        <v>0</v>
      </c>
      <c r="AF130" s="285">
        <f>G130*(1-0.898950103436346)</f>
        <v>0</v>
      </c>
    </row>
    <row r="131" spans="1:32">
      <c r="A131" s="265"/>
      <c r="B131" s="265"/>
      <c r="C131" s="265" t="s">
        <v>3040</v>
      </c>
      <c r="D131" s="265" t="s">
        <v>3041</v>
      </c>
      <c r="E131" s="265" t="s">
        <v>2873</v>
      </c>
      <c r="F131" s="285">
        <v>1</v>
      </c>
      <c r="G131" s="285">
        <f t="shared" si="12"/>
        <v>0</v>
      </c>
      <c r="H131" s="285"/>
      <c r="I131" s="285"/>
      <c r="J131" s="285">
        <f t="shared" si="13"/>
        <v>0</v>
      </c>
      <c r="K131" s="285"/>
      <c r="L131" s="285"/>
      <c r="N131" s="286" t="s">
        <v>79</v>
      </c>
      <c r="O131" s="285">
        <f t="shared" si="14"/>
        <v>0</v>
      </c>
      <c r="Z131" s="285">
        <f t="shared" si="15"/>
        <v>0</v>
      </c>
      <c r="AA131" s="285">
        <f t="shared" si="16"/>
        <v>0</v>
      </c>
      <c r="AB131" s="285">
        <f t="shared" si="17"/>
        <v>0</v>
      </c>
      <c r="AD131" s="285">
        <v>20</v>
      </c>
      <c r="AE131" s="285">
        <f>G131*0</f>
        <v>0</v>
      </c>
      <c r="AF131" s="285">
        <f>G131*(1-0)</f>
        <v>0</v>
      </c>
    </row>
    <row r="132" spans="1:32">
      <c r="A132" s="265"/>
      <c r="B132" s="265"/>
      <c r="C132" s="265" t="s">
        <v>3042</v>
      </c>
      <c r="D132" s="265" t="s">
        <v>3043</v>
      </c>
      <c r="E132" s="265" t="s">
        <v>2873</v>
      </c>
      <c r="F132" s="285">
        <v>1</v>
      </c>
      <c r="G132" s="285">
        <f t="shared" si="12"/>
        <v>0</v>
      </c>
      <c r="H132" s="285"/>
      <c r="I132" s="285"/>
      <c r="J132" s="285">
        <f t="shared" si="13"/>
        <v>0</v>
      </c>
      <c r="K132" s="285"/>
      <c r="L132" s="285"/>
      <c r="N132" s="286" t="s">
        <v>79</v>
      </c>
      <c r="O132" s="285">
        <f t="shared" si="14"/>
        <v>0</v>
      </c>
      <c r="Z132" s="285">
        <f t="shared" si="15"/>
        <v>0</v>
      </c>
      <c r="AA132" s="285">
        <f t="shared" si="16"/>
        <v>0</v>
      </c>
      <c r="AB132" s="285">
        <f t="shared" si="17"/>
        <v>0</v>
      </c>
      <c r="AD132" s="285">
        <v>20</v>
      </c>
      <c r="AE132" s="285">
        <f>G132*0</f>
        <v>0</v>
      </c>
      <c r="AF132" s="285">
        <f>G132*(1-0)</f>
        <v>0</v>
      </c>
    </row>
    <row r="133" spans="1:32">
      <c r="A133" s="265"/>
      <c r="B133" s="265"/>
      <c r="C133" s="265" t="s">
        <v>3044</v>
      </c>
      <c r="D133" s="265" t="s">
        <v>3045</v>
      </c>
      <c r="E133" s="265" t="s">
        <v>2873</v>
      </c>
      <c r="F133" s="285">
        <v>24</v>
      </c>
      <c r="G133" s="285">
        <f t="shared" si="12"/>
        <v>0</v>
      </c>
      <c r="H133" s="285"/>
      <c r="I133" s="285"/>
      <c r="J133" s="285">
        <f t="shared" si="13"/>
        <v>0</v>
      </c>
      <c r="K133" s="285"/>
      <c r="L133" s="285"/>
      <c r="N133" s="286" t="s">
        <v>79</v>
      </c>
      <c r="O133" s="285">
        <f t="shared" si="14"/>
        <v>0</v>
      </c>
      <c r="Z133" s="285">
        <f t="shared" si="15"/>
        <v>0</v>
      </c>
      <c r="AA133" s="285">
        <f t="shared" si="16"/>
        <v>0</v>
      </c>
      <c r="AB133" s="285">
        <f t="shared" si="17"/>
        <v>0</v>
      </c>
      <c r="AD133" s="285">
        <v>20</v>
      </c>
      <c r="AE133" s="285">
        <f>G133*0.373490539127127</f>
        <v>0</v>
      </c>
      <c r="AF133" s="285">
        <f>G133*(1-0.373490539127127)</f>
        <v>0</v>
      </c>
    </row>
    <row r="134" spans="1:32">
      <c r="A134" s="265"/>
      <c r="B134" s="265"/>
      <c r="C134" s="265" t="s">
        <v>3046</v>
      </c>
      <c r="D134" s="265" t="s">
        <v>3047</v>
      </c>
      <c r="E134" s="265" t="s">
        <v>2873</v>
      </c>
      <c r="F134" s="285">
        <v>1</v>
      </c>
      <c r="G134" s="285">
        <f t="shared" si="12"/>
        <v>0</v>
      </c>
      <c r="H134" s="285"/>
      <c r="I134" s="285"/>
      <c r="J134" s="285">
        <f t="shared" si="13"/>
        <v>0</v>
      </c>
      <c r="K134" s="285"/>
      <c r="L134" s="285"/>
      <c r="N134" s="286" t="s">
        <v>79</v>
      </c>
      <c r="O134" s="285">
        <f t="shared" si="14"/>
        <v>0</v>
      </c>
      <c r="Z134" s="285">
        <f t="shared" si="15"/>
        <v>0</v>
      </c>
      <c r="AA134" s="285">
        <f t="shared" si="16"/>
        <v>0</v>
      </c>
      <c r="AB134" s="285">
        <f t="shared" si="17"/>
        <v>0</v>
      </c>
      <c r="AD134" s="285">
        <v>20</v>
      </c>
      <c r="AE134" s="285">
        <f>G134*0</f>
        <v>0</v>
      </c>
      <c r="AF134" s="285">
        <f>G134*(1-0)</f>
        <v>0</v>
      </c>
    </row>
    <row r="135" spans="1:32">
      <c r="A135" s="265"/>
      <c r="B135" s="265"/>
      <c r="C135" s="265" t="s">
        <v>3048</v>
      </c>
      <c r="D135" s="265" t="s">
        <v>3049</v>
      </c>
      <c r="E135" s="265" t="s">
        <v>2873</v>
      </c>
      <c r="F135" s="285">
        <v>5</v>
      </c>
      <c r="G135" s="285">
        <f t="shared" si="12"/>
        <v>0</v>
      </c>
      <c r="H135" s="285"/>
      <c r="I135" s="285"/>
      <c r="J135" s="285">
        <f t="shared" si="13"/>
        <v>0</v>
      </c>
      <c r="K135" s="285"/>
      <c r="L135" s="285"/>
      <c r="N135" s="286" t="s">
        <v>79</v>
      </c>
      <c r="O135" s="285">
        <f t="shared" si="14"/>
        <v>0</v>
      </c>
      <c r="Z135" s="285">
        <f t="shared" si="15"/>
        <v>0</v>
      </c>
      <c r="AA135" s="285">
        <f t="shared" si="16"/>
        <v>0</v>
      </c>
      <c r="AB135" s="285">
        <f t="shared" si="17"/>
        <v>0</v>
      </c>
      <c r="AD135" s="285">
        <v>20</v>
      </c>
      <c r="AE135" s="285">
        <f>G135*0.0325146606282297</f>
        <v>0</v>
      </c>
      <c r="AF135" s="285">
        <f>G135*(1-0.0325146606282297)</f>
        <v>0</v>
      </c>
    </row>
    <row r="136" spans="1:32">
      <c r="A136" s="265"/>
      <c r="B136" s="265"/>
      <c r="C136" s="265" t="s">
        <v>3050</v>
      </c>
      <c r="D136" s="265" t="s">
        <v>3051</v>
      </c>
      <c r="E136" s="265" t="s">
        <v>2873</v>
      </c>
      <c r="F136" s="285">
        <v>17</v>
      </c>
      <c r="G136" s="285">
        <f t="shared" si="12"/>
        <v>0</v>
      </c>
      <c r="H136" s="285"/>
      <c r="I136" s="285"/>
      <c r="J136" s="285">
        <f t="shared" si="13"/>
        <v>0</v>
      </c>
      <c r="K136" s="285"/>
      <c r="L136" s="285"/>
      <c r="N136" s="286" t="s">
        <v>79</v>
      </c>
      <c r="O136" s="285">
        <f t="shared" si="14"/>
        <v>0</v>
      </c>
      <c r="Z136" s="285">
        <f t="shared" si="15"/>
        <v>0</v>
      </c>
      <c r="AA136" s="285">
        <f t="shared" si="16"/>
        <v>0</v>
      </c>
      <c r="AB136" s="285">
        <f t="shared" si="17"/>
        <v>0</v>
      </c>
      <c r="AD136" s="285">
        <v>20</v>
      </c>
      <c r="AE136" s="285">
        <f>G136*0.778024149815623</f>
        <v>0</v>
      </c>
      <c r="AF136" s="285">
        <f>G136*(1-0.778024149815623)</f>
        <v>0</v>
      </c>
    </row>
    <row r="137" spans="1:32">
      <c r="A137" s="265"/>
      <c r="B137" s="265"/>
      <c r="C137" s="265" t="s">
        <v>3052</v>
      </c>
      <c r="D137" s="265" t="s">
        <v>3053</v>
      </c>
      <c r="E137" s="265" t="s">
        <v>2873</v>
      </c>
      <c r="F137" s="285">
        <v>1</v>
      </c>
      <c r="G137" s="285">
        <f t="shared" si="12"/>
        <v>0</v>
      </c>
      <c r="H137" s="285"/>
      <c r="I137" s="285"/>
      <c r="J137" s="285">
        <f t="shared" si="13"/>
        <v>0</v>
      </c>
      <c r="K137" s="285"/>
      <c r="L137" s="285"/>
      <c r="N137" s="286"/>
      <c r="O137" s="285"/>
      <c r="Z137" s="285"/>
      <c r="AA137" s="285"/>
      <c r="AB137" s="285"/>
      <c r="AD137" s="285"/>
      <c r="AE137" s="285"/>
      <c r="AF137" s="285"/>
    </row>
    <row r="138" spans="1:32">
      <c r="A138" s="265"/>
      <c r="B138" s="265"/>
      <c r="C138" s="265" t="s">
        <v>3054</v>
      </c>
      <c r="D138" s="265" t="s">
        <v>3055</v>
      </c>
      <c r="E138" s="265" t="s">
        <v>3029</v>
      </c>
      <c r="F138" s="285">
        <v>1</v>
      </c>
      <c r="G138" s="285">
        <f t="shared" si="12"/>
        <v>0</v>
      </c>
      <c r="H138" s="285"/>
      <c r="I138" s="285"/>
      <c r="J138" s="285">
        <f t="shared" si="13"/>
        <v>0</v>
      </c>
      <c r="K138" s="285"/>
      <c r="L138" s="285"/>
      <c r="N138" s="286"/>
      <c r="O138" s="285"/>
      <c r="Z138" s="285"/>
      <c r="AA138" s="285"/>
      <c r="AB138" s="285"/>
      <c r="AD138" s="285"/>
      <c r="AE138" s="285"/>
      <c r="AF138" s="285"/>
    </row>
    <row r="139" spans="1:32">
      <c r="A139" s="265"/>
      <c r="B139" s="265"/>
      <c r="C139" s="302" t="s">
        <v>3056</v>
      </c>
      <c r="D139" s="303" t="s">
        <v>3057</v>
      </c>
      <c r="E139" s="304" t="s">
        <v>3029</v>
      </c>
      <c r="F139" s="305">
        <v>3</v>
      </c>
      <c r="G139" s="285">
        <f>H139+I139</f>
        <v>0</v>
      </c>
      <c r="H139" s="285"/>
      <c r="I139" s="285"/>
      <c r="J139" s="285">
        <f>ROUND(F139*G139,2)</f>
        <v>0</v>
      </c>
      <c r="K139" s="285"/>
      <c r="L139" s="285"/>
      <c r="N139" s="286"/>
      <c r="O139" s="285"/>
      <c r="Z139" s="285"/>
      <c r="AA139" s="285"/>
      <c r="AB139" s="285"/>
      <c r="AD139" s="285"/>
      <c r="AE139" s="285"/>
      <c r="AF139" s="285"/>
    </row>
    <row r="140" spans="1:32">
      <c r="A140" s="265"/>
      <c r="B140" s="265"/>
      <c r="C140" s="302" t="s">
        <v>3058</v>
      </c>
      <c r="D140" s="303" t="s">
        <v>3059</v>
      </c>
      <c r="E140" s="304" t="s">
        <v>3029</v>
      </c>
      <c r="F140" s="305">
        <v>2</v>
      </c>
      <c r="G140" s="285">
        <f>H140+I140</f>
        <v>0</v>
      </c>
      <c r="H140" s="285"/>
      <c r="I140" s="285"/>
      <c r="J140" s="285">
        <f>ROUND(F140*G140,2)</f>
        <v>0</v>
      </c>
      <c r="K140" s="285"/>
      <c r="L140" s="285"/>
      <c r="N140" s="286"/>
      <c r="O140" s="285"/>
      <c r="Z140" s="285"/>
      <c r="AA140" s="285"/>
      <c r="AB140" s="285"/>
      <c r="AD140" s="285"/>
      <c r="AE140" s="285"/>
      <c r="AF140" s="285"/>
    </row>
    <row r="141" spans="1:32">
      <c r="A141" s="265"/>
      <c r="B141" s="265"/>
      <c r="C141" s="306" t="s">
        <v>3060</v>
      </c>
      <c r="D141" s="307" t="s">
        <v>3061</v>
      </c>
      <c r="F141" s="305"/>
      <c r="G141" s="296"/>
      <c r="I141" s="285"/>
      <c r="J141" s="285"/>
      <c r="K141" s="285"/>
      <c r="L141" s="285"/>
      <c r="N141" s="286"/>
      <c r="O141" s="285"/>
      <c r="Z141" s="285"/>
      <c r="AA141" s="285"/>
      <c r="AB141" s="285"/>
      <c r="AD141" s="285"/>
      <c r="AE141" s="285"/>
      <c r="AF141" s="285"/>
    </row>
    <row r="142" spans="1:32">
      <c r="A142" s="265"/>
      <c r="B142" s="265"/>
      <c r="C142" s="297"/>
      <c r="D142" s="288" t="s">
        <v>3062</v>
      </c>
      <c r="E142" s="304" t="s">
        <v>3029</v>
      </c>
      <c r="F142" s="305">
        <v>1</v>
      </c>
      <c r="G142" s="285">
        <f>H142+I142</f>
        <v>0</v>
      </c>
      <c r="H142" s="285"/>
      <c r="I142" s="285"/>
      <c r="J142" s="285">
        <f>ROUND(F142*G142,2)</f>
        <v>0</v>
      </c>
      <c r="K142" s="285"/>
      <c r="L142" s="285"/>
      <c r="N142" s="286"/>
      <c r="O142" s="285"/>
      <c r="Z142" s="285"/>
      <c r="AA142" s="285"/>
      <c r="AB142" s="285"/>
      <c r="AD142" s="285"/>
      <c r="AE142" s="285"/>
      <c r="AF142" s="285"/>
    </row>
    <row r="143" spans="1:32">
      <c r="A143" s="265"/>
      <c r="B143" s="265"/>
      <c r="C143" s="265"/>
      <c r="D143" s="265"/>
      <c r="E143" s="265"/>
      <c r="F143" s="285"/>
      <c r="G143" s="285"/>
      <c r="H143" s="285"/>
      <c r="I143" s="285"/>
      <c r="J143" s="285"/>
      <c r="K143" s="285"/>
      <c r="L143" s="285"/>
      <c r="N143" s="286"/>
      <c r="O143" s="285"/>
      <c r="Z143" s="285"/>
      <c r="AA143" s="285"/>
      <c r="AB143" s="285"/>
      <c r="AD143" s="285"/>
      <c r="AE143" s="285"/>
      <c r="AF143" s="285"/>
    </row>
    <row r="144" spans="1:32">
      <c r="A144" s="265"/>
      <c r="B144" s="265"/>
      <c r="C144" s="297"/>
      <c r="D144" s="295" t="s">
        <v>3063</v>
      </c>
      <c r="E144" s="300"/>
      <c r="F144" s="287"/>
      <c r="G144" s="294"/>
      <c r="H144" s="285"/>
      <c r="I144" s="285"/>
      <c r="J144" s="285"/>
      <c r="K144" s="285"/>
      <c r="L144" s="285"/>
      <c r="N144" s="286"/>
      <c r="O144" s="285"/>
      <c r="Z144" s="285"/>
      <c r="AA144" s="285"/>
      <c r="AB144" s="285"/>
      <c r="AD144" s="285"/>
      <c r="AE144" s="285"/>
      <c r="AF144" s="285"/>
    </row>
    <row r="145" spans="1:32">
      <c r="A145" s="265"/>
      <c r="B145" s="265"/>
      <c r="C145" s="297" t="s">
        <v>3064</v>
      </c>
      <c r="D145" s="288" t="s">
        <v>3065</v>
      </c>
      <c r="E145" s="304" t="s">
        <v>2873</v>
      </c>
      <c r="F145" s="285">
        <v>13</v>
      </c>
      <c r="G145" s="285">
        <f>H145+I145</f>
        <v>0</v>
      </c>
      <c r="H145" s="285"/>
      <c r="I145" s="285"/>
      <c r="J145" s="285">
        <f>ROUND(F145*G145,2)</f>
        <v>0</v>
      </c>
      <c r="K145" s="285"/>
      <c r="L145" s="285"/>
      <c r="N145" s="286"/>
      <c r="O145" s="285"/>
      <c r="Z145" s="285"/>
      <c r="AA145" s="285"/>
      <c r="AB145" s="285"/>
      <c r="AD145" s="285"/>
      <c r="AE145" s="285"/>
      <c r="AF145" s="285"/>
    </row>
    <row r="146" spans="1:32">
      <c r="A146" s="265"/>
      <c r="B146" s="265"/>
      <c r="C146" s="297" t="s">
        <v>3064</v>
      </c>
      <c r="D146" s="288" t="s">
        <v>3066</v>
      </c>
      <c r="E146" s="304"/>
      <c r="F146" s="298"/>
      <c r="G146" s="287"/>
      <c r="H146" s="285"/>
      <c r="I146" s="285"/>
      <c r="J146" s="285"/>
      <c r="K146" s="285"/>
      <c r="L146" s="285"/>
      <c r="N146" s="286"/>
      <c r="O146" s="285"/>
      <c r="Z146" s="285"/>
      <c r="AA146" s="285"/>
      <c r="AB146" s="285"/>
      <c r="AD146" s="285"/>
      <c r="AE146" s="285"/>
      <c r="AF146" s="285"/>
    </row>
    <row r="147" spans="1:32">
      <c r="A147" s="265"/>
      <c r="B147" s="265"/>
      <c r="C147" s="297"/>
      <c r="D147" s="288" t="s">
        <v>3067</v>
      </c>
      <c r="E147" s="304" t="s">
        <v>3068</v>
      </c>
      <c r="F147" s="305">
        <v>5</v>
      </c>
      <c r="G147" s="285">
        <f>H147+I147</f>
        <v>0</v>
      </c>
      <c r="H147" s="285"/>
      <c r="I147" s="285"/>
      <c r="J147" s="285">
        <f>ROUND(F147*G147,2)</f>
        <v>0</v>
      </c>
      <c r="K147" s="285"/>
      <c r="L147" s="285"/>
      <c r="N147" s="286"/>
      <c r="O147" s="285"/>
      <c r="Z147" s="285"/>
      <c r="AA147" s="285"/>
      <c r="AB147" s="285"/>
      <c r="AD147" s="285"/>
      <c r="AE147" s="285"/>
      <c r="AF147" s="285"/>
    </row>
    <row r="148" spans="1:32">
      <c r="A148" s="265"/>
      <c r="B148" s="265"/>
      <c r="K148" s="285"/>
      <c r="L148" s="285"/>
      <c r="N148" s="286"/>
      <c r="O148" s="285"/>
      <c r="Z148" s="285"/>
      <c r="AA148" s="285"/>
      <c r="AB148" s="285"/>
      <c r="AD148" s="285"/>
      <c r="AE148" s="285"/>
      <c r="AF148" s="285"/>
    </row>
    <row r="149" spans="1:32">
      <c r="A149" s="265"/>
      <c r="B149" s="265"/>
      <c r="C149" s="265" t="s">
        <v>3069</v>
      </c>
      <c r="D149" s="265" t="s">
        <v>3070</v>
      </c>
      <c r="E149" s="265" t="s">
        <v>425</v>
      </c>
      <c r="F149" s="285">
        <v>15</v>
      </c>
      <c r="G149" s="285">
        <f>H149+I149</f>
        <v>0</v>
      </c>
      <c r="H149" s="285"/>
      <c r="I149" s="285"/>
      <c r="J149" s="285">
        <f>ROUND(F149*G149,2)</f>
        <v>0</v>
      </c>
      <c r="K149" s="285"/>
      <c r="L149" s="285"/>
      <c r="N149" s="286" t="s">
        <v>159</v>
      </c>
      <c r="O149" s="285">
        <f>IF(N149="5",I149,0)</f>
        <v>0</v>
      </c>
      <c r="Z149" s="285">
        <f>IF(AD149=0,J149,0)</f>
        <v>0</v>
      </c>
      <c r="AA149" s="285">
        <f>IF(AD149=10,J149,0)</f>
        <v>0</v>
      </c>
      <c r="AB149" s="285">
        <f>IF(AD149=20,J149,0)</f>
        <v>0</v>
      </c>
      <c r="AD149" s="285">
        <v>20</v>
      </c>
      <c r="AE149" s="285">
        <f>G149*0</f>
        <v>0</v>
      </c>
      <c r="AF149" s="285">
        <f>G149*(1-0)</f>
        <v>0</v>
      </c>
    </row>
    <row r="150" spans="1:32">
      <c r="A150" s="308"/>
      <c r="B150" s="308"/>
      <c r="C150" s="308"/>
      <c r="D150" s="308"/>
      <c r="E150" s="308"/>
      <c r="F150" s="308"/>
      <c r="G150" s="308"/>
      <c r="H150" s="592" t="s">
        <v>3071</v>
      </c>
      <c r="I150" s="593"/>
      <c r="J150" s="309">
        <f>J12+J80+J122</f>
        <v>0</v>
      </c>
      <c r="K150" s="308"/>
      <c r="L150" s="308"/>
      <c r="Z150" s="310">
        <f>SUM(Z12:Z149)</f>
        <v>0</v>
      </c>
      <c r="AA150" s="310">
        <f>SUM(AA12:AA149)</f>
        <v>0</v>
      </c>
      <c r="AB150" s="310">
        <f>SUM(AB12:AB149)</f>
        <v>0</v>
      </c>
    </row>
  </sheetData>
  <mergeCells count="31">
    <mergeCell ref="J4:L5"/>
    <mergeCell ref="A1:L1"/>
    <mergeCell ref="A2:C3"/>
    <mergeCell ref="D2:D3"/>
    <mergeCell ref="E2:F3"/>
    <mergeCell ref="G2:H3"/>
    <mergeCell ref="I2:I3"/>
    <mergeCell ref="J2:L3"/>
    <mergeCell ref="A4:C5"/>
    <mergeCell ref="D4:D5"/>
    <mergeCell ref="E4:F5"/>
    <mergeCell ref="G4:H5"/>
    <mergeCell ref="I4:I5"/>
    <mergeCell ref="J8:L9"/>
    <mergeCell ref="A6:C7"/>
    <mergeCell ref="D6:D7"/>
    <mergeCell ref="E6:F7"/>
    <mergeCell ref="G6:H7"/>
    <mergeCell ref="I6:I7"/>
    <mergeCell ref="J6:L7"/>
    <mergeCell ref="H150:I150"/>
    <mergeCell ref="A8:C9"/>
    <mergeCell ref="D8:D9"/>
    <mergeCell ref="E8:F9"/>
    <mergeCell ref="G8:H9"/>
    <mergeCell ref="I8:I9"/>
    <mergeCell ref="H10:J10"/>
    <mergeCell ref="K10:L10"/>
    <mergeCell ref="D12:G12"/>
    <mergeCell ref="D80:G80"/>
    <mergeCell ref="D122:G122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A7089-5291-4D9A-B105-F41BE1D4F35F}">
  <dimension ref="A2:H40"/>
  <sheetViews>
    <sheetView topLeftCell="A14" zoomScale="130" zoomScaleNormal="130" workbookViewId="0">
      <selection activeCell="D128" sqref="D128"/>
    </sheetView>
  </sheetViews>
  <sheetFormatPr defaultColWidth="8.83203125" defaultRowHeight="15"/>
  <cols>
    <col min="1" max="1" width="9.5" style="311" customWidth="1"/>
    <col min="2" max="2" width="8.33203125" style="312" customWidth="1"/>
    <col min="3" max="3" width="20.1640625" style="312" customWidth="1"/>
    <col min="4" max="4" width="88.5" style="312" customWidth="1"/>
    <col min="5" max="5" width="8.83203125" style="312"/>
    <col min="6" max="6" width="8.83203125" style="313"/>
    <col min="7" max="7" width="23.83203125" style="313" customWidth="1"/>
    <col min="8" max="8" width="24.83203125" style="313" customWidth="1"/>
    <col min="9" max="16384" width="8.83203125" style="312"/>
  </cols>
  <sheetData>
    <row r="2" spans="1:8">
      <c r="A2" s="311" t="s">
        <v>112</v>
      </c>
    </row>
    <row r="4" spans="1:8">
      <c r="A4" s="311" t="s">
        <v>16</v>
      </c>
    </row>
    <row r="6" spans="1:8">
      <c r="A6" s="311" t="s">
        <v>89</v>
      </c>
    </row>
    <row r="7" spans="1:8">
      <c r="C7" s="312" t="s">
        <v>3072</v>
      </c>
    </row>
    <row r="9" spans="1:8">
      <c r="A9" s="311" t="s">
        <v>21</v>
      </c>
      <c r="D9" s="312" t="s">
        <v>3073</v>
      </c>
      <c r="G9" s="313" t="s">
        <v>23</v>
      </c>
    </row>
    <row r="11" spans="1:8">
      <c r="A11" s="311" t="s">
        <v>24</v>
      </c>
      <c r="D11" s="610"/>
      <c r="E11" s="610"/>
      <c r="F11" s="610"/>
      <c r="G11" s="610"/>
    </row>
    <row r="12" spans="1:8">
      <c r="A12" s="311" t="s">
        <v>28</v>
      </c>
      <c r="G12" s="313" t="s">
        <v>34</v>
      </c>
    </row>
    <row r="14" spans="1:8">
      <c r="A14" s="311" t="s">
        <v>113</v>
      </c>
      <c r="B14" s="312" t="s">
        <v>56</v>
      </c>
      <c r="C14" s="312" t="s">
        <v>52</v>
      </c>
      <c r="D14" s="312" t="s">
        <v>53</v>
      </c>
      <c r="E14" s="312" t="s">
        <v>114</v>
      </c>
      <c r="F14" s="313" t="s">
        <v>115</v>
      </c>
      <c r="G14" s="313" t="s">
        <v>116</v>
      </c>
      <c r="H14" s="313" t="s">
        <v>93</v>
      </c>
    </row>
    <row r="15" spans="1:8">
      <c r="A15" s="314" t="s">
        <v>124</v>
      </c>
      <c r="B15" s="315"/>
      <c r="C15" s="315"/>
      <c r="D15" s="315"/>
      <c r="E15" s="315"/>
      <c r="F15" s="316"/>
      <c r="G15" s="316"/>
      <c r="H15" s="317">
        <f>SUM(H18:H32)</f>
        <v>0</v>
      </c>
    </row>
    <row r="17" spans="1:8">
      <c r="B17" s="318" t="s">
        <v>70</v>
      </c>
      <c r="C17" s="318" t="s">
        <v>3074</v>
      </c>
      <c r="D17" s="318" t="s">
        <v>3075</v>
      </c>
      <c r="E17" s="318"/>
      <c r="F17" s="319"/>
      <c r="G17" s="319"/>
      <c r="H17" s="319"/>
    </row>
    <row r="18" spans="1:8">
      <c r="A18" s="311" t="s">
        <v>79</v>
      </c>
      <c r="B18" s="312" t="s">
        <v>129</v>
      </c>
      <c r="C18" s="312" t="s">
        <v>3076</v>
      </c>
      <c r="D18" s="312" t="s">
        <v>3077</v>
      </c>
      <c r="E18" s="312" t="s">
        <v>257</v>
      </c>
      <c r="F18" s="313">
        <v>38</v>
      </c>
      <c r="H18" s="313">
        <f t="shared" ref="H18:H19" si="0">G18*F18</f>
        <v>0</v>
      </c>
    </row>
    <row r="19" spans="1:8">
      <c r="A19" s="311" t="s">
        <v>81</v>
      </c>
      <c r="B19" s="312" t="s">
        <v>129</v>
      </c>
      <c r="C19" s="312" t="s">
        <v>3078</v>
      </c>
      <c r="D19" s="312" t="s">
        <v>3079</v>
      </c>
      <c r="E19" s="312" t="s">
        <v>257</v>
      </c>
      <c r="F19" s="313">
        <v>4</v>
      </c>
      <c r="H19" s="313">
        <f t="shared" si="0"/>
        <v>0</v>
      </c>
    </row>
    <row r="20" spans="1:8" ht="14.25" customHeight="1">
      <c r="A20" s="311">
        <v>3</v>
      </c>
      <c r="B20" s="312" t="s">
        <v>129</v>
      </c>
      <c r="C20" s="312" t="s">
        <v>3080</v>
      </c>
      <c r="D20" s="312" t="s">
        <v>3081</v>
      </c>
      <c r="E20" s="312" t="s">
        <v>257</v>
      </c>
      <c r="F20" s="313">
        <v>1.5</v>
      </c>
      <c r="H20" s="313">
        <f>G20*F20</f>
        <v>0</v>
      </c>
    </row>
    <row r="21" spans="1:8">
      <c r="A21" s="311">
        <v>4</v>
      </c>
      <c r="B21" s="312" t="s">
        <v>129</v>
      </c>
      <c r="C21" s="312" t="s">
        <v>3082</v>
      </c>
      <c r="D21" s="312" t="s">
        <v>3083</v>
      </c>
      <c r="E21" s="312" t="s">
        <v>304</v>
      </c>
      <c r="F21" s="313">
        <v>5</v>
      </c>
      <c r="H21" s="313">
        <f>G21*F21</f>
        <v>0</v>
      </c>
    </row>
    <row r="22" spans="1:8">
      <c r="A22" s="311">
        <v>5</v>
      </c>
      <c r="B22" s="312" t="s">
        <v>129</v>
      </c>
      <c r="C22" s="312" t="s">
        <v>3084</v>
      </c>
      <c r="D22" s="312" t="s">
        <v>3085</v>
      </c>
      <c r="E22" s="312" t="s">
        <v>3086</v>
      </c>
      <c r="F22" s="313">
        <v>1</v>
      </c>
      <c r="H22" s="313">
        <f>G22*F22</f>
        <v>0</v>
      </c>
    </row>
    <row r="23" spans="1:8">
      <c r="D23" s="312" t="s">
        <v>3087</v>
      </c>
      <c r="E23" s="312" t="s">
        <v>3086</v>
      </c>
      <c r="F23" s="313">
        <v>4</v>
      </c>
      <c r="H23" s="313">
        <f>G23*F23</f>
        <v>0</v>
      </c>
    </row>
    <row r="24" spans="1:8">
      <c r="A24" s="311">
        <v>6</v>
      </c>
      <c r="B24" s="312" t="s">
        <v>129</v>
      </c>
      <c r="C24" s="312" t="s">
        <v>3088</v>
      </c>
      <c r="D24" s="312" t="s">
        <v>3089</v>
      </c>
      <c r="E24" s="312" t="s">
        <v>425</v>
      </c>
      <c r="F24" s="313">
        <v>5</v>
      </c>
      <c r="H24" s="313">
        <f>G24*F24%</f>
        <v>0</v>
      </c>
    </row>
    <row r="25" spans="1:8">
      <c r="B25" s="318" t="s">
        <v>70</v>
      </c>
      <c r="C25" s="318" t="s">
        <v>2458</v>
      </c>
      <c r="D25" s="318" t="s">
        <v>2459</v>
      </c>
    </row>
    <row r="26" spans="1:8">
      <c r="A26" s="311">
        <v>7</v>
      </c>
      <c r="B26" s="312" t="s">
        <v>129</v>
      </c>
      <c r="C26" s="312" t="s">
        <v>3090</v>
      </c>
      <c r="D26" s="312" t="s">
        <v>3091</v>
      </c>
      <c r="E26" s="312" t="s">
        <v>257</v>
      </c>
      <c r="F26" s="313">
        <v>42</v>
      </c>
      <c r="H26" s="313">
        <f t="shared" ref="H26:H32" si="1">G26*F26</f>
        <v>0</v>
      </c>
    </row>
    <row r="27" spans="1:8">
      <c r="A27" s="311">
        <v>8</v>
      </c>
      <c r="B27" s="312" t="s">
        <v>129</v>
      </c>
      <c r="C27" s="312" t="s">
        <v>3092</v>
      </c>
      <c r="D27" s="312" t="s">
        <v>3093</v>
      </c>
      <c r="E27" s="312" t="s">
        <v>257</v>
      </c>
      <c r="F27" s="313">
        <v>42</v>
      </c>
      <c r="H27" s="313">
        <f t="shared" si="1"/>
        <v>0</v>
      </c>
    </row>
    <row r="28" spans="1:8">
      <c r="A28" s="320"/>
      <c r="B28" s="318" t="s">
        <v>70</v>
      </c>
      <c r="C28" s="318" t="s">
        <v>2535</v>
      </c>
      <c r="D28" s="318" t="s">
        <v>2536</v>
      </c>
    </row>
    <row r="29" spans="1:8">
      <c r="A29" s="311">
        <v>9</v>
      </c>
      <c r="B29" s="312" t="s">
        <v>129</v>
      </c>
      <c r="C29" s="312" t="s">
        <v>3094</v>
      </c>
      <c r="D29" s="312" t="s">
        <v>3095</v>
      </c>
      <c r="E29" s="312" t="s">
        <v>1013</v>
      </c>
      <c r="F29" s="313">
        <v>25</v>
      </c>
      <c r="H29" s="313">
        <f t="shared" si="1"/>
        <v>0</v>
      </c>
    </row>
    <row r="30" spans="1:8">
      <c r="A30" s="311">
        <v>10</v>
      </c>
      <c r="B30" s="312" t="s">
        <v>70</v>
      </c>
      <c r="C30" s="312" t="s">
        <v>618</v>
      </c>
      <c r="D30" s="312" t="s">
        <v>86</v>
      </c>
      <c r="H30" s="313">
        <f t="shared" si="1"/>
        <v>0</v>
      </c>
    </row>
    <row r="31" spans="1:8">
      <c r="A31" s="311">
        <v>11</v>
      </c>
      <c r="B31" s="312" t="s">
        <v>70</v>
      </c>
      <c r="C31" s="312" t="s">
        <v>3096</v>
      </c>
      <c r="D31" s="312" t="s">
        <v>3097</v>
      </c>
      <c r="H31" s="313">
        <f t="shared" si="1"/>
        <v>0</v>
      </c>
    </row>
    <row r="32" spans="1:8">
      <c r="A32" s="311">
        <v>12</v>
      </c>
      <c r="B32" s="312" t="s">
        <v>129</v>
      </c>
      <c r="C32" s="312" t="s">
        <v>3098</v>
      </c>
      <c r="D32" s="312" t="s">
        <v>3099</v>
      </c>
      <c r="E32" s="312" t="s">
        <v>3029</v>
      </c>
      <c r="F32" s="313">
        <v>1</v>
      </c>
      <c r="H32" s="313">
        <f t="shared" si="1"/>
        <v>0</v>
      </c>
    </row>
    <row r="40" spans="4:4">
      <c r="D40" s="312" t="s">
        <v>2835</v>
      </c>
    </row>
  </sheetData>
  <mergeCells count="1">
    <mergeCell ref="D11:G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7D09-08E0-4ACD-8AB9-6F428B8A0ACF}">
  <dimension ref="A1:N113"/>
  <sheetViews>
    <sheetView topLeftCell="A87" workbookViewId="0">
      <selection activeCell="D128" sqref="D128"/>
    </sheetView>
  </sheetViews>
  <sheetFormatPr defaultRowHeight="14.25"/>
  <cols>
    <col min="1" max="1" width="3.83203125" style="321" customWidth="1"/>
    <col min="2" max="2" width="3.6640625" style="325" customWidth="1"/>
    <col min="3" max="3" width="18.33203125" style="325" customWidth="1"/>
    <col min="4" max="4" width="63" style="325" customWidth="1"/>
    <col min="5" max="5" width="7.5" style="321" customWidth="1"/>
    <col min="6" max="6" width="7.83203125" style="325" customWidth="1"/>
    <col min="7" max="7" width="18.83203125" style="326" customWidth="1"/>
    <col min="8" max="8" width="17.5" style="326" customWidth="1"/>
    <col min="9" max="9" width="21.6640625" style="325" customWidth="1"/>
    <col min="10" max="10" width="17.83203125" style="325" bestFit="1" customWidth="1"/>
    <col min="11" max="256" width="9.33203125" style="325"/>
    <col min="257" max="257" width="3.83203125" style="325" customWidth="1"/>
    <col min="258" max="258" width="3.6640625" style="325" customWidth="1"/>
    <col min="259" max="259" width="15.6640625" style="325" customWidth="1"/>
    <col min="260" max="260" width="52.33203125" style="325" customWidth="1"/>
    <col min="261" max="261" width="6.6640625" style="325" customWidth="1"/>
    <col min="262" max="262" width="7.5" style="325" customWidth="1"/>
    <col min="263" max="263" width="13.6640625" style="325" customWidth="1"/>
    <col min="264" max="264" width="13.1640625" style="325" customWidth="1"/>
    <col min="265" max="265" width="15.83203125" style="325" customWidth="1"/>
    <col min="266" max="512" width="9.33203125" style="325"/>
    <col min="513" max="513" width="3.83203125" style="325" customWidth="1"/>
    <col min="514" max="514" width="3.6640625" style="325" customWidth="1"/>
    <col min="515" max="515" width="15.6640625" style="325" customWidth="1"/>
    <col min="516" max="516" width="52.33203125" style="325" customWidth="1"/>
    <col min="517" max="517" width="6.6640625" style="325" customWidth="1"/>
    <col min="518" max="518" width="7.5" style="325" customWidth="1"/>
    <col min="519" max="519" width="13.6640625" style="325" customWidth="1"/>
    <col min="520" max="520" width="13.1640625" style="325" customWidth="1"/>
    <col min="521" max="521" width="15.83203125" style="325" customWidth="1"/>
    <col min="522" max="768" width="9.33203125" style="325"/>
    <col min="769" max="769" width="3.83203125" style="325" customWidth="1"/>
    <col min="770" max="770" width="3.6640625" style="325" customWidth="1"/>
    <col min="771" max="771" width="15.6640625" style="325" customWidth="1"/>
    <col min="772" max="772" width="52.33203125" style="325" customWidth="1"/>
    <col min="773" max="773" width="6.6640625" style="325" customWidth="1"/>
    <col min="774" max="774" width="7.5" style="325" customWidth="1"/>
    <col min="775" max="775" width="13.6640625" style="325" customWidth="1"/>
    <col min="776" max="776" width="13.1640625" style="325" customWidth="1"/>
    <col min="777" max="777" width="15.83203125" style="325" customWidth="1"/>
    <col min="778" max="1024" width="9.33203125" style="325"/>
    <col min="1025" max="1025" width="3.83203125" style="325" customWidth="1"/>
    <col min="1026" max="1026" width="3.6640625" style="325" customWidth="1"/>
    <col min="1027" max="1027" width="15.6640625" style="325" customWidth="1"/>
    <col min="1028" max="1028" width="52.33203125" style="325" customWidth="1"/>
    <col min="1029" max="1029" width="6.6640625" style="325" customWidth="1"/>
    <col min="1030" max="1030" width="7.5" style="325" customWidth="1"/>
    <col min="1031" max="1031" width="13.6640625" style="325" customWidth="1"/>
    <col min="1032" max="1032" width="13.1640625" style="325" customWidth="1"/>
    <col min="1033" max="1033" width="15.83203125" style="325" customWidth="1"/>
    <col min="1034" max="1280" width="9.33203125" style="325"/>
    <col min="1281" max="1281" width="3.83203125" style="325" customWidth="1"/>
    <col min="1282" max="1282" width="3.6640625" style="325" customWidth="1"/>
    <col min="1283" max="1283" width="15.6640625" style="325" customWidth="1"/>
    <col min="1284" max="1284" width="52.33203125" style="325" customWidth="1"/>
    <col min="1285" max="1285" width="6.6640625" style="325" customWidth="1"/>
    <col min="1286" max="1286" width="7.5" style="325" customWidth="1"/>
    <col min="1287" max="1287" width="13.6640625" style="325" customWidth="1"/>
    <col min="1288" max="1288" width="13.1640625" style="325" customWidth="1"/>
    <col min="1289" max="1289" width="15.83203125" style="325" customWidth="1"/>
    <col min="1290" max="1536" width="9.33203125" style="325"/>
    <col min="1537" max="1537" width="3.83203125" style="325" customWidth="1"/>
    <col min="1538" max="1538" width="3.6640625" style="325" customWidth="1"/>
    <col min="1539" max="1539" width="15.6640625" style="325" customWidth="1"/>
    <col min="1540" max="1540" width="52.33203125" style="325" customWidth="1"/>
    <col min="1541" max="1541" width="6.6640625" style="325" customWidth="1"/>
    <col min="1542" max="1542" width="7.5" style="325" customWidth="1"/>
    <col min="1543" max="1543" width="13.6640625" style="325" customWidth="1"/>
    <col min="1544" max="1544" width="13.1640625" style="325" customWidth="1"/>
    <col min="1545" max="1545" width="15.83203125" style="325" customWidth="1"/>
    <col min="1546" max="1792" width="9.33203125" style="325"/>
    <col min="1793" max="1793" width="3.83203125" style="325" customWidth="1"/>
    <col min="1794" max="1794" width="3.6640625" style="325" customWidth="1"/>
    <col min="1795" max="1795" width="15.6640625" style="325" customWidth="1"/>
    <col min="1796" max="1796" width="52.33203125" style="325" customWidth="1"/>
    <col min="1797" max="1797" width="6.6640625" style="325" customWidth="1"/>
    <col min="1798" max="1798" width="7.5" style="325" customWidth="1"/>
    <col min="1799" max="1799" width="13.6640625" style="325" customWidth="1"/>
    <col min="1800" max="1800" width="13.1640625" style="325" customWidth="1"/>
    <col min="1801" max="1801" width="15.83203125" style="325" customWidth="1"/>
    <col min="1802" max="2048" width="9.33203125" style="325"/>
    <col min="2049" max="2049" width="3.83203125" style="325" customWidth="1"/>
    <col min="2050" max="2050" width="3.6640625" style="325" customWidth="1"/>
    <col min="2051" max="2051" width="15.6640625" style="325" customWidth="1"/>
    <col min="2052" max="2052" width="52.33203125" style="325" customWidth="1"/>
    <col min="2053" max="2053" width="6.6640625" style="325" customWidth="1"/>
    <col min="2054" max="2054" width="7.5" style="325" customWidth="1"/>
    <col min="2055" max="2055" width="13.6640625" style="325" customWidth="1"/>
    <col min="2056" max="2056" width="13.1640625" style="325" customWidth="1"/>
    <col min="2057" max="2057" width="15.83203125" style="325" customWidth="1"/>
    <col min="2058" max="2304" width="9.33203125" style="325"/>
    <col min="2305" max="2305" width="3.83203125" style="325" customWidth="1"/>
    <col min="2306" max="2306" width="3.6640625" style="325" customWidth="1"/>
    <col min="2307" max="2307" width="15.6640625" style="325" customWidth="1"/>
    <col min="2308" max="2308" width="52.33203125" style="325" customWidth="1"/>
    <col min="2309" max="2309" width="6.6640625" style="325" customWidth="1"/>
    <col min="2310" max="2310" width="7.5" style="325" customWidth="1"/>
    <col min="2311" max="2311" width="13.6640625" style="325" customWidth="1"/>
    <col min="2312" max="2312" width="13.1640625" style="325" customWidth="1"/>
    <col min="2313" max="2313" width="15.83203125" style="325" customWidth="1"/>
    <col min="2314" max="2560" width="9.33203125" style="325"/>
    <col min="2561" max="2561" width="3.83203125" style="325" customWidth="1"/>
    <col min="2562" max="2562" width="3.6640625" style="325" customWidth="1"/>
    <col min="2563" max="2563" width="15.6640625" style="325" customWidth="1"/>
    <col min="2564" max="2564" width="52.33203125" style="325" customWidth="1"/>
    <col min="2565" max="2565" width="6.6640625" style="325" customWidth="1"/>
    <col min="2566" max="2566" width="7.5" style="325" customWidth="1"/>
    <col min="2567" max="2567" width="13.6640625" style="325" customWidth="1"/>
    <col min="2568" max="2568" width="13.1640625" style="325" customWidth="1"/>
    <col min="2569" max="2569" width="15.83203125" style="325" customWidth="1"/>
    <col min="2570" max="2816" width="9.33203125" style="325"/>
    <col min="2817" max="2817" width="3.83203125" style="325" customWidth="1"/>
    <col min="2818" max="2818" width="3.6640625" style="325" customWidth="1"/>
    <col min="2819" max="2819" width="15.6640625" style="325" customWidth="1"/>
    <col min="2820" max="2820" width="52.33203125" style="325" customWidth="1"/>
    <col min="2821" max="2821" width="6.6640625" style="325" customWidth="1"/>
    <col min="2822" max="2822" width="7.5" style="325" customWidth="1"/>
    <col min="2823" max="2823" width="13.6640625" style="325" customWidth="1"/>
    <col min="2824" max="2824" width="13.1640625" style="325" customWidth="1"/>
    <col min="2825" max="2825" width="15.83203125" style="325" customWidth="1"/>
    <col min="2826" max="3072" width="9.33203125" style="325"/>
    <col min="3073" max="3073" width="3.83203125" style="325" customWidth="1"/>
    <col min="3074" max="3074" width="3.6640625" style="325" customWidth="1"/>
    <col min="3075" max="3075" width="15.6640625" style="325" customWidth="1"/>
    <col min="3076" max="3076" width="52.33203125" style="325" customWidth="1"/>
    <col min="3077" max="3077" width="6.6640625" style="325" customWidth="1"/>
    <col min="3078" max="3078" width="7.5" style="325" customWidth="1"/>
    <col min="3079" max="3079" width="13.6640625" style="325" customWidth="1"/>
    <col min="3080" max="3080" width="13.1640625" style="325" customWidth="1"/>
    <col min="3081" max="3081" width="15.83203125" style="325" customWidth="1"/>
    <col min="3082" max="3328" width="9.33203125" style="325"/>
    <col min="3329" max="3329" width="3.83203125" style="325" customWidth="1"/>
    <col min="3330" max="3330" width="3.6640625" style="325" customWidth="1"/>
    <col min="3331" max="3331" width="15.6640625" style="325" customWidth="1"/>
    <col min="3332" max="3332" width="52.33203125" style="325" customWidth="1"/>
    <col min="3333" max="3333" width="6.6640625" style="325" customWidth="1"/>
    <col min="3334" max="3334" width="7.5" style="325" customWidth="1"/>
    <col min="3335" max="3335" width="13.6640625" style="325" customWidth="1"/>
    <col min="3336" max="3336" width="13.1640625" style="325" customWidth="1"/>
    <col min="3337" max="3337" width="15.83203125" style="325" customWidth="1"/>
    <col min="3338" max="3584" width="9.33203125" style="325"/>
    <col min="3585" max="3585" width="3.83203125" style="325" customWidth="1"/>
    <col min="3586" max="3586" width="3.6640625" style="325" customWidth="1"/>
    <col min="3587" max="3587" width="15.6640625" style="325" customWidth="1"/>
    <col min="3588" max="3588" width="52.33203125" style="325" customWidth="1"/>
    <col min="3589" max="3589" width="6.6640625" style="325" customWidth="1"/>
    <col min="3590" max="3590" width="7.5" style="325" customWidth="1"/>
    <col min="3591" max="3591" width="13.6640625" style="325" customWidth="1"/>
    <col min="3592" max="3592" width="13.1640625" style="325" customWidth="1"/>
    <col min="3593" max="3593" width="15.83203125" style="325" customWidth="1"/>
    <col min="3594" max="3840" width="9.33203125" style="325"/>
    <col min="3841" max="3841" width="3.83203125" style="325" customWidth="1"/>
    <col min="3842" max="3842" width="3.6640625" style="325" customWidth="1"/>
    <col min="3843" max="3843" width="15.6640625" style="325" customWidth="1"/>
    <col min="3844" max="3844" width="52.33203125" style="325" customWidth="1"/>
    <col min="3845" max="3845" width="6.6640625" style="325" customWidth="1"/>
    <col min="3846" max="3846" width="7.5" style="325" customWidth="1"/>
    <col min="3847" max="3847" width="13.6640625" style="325" customWidth="1"/>
    <col min="3848" max="3848" width="13.1640625" style="325" customWidth="1"/>
    <col min="3849" max="3849" width="15.83203125" style="325" customWidth="1"/>
    <col min="3850" max="4096" width="9.33203125" style="325"/>
    <col min="4097" max="4097" width="3.83203125" style="325" customWidth="1"/>
    <col min="4098" max="4098" width="3.6640625" style="325" customWidth="1"/>
    <col min="4099" max="4099" width="15.6640625" style="325" customWidth="1"/>
    <col min="4100" max="4100" width="52.33203125" style="325" customWidth="1"/>
    <col min="4101" max="4101" width="6.6640625" style="325" customWidth="1"/>
    <col min="4102" max="4102" width="7.5" style="325" customWidth="1"/>
    <col min="4103" max="4103" width="13.6640625" style="325" customWidth="1"/>
    <col min="4104" max="4104" width="13.1640625" style="325" customWidth="1"/>
    <col min="4105" max="4105" width="15.83203125" style="325" customWidth="1"/>
    <col min="4106" max="4352" width="9.33203125" style="325"/>
    <col min="4353" max="4353" width="3.83203125" style="325" customWidth="1"/>
    <col min="4354" max="4354" width="3.6640625" style="325" customWidth="1"/>
    <col min="4355" max="4355" width="15.6640625" style="325" customWidth="1"/>
    <col min="4356" max="4356" width="52.33203125" style="325" customWidth="1"/>
    <col min="4357" max="4357" width="6.6640625" style="325" customWidth="1"/>
    <col min="4358" max="4358" width="7.5" style="325" customWidth="1"/>
    <col min="4359" max="4359" width="13.6640625" style="325" customWidth="1"/>
    <col min="4360" max="4360" width="13.1640625" style="325" customWidth="1"/>
    <col min="4361" max="4361" width="15.83203125" style="325" customWidth="1"/>
    <col min="4362" max="4608" width="9.33203125" style="325"/>
    <col min="4609" max="4609" width="3.83203125" style="325" customWidth="1"/>
    <col min="4610" max="4610" width="3.6640625" style="325" customWidth="1"/>
    <col min="4611" max="4611" width="15.6640625" style="325" customWidth="1"/>
    <col min="4612" max="4612" width="52.33203125" style="325" customWidth="1"/>
    <col min="4613" max="4613" width="6.6640625" style="325" customWidth="1"/>
    <col min="4614" max="4614" width="7.5" style="325" customWidth="1"/>
    <col min="4615" max="4615" width="13.6640625" style="325" customWidth="1"/>
    <col min="4616" max="4616" width="13.1640625" style="325" customWidth="1"/>
    <col min="4617" max="4617" width="15.83203125" style="325" customWidth="1"/>
    <col min="4618" max="4864" width="9.33203125" style="325"/>
    <col min="4865" max="4865" width="3.83203125" style="325" customWidth="1"/>
    <col min="4866" max="4866" width="3.6640625" style="325" customWidth="1"/>
    <col min="4867" max="4867" width="15.6640625" style="325" customWidth="1"/>
    <col min="4868" max="4868" width="52.33203125" style="325" customWidth="1"/>
    <col min="4869" max="4869" width="6.6640625" style="325" customWidth="1"/>
    <col min="4870" max="4870" width="7.5" style="325" customWidth="1"/>
    <col min="4871" max="4871" width="13.6640625" style="325" customWidth="1"/>
    <col min="4872" max="4872" width="13.1640625" style="325" customWidth="1"/>
    <col min="4873" max="4873" width="15.83203125" style="325" customWidth="1"/>
    <col min="4874" max="5120" width="9.33203125" style="325"/>
    <col min="5121" max="5121" width="3.83203125" style="325" customWidth="1"/>
    <col min="5122" max="5122" width="3.6640625" style="325" customWidth="1"/>
    <col min="5123" max="5123" width="15.6640625" style="325" customWidth="1"/>
    <col min="5124" max="5124" width="52.33203125" style="325" customWidth="1"/>
    <col min="5125" max="5125" width="6.6640625" style="325" customWidth="1"/>
    <col min="5126" max="5126" width="7.5" style="325" customWidth="1"/>
    <col min="5127" max="5127" width="13.6640625" style="325" customWidth="1"/>
    <col min="5128" max="5128" width="13.1640625" style="325" customWidth="1"/>
    <col min="5129" max="5129" width="15.83203125" style="325" customWidth="1"/>
    <col min="5130" max="5376" width="9.33203125" style="325"/>
    <col min="5377" max="5377" width="3.83203125" style="325" customWidth="1"/>
    <col min="5378" max="5378" width="3.6640625" style="325" customWidth="1"/>
    <col min="5379" max="5379" width="15.6640625" style="325" customWidth="1"/>
    <col min="5380" max="5380" width="52.33203125" style="325" customWidth="1"/>
    <col min="5381" max="5381" width="6.6640625" style="325" customWidth="1"/>
    <col min="5382" max="5382" width="7.5" style="325" customWidth="1"/>
    <col min="5383" max="5383" width="13.6640625" style="325" customWidth="1"/>
    <col min="5384" max="5384" width="13.1640625" style="325" customWidth="1"/>
    <col min="5385" max="5385" width="15.83203125" style="325" customWidth="1"/>
    <col min="5386" max="5632" width="9.33203125" style="325"/>
    <col min="5633" max="5633" width="3.83203125" style="325" customWidth="1"/>
    <col min="5634" max="5634" width="3.6640625" style="325" customWidth="1"/>
    <col min="5635" max="5635" width="15.6640625" style="325" customWidth="1"/>
    <col min="5636" max="5636" width="52.33203125" style="325" customWidth="1"/>
    <col min="5637" max="5637" width="6.6640625" style="325" customWidth="1"/>
    <col min="5638" max="5638" width="7.5" style="325" customWidth="1"/>
    <col min="5639" max="5639" width="13.6640625" style="325" customWidth="1"/>
    <col min="5640" max="5640" width="13.1640625" style="325" customWidth="1"/>
    <col min="5641" max="5641" width="15.83203125" style="325" customWidth="1"/>
    <col min="5642" max="5888" width="9.33203125" style="325"/>
    <col min="5889" max="5889" width="3.83203125" style="325" customWidth="1"/>
    <col min="5890" max="5890" width="3.6640625" style="325" customWidth="1"/>
    <col min="5891" max="5891" width="15.6640625" style="325" customWidth="1"/>
    <col min="5892" max="5892" width="52.33203125" style="325" customWidth="1"/>
    <col min="5893" max="5893" width="6.6640625" style="325" customWidth="1"/>
    <col min="5894" max="5894" width="7.5" style="325" customWidth="1"/>
    <col min="5895" max="5895" width="13.6640625" style="325" customWidth="1"/>
    <col min="5896" max="5896" width="13.1640625" style="325" customWidth="1"/>
    <col min="5897" max="5897" width="15.83203125" style="325" customWidth="1"/>
    <col min="5898" max="6144" width="9.33203125" style="325"/>
    <col min="6145" max="6145" width="3.83203125" style="325" customWidth="1"/>
    <col min="6146" max="6146" width="3.6640625" style="325" customWidth="1"/>
    <col min="6147" max="6147" width="15.6640625" style="325" customWidth="1"/>
    <col min="6148" max="6148" width="52.33203125" style="325" customWidth="1"/>
    <col min="6149" max="6149" width="6.6640625" style="325" customWidth="1"/>
    <col min="6150" max="6150" width="7.5" style="325" customWidth="1"/>
    <col min="6151" max="6151" width="13.6640625" style="325" customWidth="1"/>
    <col min="6152" max="6152" width="13.1640625" style="325" customWidth="1"/>
    <col min="6153" max="6153" width="15.83203125" style="325" customWidth="1"/>
    <col min="6154" max="6400" width="9.33203125" style="325"/>
    <col min="6401" max="6401" width="3.83203125" style="325" customWidth="1"/>
    <col min="6402" max="6402" width="3.6640625" style="325" customWidth="1"/>
    <col min="6403" max="6403" width="15.6640625" style="325" customWidth="1"/>
    <col min="6404" max="6404" width="52.33203125" style="325" customWidth="1"/>
    <col min="6405" max="6405" width="6.6640625" style="325" customWidth="1"/>
    <col min="6406" max="6406" width="7.5" style="325" customWidth="1"/>
    <col min="6407" max="6407" width="13.6640625" style="325" customWidth="1"/>
    <col min="6408" max="6408" width="13.1640625" style="325" customWidth="1"/>
    <col min="6409" max="6409" width="15.83203125" style="325" customWidth="1"/>
    <col min="6410" max="6656" width="9.33203125" style="325"/>
    <col min="6657" max="6657" width="3.83203125" style="325" customWidth="1"/>
    <col min="6658" max="6658" width="3.6640625" style="325" customWidth="1"/>
    <col min="6659" max="6659" width="15.6640625" style="325" customWidth="1"/>
    <col min="6660" max="6660" width="52.33203125" style="325" customWidth="1"/>
    <col min="6661" max="6661" width="6.6640625" style="325" customWidth="1"/>
    <col min="6662" max="6662" width="7.5" style="325" customWidth="1"/>
    <col min="6663" max="6663" width="13.6640625" style="325" customWidth="1"/>
    <col min="6664" max="6664" width="13.1640625" style="325" customWidth="1"/>
    <col min="6665" max="6665" width="15.83203125" style="325" customWidth="1"/>
    <col min="6666" max="6912" width="9.33203125" style="325"/>
    <col min="6913" max="6913" width="3.83203125" style="325" customWidth="1"/>
    <col min="6914" max="6914" width="3.6640625" style="325" customWidth="1"/>
    <col min="6915" max="6915" width="15.6640625" style="325" customWidth="1"/>
    <col min="6916" max="6916" width="52.33203125" style="325" customWidth="1"/>
    <col min="6917" max="6917" width="6.6640625" style="325" customWidth="1"/>
    <col min="6918" max="6918" width="7.5" style="325" customWidth="1"/>
    <col min="6919" max="6919" width="13.6640625" style="325" customWidth="1"/>
    <col min="6920" max="6920" width="13.1640625" style="325" customWidth="1"/>
    <col min="6921" max="6921" width="15.83203125" style="325" customWidth="1"/>
    <col min="6922" max="7168" width="9.33203125" style="325"/>
    <col min="7169" max="7169" width="3.83203125" style="325" customWidth="1"/>
    <col min="7170" max="7170" width="3.6640625" style="325" customWidth="1"/>
    <col min="7171" max="7171" width="15.6640625" style="325" customWidth="1"/>
    <col min="7172" max="7172" width="52.33203125" style="325" customWidth="1"/>
    <col min="7173" max="7173" width="6.6640625" style="325" customWidth="1"/>
    <col min="7174" max="7174" width="7.5" style="325" customWidth="1"/>
    <col min="7175" max="7175" width="13.6640625" style="325" customWidth="1"/>
    <col min="7176" max="7176" width="13.1640625" style="325" customWidth="1"/>
    <col min="7177" max="7177" width="15.83203125" style="325" customWidth="1"/>
    <col min="7178" max="7424" width="9.33203125" style="325"/>
    <col min="7425" max="7425" width="3.83203125" style="325" customWidth="1"/>
    <col min="7426" max="7426" width="3.6640625" style="325" customWidth="1"/>
    <col min="7427" max="7427" width="15.6640625" style="325" customWidth="1"/>
    <col min="7428" max="7428" width="52.33203125" style="325" customWidth="1"/>
    <col min="7429" max="7429" width="6.6640625" style="325" customWidth="1"/>
    <col min="7430" max="7430" width="7.5" style="325" customWidth="1"/>
    <col min="7431" max="7431" width="13.6640625" style="325" customWidth="1"/>
    <col min="7432" max="7432" width="13.1640625" style="325" customWidth="1"/>
    <col min="7433" max="7433" width="15.83203125" style="325" customWidth="1"/>
    <col min="7434" max="7680" width="9.33203125" style="325"/>
    <col min="7681" max="7681" width="3.83203125" style="325" customWidth="1"/>
    <col min="7682" max="7682" width="3.6640625" style="325" customWidth="1"/>
    <col min="7683" max="7683" width="15.6640625" style="325" customWidth="1"/>
    <col min="7684" max="7684" width="52.33203125" style="325" customWidth="1"/>
    <col min="7685" max="7685" width="6.6640625" style="325" customWidth="1"/>
    <col min="7686" max="7686" width="7.5" style="325" customWidth="1"/>
    <col min="7687" max="7687" width="13.6640625" style="325" customWidth="1"/>
    <col min="7688" max="7688" width="13.1640625" style="325" customWidth="1"/>
    <col min="7689" max="7689" width="15.83203125" style="325" customWidth="1"/>
    <col min="7690" max="7936" width="9.33203125" style="325"/>
    <col min="7937" max="7937" width="3.83203125" style="325" customWidth="1"/>
    <col min="7938" max="7938" width="3.6640625" style="325" customWidth="1"/>
    <col min="7939" max="7939" width="15.6640625" style="325" customWidth="1"/>
    <col min="7940" max="7940" width="52.33203125" style="325" customWidth="1"/>
    <col min="7941" max="7941" width="6.6640625" style="325" customWidth="1"/>
    <col min="7942" max="7942" width="7.5" style="325" customWidth="1"/>
    <col min="7943" max="7943" width="13.6640625" style="325" customWidth="1"/>
    <col min="7944" max="7944" width="13.1640625" style="325" customWidth="1"/>
    <col min="7945" max="7945" width="15.83203125" style="325" customWidth="1"/>
    <col min="7946" max="8192" width="9.33203125" style="325"/>
    <col min="8193" max="8193" width="3.83203125" style="325" customWidth="1"/>
    <col min="8194" max="8194" width="3.6640625" style="325" customWidth="1"/>
    <col min="8195" max="8195" width="15.6640625" style="325" customWidth="1"/>
    <col min="8196" max="8196" width="52.33203125" style="325" customWidth="1"/>
    <col min="8197" max="8197" width="6.6640625" style="325" customWidth="1"/>
    <col min="8198" max="8198" width="7.5" style="325" customWidth="1"/>
    <col min="8199" max="8199" width="13.6640625" style="325" customWidth="1"/>
    <col min="8200" max="8200" width="13.1640625" style="325" customWidth="1"/>
    <col min="8201" max="8201" width="15.83203125" style="325" customWidth="1"/>
    <col min="8202" max="8448" width="9.33203125" style="325"/>
    <col min="8449" max="8449" width="3.83203125" style="325" customWidth="1"/>
    <col min="8450" max="8450" width="3.6640625" style="325" customWidth="1"/>
    <col min="8451" max="8451" width="15.6640625" style="325" customWidth="1"/>
    <col min="8452" max="8452" width="52.33203125" style="325" customWidth="1"/>
    <col min="8453" max="8453" width="6.6640625" style="325" customWidth="1"/>
    <col min="8454" max="8454" width="7.5" style="325" customWidth="1"/>
    <col min="8455" max="8455" width="13.6640625" style="325" customWidth="1"/>
    <col min="8456" max="8456" width="13.1640625" style="325" customWidth="1"/>
    <col min="8457" max="8457" width="15.83203125" style="325" customWidth="1"/>
    <col min="8458" max="8704" width="9.33203125" style="325"/>
    <col min="8705" max="8705" width="3.83203125" style="325" customWidth="1"/>
    <col min="8706" max="8706" width="3.6640625" style="325" customWidth="1"/>
    <col min="8707" max="8707" width="15.6640625" style="325" customWidth="1"/>
    <col min="8708" max="8708" width="52.33203125" style="325" customWidth="1"/>
    <col min="8709" max="8709" width="6.6640625" style="325" customWidth="1"/>
    <col min="8710" max="8710" width="7.5" style="325" customWidth="1"/>
    <col min="8711" max="8711" width="13.6640625" style="325" customWidth="1"/>
    <col min="8712" max="8712" width="13.1640625" style="325" customWidth="1"/>
    <col min="8713" max="8713" width="15.83203125" style="325" customWidth="1"/>
    <col min="8714" max="8960" width="9.33203125" style="325"/>
    <col min="8961" max="8961" width="3.83203125" style="325" customWidth="1"/>
    <col min="8962" max="8962" width="3.6640625" style="325" customWidth="1"/>
    <col min="8963" max="8963" width="15.6640625" style="325" customWidth="1"/>
    <col min="8964" max="8964" width="52.33203125" style="325" customWidth="1"/>
    <col min="8965" max="8965" width="6.6640625" style="325" customWidth="1"/>
    <col min="8966" max="8966" width="7.5" style="325" customWidth="1"/>
    <col min="8967" max="8967" width="13.6640625" style="325" customWidth="1"/>
    <col min="8968" max="8968" width="13.1640625" style="325" customWidth="1"/>
    <col min="8969" max="8969" width="15.83203125" style="325" customWidth="1"/>
    <col min="8970" max="9216" width="9.33203125" style="325"/>
    <col min="9217" max="9217" width="3.83203125" style="325" customWidth="1"/>
    <col min="9218" max="9218" width="3.6640625" style="325" customWidth="1"/>
    <col min="9219" max="9219" width="15.6640625" style="325" customWidth="1"/>
    <col min="9220" max="9220" width="52.33203125" style="325" customWidth="1"/>
    <col min="9221" max="9221" width="6.6640625" style="325" customWidth="1"/>
    <col min="9222" max="9222" width="7.5" style="325" customWidth="1"/>
    <col min="9223" max="9223" width="13.6640625" style="325" customWidth="1"/>
    <col min="9224" max="9224" width="13.1640625" style="325" customWidth="1"/>
    <col min="9225" max="9225" width="15.83203125" style="325" customWidth="1"/>
    <col min="9226" max="9472" width="9.33203125" style="325"/>
    <col min="9473" max="9473" width="3.83203125" style="325" customWidth="1"/>
    <col min="9474" max="9474" width="3.6640625" style="325" customWidth="1"/>
    <col min="9475" max="9475" width="15.6640625" style="325" customWidth="1"/>
    <col min="9476" max="9476" width="52.33203125" style="325" customWidth="1"/>
    <col min="9477" max="9477" width="6.6640625" style="325" customWidth="1"/>
    <col min="9478" max="9478" width="7.5" style="325" customWidth="1"/>
    <col min="9479" max="9479" width="13.6640625" style="325" customWidth="1"/>
    <col min="9480" max="9480" width="13.1640625" style="325" customWidth="1"/>
    <col min="9481" max="9481" width="15.83203125" style="325" customWidth="1"/>
    <col min="9482" max="9728" width="9.33203125" style="325"/>
    <col min="9729" max="9729" width="3.83203125" style="325" customWidth="1"/>
    <col min="9730" max="9730" width="3.6640625" style="325" customWidth="1"/>
    <col min="9731" max="9731" width="15.6640625" style="325" customWidth="1"/>
    <col min="9732" max="9732" width="52.33203125" style="325" customWidth="1"/>
    <col min="9733" max="9733" width="6.6640625" style="325" customWidth="1"/>
    <col min="9734" max="9734" width="7.5" style="325" customWidth="1"/>
    <col min="9735" max="9735" width="13.6640625" style="325" customWidth="1"/>
    <col min="9736" max="9736" width="13.1640625" style="325" customWidth="1"/>
    <col min="9737" max="9737" width="15.83203125" style="325" customWidth="1"/>
    <col min="9738" max="9984" width="9.33203125" style="325"/>
    <col min="9985" max="9985" width="3.83203125" style="325" customWidth="1"/>
    <col min="9986" max="9986" width="3.6640625" style="325" customWidth="1"/>
    <col min="9987" max="9987" width="15.6640625" style="325" customWidth="1"/>
    <col min="9988" max="9988" width="52.33203125" style="325" customWidth="1"/>
    <col min="9989" max="9989" width="6.6640625" style="325" customWidth="1"/>
    <col min="9990" max="9990" width="7.5" style="325" customWidth="1"/>
    <col min="9991" max="9991" width="13.6640625" style="325" customWidth="1"/>
    <col min="9992" max="9992" width="13.1640625" style="325" customWidth="1"/>
    <col min="9993" max="9993" width="15.83203125" style="325" customWidth="1"/>
    <col min="9994" max="10240" width="9.33203125" style="325"/>
    <col min="10241" max="10241" width="3.83203125" style="325" customWidth="1"/>
    <col min="10242" max="10242" width="3.6640625" style="325" customWidth="1"/>
    <col min="10243" max="10243" width="15.6640625" style="325" customWidth="1"/>
    <col min="10244" max="10244" width="52.33203125" style="325" customWidth="1"/>
    <col min="10245" max="10245" width="6.6640625" style="325" customWidth="1"/>
    <col min="10246" max="10246" width="7.5" style="325" customWidth="1"/>
    <col min="10247" max="10247" width="13.6640625" style="325" customWidth="1"/>
    <col min="10248" max="10248" width="13.1640625" style="325" customWidth="1"/>
    <col min="10249" max="10249" width="15.83203125" style="325" customWidth="1"/>
    <col min="10250" max="10496" width="9.33203125" style="325"/>
    <col min="10497" max="10497" width="3.83203125" style="325" customWidth="1"/>
    <col min="10498" max="10498" width="3.6640625" style="325" customWidth="1"/>
    <col min="10499" max="10499" width="15.6640625" style="325" customWidth="1"/>
    <col min="10500" max="10500" width="52.33203125" style="325" customWidth="1"/>
    <col min="10501" max="10501" width="6.6640625" style="325" customWidth="1"/>
    <col min="10502" max="10502" width="7.5" style="325" customWidth="1"/>
    <col min="10503" max="10503" width="13.6640625" style="325" customWidth="1"/>
    <col min="10504" max="10504" width="13.1640625" style="325" customWidth="1"/>
    <col min="10505" max="10505" width="15.83203125" style="325" customWidth="1"/>
    <col min="10506" max="10752" width="9.33203125" style="325"/>
    <col min="10753" max="10753" width="3.83203125" style="325" customWidth="1"/>
    <col min="10754" max="10754" width="3.6640625" style="325" customWidth="1"/>
    <col min="10755" max="10755" width="15.6640625" style="325" customWidth="1"/>
    <col min="10756" max="10756" width="52.33203125" style="325" customWidth="1"/>
    <col min="10757" max="10757" width="6.6640625" style="325" customWidth="1"/>
    <col min="10758" max="10758" width="7.5" style="325" customWidth="1"/>
    <col min="10759" max="10759" width="13.6640625" style="325" customWidth="1"/>
    <col min="10760" max="10760" width="13.1640625" style="325" customWidth="1"/>
    <col min="10761" max="10761" width="15.83203125" style="325" customWidth="1"/>
    <col min="10762" max="11008" width="9.33203125" style="325"/>
    <col min="11009" max="11009" width="3.83203125" style="325" customWidth="1"/>
    <col min="11010" max="11010" width="3.6640625" style="325" customWidth="1"/>
    <col min="11011" max="11011" width="15.6640625" style="325" customWidth="1"/>
    <col min="11012" max="11012" width="52.33203125" style="325" customWidth="1"/>
    <col min="11013" max="11013" width="6.6640625" style="325" customWidth="1"/>
    <col min="11014" max="11014" width="7.5" style="325" customWidth="1"/>
    <col min="11015" max="11015" width="13.6640625" style="325" customWidth="1"/>
    <col min="11016" max="11016" width="13.1640625" style="325" customWidth="1"/>
    <col min="11017" max="11017" width="15.83203125" style="325" customWidth="1"/>
    <col min="11018" max="11264" width="9.33203125" style="325"/>
    <col min="11265" max="11265" width="3.83203125" style="325" customWidth="1"/>
    <col min="11266" max="11266" width="3.6640625" style="325" customWidth="1"/>
    <col min="11267" max="11267" width="15.6640625" style="325" customWidth="1"/>
    <col min="11268" max="11268" width="52.33203125" style="325" customWidth="1"/>
    <col min="11269" max="11269" width="6.6640625" style="325" customWidth="1"/>
    <col min="11270" max="11270" width="7.5" style="325" customWidth="1"/>
    <col min="11271" max="11271" width="13.6640625" style="325" customWidth="1"/>
    <col min="11272" max="11272" width="13.1640625" style="325" customWidth="1"/>
    <col min="11273" max="11273" width="15.83203125" style="325" customWidth="1"/>
    <col min="11274" max="11520" width="9.33203125" style="325"/>
    <col min="11521" max="11521" width="3.83203125" style="325" customWidth="1"/>
    <col min="11522" max="11522" width="3.6640625" style="325" customWidth="1"/>
    <col min="11523" max="11523" width="15.6640625" style="325" customWidth="1"/>
    <col min="11524" max="11524" width="52.33203125" style="325" customWidth="1"/>
    <col min="11525" max="11525" width="6.6640625" style="325" customWidth="1"/>
    <col min="11526" max="11526" width="7.5" style="325" customWidth="1"/>
    <col min="11527" max="11527" width="13.6640625" style="325" customWidth="1"/>
    <col min="11528" max="11528" width="13.1640625" style="325" customWidth="1"/>
    <col min="11529" max="11529" width="15.83203125" style="325" customWidth="1"/>
    <col min="11530" max="11776" width="9.33203125" style="325"/>
    <col min="11777" max="11777" width="3.83203125" style="325" customWidth="1"/>
    <col min="11778" max="11778" width="3.6640625" style="325" customWidth="1"/>
    <col min="11779" max="11779" width="15.6640625" style="325" customWidth="1"/>
    <col min="11780" max="11780" width="52.33203125" style="325" customWidth="1"/>
    <col min="11781" max="11781" width="6.6640625" style="325" customWidth="1"/>
    <col min="11782" max="11782" width="7.5" style="325" customWidth="1"/>
    <col min="11783" max="11783" width="13.6640625" style="325" customWidth="1"/>
    <col min="11784" max="11784" width="13.1640625" style="325" customWidth="1"/>
    <col min="11785" max="11785" width="15.83203125" style="325" customWidth="1"/>
    <col min="11786" max="12032" width="9.33203125" style="325"/>
    <col min="12033" max="12033" width="3.83203125" style="325" customWidth="1"/>
    <col min="12034" max="12034" width="3.6640625" style="325" customWidth="1"/>
    <col min="12035" max="12035" width="15.6640625" style="325" customWidth="1"/>
    <col min="12036" max="12036" width="52.33203125" style="325" customWidth="1"/>
    <col min="12037" max="12037" width="6.6640625" style="325" customWidth="1"/>
    <col min="12038" max="12038" width="7.5" style="325" customWidth="1"/>
    <col min="12039" max="12039" width="13.6640625" style="325" customWidth="1"/>
    <col min="12040" max="12040" width="13.1640625" style="325" customWidth="1"/>
    <col min="12041" max="12041" width="15.83203125" style="325" customWidth="1"/>
    <col min="12042" max="12288" width="9.33203125" style="325"/>
    <col min="12289" max="12289" width="3.83203125" style="325" customWidth="1"/>
    <col min="12290" max="12290" width="3.6640625" style="325" customWidth="1"/>
    <col min="12291" max="12291" width="15.6640625" style="325" customWidth="1"/>
    <col min="12292" max="12292" width="52.33203125" style="325" customWidth="1"/>
    <col min="12293" max="12293" width="6.6640625" style="325" customWidth="1"/>
    <col min="12294" max="12294" width="7.5" style="325" customWidth="1"/>
    <col min="12295" max="12295" width="13.6640625" style="325" customWidth="1"/>
    <col min="12296" max="12296" width="13.1640625" style="325" customWidth="1"/>
    <col min="12297" max="12297" width="15.83203125" style="325" customWidth="1"/>
    <col min="12298" max="12544" width="9.33203125" style="325"/>
    <col min="12545" max="12545" width="3.83203125" style="325" customWidth="1"/>
    <col min="12546" max="12546" width="3.6640625" style="325" customWidth="1"/>
    <col min="12547" max="12547" width="15.6640625" style="325" customWidth="1"/>
    <col min="12548" max="12548" width="52.33203125" style="325" customWidth="1"/>
    <col min="12549" max="12549" width="6.6640625" style="325" customWidth="1"/>
    <col min="12550" max="12550" width="7.5" style="325" customWidth="1"/>
    <col min="12551" max="12551" width="13.6640625" style="325" customWidth="1"/>
    <col min="12552" max="12552" width="13.1640625" style="325" customWidth="1"/>
    <col min="12553" max="12553" width="15.83203125" style="325" customWidth="1"/>
    <col min="12554" max="12800" width="9.33203125" style="325"/>
    <col min="12801" max="12801" width="3.83203125" style="325" customWidth="1"/>
    <col min="12802" max="12802" width="3.6640625" style="325" customWidth="1"/>
    <col min="12803" max="12803" width="15.6640625" style="325" customWidth="1"/>
    <col min="12804" max="12804" width="52.33203125" style="325" customWidth="1"/>
    <col min="12805" max="12805" width="6.6640625" style="325" customWidth="1"/>
    <col min="12806" max="12806" width="7.5" style="325" customWidth="1"/>
    <col min="12807" max="12807" width="13.6640625" style="325" customWidth="1"/>
    <col min="12808" max="12808" width="13.1640625" style="325" customWidth="1"/>
    <col min="12809" max="12809" width="15.83203125" style="325" customWidth="1"/>
    <col min="12810" max="13056" width="9.33203125" style="325"/>
    <col min="13057" max="13057" width="3.83203125" style="325" customWidth="1"/>
    <col min="13058" max="13058" width="3.6640625" style="325" customWidth="1"/>
    <col min="13059" max="13059" width="15.6640625" style="325" customWidth="1"/>
    <col min="13060" max="13060" width="52.33203125" style="325" customWidth="1"/>
    <col min="13061" max="13061" width="6.6640625" style="325" customWidth="1"/>
    <col min="13062" max="13062" width="7.5" style="325" customWidth="1"/>
    <col min="13063" max="13063" width="13.6640625" style="325" customWidth="1"/>
    <col min="13064" max="13064" width="13.1640625" style="325" customWidth="1"/>
    <col min="13065" max="13065" width="15.83203125" style="325" customWidth="1"/>
    <col min="13066" max="13312" width="9.33203125" style="325"/>
    <col min="13313" max="13313" width="3.83203125" style="325" customWidth="1"/>
    <col min="13314" max="13314" width="3.6640625" style="325" customWidth="1"/>
    <col min="13315" max="13315" width="15.6640625" style="325" customWidth="1"/>
    <col min="13316" max="13316" width="52.33203125" style="325" customWidth="1"/>
    <col min="13317" max="13317" width="6.6640625" style="325" customWidth="1"/>
    <col min="13318" max="13318" width="7.5" style="325" customWidth="1"/>
    <col min="13319" max="13319" width="13.6640625" style="325" customWidth="1"/>
    <col min="13320" max="13320" width="13.1640625" style="325" customWidth="1"/>
    <col min="13321" max="13321" width="15.83203125" style="325" customWidth="1"/>
    <col min="13322" max="13568" width="9.33203125" style="325"/>
    <col min="13569" max="13569" width="3.83203125" style="325" customWidth="1"/>
    <col min="13570" max="13570" width="3.6640625" style="325" customWidth="1"/>
    <col min="13571" max="13571" width="15.6640625" style="325" customWidth="1"/>
    <col min="13572" max="13572" width="52.33203125" style="325" customWidth="1"/>
    <col min="13573" max="13573" width="6.6640625" style="325" customWidth="1"/>
    <col min="13574" max="13574" width="7.5" style="325" customWidth="1"/>
    <col min="13575" max="13575" width="13.6640625" style="325" customWidth="1"/>
    <col min="13576" max="13576" width="13.1640625" style="325" customWidth="1"/>
    <col min="13577" max="13577" width="15.83203125" style="325" customWidth="1"/>
    <col min="13578" max="13824" width="9.33203125" style="325"/>
    <col min="13825" max="13825" width="3.83203125" style="325" customWidth="1"/>
    <col min="13826" max="13826" width="3.6640625" style="325" customWidth="1"/>
    <col min="13827" max="13827" width="15.6640625" style="325" customWidth="1"/>
    <col min="13828" max="13828" width="52.33203125" style="325" customWidth="1"/>
    <col min="13829" max="13829" width="6.6640625" style="325" customWidth="1"/>
    <col min="13830" max="13830" width="7.5" style="325" customWidth="1"/>
    <col min="13831" max="13831" width="13.6640625" style="325" customWidth="1"/>
    <col min="13832" max="13832" width="13.1640625" style="325" customWidth="1"/>
    <col min="13833" max="13833" width="15.83203125" style="325" customWidth="1"/>
    <col min="13834" max="14080" width="9.33203125" style="325"/>
    <col min="14081" max="14081" width="3.83203125" style="325" customWidth="1"/>
    <col min="14082" max="14082" width="3.6640625" style="325" customWidth="1"/>
    <col min="14083" max="14083" width="15.6640625" style="325" customWidth="1"/>
    <col min="14084" max="14084" width="52.33203125" style="325" customWidth="1"/>
    <col min="14085" max="14085" width="6.6640625" style="325" customWidth="1"/>
    <col min="14086" max="14086" width="7.5" style="325" customWidth="1"/>
    <col min="14087" max="14087" width="13.6640625" style="325" customWidth="1"/>
    <col min="14088" max="14088" width="13.1640625" style="325" customWidth="1"/>
    <col min="14089" max="14089" width="15.83203125" style="325" customWidth="1"/>
    <col min="14090" max="14336" width="9.33203125" style="325"/>
    <col min="14337" max="14337" width="3.83203125" style="325" customWidth="1"/>
    <col min="14338" max="14338" width="3.6640625" style="325" customWidth="1"/>
    <col min="14339" max="14339" width="15.6640625" style="325" customWidth="1"/>
    <col min="14340" max="14340" width="52.33203125" style="325" customWidth="1"/>
    <col min="14341" max="14341" width="6.6640625" style="325" customWidth="1"/>
    <col min="14342" max="14342" width="7.5" style="325" customWidth="1"/>
    <col min="14343" max="14343" width="13.6640625" style="325" customWidth="1"/>
    <col min="14344" max="14344" width="13.1640625" style="325" customWidth="1"/>
    <col min="14345" max="14345" width="15.83203125" style="325" customWidth="1"/>
    <col min="14346" max="14592" width="9.33203125" style="325"/>
    <col min="14593" max="14593" width="3.83203125" style="325" customWidth="1"/>
    <col min="14594" max="14594" width="3.6640625" style="325" customWidth="1"/>
    <col min="14595" max="14595" width="15.6640625" style="325" customWidth="1"/>
    <col min="14596" max="14596" width="52.33203125" style="325" customWidth="1"/>
    <col min="14597" max="14597" width="6.6640625" style="325" customWidth="1"/>
    <col min="14598" max="14598" width="7.5" style="325" customWidth="1"/>
    <col min="14599" max="14599" width="13.6640625" style="325" customWidth="1"/>
    <col min="14600" max="14600" width="13.1640625" style="325" customWidth="1"/>
    <col min="14601" max="14601" width="15.83203125" style="325" customWidth="1"/>
    <col min="14602" max="14848" width="9.33203125" style="325"/>
    <col min="14849" max="14849" width="3.83203125" style="325" customWidth="1"/>
    <col min="14850" max="14850" width="3.6640625" style="325" customWidth="1"/>
    <col min="14851" max="14851" width="15.6640625" style="325" customWidth="1"/>
    <col min="14852" max="14852" width="52.33203125" style="325" customWidth="1"/>
    <col min="14853" max="14853" width="6.6640625" style="325" customWidth="1"/>
    <col min="14854" max="14854" width="7.5" style="325" customWidth="1"/>
    <col min="14855" max="14855" width="13.6640625" style="325" customWidth="1"/>
    <col min="14856" max="14856" width="13.1640625" style="325" customWidth="1"/>
    <col min="14857" max="14857" width="15.83203125" style="325" customWidth="1"/>
    <col min="14858" max="15104" width="9.33203125" style="325"/>
    <col min="15105" max="15105" width="3.83203125" style="325" customWidth="1"/>
    <col min="15106" max="15106" width="3.6640625" style="325" customWidth="1"/>
    <col min="15107" max="15107" width="15.6640625" style="325" customWidth="1"/>
    <col min="15108" max="15108" width="52.33203125" style="325" customWidth="1"/>
    <col min="15109" max="15109" width="6.6640625" style="325" customWidth="1"/>
    <col min="15110" max="15110" width="7.5" style="325" customWidth="1"/>
    <col min="15111" max="15111" width="13.6640625" style="325" customWidth="1"/>
    <col min="15112" max="15112" width="13.1640625" style="325" customWidth="1"/>
    <col min="15113" max="15113" width="15.83203125" style="325" customWidth="1"/>
    <col min="15114" max="15360" width="9.33203125" style="325"/>
    <col min="15361" max="15361" width="3.83203125" style="325" customWidth="1"/>
    <col min="15362" max="15362" width="3.6640625" style="325" customWidth="1"/>
    <col min="15363" max="15363" width="15.6640625" style="325" customWidth="1"/>
    <col min="15364" max="15364" width="52.33203125" style="325" customWidth="1"/>
    <col min="15365" max="15365" width="6.6640625" style="325" customWidth="1"/>
    <col min="15366" max="15366" width="7.5" style="325" customWidth="1"/>
    <col min="15367" max="15367" width="13.6640625" style="325" customWidth="1"/>
    <col min="15368" max="15368" width="13.1640625" style="325" customWidth="1"/>
    <col min="15369" max="15369" width="15.83203125" style="325" customWidth="1"/>
    <col min="15370" max="15616" width="9.33203125" style="325"/>
    <col min="15617" max="15617" width="3.83203125" style="325" customWidth="1"/>
    <col min="15618" max="15618" width="3.6640625" style="325" customWidth="1"/>
    <col min="15619" max="15619" width="15.6640625" style="325" customWidth="1"/>
    <col min="15620" max="15620" width="52.33203125" style="325" customWidth="1"/>
    <col min="15621" max="15621" width="6.6640625" style="325" customWidth="1"/>
    <col min="15622" max="15622" width="7.5" style="325" customWidth="1"/>
    <col min="15623" max="15623" width="13.6640625" style="325" customWidth="1"/>
    <col min="15624" max="15624" width="13.1640625" style="325" customWidth="1"/>
    <col min="15625" max="15625" width="15.83203125" style="325" customWidth="1"/>
    <col min="15626" max="15872" width="9.33203125" style="325"/>
    <col min="15873" max="15873" width="3.83203125" style="325" customWidth="1"/>
    <col min="15874" max="15874" width="3.6640625" style="325" customWidth="1"/>
    <col min="15875" max="15875" width="15.6640625" style="325" customWidth="1"/>
    <col min="15876" max="15876" width="52.33203125" style="325" customWidth="1"/>
    <col min="15877" max="15877" width="6.6640625" style="325" customWidth="1"/>
    <col min="15878" max="15878" width="7.5" style="325" customWidth="1"/>
    <col min="15879" max="15879" width="13.6640625" style="325" customWidth="1"/>
    <col min="15880" max="15880" width="13.1640625" style="325" customWidth="1"/>
    <col min="15881" max="15881" width="15.83203125" style="325" customWidth="1"/>
    <col min="15882" max="16128" width="9.33203125" style="325"/>
    <col min="16129" max="16129" width="3.83203125" style="325" customWidth="1"/>
    <col min="16130" max="16130" width="3.6640625" style="325" customWidth="1"/>
    <col min="16131" max="16131" width="15.6640625" style="325" customWidth="1"/>
    <col min="16132" max="16132" width="52.33203125" style="325" customWidth="1"/>
    <col min="16133" max="16133" width="6.6640625" style="325" customWidth="1"/>
    <col min="16134" max="16134" width="7.5" style="325" customWidth="1"/>
    <col min="16135" max="16135" width="13.6640625" style="325" customWidth="1"/>
    <col min="16136" max="16136" width="13.1640625" style="325" customWidth="1"/>
    <col min="16137" max="16137" width="15.83203125" style="325" customWidth="1"/>
    <col min="16138" max="16384" width="9.33203125" style="325"/>
  </cols>
  <sheetData>
    <row r="1" spans="1:9" ht="15">
      <c r="B1" s="322"/>
      <c r="C1" s="323" t="s">
        <v>3100</v>
      </c>
      <c r="D1" s="324" t="s">
        <v>3101</v>
      </c>
      <c r="G1" s="325"/>
      <c r="I1" s="326"/>
    </row>
    <row r="2" spans="1:9" ht="15">
      <c r="B2" s="322"/>
      <c r="C2" s="323" t="s">
        <v>3102</v>
      </c>
      <c r="D2" s="324" t="s">
        <v>3103</v>
      </c>
      <c r="F2" s="327" t="s">
        <v>3104</v>
      </c>
      <c r="G2" s="324" t="s">
        <v>3105</v>
      </c>
      <c r="I2" s="326"/>
    </row>
    <row r="3" spans="1:9" ht="30">
      <c r="A3" s="611" t="s">
        <v>3106</v>
      </c>
      <c r="B3" s="612"/>
      <c r="C3" s="328" t="s">
        <v>3107</v>
      </c>
      <c r="D3" s="328" t="s">
        <v>2702</v>
      </c>
      <c r="E3" s="329" t="s">
        <v>115</v>
      </c>
      <c r="F3" s="330" t="s">
        <v>3108</v>
      </c>
      <c r="G3" s="331" t="s">
        <v>2736</v>
      </c>
      <c r="H3" s="332" t="s">
        <v>3109</v>
      </c>
      <c r="I3" s="333" t="s">
        <v>3110</v>
      </c>
    </row>
    <row r="4" spans="1:9">
      <c r="B4" s="334"/>
      <c r="C4" s="334"/>
      <c r="D4" s="334"/>
      <c r="E4" s="335"/>
      <c r="F4" s="334"/>
      <c r="G4" s="334"/>
      <c r="H4" s="336"/>
      <c r="I4" s="336"/>
    </row>
    <row r="5" spans="1:9" ht="15">
      <c r="A5" s="321" t="s">
        <v>3111</v>
      </c>
      <c r="B5" s="322"/>
      <c r="C5" s="322"/>
      <c r="D5" s="337" t="s">
        <v>3112</v>
      </c>
      <c r="F5" s="322"/>
      <c r="G5" s="338"/>
    </row>
    <row r="6" spans="1:9" s="343" customFormat="1" ht="42.75">
      <c r="A6" s="339" t="s">
        <v>3111</v>
      </c>
      <c r="B6" s="340">
        <v>1</v>
      </c>
      <c r="C6" s="340">
        <v>10027031</v>
      </c>
      <c r="D6" s="340" t="s">
        <v>3113</v>
      </c>
      <c r="E6" s="339">
        <v>1</v>
      </c>
      <c r="F6" s="340" t="s">
        <v>2873</v>
      </c>
      <c r="G6" s="340"/>
      <c r="H6" s="341"/>
      <c r="I6" s="342">
        <f t="shared" ref="I6:I8" si="0">E6*H6</f>
        <v>0</v>
      </c>
    </row>
    <row r="7" spans="1:9" s="343" customFormat="1" ht="28.5">
      <c r="A7" s="339" t="s">
        <v>3111</v>
      </c>
      <c r="B7" s="340">
        <v>2</v>
      </c>
      <c r="C7" s="340">
        <v>20139895</v>
      </c>
      <c r="D7" s="340" t="s">
        <v>3114</v>
      </c>
      <c r="E7" s="339">
        <v>1</v>
      </c>
      <c r="F7" s="340" t="s">
        <v>2873</v>
      </c>
      <c r="G7" s="340" t="s">
        <v>3115</v>
      </c>
      <c r="H7" s="341"/>
      <c r="I7" s="342">
        <f t="shared" si="0"/>
        <v>0</v>
      </c>
    </row>
    <row r="8" spans="1:9" s="343" customFormat="1">
      <c r="A8" s="339" t="s">
        <v>3111</v>
      </c>
      <c r="B8" s="340">
        <v>3</v>
      </c>
      <c r="C8" s="340">
        <v>306787</v>
      </c>
      <c r="D8" s="340" t="s">
        <v>3116</v>
      </c>
      <c r="E8" s="339">
        <v>1</v>
      </c>
      <c r="F8" s="340" t="s">
        <v>2873</v>
      </c>
      <c r="G8" s="340"/>
      <c r="H8" s="341"/>
      <c r="I8" s="342">
        <f t="shared" si="0"/>
        <v>0</v>
      </c>
    </row>
    <row r="9" spans="1:9" s="347" customFormat="1" ht="12.75">
      <c r="A9" s="344"/>
      <c r="B9" s="345"/>
      <c r="C9" s="345"/>
      <c r="D9" s="346"/>
      <c r="G9" s="348"/>
      <c r="H9" s="348"/>
      <c r="I9" s="348"/>
    </row>
    <row r="10" spans="1:9" s="324" customFormat="1" ht="15">
      <c r="A10" s="321" t="s">
        <v>3117</v>
      </c>
      <c r="B10" s="337"/>
      <c r="C10" s="337"/>
      <c r="D10" s="337" t="s">
        <v>3118</v>
      </c>
      <c r="E10" s="349"/>
      <c r="F10" s="337"/>
      <c r="G10" s="350"/>
      <c r="H10" s="351"/>
    </row>
    <row r="11" spans="1:9" s="355" customFormat="1" ht="57">
      <c r="A11" s="321" t="s">
        <v>3117</v>
      </c>
      <c r="B11" s="352">
        <v>1</v>
      </c>
      <c r="C11" s="352">
        <v>20147469</v>
      </c>
      <c r="D11" s="352" t="s">
        <v>3119</v>
      </c>
      <c r="E11" s="353">
        <v>1</v>
      </c>
      <c r="F11" s="352" t="s">
        <v>2873</v>
      </c>
      <c r="G11" s="352"/>
      <c r="H11" s="341"/>
      <c r="I11" s="354">
        <f>E11*H11</f>
        <v>0</v>
      </c>
    </row>
    <row r="12" spans="1:9" s="355" customFormat="1">
      <c r="A12" s="321" t="s">
        <v>3117</v>
      </c>
      <c r="B12" s="352">
        <v>2</v>
      </c>
      <c r="C12" s="352">
        <v>303250</v>
      </c>
      <c r="D12" s="352" t="s">
        <v>3120</v>
      </c>
      <c r="E12" s="353">
        <v>1</v>
      </c>
      <c r="F12" s="352" t="s">
        <v>1736</v>
      </c>
      <c r="G12" s="352"/>
      <c r="H12" s="341"/>
      <c r="I12" s="354">
        <f t="shared" ref="I12:I21" si="1">E12*H12</f>
        <v>0</v>
      </c>
    </row>
    <row r="13" spans="1:9" s="355" customFormat="1">
      <c r="A13" s="321" t="s">
        <v>3117</v>
      </c>
      <c r="B13" s="352">
        <v>3</v>
      </c>
      <c r="C13" s="352">
        <v>303218</v>
      </c>
      <c r="D13" s="352" t="s">
        <v>3121</v>
      </c>
      <c r="E13" s="353">
        <v>3</v>
      </c>
      <c r="F13" s="352" t="s">
        <v>2873</v>
      </c>
      <c r="G13" s="352"/>
      <c r="H13" s="341"/>
      <c r="I13" s="354">
        <f t="shared" si="1"/>
        <v>0</v>
      </c>
    </row>
    <row r="14" spans="1:9" s="355" customFormat="1">
      <c r="A14" s="321" t="s">
        <v>3117</v>
      </c>
      <c r="B14" s="352">
        <v>4</v>
      </c>
      <c r="C14" s="352">
        <v>303211</v>
      </c>
      <c r="D14" s="352" t="s">
        <v>3122</v>
      </c>
      <c r="E14" s="353">
        <v>1</v>
      </c>
      <c r="F14" s="352" t="s">
        <v>1736</v>
      </c>
      <c r="G14" s="352"/>
      <c r="H14" s="341"/>
      <c r="I14" s="354">
        <f t="shared" si="1"/>
        <v>0</v>
      </c>
    </row>
    <row r="15" spans="1:9" s="355" customFormat="1">
      <c r="A15" s="321" t="s">
        <v>3117</v>
      </c>
      <c r="B15" s="352">
        <v>5</v>
      </c>
      <c r="C15" s="352">
        <v>303202</v>
      </c>
      <c r="D15" s="352" t="s">
        <v>3123</v>
      </c>
      <c r="E15" s="353">
        <v>1</v>
      </c>
      <c r="F15" s="352" t="s">
        <v>2873</v>
      </c>
      <c r="G15" s="352"/>
      <c r="H15" s="341"/>
      <c r="I15" s="354">
        <f t="shared" si="1"/>
        <v>0</v>
      </c>
    </row>
    <row r="16" spans="1:9" s="355" customFormat="1">
      <c r="A16" s="321" t="s">
        <v>3117</v>
      </c>
      <c r="B16" s="352">
        <v>6</v>
      </c>
      <c r="C16" s="352">
        <v>303203</v>
      </c>
      <c r="D16" s="352" t="s">
        <v>3124</v>
      </c>
      <c r="E16" s="353">
        <v>4</v>
      </c>
      <c r="F16" s="352" t="s">
        <v>2873</v>
      </c>
      <c r="G16" s="352"/>
      <c r="H16" s="341"/>
      <c r="I16" s="354">
        <f t="shared" si="1"/>
        <v>0</v>
      </c>
    </row>
    <row r="17" spans="1:9" s="355" customFormat="1">
      <c r="A17" s="321" t="s">
        <v>3117</v>
      </c>
      <c r="B17" s="352">
        <v>7</v>
      </c>
      <c r="C17" s="352">
        <v>303205</v>
      </c>
      <c r="D17" s="352" t="s">
        <v>3125</v>
      </c>
      <c r="E17" s="353">
        <v>2</v>
      </c>
      <c r="F17" s="352" t="s">
        <v>2873</v>
      </c>
      <c r="G17" s="352"/>
      <c r="H17" s="341"/>
      <c r="I17" s="354">
        <f t="shared" si="1"/>
        <v>0</v>
      </c>
    </row>
    <row r="18" spans="1:9" s="355" customFormat="1" ht="15.75" customHeight="1">
      <c r="A18" s="321" t="s">
        <v>3117</v>
      </c>
      <c r="B18" s="352">
        <v>8</v>
      </c>
      <c r="C18" s="352">
        <v>303215</v>
      </c>
      <c r="D18" s="352" t="s">
        <v>3126</v>
      </c>
      <c r="E18" s="353">
        <v>1</v>
      </c>
      <c r="F18" s="352" t="s">
        <v>2873</v>
      </c>
      <c r="G18" s="352"/>
      <c r="H18" s="341"/>
      <c r="I18" s="354">
        <f t="shared" si="1"/>
        <v>0</v>
      </c>
    </row>
    <row r="19" spans="1:9" s="355" customFormat="1" ht="28.5">
      <c r="A19" s="321" t="s">
        <v>3117</v>
      </c>
      <c r="B19" s="352">
        <v>9</v>
      </c>
      <c r="C19" s="352">
        <v>303616</v>
      </c>
      <c r="D19" s="352" t="s">
        <v>3127</v>
      </c>
      <c r="E19" s="353">
        <v>1</v>
      </c>
      <c r="F19" s="352" t="s">
        <v>1736</v>
      </c>
      <c r="G19" s="352"/>
      <c r="H19" s="341"/>
      <c r="I19" s="354">
        <f t="shared" si="1"/>
        <v>0</v>
      </c>
    </row>
    <row r="20" spans="1:9" s="355" customFormat="1">
      <c r="A20" s="321" t="s">
        <v>3117</v>
      </c>
      <c r="B20" s="352">
        <v>10</v>
      </c>
      <c r="C20" s="352">
        <v>303963</v>
      </c>
      <c r="D20" s="352" t="s">
        <v>3128</v>
      </c>
      <c r="E20" s="353">
        <v>1</v>
      </c>
      <c r="F20" s="352" t="s">
        <v>2873</v>
      </c>
      <c r="G20" s="352"/>
      <c r="H20" s="341"/>
      <c r="I20" s="354">
        <f t="shared" si="1"/>
        <v>0</v>
      </c>
    </row>
    <row r="21" spans="1:9" s="355" customFormat="1">
      <c r="A21" s="321" t="s">
        <v>3117</v>
      </c>
      <c r="B21" s="352">
        <v>11</v>
      </c>
      <c r="C21" s="352">
        <v>9494</v>
      </c>
      <c r="D21" s="352" t="s">
        <v>3129</v>
      </c>
      <c r="E21" s="353">
        <v>1</v>
      </c>
      <c r="F21" s="352" t="s">
        <v>1736</v>
      </c>
      <c r="G21" s="352"/>
      <c r="H21" s="341"/>
      <c r="I21" s="354">
        <f t="shared" si="1"/>
        <v>0</v>
      </c>
    </row>
    <row r="22" spans="1:9" s="347" customFormat="1" ht="12.75">
      <c r="A22" s="344"/>
      <c r="B22" s="345"/>
      <c r="C22" s="345"/>
      <c r="D22" s="346"/>
      <c r="G22" s="348"/>
      <c r="H22" s="348"/>
      <c r="I22" s="348"/>
    </row>
    <row r="23" spans="1:9" ht="15">
      <c r="A23" s="321" t="s">
        <v>3130</v>
      </c>
      <c r="B23" s="322"/>
      <c r="C23" s="322"/>
      <c r="D23" s="337" t="s">
        <v>3131</v>
      </c>
      <c r="F23" s="322"/>
      <c r="G23" s="338"/>
    </row>
    <row r="24" spans="1:9">
      <c r="A24" s="321" t="s">
        <v>3130</v>
      </c>
      <c r="B24" s="322">
        <v>1</v>
      </c>
      <c r="C24" s="322"/>
      <c r="D24" s="340" t="s">
        <v>3132</v>
      </c>
      <c r="E24" s="321">
        <v>3</v>
      </c>
      <c r="F24" s="322" t="s">
        <v>257</v>
      </c>
      <c r="G24" s="322"/>
      <c r="H24" s="341"/>
      <c r="I24" s="326">
        <f t="shared" ref="I24:I32" si="2">E24*H24</f>
        <v>0</v>
      </c>
    </row>
    <row r="25" spans="1:9">
      <c r="A25" s="321" t="s">
        <v>3130</v>
      </c>
      <c r="B25" s="322">
        <v>2</v>
      </c>
      <c r="C25" s="322"/>
      <c r="D25" s="340" t="s">
        <v>3133</v>
      </c>
      <c r="E25" s="321">
        <v>9</v>
      </c>
      <c r="F25" s="322" t="s">
        <v>257</v>
      </c>
      <c r="G25" s="322"/>
      <c r="H25" s="341"/>
      <c r="I25" s="326">
        <f t="shared" si="2"/>
        <v>0</v>
      </c>
    </row>
    <row r="26" spans="1:9">
      <c r="A26" s="321" t="s">
        <v>3130</v>
      </c>
      <c r="B26" s="322">
        <v>3</v>
      </c>
      <c r="C26" s="322"/>
      <c r="D26" s="340" t="s">
        <v>3134</v>
      </c>
      <c r="E26" s="321">
        <v>12</v>
      </c>
      <c r="F26" s="322" t="s">
        <v>257</v>
      </c>
      <c r="G26" s="322"/>
      <c r="H26" s="341"/>
      <c r="I26" s="326">
        <f t="shared" si="2"/>
        <v>0</v>
      </c>
    </row>
    <row r="27" spans="1:9">
      <c r="A27" s="321" t="s">
        <v>3130</v>
      </c>
      <c r="B27" s="322">
        <v>4</v>
      </c>
      <c r="C27" s="322"/>
      <c r="D27" s="340" t="s">
        <v>3135</v>
      </c>
      <c r="E27" s="321">
        <v>1</v>
      </c>
      <c r="F27" s="322" t="s">
        <v>3086</v>
      </c>
      <c r="G27" s="322"/>
      <c r="H27" s="341"/>
      <c r="I27" s="326">
        <f t="shared" si="2"/>
        <v>0</v>
      </c>
    </row>
    <row r="28" spans="1:9">
      <c r="A28" s="321" t="s">
        <v>3130</v>
      </c>
      <c r="B28" s="322">
        <v>5</v>
      </c>
      <c r="C28" s="322"/>
      <c r="D28" s="340" t="s">
        <v>3136</v>
      </c>
      <c r="E28" s="321">
        <v>1</v>
      </c>
      <c r="F28" s="322" t="s">
        <v>3086</v>
      </c>
      <c r="G28" s="322"/>
      <c r="H28" s="341"/>
      <c r="I28" s="326">
        <f t="shared" si="2"/>
        <v>0</v>
      </c>
    </row>
    <row r="29" spans="1:9">
      <c r="A29" s="321" t="s">
        <v>3130</v>
      </c>
      <c r="B29" s="322">
        <v>6</v>
      </c>
      <c r="C29" s="322"/>
      <c r="D29" s="340" t="s">
        <v>3137</v>
      </c>
      <c r="E29" s="321">
        <v>1</v>
      </c>
      <c r="F29" s="322" t="s">
        <v>3086</v>
      </c>
      <c r="G29" s="322"/>
      <c r="H29" s="341"/>
      <c r="I29" s="326">
        <f t="shared" si="2"/>
        <v>0</v>
      </c>
    </row>
    <row r="30" spans="1:9" ht="32.25">
      <c r="A30" s="321" t="s">
        <v>3130</v>
      </c>
      <c r="B30" s="322">
        <v>7</v>
      </c>
      <c r="C30" s="322"/>
      <c r="D30" s="340" t="s">
        <v>3138</v>
      </c>
      <c r="E30" s="321">
        <v>3</v>
      </c>
      <c r="F30" s="322" t="s">
        <v>257</v>
      </c>
      <c r="G30" s="322"/>
      <c r="H30" s="341"/>
      <c r="I30" s="326">
        <f t="shared" si="2"/>
        <v>0</v>
      </c>
    </row>
    <row r="31" spans="1:9" ht="32.25">
      <c r="A31" s="321" t="s">
        <v>3130</v>
      </c>
      <c r="B31" s="322">
        <v>8</v>
      </c>
      <c r="C31" s="322"/>
      <c r="D31" s="340" t="s">
        <v>3139</v>
      </c>
      <c r="E31" s="321">
        <v>9</v>
      </c>
      <c r="F31" s="322" t="s">
        <v>257</v>
      </c>
      <c r="G31" s="322"/>
      <c r="H31" s="341"/>
      <c r="I31" s="326">
        <f t="shared" si="2"/>
        <v>0</v>
      </c>
    </row>
    <row r="32" spans="1:9" ht="32.25">
      <c r="A32" s="321" t="s">
        <v>3130</v>
      </c>
      <c r="B32" s="322">
        <v>9</v>
      </c>
      <c r="C32" s="322"/>
      <c r="D32" s="340" t="s">
        <v>3140</v>
      </c>
      <c r="E32" s="321">
        <v>12</v>
      </c>
      <c r="F32" s="322" t="s">
        <v>257</v>
      </c>
      <c r="G32" s="322"/>
      <c r="H32" s="341"/>
      <c r="I32" s="326">
        <f t="shared" si="2"/>
        <v>0</v>
      </c>
    </row>
    <row r="33" spans="1:9" s="347" customFormat="1" ht="12.75">
      <c r="A33" s="344"/>
      <c r="B33" s="345"/>
      <c r="C33" s="345"/>
      <c r="D33" s="346"/>
      <c r="G33" s="348"/>
      <c r="H33" s="348"/>
      <c r="I33" s="348"/>
    </row>
    <row r="34" spans="1:9" ht="15">
      <c r="A34" s="321" t="s">
        <v>3141</v>
      </c>
      <c r="B34" s="322"/>
      <c r="C34" s="322"/>
      <c r="D34" s="337" t="s">
        <v>3142</v>
      </c>
      <c r="F34" s="322"/>
      <c r="G34" s="338"/>
    </row>
    <row r="35" spans="1:9" ht="28.5">
      <c r="A35" s="321" t="s">
        <v>3141</v>
      </c>
      <c r="B35" s="322">
        <v>1</v>
      </c>
      <c r="C35" s="322"/>
      <c r="D35" s="340" t="s">
        <v>3143</v>
      </c>
      <c r="E35" s="321">
        <v>3</v>
      </c>
      <c r="F35" s="322" t="s">
        <v>2873</v>
      </c>
      <c r="G35" s="338" t="s">
        <v>3144</v>
      </c>
      <c r="H35" s="341"/>
      <c r="I35" s="326">
        <f t="shared" ref="I35:I44" si="3">E35*H35</f>
        <v>0</v>
      </c>
    </row>
    <row r="36" spans="1:9">
      <c r="A36" s="321" t="s">
        <v>3141</v>
      </c>
      <c r="B36" s="322">
        <v>2</v>
      </c>
      <c r="C36" s="322"/>
      <c r="D36" s="340" t="s">
        <v>3145</v>
      </c>
      <c r="E36" s="321">
        <v>3</v>
      </c>
      <c r="F36" s="322" t="s">
        <v>2873</v>
      </c>
      <c r="G36" s="322" t="s">
        <v>3146</v>
      </c>
      <c r="H36" s="341"/>
      <c r="I36" s="326">
        <f t="shared" si="3"/>
        <v>0</v>
      </c>
    </row>
    <row r="37" spans="1:9">
      <c r="A37" s="321" t="s">
        <v>3141</v>
      </c>
      <c r="B37" s="322">
        <v>3</v>
      </c>
      <c r="C37" s="322"/>
      <c r="D37" s="340" t="s">
        <v>3147</v>
      </c>
      <c r="E37" s="321">
        <v>3</v>
      </c>
      <c r="F37" s="322" t="s">
        <v>2873</v>
      </c>
      <c r="G37" s="322" t="s">
        <v>3148</v>
      </c>
      <c r="H37" s="341"/>
      <c r="I37" s="326">
        <f t="shared" si="3"/>
        <v>0</v>
      </c>
    </row>
    <row r="38" spans="1:9">
      <c r="A38" s="321" t="s">
        <v>3141</v>
      </c>
      <c r="B38" s="322">
        <v>4</v>
      </c>
      <c r="C38" s="322"/>
      <c r="D38" s="340" t="s">
        <v>3149</v>
      </c>
      <c r="E38" s="321">
        <v>3</v>
      </c>
      <c r="F38" s="322" t="s">
        <v>2873</v>
      </c>
      <c r="G38" s="322" t="s">
        <v>3150</v>
      </c>
      <c r="H38" s="341"/>
      <c r="I38" s="326">
        <f t="shared" si="3"/>
        <v>0</v>
      </c>
    </row>
    <row r="39" spans="1:9">
      <c r="A39" s="321" t="s">
        <v>3141</v>
      </c>
      <c r="B39" s="322">
        <v>5</v>
      </c>
      <c r="C39" s="322"/>
      <c r="D39" s="340" t="s">
        <v>3151</v>
      </c>
      <c r="E39" s="321">
        <v>2</v>
      </c>
      <c r="F39" s="322" t="s">
        <v>2873</v>
      </c>
      <c r="G39" s="322" t="s">
        <v>3152</v>
      </c>
      <c r="H39" s="341"/>
      <c r="I39" s="326">
        <f t="shared" si="3"/>
        <v>0</v>
      </c>
    </row>
    <row r="40" spans="1:9">
      <c r="A40" s="321" t="s">
        <v>3141</v>
      </c>
      <c r="B40" s="322">
        <v>6</v>
      </c>
      <c r="C40" s="322"/>
      <c r="D40" s="340" t="s">
        <v>3153</v>
      </c>
      <c r="E40" s="321">
        <v>1</v>
      </c>
      <c r="F40" s="322" t="s">
        <v>2873</v>
      </c>
      <c r="G40" s="322" t="s">
        <v>2573</v>
      </c>
      <c r="H40" s="341"/>
      <c r="I40" s="326">
        <f t="shared" si="3"/>
        <v>0</v>
      </c>
    </row>
    <row r="41" spans="1:9" s="343" customFormat="1">
      <c r="A41" s="321" t="s">
        <v>3141</v>
      </c>
      <c r="B41" s="322">
        <v>7</v>
      </c>
      <c r="D41" s="355" t="s">
        <v>3154</v>
      </c>
      <c r="E41" s="321">
        <v>1</v>
      </c>
      <c r="F41" s="343" t="s">
        <v>2873</v>
      </c>
      <c r="G41" s="343" t="s">
        <v>3155</v>
      </c>
      <c r="H41" s="341"/>
      <c r="I41" s="326">
        <f t="shared" si="3"/>
        <v>0</v>
      </c>
    </row>
    <row r="42" spans="1:9" ht="28.5">
      <c r="A42" s="321" t="s">
        <v>3141</v>
      </c>
      <c r="B42" s="322">
        <v>8</v>
      </c>
      <c r="C42" s="322"/>
      <c r="D42" s="340" t="s">
        <v>3156</v>
      </c>
      <c r="E42" s="321">
        <v>2</v>
      </c>
      <c r="F42" s="322" t="s">
        <v>2873</v>
      </c>
      <c r="G42" s="322" t="s">
        <v>3157</v>
      </c>
      <c r="H42" s="341"/>
      <c r="I42" s="326">
        <f t="shared" si="3"/>
        <v>0</v>
      </c>
    </row>
    <row r="43" spans="1:9">
      <c r="A43" s="321" t="s">
        <v>3141</v>
      </c>
      <c r="B43" s="322">
        <v>9</v>
      </c>
      <c r="C43" s="322"/>
      <c r="D43" s="340" t="s">
        <v>3158</v>
      </c>
      <c r="E43" s="321">
        <v>1</v>
      </c>
      <c r="F43" s="322" t="s">
        <v>3086</v>
      </c>
      <c r="G43" s="322"/>
      <c r="H43" s="341"/>
      <c r="I43" s="326">
        <f t="shared" si="3"/>
        <v>0</v>
      </c>
    </row>
    <row r="44" spans="1:9">
      <c r="A44" s="321" t="s">
        <v>3141</v>
      </c>
      <c r="B44" s="322">
        <v>10</v>
      </c>
      <c r="C44" s="322"/>
      <c r="D44" s="340" t="s">
        <v>3159</v>
      </c>
      <c r="E44" s="321">
        <v>1</v>
      </c>
      <c r="F44" s="322" t="s">
        <v>2873</v>
      </c>
      <c r="G44" s="322"/>
      <c r="H44" s="341"/>
      <c r="I44" s="326">
        <f t="shared" si="3"/>
        <v>0</v>
      </c>
    </row>
    <row r="45" spans="1:9">
      <c r="B45" s="322"/>
      <c r="C45" s="322"/>
      <c r="D45" s="352"/>
      <c r="F45" s="322"/>
      <c r="G45" s="338"/>
    </row>
    <row r="46" spans="1:9" s="323" customFormat="1" ht="15">
      <c r="A46" s="327"/>
      <c r="B46" s="356"/>
      <c r="C46" s="356"/>
      <c r="D46" s="337" t="s">
        <v>3160</v>
      </c>
      <c r="E46" s="327"/>
      <c r="F46" s="356"/>
      <c r="G46" s="357"/>
      <c r="H46" s="358"/>
      <c r="I46" s="358"/>
    </row>
    <row r="47" spans="1:9" s="355" customFormat="1" ht="15">
      <c r="A47" s="321" t="s">
        <v>3161</v>
      </c>
      <c r="D47" s="324" t="s">
        <v>3162</v>
      </c>
      <c r="E47" s="353"/>
      <c r="G47" s="354"/>
      <c r="H47" s="354"/>
    </row>
    <row r="48" spans="1:9" s="343" customFormat="1" ht="28.5">
      <c r="A48" s="321" t="s">
        <v>3161</v>
      </c>
      <c r="B48" s="322">
        <v>1</v>
      </c>
      <c r="C48" s="340" t="s">
        <v>3163</v>
      </c>
      <c r="D48" s="340" t="s">
        <v>3164</v>
      </c>
      <c r="E48" s="340">
        <v>1</v>
      </c>
      <c r="F48" s="340" t="s">
        <v>2873</v>
      </c>
      <c r="G48" s="359"/>
      <c r="H48" s="341"/>
      <c r="I48" s="326">
        <f t="shared" ref="I48:I65" si="4">E48*H48</f>
        <v>0</v>
      </c>
    </row>
    <row r="49" spans="1:9" s="343" customFormat="1" ht="28.5">
      <c r="A49" s="321" t="s">
        <v>3161</v>
      </c>
      <c r="B49" s="322">
        <v>2</v>
      </c>
      <c r="C49" s="340" t="s">
        <v>3165</v>
      </c>
      <c r="D49" s="340" t="s">
        <v>3166</v>
      </c>
      <c r="E49" s="340">
        <v>1</v>
      </c>
      <c r="F49" s="340" t="s">
        <v>2873</v>
      </c>
      <c r="G49" s="359"/>
      <c r="H49" s="341"/>
      <c r="I49" s="326">
        <f t="shared" si="4"/>
        <v>0</v>
      </c>
    </row>
    <row r="50" spans="1:9" s="343" customFormat="1" ht="28.5">
      <c r="A50" s="321" t="s">
        <v>3161</v>
      </c>
      <c r="B50" s="322">
        <v>3</v>
      </c>
      <c r="C50" s="340" t="s">
        <v>3167</v>
      </c>
      <c r="D50" s="340" t="s">
        <v>3168</v>
      </c>
      <c r="E50" s="340">
        <v>1</v>
      </c>
      <c r="F50" s="340" t="s">
        <v>2873</v>
      </c>
      <c r="G50" s="359"/>
      <c r="H50" s="341"/>
      <c r="I50" s="326">
        <f t="shared" si="4"/>
        <v>0</v>
      </c>
    </row>
    <row r="51" spans="1:9" s="343" customFormat="1" ht="28.5">
      <c r="A51" s="321" t="s">
        <v>3161</v>
      </c>
      <c r="B51" s="322">
        <v>4</v>
      </c>
      <c r="C51" s="340" t="s">
        <v>3169</v>
      </c>
      <c r="D51" s="340" t="s">
        <v>3170</v>
      </c>
      <c r="E51" s="340">
        <v>1</v>
      </c>
      <c r="F51" s="340" t="s">
        <v>2873</v>
      </c>
      <c r="G51" s="359"/>
      <c r="H51" s="341"/>
      <c r="I51" s="326">
        <f t="shared" si="4"/>
        <v>0</v>
      </c>
    </row>
    <row r="52" spans="1:9" s="343" customFormat="1" ht="28.5">
      <c r="A52" s="321" t="s">
        <v>3161</v>
      </c>
      <c r="B52" s="322">
        <v>5</v>
      </c>
      <c r="C52" s="340" t="s">
        <v>3171</v>
      </c>
      <c r="D52" s="340" t="s">
        <v>3172</v>
      </c>
      <c r="E52" s="340">
        <v>1</v>
      </c>
      <c r="F52" s="340" t="s">
        <v>2873</v>
      </c>
      <c r="G52" s="359"/>
      <c r="H52" s="341"/>
      <c r="I52" s="326">
        <f t="shared" si="4"/>
        <v>0</v>
      </c>
    </row>
    <row r="53" spans="1:9" s="343" customFormat="1" ht="28.5">
      <c r="A53" s="321" t="s">
        <v>3161</v>
      </c>
      <c r="B53" s="322">
        <v>6</v>
      </c>
      <c r="C53" s="340" t="s">
        <v>3173</v>
      </c>
      <c r="D53" s="340" t="s">
        <v>3174</v>
      </c>
      <c r="E53" s="340">
        <v>4</v>
      </c>
      <c r="F53" s="340" t="s">
        <v>2873</v>
      </c>
      <c r="G53" s="359"/>
      <c r="H53" s="341"/>
      <c r="I53" s="326">
        <f t="shared" si="4"/>
        <v>0</v>
      </c>
    </row>
    <row r="54" spans="1:9" s="343" customFormat="1" ht="28.5">
      <c r="A54" s="321" t="s">
        <v>3161</v>
      </c>
      <c r="B54" s="322">
        <v>7</v>
      </c>
      <c r="C54" s="340" t="s">
        <v>3175</v>
      </c>
      <c r="D54" s="340" t="s">
        <v>3176</v>
      </c>
      <c r="E54" s="340">
        <v>4</v>
      </c>
      <c r="F54" s="340" t="s">
        <v>2873</v>
      </c>
      <c r="G54" s="359"/>
      <c r="H54" s="341"/>
      <c r="I54" s="326">
        <f t="shared" si="4"/>
        <v>0</v>
      </c>
    </row>
    <row r="55" spans="1:9" s="343" customFormat="1" ht="28.5">
      <c r="A55" s="321" t="s">
        <v>3161</v>
      </c>
      <c r="B55" s="322">
        <v>8</v>
      </c>
      <c r="C55" s="340" t="s">
        <v>3177</v>
      </c>
      <c r="D55" s="340" t="s">
        <v>3178</v>
      </c>
      <c r="E55" s="340">
        <v>3</v>
      </c>
      <c r="F55" s="340" t="s">
        <v>2873</v>
      </c>
      <c r="G55" s="359"/>
      <c r="H55" s="341"/>
      <c r="I55" s="326">
        <f t="shared" si="4"/>
        <v>0</v>
      </c>
    </row>
    <row r="56" spans="1:9" s="343" customFormat="1" ht="28.5">
      <c r="A56" s="321" t="s">
        <v>3161</v>
      </c>
      <c r="B56" s="322">
        <v>9</v>
      </c>
      <c r="C56" s="340" t="s">
        <v>3179</v>
      </c>
      <c r="D56" s="340" t="s">
        <v>3180</v>
      </c>
      <c r="E56" s="340">
        <v>6</v>
      </c>
      <c r="F56" s="340" t="s">
        <v>2873</v>
      </c>
      <c r="G56" s="359"/>
      <c r="H56" s="341"/>
      <c r="I56" s="326">
        <f t="shared" si="4"/>
        <v>0</v>
      </c>
    </row>
    <row r="57" spans="1:9" s="343" customFormat="1" ht="28.5">
      <c r="A57" s="321" t="s">
        <v>3161</v>
      </c>
      <c r="B57" s="322">
        <v>10</v>
      </c>
      <c r="C57" s="340" t="s">
        <v>3181</v>
      </c>
      <c r="D57" s="340" t="s">
        <v>3182</v>
      </c>
      <c r="E57" s="340">
        <v>1</v>
      </c>
      <c r="F57" s="340" t="s">
        <v>2873</v>
      </c>
      <c r="G57" s="359"/>
      <c r="H57" s="341"/>
      <c r="I57" s="326">
        <f t="shared" si="4"/>
        <v>0</v>
      </c>
    </row>
    <row r="58" spans="1:9" s="343" customFormat="1" ht="28.5">
      <c r="A58" s="321" t="s">
        <v>3161</v>
      </c>
      <c r="B58" s="322">
        <v>11</v>
      </c>
      <c r="C58" s="340" t="s">
        <v>3183</v>
      </c>
      <c r="D58" s="340" t="s">
        <v>3184</v>
      </c>
      <c r="E58" s="340">
        <v>2</v>
      </c>
      <c r="F58" s="340" t="s">
        <v>2873</v>
      </c>
      <c r="G58" s="359"/>
      <c r="H58" s="341"/>
      <c r="I58" s="326">
        <f t="shared" si="4"/>
        <v>0</v>
      </c>
    </row>
    <row r="59" spans="1:9" s="343" customFormat="1" ht="28.5">
      <c r="A59" s="321" t="s">
        <v>3161</v>
      </c>
      <c r="B59" s="322">
        <v>12</v>
      </c>
      <c r="C59" s="340" t="s">
        <v>3185</v>
      </c>
      <c r="D59" s="340" t="s">
        <v>3186</v>
      </c>
      <c r="E59" s="340">
        <v>1</v>
      </c>
      <c r="F59" s="340" t="s">
        <v>2873</v>
      </c>
      <c r="G59" s="359"/>
      <c r="H59" s="341"/>
      <c r="I59" s="326">
        <f t="shared" si="4"/>
        <v>0</v>
      </c>
    </row>
    <row r="60" spans="1:9" s="343" customFormat="1" ht="28.5">
      <c r="A60" s="321" t="s">
        <v>3161</v>
      </c>
      <c r="B60" s="322">
        <v>13</v>
      </c>
      <c r="C60" s="340" t="s">
        <v>3187</v>
      </c>
      <c r="D60" s="340" t="s">
        <v>3188</v>
      </c>
      <c r="E60" s="340">
        <v>1</v>
      </c>
      <c r="F60" s="340" t="s">
        <v>2873</v>
      </c>
      <c r="G60" s="359"/>
      <c r="H60" s="341"/>
      <c r="I60" s="326">
        <f t="shared" si="4"/>
        <v>0</v>
      </c>
    </row>
    <row r="61" spans="1:9" s="343" customFormat="1">
      <c r="A61" s="321" t="s">
        <v>3161</v>
      </c>
      <c r="B61" s="322">
        <v>14</v>
      </c>
      <c r="C61" s="340"/>
      <c r="D61" s="340" t="s">
        <v>3189</v>
      </c>
      <c r="E61" s="340">
        <v>27</v>
      </c>
      <c r="F61" s="340" t="s">
        <v>2873</v>
      </c>
      <c r="G61" s="359"/>
      <c r="H61" s="341"/>
      <c r="I61" s="326">
        <f t="shared" si="4"/>
        <v>0</v>
      </c>
    </row>
    <row r="62" spans="1:9" s="343" customFormat="1">
      <c r="A62" s="321" t="s">
        <v>3161</v>
      </c>
      <c r="B62" s="322">
        <v>15</v>
      </c>
      <c r="C62" s="340"/>
      <c r="D62" s="340" t="s">
        <v>3190</v>
      </c>
      <c r="E62" s="340">
        <v>54</v>
      </c>
      <c r="F62" s="340" t="s">
        <v>2873</v>
      </c>
      <c r="G62" s="359"/>
      <c r="H62" s="341"/>
      <c r="I62" s="326">
        <f t="shared" si="4"/>
        <v>0</v>
      </c>
    </row>
    <row r="63" spans="1:9" s="343" customFormat="1">
      <c r="A63" s="321" t="s">
        <v>3161</v>
      </c>
      <c r="B63" s="322">
        <v>16</v>
      </c>
      <c r="C63" s="340"/>
      <c r="D63" s="340" t="s">
        <v>3191</v>
      </c>
      <c r="E63" s="340">
        <v>54</v>
      </c>
      <c r="F63" s="340" t="s">
        <v>2873</v>
      </c>
      <c r="G63" s="359"/>
      <c r="H63" s="341"/>
      <c r="I63" s="326">
        <f t="shared" si="4"/>
        <v>0</v>
      </c>
    </row>
    <row r="64" spans="1:9" s="343" customFormat="1">
      <c r="A64" s="321" t="s">
        <v>3161</v>
      </c>
      <c r="B64" s="322">
        <v>17</v>
      </c>
      <c r="C64" s="340"/>
      <c r="D64" s="340" t="s">
        <v>3192</v>
      </c>
      <c r="E64" s="340">
        <v>27</v>
      </c>
      <c r="F64" s="340" t="s">
        <v>2873</v>
      </c>
      <c r="G64" s="359"/>
      <c r="H64" s="341"/>
      <c r="I64" s="326">
        <f t="shared" si="4"/>
        <v>0</v>
      </c>
    </row>
    <row r="65" spans="1:10" s="343" customFormat="1" ht="28.5">
      <c r="A65" s="321" t="s">
        <v>3161</v>
      </c>
      <c r="B65" s="322">
        <v>18</v>
      </c>
      <c r="C65" s="340"/>
      <c r="D65" s="340" t="s">
        <v>3193</v>
      </c>
      <c r="E65" s="340">
        <v>27</v>
      </c>
      <c r="F65" s="340" t="s">
        <v>2873</v>
      </c>
      <c r="G65" s="359"/>
      <c r="H65" s="341"/>
      <c r="I65" s="326">
        <f t="shared" si="4"/>
        <v>0</v>
      </c>
    </row>
    <row r="66" spans="1:10">
      <c r="B66" s="322"/>
      <c r="C66" s="322"/>
      <c r="D66" s="322"/>
      <c r="F66" s="322"/>
      <c r="G66" s="338"/>
      <c r="I66" s="326"/>
    </row>
    <row r="67" spans="1:10" s="323" customFormat="1" ht="15">
      <c r="A67" s="353" t="s">
        <v>3194</v>
      </c>
      <c r="B67" s="356"/>
      <c r="C67" s="356"/>
      <c r="D67" s="360" t="s">
        <v>3195</v>
      </c>
      <c r="E67" s="327"/>
      <c r="F67" s="356"/>
      <c r="G67" s="357"/>
      <c r="H67" s="358"/>
      <c r="I67" s="358"/>
    </row>
    <row r="68" spans="1:10">
      <c r="A68" s="353" t="s">
        <v>3194</v>
      </c>
      <c r="B68" s="322">
        <v>1</v>
      </c>
      <c r="C68" s="322"/>
      <c r="D68" s="340" t="s">
        <v>3134</v>
      </c>
      <c r="E68" s="321">
        <v>6</v>
      </c>
      <c r="F68" s="322" t="s">
        <v>257</v>
      </c>
      <c r="G68" s="322"/>
      <c r="H68" s="341"/>
      <c r="I68" s="326">
        <f t="shared" ref="I68:I86" si="5">E68*H68</f>
        <v>0</v>
      </c>
    </row>
    <row r="69" spans="1:10">
      <c r="A69" s="353" t="s">
        <v>3194</v>
      </c>
      <c r="B69" s="322">
        <v>2</v>
      </c>
      <c r="C69" s="322"/>
      <c r="D69" s="340" t="s">
        <v>3135</v>
      </c>
      <c r="E69" s="321">
        <v>1</v>
      </c>
      <c r="F69" s="322" t="s">
        <v>3086</v>
      </c>
      <c r="G69" s="322"/>
      <c r="H69" s="341"/>
      <c r="I69" s="326">
        <f t="shared" si="5"/>
        <v>0</v>
      </c>
    </row>
    <row r="70" spans="1:10">
      <c r="A70" s="353" t="s">
        <v>3194</v>
      </c>
      <c r="B70" s="322">
        <v>3</v>
      </c>
      <c r="C70" s="322"/>
      <c r="D70" s="340" t="s">
        <v>3196</v>
      </c>
      <c r="E70" s="321">
        <v>1</v>
      </c>
      <c r="F70" s="322" t="s">
        <v>3086</v>
      </c>
      <c r="G70" s="322"/>
      <c r="H70" s="341"/>
      <c r="I70" s="326">
        <f t="shared" si="5"/>
        <v>0</v>
      </c>
    </row>
    <row r="71" spans="1:10" s="355" customFormat="1">
      <c r="A71" s="353" t="s">
        <v>3194</v>
      </c>
      <c r="B71" s="322">
        <v>4</v>
      </c>
      <c r="C71" s="352"/>
      <c r="D71" s="355" t="s">
        <v>3197</v>
      </c>
      <c r="E71" s="355">
        <v>235</v>
      </c>
      <c r="F71" s="355" t="s">
        <v>257</v>
      </c>
      <c r="G71" s="361"/>
      <c r="H71" s="341"/>
      <c r="I71" s="326">
        <f t="shared" si="5"/>
        <v>0</v>
      </c>
      <c r="J71" s="354"/>
    </row>
    <row r="72" spans="1:10" s="323" customFormat="1">
      <c r="A72" s="353" t="s">
        <v>3194</v>
      </c>
      <c r="B72" s="322">
        <v>5</v>
      </c>
      <c r="C72" s="356"/>
      <c r="D72" s="355" t="s">
        <v>3198</v>
      </c>
      <c r="E72" s="355">
        <v>55</v>
      </c>
      <c r="F72" s="355" t="s">
        <v>257</v>
      </c>
      <c r="G72" s="357"/>
      <c r="H72" s="341"/>
      <c r="I72" s="326">
        <f t="shared" si="5"/>
        <v>0</v>
      </c>
    </row>
    <row r="73" spans="1:10" s="355" customFormat="1">
      <c r="A73" s="353" t="s">
        <v>3194</v>
      </c>
      <c r="B73" s="322">
        <v>6</v>
      </c>
      <c r="C73" s="352"/>
      <c r="D73" s="355" t="s">
        <v>3199</v>
      </c>
      <c r="E73" s="355">
        <v>28</v>
      </c>
      <c r="F73" s="355" t="s">
        <v>257</v>
      </c>
      <c r="G73" s="361"/>
      <c r="H73" s="341"/>
      <c r="I73" s="326">
        <f t="shared" si="5"/>
        <v>0</v>
      </c>
    </row>
    <row r="74" spans="1:10" s="355" customFormat="1">
      <c r="A74" s="353" t="s">
        <v>3194</v>
      </c>
      <c r="B74" s="322">
        <v>7</v>
      </c>
      <c r="C74" s="352"/>
      <c r="D74" s="355" t="s">
        <v>3200</v>
      </c>
      <c r="E74" s="355">
        <v>28</v>
      </c>
      <c r="F74" s="355" t="s">
        <v>257</v>
      </c>
      <c r="G74" s="361"/>
      <c r="H74" s="341"/>
      <c r="I74" s="326">
        <f t="shared" si="5"/>
        <v>0</v>
      </c>
    </row>
    <row r="75" spans="1:10" s="355" customFormat="1">
      <c r="A75" s="353" t="s">
        <v>3194</v>
      </c>
      <c r="B75" s="322">
        <v>8</v>
      </c>
      <c r="C75" s="352"/>
      <c r="D75" s="355" t="s">
        <v>3201</v>
      </c>
      <c r="E75" s="355">
        <v>35</v>
      </c>
      <c r="F75" s="355" t="s">
        <v>257</v>
      </c>
      <c r="G75" s="361"/>
      <c r="H75" s="341"/>
      <c r="I75" s="326">
        <f t="shared" si="5"/>
        <v>0</v>
      </c>
    </row>
    <row r="76" spans="1:10" s="355" customFormat="1">
      <c r="A76" s="353" t="s">
        <v>3194</v>
      </c>
      <c r="B76" s="322">
        <v>9</v>
      </c>
      <c r="C76" s="352"/>
      <c r="D76" s="355" t="s">
        <v>3202</v>
      </c>
      <c r="E76" s="355">
        <v>35</v>
      </c>
      <c r="F76" s="355" t="s">
        <v>257</v>
      </c>
      <c r="G76" s="361"/>
      <c r="H76" s="341"/>
      <c r="I76" s="326">
        <f t="shared" si="5"/>
        <v>0</v>
      </c>
    </row>
    <row r="77" spans="1:10" s="355" customFormat="1">
      <c r="A77" s="353" t="s">
        <v>3194</v>
      </c>
      <c r="B77" s="322">
        <v>10</v>
      </c>
      <c r="C77" s="352"/>
      <c r="D77" s="355" t="s">
        <v>3203</v>
      </c>
      <c r="E77" s="355">
        <v>18</v>
      </c>
      <c r="F77" s="355" t="s">
        <v>257</v>
      </c>
      <c r="G77" s="361"/>
      <c r="H77" s="341"/>
      <c r="I77" s="326">
        <f t="shared" si="5"/>
        <v>0</v>
      </c>
    </row>
    <row r="78" spans="1:10" s="355" customFormat="1">
      <c r="A78" s="353" t="s">
        <v>3194</v>
      </c>
      <c r="B78" s="322">
        <v>11</v>
      </c>
      <c r="C78" s="352"/>
      <c r="D78" s="355" t="s">
        <v>3204</v>
      </c>
      <c r="E78" s="353">
        <v>1</v>
      </c>
      <c r="F78" s="355" t="s">
        <v>3086</v>
      </c>
      <c r="G78" s="361"/>
      <c r="H78" s="341"/>
      <c r="I78" s="326">
        <f t="shared" si="5"/>
        <v>0</v>
      </c>
    </row>
    <row r="79" spans="1:10" s="323" customFormat="1">
      <c r="A79" s="353" t="s">
        <v>3194</v>
      </c>
      <c r="B79" s="322">
        <v>12</v>
      </c>
      <c r="C79" s="356"/>
      <c r="D79" s="323" t="s">
        <v>3205</v>
      </c>
      <c r="E79" s="323">
        <v>235</v>
      </c>
      <c r="F79" s="323" t="s">
        <v>257</v>
      </c>
      <c r="H79" s="341"/>
      <c r="I79" s="326">
        <f t="shared" si="5"/>
        <v>0</v>
      </c>
    </row>
    <row r="80" spans="1:10" s="323" customFormat="1">
      <c r="A80" s="353" t="s">
        <v>3194</v>
      </c>
      <c r="B80" s="322">
        <v>13</v>
      </c>
      <c r="C80" s="356"/>
      <c r="D80" s="323" t="s">
        <v>3206</v>
      </c>
      <c r="E80" s="323">
        <v>55</v>
      </c>
      <c r="F80" s="323" t="s">
        <v>257</v>
      </c>
      <c r="G80" s="357"/>
      <c r="H80" s="341"/>
      <c r="I80" s="326">
        <f t="shared" si="5"/>
        <v>0</v>
      </c>
    </row>
    <row r="81" spans="1:9">
      <c r="A81" s="353" t="s">
        <v>3194</v>
      </c>
      <c r="B81" s="322">
        <v>14</v>
      </c>
      <c r="C81" s="322"/>
      <c r="D81" s="323" t="s">
        <v>3207</v>
      </c>
      <c r="E81" s="323">
        <v>28</v>
      </c>
      <c r="F81" s="323" t="s">
        <v>257</v>
      </c>
      <c r="G81" s="338"/>
      <c r="H81" s="341"/>
      <c r="I81" s="326">
        <f t="shared" si="5"/>
        <v>0</v>
      </c>
    </row>
    <row r="82" spans="1:9">
      <c r="A82" s="353" t="s">
        <v>3194</v>
      </c>
      <c r="B82" s="322">
        <v>15</v>
      </c>
      <c r="C82" s="322"/>
      <c r="D82" s="323" t="s">
        <v>3208</v>
      </c>
      <c r="E82" s="323">
        <v>28</v>
      </c>
      <c r="F82" s="323" t="s">
        <v>257</v>
      </c>
      <c r="G82" s="338"/>
      <c r="H82" s="341"/>
      <c r="I82" s="326">
        <f t="shared" si="5"/>
        <v>0</v>
      </c>
    </row>
    <row r="83" spans="1:9">
      <c r="A83" s="353" t="s">
        <v>3194</v>
      </c>
      <c r="B83" s="322">
        <v>16</v>
      </c>
      <c r="C83" s="322"/>
      <c r="D83" s="323" t="s">
        <v>3209</v>
      </c>
      <c r="E83" s="323">
        <v>35</v>
      </c>
      <c r="F83" s="323" t="s">
        <v>257</v>
      </c>
      <c r="G83" s="338"/>
      <c r="H83" s="341"/>
      <c r="I83" s="326">
        <f t="shared" si="5"/>
        <v>0</v>
      </c>
    </row>
    <row r="84" spans="1:9">
      <c r="A84" s="353" t="s">
        <v>3194</v>
      </c>
      <c r="B84" s="322">
        <v>17</v>
      </c>
      <c r="C84" s="322"/>
      <c r="D84" s="323" t="s">
        <v>3210</v>
      </c>
      <c r="E84" s="323">
        <v>35</v>
      </c>
      <c r="F84" s="323" t="s">
        <v>257</v>
      </c>
      <c r="G84" s="338"/>
      <c r="H84" s="341"/>
      <c r="I84" s="326">
        <f t="shared" si="5"/>
        <v>0</v>
      </c>
    </row>
    <row r="85" spans="1:9">
      <c r="A85" s="353" t="s">
        <v>3194</v>
      </c>
      <c r="B85" s="322">
        <v>18</v>
      </c>
      <c r="C85" s="322"/>
      <c r="D85" s="323" t="s">
        <v>3211</v>
      </c>
      <c r="E85" s="323">
        <v>18</v>
      </c>
      <c r="F85" s="323" t="s">
        <v>257</v>
      </c>
      <c r="G85" s="338"/>
      <c r="H85" s="341"/>
      <c r="I85" s="326">
        <f t="shared" si="5"/>
        <v>0</v>
      </c>
    </row>
    <row r="86" spans="1:9" ht="18">
      <c r="A86" s="353" t="s">
        <v>3194</v>
      </c>
      <c r="B86" s="322">
        <v>19</v>
      </c>
      <c r="C86" s="322"/>
      <c r="D86" s="340" t="s">
        <v>3212</v>
      </c>
      <c r="E86" s="321">
        <v>6</v>
      </c>
      <c r="F86" s="322" t="s">
        <v>257</v>
      </c>
      <c r="G86" s="322"/>
      <c r="H86" s="341"/>
      <c r="I86" s="326">
        <f t="shared" si="5"/>
        <v>0</v>
      </c>
    </row>
    <row r="87" spans="1:9">
      <c r="B87" s="322"/>
      <c r="C87" s="322"/>
      <c r="D87" s="323"/>
      <c r="E87" s="327"/>
      <c r="F87" s="323"/>
      <c r="G87" s="338"/>
      <c r="I87" s="326"/>
    </row>
    <row r="88" spans="1:9" s="355" customFormat="1" ht="15">
      <c r="A88" s="327" t="s">
        <v>3213</v>
      </c>
      <c r="B88" s="352"/>
      <c r="D88" s="324" t="s">
        <v>3214</v>
      </c>
      <c r="E88" s="327"/>
      <c r="H88" s="354"/>
      <c r="I88" s="354"/>
    </row>
    <row r="89" spans="1:9" s="355" customFormat="1">
      <c r="A89" s="327" t="s">
        <v>3213</v>
      </c>
      <c r="B89" s="352">
        <v>1</v>
      </c>
      <c r="D89" s="355" t="s">
        <v>3215</v>
      </c>
      <c r="E89" s="327">
        <v>2</v>
      </c>
      <c r="F89" s="355" t="s">
        <v>2873</v>
      </c>
      <c r="G89" s="355" t="s">
        <v>3157</v>
      </c>
      <c r="H89" s="341"/>
      <c r="I89" s="358">
        <f t="shared" ref="I89:I99" si="6">E89*H89</f>
        <v>0</v>
      </c>
    </row>
    <row r="90" spans="1:9" s="355" customFormat="1">
      <c r="A90" s="327" t="s">
        <v>3213</v>
      </c>
      <c r="B90" s="352">
        <v>2</v>
      </c>
      <c r="D90" s="355" t="s">
        <v>3147</v>
      </c>
      <c r="E90" s="353">
        <v>2</v>
      </c>
      <c r="F90" s="355" t="s">
        <v>2873</v>
      </c>
      <c r="G90" s="355" t="s">
        <v>3148</v>
      </c>
      <c r="H90" s="341"/>
      <c r="I90" s="358">
        <f t="shared" si="6"/>
        <v>0</v>
      </c>
    </row>
    <row r="91" spans="1:9" s="355" customFormat="1">
      <c r="A91" s="327" t="s">
        <v>3213</v>
      </c>
      <c r="B91" s="352">
        <v>3</v>
      </c>
      <c r="D91" s="355" t="s">
        <v>3149</v>
      </c>
      <c r="E91" s="353">
        <v>1</v>
      </c>
      <c r="F91" s="355" t="s">
        <v>2873</v>
      </c>
      <c r="G91" s="355" t="s">
        <v>3150</v>
      </c>
      <c r="H91" s="341"/>
      <c r="I91" s="358">
        <f t="shared" si="6"/>
        <v>0</v>
      </c>
    </row>
    <row r="92" spans="1:9" s="355" customFormat="1" ht="28.5">
      <c r="A92" s="327" t="s">
        <v>3213</v>
      </c>
      <c r="B92" s="352">
        <v>4</v>
      </c>
      <c r="D92" s="355" t="s">
        <v>3216</v>
      </c>
      <c r="E92" s="353">
        <v>1</v>
      </c>
      <c r="F92" s="355" t="s">
        <v>2873</v>
      </c>
      <c r="G92" s="355" t="s">
        <v>3217</v>
      </c>
      <c r="H92" s="341"/>
      <c r="I92" s="358">
        <f t="shared" si="6"/>
        <v>0</v>
      </c>
    </row>
    <row r="93" spans="1:9" s="355" customFormat="1" ht="28.5">
      <c r="A93" s="327" t="s">
        <v>3213</v>
      </c>
      <c r="B93" s="352">
        <v>5</v>
      </c>
      <c r="D93" s="355" t="s">
        <v>3218</v>
      </c>
      <c r="E93" s="353">
        <v>1</v>
      </c>
      <c r="F93" s="355" t="s">
        <v>2873</v>
      </c>
      <c r="G93" s="355" t="s">
        <v>3219</v>
      </c>
      <c r="H93" s="341"/>
      <c r="I93" s="358">
        <f t="shared" si="6"/>
        <v>0</v>
      </c>
    </row>
    <row r="94" spans="1:9" s="355" customFormat="1">
      <c r="A94" s="327" t="s">
        <v>3213</v>
      </c>
      <c r="B94" s="352">
        <v>6</v>
      </c>
      <c r="D94" s="355" t="s">
        <v>3220</v>
      </c>
      <c r="E94" s="353">
        <v>3</v>
      </c>
      <c r="F94" s="355" t="s">
        <v>3086</v>
      </c>
      <c r="G94" s="355" t="s">
        <v>3152</v>
      </c>
      <c r="H94" s="341"/>
      <c r="I94" s="358">
        <f t="shared" si="6"/>
        <v>0</v>
      </c>
    </row>
    <row r="95" spans="1:9" s="355" customFormat="1">
      <c r="A95" s="327" t="s">
        <v>3213</v>
      </c>
      <c r="B95" s="352">
        <v>7</v>
      </c>
      <c r="D95" s="355" t="s">
        <v>3221</v>
      </c>
      <c r="E95" s="353">
        <v>1</v>
      </c>
      <c r="F95" s="355" t="s">
        <v>2873</v>
      </c>
      <c r="G95" s="355" t="s">
        <v>3222</v>
      </c>
      <c r="H95" s="341"/>
      <c r="I95" s="358">
        <f t="shared" si="6"/>
        <v>0</v>
      </c>
    </row>
    <row r="96" spans="1:9" s="355" customFormat="1" ht="28.5">
      <c r="A96" s="327" t="s">
        <v>3213</v>
      </c>
      <c r="B96" s="352">
        <v>8</v>
      </c>
      <c r="D96" s="355" t="s">
        <v>3223</v>
      </c>
      <c r="E96" s="353">
        <v>1</v>
      </c>
      <c r="F96" s="355" t="s">
        <v>2873</v>
      </c>
      <c r="G96" s="355" t="s">
        <v>3224</v>
      </c>
      <c r="H96" s="341"/>
      <c r="I96" s="358">
        <f t="shared" si="6"/>
        <v>0</v>
      </c>
    </row>
    <row r="97" spans="1:14" s="355" customFormat="1" ht="28.5">
      <c r="A97" s="327" t="s">
        <v>3213</v>
      </c>
      <c r="B97" s="352">
        <v>9</v>
      </c>
      <c r="D97" s="355" t="s">
        <v>3225</v>
      </c>
      <c r="E97" s="353">
        <v>1</v>
      </c>
      <c r="F97" s="355" t="s">
        <v>2873</v>
      </c>
      <c r="G97" s="355" t="s">
        <v>3226</v>
      </c>
      <c r="H97" s="341"/>
      <c r="I97" s="358">
        <f t="shared" si="6"/>
        <v>0</v>
      </c>
    </row>
    <row r="98" spans="1:14" s="355" customFormat="1">
      <c r="A98" s="327" t="s">
        <v>3213</v>
      </c>
      <c r="B98" s="352">
        <v>10</v>
      </c>
      <c r="D98" s="355" t="s">
        <v>3227</v>
      </c>
      <c r="E98" s="353">
        <v>1</v>
      </c>
      <c r="F98" s="355" t="s">
        <v>2873</v>
      </c>
      <c r="G98" s="355" t="s">
        <v>3226</v>
      </c>
      <c r="H98" s="341"/>
      <c r="I98" s="358">
        <f t="shared" si="6"/>
        <v>0</v>
      </c>
    </row>
    <row r="99" spans="1:14" s="355" customFormat="1">
      <c r="A99" s="327" t="s">
        <v>3213</v>
      </c>
      <c r="B99" s="352">
        <v>11</v>
      </c>
      <c r="D99" s="355" t="s">
        <v>3228</v>
      </c>
      <c r="E99" s="353">
        <v>1</v>
      </c>
      <c r="F99" s="355" t="s">
        <v>3086</v>
      </c>
      <c r="H99" s="341"/>
      <c r="I99" s="358">
        <f t="shared" si="6"/>
        <v>0</v>
      </c>
    </row>
    <row r="100" spans="1:14">
      <c r="A100" s="327" t="s">
        <v>3213</v>
      </c>
      <c r="B100" s="352">
        <v>12</v>
      </c>
      <c r="C100" s="322"/>
      <c r="D100" s="352" t="s">
        <v>3159</v>
      </c>
      <c r="E100" s="321">
        <v>4</v>
      </c>
      <c r="F100" s="322" t="s">
        <v>2873</v>
      </c>
      <c r="G100" s="338" t="s">
        <v>3229</v>
      </c>
      <c r="H100" s="341"/>
      <c r="I100" s="326">
        <f>E100*H100</f>
        <v>0</v>
      </c>
    </row>
    <row r="101" spans="1:14">
      <c r="A101" s="327"/>
      <c r="B101" s="352"/>
      <c r="C101" s="322"/>
      <c r="D101" s="352" t="s">
        <v>3230</v>
      </c>
      <c r="E101" s="321">
        <v>1</v>
      </c>
      <c r="F101" s="322" t="s">
        <v>2873</v>
      </c>
      <c r="G101" s="338"/>
      <c r="H101" s="341"/>
      <c r="I101" s="326">
        <f>E101*H101</f>
        <v>0</v>
      </c>
    </row>
    <row r="102" spans="1:14" ht="15">
      <c r="A102" s="325"/>
      <c r="B102" s="340"/>
      <c r="D102" s="337" t="s">
        <v>3231</v>
      </c>
      <c r="H102" s="341"/>
      <c r="I102" s="362">
        <f>SUM(I6:I101)</f>
        <v>0</v>
      </c>
    </row>
    <row r="103" spans="1:14">
      <c r="A103" s="327"/>
      <c r="B103" s="322"/>
      <c r="G103" s="325"/>
      <c r="H103" s="363"/>
      <c r="I103" s="358"/>
      <c r="N103" s="343"/>
    </row>
    <row r="104" spans="1:14" s="323" customFormat="1" ht="15">
      <c r="A104" s="353" t="s">
        <v>3232</v>
      </c>
      <c r="D104" s="324" t="s">
        <v>3233</v>
      </c>
      <c r="E104" s="327"/>
      <c r="G104" s="358"/>
      <c r="H104" s="363"/>
    </row>
    <row r="105" spans="1:14" s="355" customFormat="1" ht="57">
      <c r="A105" s="353" t="s">
        <v>3232</v>
      </c>
      <c r="B105" s="352">
        <v>1</v>
      </c>
      <c r="D105" s="355" t="s">
        <v>3234</v>
      </c>
      <c r="E105" s="353">
        <v>1</v>
      </c>
      <c r="F105" s="355" t="s">
        <v>3086</v>
      </c>
      <c r="G105" s="354"/>
      <c r="H105" s="341"/>
      <c r="I105" s="326">
        <f t="shared" ref="I105:I110" si="7">E105*H105</f>
        <v>0</v>
      </c>
    </row>
    <row r="106" spans="1:14" s="355" customFormat="1" ht="28.5">
      <c r="A106" s="353" t="s">
        <v>3232</v>
      </c>
      <c r="B106" s="352">
        <v>2</v>
      </c>
      <c r="D106" s="355" t="s">
        <v>3235</v>
      </c>
      <c r="E106" s="353">
        <v>1</v>
      </c>
      <c r="F106" s="355" t="s">
        <v>3086</v>
      </c>
      <c r="G106" s="354"/>
      <c r="H106" s="341"/>
      <c r="I106" s="326">
        <f t="shared" si="7"/>
        <v>0</v>
      </c>
    </row>
    <row r="107" spans="1:14" s="355" customFormat="1" ht="28.5">
      <c r="A107" s="353" t="s">
        <v>3232</v>
      </c>
      <c r="B107" s="352">
        <v>3</v>
      </c>
      <c r="D107" s="355" t="s">
        <v>3236</v>
      </c>
      <c r="E107" s="355">
        <v>1</v>
      </c>
      <c r="F107" s="355" t="s">
        <v>3086</v>
      </c>
      <c r="H107" s="341"/>
      <c r="I107" s="354">
        <f t="shared" si="7"/>
        <v>0</v>
      </c>
    </row>
    <row r="108" spans="1:14" s="323" customFormat="1">
      <c r="A108" s="353" t="s">
        <v>3232</v>
      </c>
      <c r="B108" s="352">
        <v>4</v>
      </c>
      <c r="D108" s="323" t="s">
        <v>3237</v>
      </c>
      <c r="E108" s="323">
        <v>1</v>
      </c>
      <c r="F108" s="323" t="s">
        <v>3086</v>
      </c>
      <c r="H108" s="341"/>
      <c r="I108" s="358">
        <f t="shared" si="7"/>
        <v>0</v>
      </c>
    </row>
    <row r="109" spans="1:14" s="323" customFormat="1">
      <c r="A109" s="353" t="s">
        <v>3232</v>
      </c>
      <c r="B109" s="352">
        <v>5</v>
      </c>
      <c r="D109" s="355" t="s">
        <v>3238</v>
      </c>
      <c r="E109" s="327">
        <v>1</v>
      </c>
      <c r="F109" s="323" t="s">
        <v>3086</v>
      </c>
      <c r="H109" s="341"/>
      <c r="I109" s="326">
        <f>E109*H109</f>
        <v>0</v>
      </c>
    </row>
    <row r="110" spans="1:14" s="323" customFormat="1" ht="42.75">
      <c r="A110" s="353" t="s">
        <v>3232</v>
      </c>
      <c r="B110" s="352">
        <v>6</v>
      </c>
      <c r="D110" s="355" t="s">
        <v>3239</v>
      </c>
      <c r="E110" s="327">
        <v>1</v>
      </c>
      <c r="F110" s="323" t="s">
        <v>3086</v>
      </c>
      <c r="G110" s="358"/>
      <c r="H110" s="341"/>
      <c r="I110" s="326">
        <f t="shared" si="7"/>
        <v>0</v>
      </c>
    </row>
    <row r="111" spans="1:14" ht="15">
      <c r="D111" s="364" t="s">
        <v>3240</v>
      </c>
      <c r="I111" s="362">
        <f>SUM(I105:I110)</f>
        <v>0</v>
      </c>
    </row>
    <row r="113" spans="1:9" s="364" customFormat="1" ht="15">
      <c r="A113" s="365"/>
      <c r="D113" s="364" t="s">
        <v>3241</v>
      </c>
      <c r="E113" s="365"/>
      <c r="G113" s="362"/>
      <c r="H113" s="362"/>
      <c r="I113" s="366">
        <f>I111+I102</f>
        <v>0</v>
      </c>
    </row>
  </sheetData>
  <mergeCells count="1">
    <mergeCell ref="A3:B3"/>
  </mergeCells>
  <pageMargins left="0.62992125984251968" right="0.5118110236220472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43AF-8524-4EC4-B968-3148F2CFAE42}">
  <dimension ref="A1:F113"/>
  <sheetViews>
    <sheetView topLeftCell="A76" zoomScaleNormal="100" workbookViewId="0">
      <selection activeCell="D128" sqref="D128"/>
    </sheetView>
  </sheetViews>
  <sheetFormatPr defaultColWidth="8.83203125" defaultRowHeight="11.25"/>
  <cols>
    <col min="1" max="1" width="71.5" style="368" customWidth="1"/>
    <col min="2" max="2" width="5.5" style="368" customWidth="1"/>
    <col min="3" max="3" width="8.33203125" style="368" customWidth="1"/>
    <col min="4" max="4" width="14.33203125" style="369" customWidth="1"/>
    <col min="5" max="5" width="15" style="369" customWidth="1"/>
    <col min="6" max="6" width="22.83203125" style="369" customWidth="1"/>
    <col min="7" max="9" width="8.83203125" style="368"/>
    <col min="10" max="10" width="9.83203125" style="368" bestFit="1" customWidth="1"/>
    <col min="11" max="16384" width="8.83203125" style="368"/>
  </cols>
  <sheetData>
    <row r="1" spans="1:6">
      <c r="A1" s="367" t="s">
        <v>3242</v>
      </c>
    </row>
    <row r="3" spans="1:6">
      <c r="A3" s="370" t="s">
        <v>3243</v>
      </c>
      <c r="B3" s="370"/>
    </row>
    <row r="4" spans="1:6">
      <c r="A4" s="370" t="s">
        <v>3244</v>
      </c>
      <c r="B4" s="370"/>
    </row>
    <row r="5" spans="1:6">
      <c r="A5" s="370" t="s">
        <v>3245</v>
      </c>
      <c r="B5" s="370"/>
    </row>
    <row r="6" spans="1:6">
      <c r="A6" s="370" t="s">
        <v>3246</v>
      </c>
      <c r="B6" s="370"/>
    </row>
    <row r="7" spans="1:6">
      <c r="A7" s="370" t="s">
        <v>3247</v>
      </c>
      <c r="B7" s="370"/>
    </row>
    <row r="9" spans="1:6">
      <c r="A9" s="371"/>
      <c r="B9" s="372"/>
      <c r="C9" s="372"/>
      <c r="D9" s="373" t="s">
        <v>3248</v>
      </c>
      <c r="E9" s="373" t="s">
        <v>3249</v>
      </c>
      <c r="F9" s="374" t="s">
        <v>3250</v>
      </c>
    </row>
    <row r="10" spans="1:6">
      <c r="A10" s="367" t="s">
        <v>79</v>
      </c>
    </row>
    <row r="11" spans="1:6">
      <c r="A11" s="375" t="s">
        <v>3251</v>
      </c>
      <c r="B11" s="376"/>
      <c r="C11" s="377"/>
      <c r="D11" s="378"/>
      <c r="E11" s="379"/>
      <c r="F11" s="380">
        <f>SUM(F12:F17)</f>
        <v>0</v>
      </c>
    </row>
    <row r="12" spans="1:6">
      <c r="A12" s="381" t="s">
        <v>3252</v>
      </c>
      <c r="C12" s="382" t="s">
        <v>2873</v>
      </c>
      <c r="D12" s="383">
        <v>19</v>
      </c>
      <c r="E12" s="384"/>
      <c r="F12" s="385">
        <f>D12*E12</f>
        <v>0</v>
      </c>
    </row>
    <row r="13" spans="1:6">
      <c r="A13" s="381" t="s">
        <v>3253</v>
      </c>
      <c r="C13" s="382" t="s">
        <v>2873</v>
      </c>
      <c r="D13" s="383">
        <v>9</v>
      </c>
      <c r="E13" s="384"/>
      <c r="F13" s="385">
        <f t="shared" ref="F13:F17" si="0">D13*E13</f>
        <v>0</v>
      </c>
    </row>
    <row r="14" spans="1:6">
      <c r="A14" s="381" t="s">
        <v>3254</v>
      </c>
      <c r="C14" s="382" t="s">
        <v>2873</v>
      </c>
      <c r="D14" s="383">
        <v>3</v>
      </c>
      <c r="E14" s="384"/>
      <c r="F14" s="385">
        <f t="shared" si="0"/>
        <v>0</v>
      </c>
    </row>
    <row r="15" spans="1:6">
      <c r="A15" s="381" t="s">
        <v>3255</v>
      </c>
      <c r="C15" s="382" t="s">
        <v>2873</v>
      </c>
      <c r="D15" s="383">
        <v>14</v>
      </c>
      <c r="E15" s="384"/>
      <c r="F15" s="385">
        <f t="shared" si="0"/>
        <v>0</v>
      </c>
    </row>
    <row r="16" spans="1:6">
      <c r="A16" s="381" t="s">
        <v>3256</v>
      </c>
      <c r="C16" s="382" t="s">
        <v>2873</v>
      </c>
      <c r="D16" s="383" t="s">
        <v>3257</v>
      </c>
      <c r="E16" s="384"/>
      <c r="F16" s="385">
        <f t="shared" si="0"/>
        <v>0</v>
      </c>
    </row>
    <row r="17" spans="1:6">
      <c r="A17" s="386" t="s">
        <v>3258</v>
      </c>
      <c r="B17" s="387"/>
      <c r="C17" s="388" t="s">
        <v>2873</v>
      </c>
      <c r="D17" s="389" t="s">
        <v>3259</v>
      </c>
      <c r="E17" s="390"/>
      <c r="F17" s="391">
        <f t="shared" si="0"/>
        <v>0</v>
      </c>
    </row>
    <row r="18" spans="1:6">
      <c r="D18" s="392"/>
      <c r="F18" s="384"/>
    </row>
    <row r="19" spans="1:6">
      <c r="A19" s="367" t="s">
        <v>81</v>
      </c>
      <c r="D19" s="392"/>
    </row>
    <row r="20" spans="1:6">
      <c r="A20" s="375" t="s">
        <v>3260</v>
      </c>
      <c r="B20" s="376"/>
      <c r="C20" s="377"/>
      <c r="D20" s="378"/>
      <c r="E20" s="379"/>
      <c r="F20" s="380">
        <f>SUM(F21:F25)</f>
        <v>0</v>
      </c>
    </row>
    <row r="21" spans="1:6" ht="12.75">
      <c r="A21" s="393" t="s">
        <v>3261</v>
      </c>
      <c r="B21" s="394" t="s">
        <v>257</v>
      </c>
      <c r="C21" s="382" t="s">
        <v>257</v>
      </c>
      <c r="D21" s="383">
        <v>70</v>
      </c>
      <c r="E21" s="384"/>
      <c r="F21" s="395">
        <f>D21*E21</f>
        <v>0</v>
      </c>
    </row>
    <row r="22" spans="1:6" ht="12.75">
      <c r="A22" s="396" t="s">
        <v>3262</v>
      </c>
      <c r="B22" s="394" t="s">
        <v>257</v>
      </c>
      <c r="C22" s="382" t="s">
        <v>257</v>
      </c>
      <c r="D22" s="383">
        <v>720</v>
      </c>
      <c r="E22" s="384"/>
      <c r="F22" s="395">
        <f t="shared" ref="F22:F25" si="1">D22*E22</f>
        <v>0</v>
      </c>
    </row>
    <row r="23" spans="1:6" ht="12.75">
      <c r="A23" s="396" t="s">
        <v>3263</v>
      </c>
      <c r="B23" s="394" t="s">
        <v>257</v>
      </c>
      <c r="C23" s="382" t="s">
        <v>257</v>
      </c>
      <c r="D23" s="383">
        <v>930</v>
      </c>
      <c r="E23" s="384"/>
      <c r="F23" s="395">
        <f t="shared" si="1"/>
        <v>0</v>
      </c>
    </row>
    <row r="24" spans="1:6" ht="12.75">
      <c r="A24" s="396" t="s">
        <v>3264</v>
      </c>
      <c r="B24" s="394" t="s">
        <v>257</v>
      </c>
      <c r="C24" s="382" t="s">
        <v>257</v>
      </c>
      <c r="D24" s="383">
        <v>90</v>
      </c>
      <c r="E24" s="384"/>
      <c r="F24" s="395">
        <f t="shared" si="1"/>
        <v>0</v>
      </c>
    </row>
    <row r="25" spans="1:6" ht="12.75">
      <c r="A25" s="397" t="s">
        <v>3265</v>
      </c>
      <c r="B25" s="398"/>
      <c r="C25" s="388" t="s">
        <v>257</v>
      </c>
      <c r="D25" s="389" t="s">
        <v>3266</v>
      </c>
      <c r="E25" s="390"/>
      <c r="F25" s="399">
        <f t="shared" si="1"/>
        <v>0</v>
      </c>
    </row>
    <row r="26" spans="1:6">
      <c r="A26" s="382"/>
      <c r="B26" s="394"/>
      <c r="C26" s="400"/>
      <c r="D26" s="383"/>
      <c r="E26" s="384"/>
    </row>
    <row r="27" spans="1:6">
      <c r="A27" s="367" t="s">
        <v>144</v>
      </c>
      <c r="B27" s="394"/>
      <c r="C27" s="400"/>
      <c r="D27" s="383"/>
      <c r="E27" s="384"/>
    </row>
    <row r="28" spans="1:6">
      <c r="A28" s="401" t="s">
        <v>3267</v>
      </c>
      <c r="B28" s="376"/>
      <c r="C28" s="402"/>
      <c r="D28" s="403"/>
      <c r="E28" s="404"/>
      <c r="F28" s="380">
        <f>SUM(F29:F52)</f>
        <v>0</v>
      </c>
    </row>
    <row r="29" spans="1:6">
      <c r="A29" s="393" t="s">
        <v>3268</v>
      </c>
      <c r="B29" s="405" t="s">
        <v>2873</v>
      </c>
      <c r="C29" s="382" t="s">
        <v>2873</v>
      </c>
      <c r="D29" s="383" t="s">
        <v>3269</v>
      </c>
      <c r="E29" s="384"/>
      <c r="F29" s="395">
        <f>D29*E29</f>
        <v>0</v>
      </c>
    </row>
    <row r="30" spans="1:6">
      <c r="A30" s="396" t="s">
        <v>3270</v>
      </c>
      <c r="C30" s="382" t="s">
        <v>2873</v>
      </c>
      <c r="D30" s="406">
        <v>5</v>
      </c>
      <c r="E30" s="384"/>
      <c r="F30" s="385">
        <f>D30*E30</f>
        <v>0</v>
      </c>
    </row>
    <row r="31" spans="1:6">
      <c r="A31" s="381" t="s">
        <v>3271</v>
      </c>
      <c r="C31" s="407" t="s">
        <v>2873</v>
      </c>
      <c r="D31" s="383" t="s">
        <v>3272</v>
      </c>
      <c r="E31" s="384"/>
      <c r="F31" s="385">
        <f t="shared" ref="F31:F50" si="2">D31*E31</f>
        <v>0</v>
      </c>
    </row>
    <row r="32" spans="1:6">
      <c r="A32" s="381" t="s">
        <v>3273</v>
      </c>
      <c r="C32" s="382" t="s">
        <v>2873</v>
      </c>
      <c r="D32" s="383" t="s">
        <v>3274</v>
      </c>
      <c r="E32" s="384"/>
      <c r="F32" s="385">
        <f t="shared" si="2"/>
        <v>0</v>
      </c>
    </row>
    <row r="33" spans="1:6">
      <c r="A33" s="381" t="s">
        <v>3275</v>
      </c>
      <c r="C33" s="382" t="s">
        <v>2873</v>
      </c>
      <c r="D33" s="383" t="s">
        <v>3276</v>
      </c>
      <c r="E33" s="384"/>
      <c r="F33" s="385">
        <f t="shared" si="2"/>
        <v>0</v>
      </c>
    </row>
    <row r="34" spans="1:6">
      <c r="A34" s="381" t="s">
        <v>3277</v>
      </c>
      <c r="C34" s="382" t="s">
        <v>2873</v>
      </c>
      <c r="D34" s="383" t="s">
        <v>3278</v>
      </c>
      <c r="E34" s="384"/>
      <c r="F34" s="385">
        <f t="shared" si="2"/>
        <v>0</v>
      </c>
    </row>
    <row r="35" spans="1:6">
      <c r="A35" s="381" t="s">
        <v>3279</v>
      </c>
      <c r="C35" s="382" t="s">
        <v>2873</v>
      </c>
      <c r="D35" s="383" t="s">
        <v>3280</v>
      </c>
      <c r="E35" s="384"/>
      <c r="F35" s="385">
        <f t="shared" si="2"/>
        <v>0</v>
      </c>
    </row>
    <row r="36" spans="1:6">
      <c r="A36" s="381" t="s">
        <v>3281</v>
      </c>
      <c r="C36" s="382" t="s">
        <v>2873</v>
      </c>
      <c r="D36" s="383" t="s">
        <v>3282</v>
      </c>
      <c r="E36" s="384"/>
      <c r="F36" s="385">
        <f t="shared" si="2"/>
        <v>0</v>
      </c>
    </row>
    <row r="37" spans="1:6">
      <c r="A37" s="381" t="s">
        <v>3283</v>
      </c>
      <c r="C37" s="382" t="s">
        <v>2873</v>
      </c>
      <c r="D37" s="383" t="s">
        <v>3284</v>
      </c>
      <c r="E37" s="384"/>
      <c r="F37" s="385">
        <f t="shared" si="2"/>
        <v>0</v>
      </c>
    </row>
    <row r="38" spans="1:6">
      <c r="A38" s="381" t="s">
        <v>3285</v>
      </c>
      <c r="C38" s="382" t="s">
        <v>2873</v>
      </c>
      <c r="D38" s="383" t="s">
        <v>3286</v>
      </c>
      <c r="E38" s="384"/>
      <c r="F38" s="385">
        <f t="shared" si="2"/>
        <v>0</v>
      </c>
    </row>
    <row r="39" spans="1:6">
      <c r="A39" s="381" t="s">
        <v>3287</v>
      </c>
      <c r="C39" s="382" t="s">
        <v>2873</v>
      </c>
      <c r="D39" s="383" t="s">
        <v>3274</v>
      </c>
      <c r="E39" s="384"/>
      <c r="F39" s="385">
        <f t="shared" si="2"/>
        <v>0</v>
      </c>
    </row>
    <row r="40" spans="1:6">
      <c r="A40" s="381" t="s">
        <v>3288</v>
      </c>
      <c r="C40" s="382" t="s">
        <v>2873</v>
      </c>
      <c r="D40" s="383" t="s">
        <v>3289</v>
      </c>
      <c r="E40" s="384"/>
      <c r="F40" s="385">
        <f t="shared" si="2"/>
        <v>0</v>
      </c>
    </row>
    <row r="41" spans="1:6">
      <c r="A41" s="381" t="s">
        <v>3290</v>
      </c>
      <c r="C41" s="368" t="s">
        <v>2873</v>
      </c>
      <c r="D41" s="383" t="s">
        <v>3291</v>
      </c>
      <c r="E41" s="384"/>
      <c r="F41" s="385">
        <f t="shared" si="2"/>
        <v>0</v>
      </c>
    </row>
    <row r="42" spans="1:6">
      <c r="A42" s="381" t="s">
        <v>3292</v>
      </c>
      <c r="C42" s="368" t="s">
        <v>2873</v>
      </c>
      <c r="D42" s="383" t="s">
        <v>3274</v>
      </c>
      <c r="E42" s="384"/>
      <c r="F42" s="385">
        <f t="shared" si="2"/>
        <v>0</v>
      </c>
    </row>
    <row r="43" spans="1:6">
      <c r="A43" s="381" t="s">
        <v>3293</v>
      </c>
      <c r="C43" s="368" t="s">
        <v>2873</v>
      </c>
      <c r="D43" s="383" t="s">
        <v>3294</v>
      </c>
      <c r="E43" s="384"/>
      <c r="F43" s="385">
        <f t="shared" si="2"/>
        <v>0</v>
      </c>
    </row>
    <row r="44" spans="1:6">
      <c r="A44" s="381" t="s">
        <v>3295</v>
      </c>
      <c r="C44" s="368" t="s">
        <v>2873</v>
      </c>
      <c r="D44" s="383" t="s">
        <v>3276</v>
      </c>
      <c r="E44" s="384"/>
      <c r="F44" s="385">
        <f t="shared" si="2"/>
        <v>0</v>
      </c>
    </row>
    <row r="45" spans="1:6">
      <c r="A45" s="381" t="s">
        <v>3296</v>
      </c>
      <c r="C45" s="368" t="s">
        <v>2873</v>
      </c>
      <c r="D45" s="383" t="s">
        <v>3297</v>
      </c>
      <c r="E45" s="384"/>
      <c r="F45" s="385">
        <f t="shared" si="2"/>
        <v>0</v>
      </c>
    </row>
    <row r="46" spans="1:6">
      <c r="A46" s="381" t="s">
        <v>3298</v>
      </c>
      <c r="C46" s="368" t="s">
        <v>2873</v>
      </c>
      <c r="D46" s="383" t="s">
        <v>3276</v>
      </c>
      <c r="E46" s="384"/>
      <c r="F46" s="385">
        <f t="shared" si="2"/>
        <v>0</v>
      </c>
    </row>
    <row r="47" spans="1:6">
      <c r="A47" s="381" t="s">
        <v>3299</v>
      </c>
      <c r="C47" s="368" t="s">
        <v>2873</v>
      </c>
      <c r="D47" s="383" t="s">
        <v>3294</v>
      </c>
      <c r="E47" s="384"/>
      <c r="F47" s="385">
        <f t="shared" si="2"/>
        <v>0</v>
      </c>
    </row>
    <row r="48" spans="1:6">
      <c r="A48" s="381" t="s">
        <v>3300</v>
      </c>
      <c r="C48" s="368" t="s">
        <v>2873</v>
      </c>
      <c r="D48" s="383" t="s">
        <v>3276</v>
      </c>
      <c r="E48" s="384"/>
      <c r="F48" s="385">
        <f t="shared" si="2"/>
        <v>0</v>
      </c>
    </row>
    <row r="49" spans="1:6">
      <c r="A49" s="381" t="s">
        <v>3301</v>
      </c>
      <c r="C49" s="368" t="s">
        <v>2873</v>
      </c>
      <c r="D49" s="383" t="s">
        <v>3280</v>
      </c>
      <c r="E49" s="384"/>
      <c r="F49" s="385">
        <f t="shared" si="2"/>
        <v>0</v>
      </c>
    </row>
    <row r="50" spans="1:6">
      <c r="A50" s="381" t="s">
        <v>3302</v>
      </c>
      <c r="C50" s="368" t="s">
        <v>2873</v>
      </c>
      <c r="D50" s="383" t="s">
        <v>3303</v>
      </c>
      <c r="E50" s="384"/>
      <c r="F50" s="385">
        <f t="shared" si="2"/>
        <v>0</v>
      </c>
    </row>
    <row r="51" spans="1:6">
      <c r="A51" s="381" t="s">
        <v>3304</v>
      </c>
      <c r="C51" s="368" t="s">
        <v>2873</v>
      </c>
      <c r="D51" s="383">
        <v>1</v>
      </c>
      <c r="E51" s="384"/>
      <c r="F51" s="385">
        <f>E51*D51</f>
        <v>0</v>
      </c>
    </row>
    <row r="52" spans="1:6">
      <c r="A52" s="386" t="s">
        <v>3305</v>
      </c>
      <c r="B52" s="387"/>
      <c r="C52" s="387" t="s">
        <v>2873</v>
      </c>
      <c r="D52" s="408">
        <v>1</v>
      </c>
      <c r="E52" s="390"/>
      <c r="F52" s="391">
        <f>E52*D52</f>
        <v>0</v>
      </c>
    </row>
    <row r="53" spans="1:6">
      <c r="D53" s="392"/>
    </row>
    <row r="54" spans="1:6">
      <c r="A54" s="409">
        <v>4</v>
      </c>
    </row>
    <row r="55" spans="1:6" ht="14.25" customHeight="1">
      <c r="A55" s="401" t="s">
        <v>3306</v>
      </c>
      <c r="B55" s="376"/>
      <c r="C55" s="410"/>
      <c r="D55" s="379"/>
      <c r="E55" s="379"/>
      <c r="F55" s="380">
        <f>F56</f>
        <v>0</v>
      </c>
    </row>
    <row r="56" spans="1:6">
      <c r="A56" s="397" t="s">
        <v>3307</v>
      </c>
      <c r="B56" s="411"/>
      <c r="C56" s="387" t="s">
        <v>3086</v>
      </c>
      <c r="D56" s="389">
        <v>1</v>
      </c>
      <c r="E56" s="390"/>
      <c r="F56" s="391">
        <f>D56*E56</f>
        <v>0</v>
      </c>
    </row>
    <row r="57" spans="1:6">
      <c r="A57" s="382"/>
      <c r="B57" s="412"/>
      <c r="C57" s="413"/>
      <c r="D57" s="383"/>
      <c r="E57" s="384"/>
    </row>
    <row r="58" spans="1:6">
      <c r="A58" s="409">
        <v>5</v>
      </c>
      <c r="B58" s="412"/>
      <c r="C58" s="413"/>
      <c r="D58" s="383"/>
      <c r="E58" s="384"/>
    </row>
    <row r="59" spans="1:6">
      <c r="A59" s="401" t="s">
        <v>3308</v>
      </c>
      <c r="B59" s="414"/>
      <c r="C59" s="415"/>
      <c r="D59" s="403"/>
      <c r="E59" s="404"/>
      <c r="F59" s="380">
        <f>SUM(F60:F64)</f>
        <v>0</v>
      </c>
    </row>
    <row r="60" spans="1:6">
      <c r="A60" s="396" t="s">
        <v>3309</v>
      </c>
      <c r="B60" s="412"/>
      <c r="C60" s="368" t="s">
        <v>2873</v>
      </c>
      <c r="D60" s="383">
        <v>3</v>
      </c>
      <c r="E60" s="384"/>
      <c r="F60" s="385">
        <f>E60*D60</f>
        <v>0</v>
      </c>
    </row>
    <row r="61" spans="1:6">
      <c r="A61" s="396" t="s">
        <v>3310</v>
      </c>
      <c r="B61" s="412"/>
      <c r="C61" s="368" t="s">
        <v>2873</v>
      </c>
      <c r="D61" s="383">
        <v>1</v>
      </c>
      <c r="E61" s="384"/>
      <c r="F61" s="385">
        <f t="shared" ref="F61:F64" si="3">E61*D61</f>
        <v>0</v>
      </c>
    </row>
    <row r="62" spans="1:6">
      <c r="A62" s="396" t="s">
        <v>3311</v>
      </c>
      <c r="B62" s="412"/>
      <c r="C62" s="368" t="s">
        <v>2873</v>
      </c>
      <c r="D62" s="383">
        <v>1</v>
      </c>
      <c r="E62" s="384"/>
      <c r="F62" s="385">
        <f t="shared" si="3"/>
        <v>0</v>
      </c>
    </row>
    <row r="63" spans="1:6">
      <c r="A63" s="396" t="s">
        <v>3312</v>
      </c>
      <c r="B63" s="412"/>
      <c r="C63" s="368" t="s">
        <v>2873</v>
      </c>
      <c r="D63" s="383">
        <v>1</v>
      </c>
      <c r="E63" s="384"/>
      <c r="F63" s="385">
        <f t="shared" si="3"/>
        <v>0</v>
      </c>
    </row>
    <row r="64" spans="1:6">
      <c r="A64" s="397" t="s">
        <v>3313</v>
      </c>
      <c r="B64" s="411"/>
      <c r="C64" s="387" t="s">
        <v>2873</v>
      </c>
      <c r="D64" s="389">
        <v>1</v>
      </c>
      <c r="E64" s="390"/>
      <c r="F64" s="391">
        <f t="shared" si="3"/>
        <v>0</v>
      </c>
    </row>
    <row r="65" spans="1:6">
      <c r="A65" s="382"/>
      <c r="B65" s="412"/>
      <c r="D65" s="383"/>
      <c r="E65" s="384"/>
    </row>
    <row r="66" spans="1:6">
      <c r="A66" s="409">
        <v>6</v>
      </c>
      <c r="B66" s="412"/>
      <c r="D66" s="383"/>
      <c r="E66" s="384"/>
    </row>
    <row r="67" spans="1:6">
      <c r="A67" s="401" t="s">
        <v>3314</v>
      </c>
      <c r="B67" s="414"/>
      <c r="C67" s="416"/>
      <c r="D67" s="403"/>
      <c r="E67" s="404"/>
      <c r="F67" s="380">
        <f>SUM(F69:F92)</f>
        <v>0</v>
      </c>
    </row>
    <row r="68" spans="1:6">
      <c r="A68" s="417" t="s">
        <v>3315</v>
      </c>
      <c r="C68" s="418"/>
      <c r="D68" s="419"/>
      <c r="E68" s="420"/>
      <c r="F68" s="385"/>
    </row>
    <row r="69" spans="1:6">
      <c r="A69" s="421" t="s">
        <v>3316</v>
      </c>
      <c r="B69" s="412"/>
      <c r="C69" s="422" t="s">
        <v>257</v>
      </c>
      <c r="D69" s="423">
        <v>700</v>
      </c>
      <c r="E69" s="384"/>
      <c r="F69" s="385">
        <f>E69*D69</f>
        <v>0</v>
      </c>
    </row>
    <row r="70" spans="1:6">
      <c r="A70" s="417" t="s">
        <v>3317</v>
      </c>
      <c r="C70" s="418"/>
      <c r="D70" s="419"/>
      <c r="E70" s="420"/>
      <c r="F70" s="385"/>
    </row>
    <row r="71" spans="1:6">
      <c r="A71" s="421" t="s">
        <v>3318</v>
      </c>
      <c r="B71" s="412"/>
      <c r="C71" s="422" t="s">
        <v>257</v>
      </c>
      <c r="D71" s="423">
        <v>175</v>
      </c>
      <c r="E71" s="384"/>
      <c r="F71" s="385">
        <f>E71*D71</f>
        <v>0</v>
      </c>
    </row>
    <row r="72" spans="1:6">
      <c r="A72" s="417" t="s">
        <v>3319</v>
      </c>
      <c r="C72" s="418"/>
      <c r="D72" s="419"/>
      <c r="E72" s="420"/>
      <c r="F72" s="385"/>
    </row>
    <row r="73" spans="1:6">
      <c r="A73" s="421" t="s">
        <v>3320</v>
      </c>
      <c r="C73" s="422" t="s">
        <v>2873</v>
      </c>
      <c r="D73" s="423">
        <v>8</v>
      </c>
      <c r="E73" s="384"/>
      <c r="F73" s="385">
        <f>E73*D73</f>
        <v>0</v>
      </c>
    </row>
    <row r="74" spans="1:6">
      <c r="A74" s="417" t="s">
        <v>3321</v>
      </c>
      <c r="C74" s="418"/>
      <c r="D74" s="419"/>
      <c r="E74" s="420"/>
      <c r="F74" s="385"/>
    </row>
    <row r="75" spans="1:6">
      <c r="A75" s="421" t="s">
        <v>3322</v>
      </c>
      <c r="C75" s="422" t="s">
        <v>2873</v>
      </c>
      <c r="D75" s="423">
        <v>14</v>
      </c>
      <c r="E75" s="384"/>
      <c r="F75" s="385">
        <f>E75*D75</f>
        <v>0</v>
      </c>
    </row>
    <row r="76" spans="1:6">
      <c r="A76" s="417" t="s">
        <v>3323</v>
      </c>
      <c r="C76" s="418"/>
      <c r="D76" s="419"/>
      <c r="E76" s="420"/>
      <c r="F76" s="385"/>
    </row>
    <row r="77" spans="1:6">
      <c r="A77" s="421" t="s">
        <v>3324</v>
      </c>
      <c r="C77" s="422" t="s">
        <v>2873</v>
      </c>
      <c r="D77" s="423">
        <v>118</v>
      </c>
      <c r="E77" s="384"/>
      <c r="F77" s="385">
        <f>E77*D77</f>
        <v>0</v>
      </c>
    </row>
    <row r="78" spans="1:6">
      <c r="A78" s="417" t="s">
        <v>3323</v>
      </c>
      <c r="C78" s="418"/>
      <c r="D78" s="419"/>
      <c r="E78" s="420"/>
      <c r="F78" s="385"/>
    </row>
    <row r="79" spans="1:6">
      <c r="A79" s="421" t="s">
        <v>3325</v>
      </c>
      <c r="C79" s="422" t="s">
        <v>2873</v>
      </c>
      <c r="D79" s="423">
        <v>110</v>
      </c>
      <c r="E79" s="384"/>
      <c r="F79" s="385">
        <f>E79*D79</f>
        <v>0</v>
      </c>
    </row>
    <row r="80" spans="1:6">
      <c r="A80" s="417" t="s">
        <v>3323</v>
      </c>
      <c r="C80" s="418"/>
      <c r="D80" s="419"/>
      <c r="E80" s="420"/>
      <c r="F80" s="385"/>
    </row>
    <row r="81" spans="1:6">
      <c r="A81" s="421" t="s">
        <v>3326</v>
      </c>
      <c r="C81" s="422" t="s">
        <v>2873</v>
      </c>
      <c r="D81" s="423">
        <v>30</v>
      </c>
      <c r="E81" s="384"/>
      <c r="F81" s="385">
        <f>E81*D81</f>
        <v>0</v>
      </c>
    </row>
    <row r="82" spans="1:6">
      <c r="A82" s="417" t="s">
        <v>3327</v>
      </c>
      <c r="C82" s="418"/>
      <c r="D82" s="419"/>
      <c r="E82" s="420"/>
      <c r="F82" s="385"/>
    </row>
    <row r="83" spans="1:6">
      <c r="A83" s="421" t="s">
        <v>3328</v>
      </c>
      <c r="C83" s="422" t="s">
        <v>2873</v>
      </c>
      <c r="D83" s="423">
        <v>4</v>
      </c>
      <c r="E83" s="384"/>
      <c r="F83" s="385">
        <f t="shared" ref="F83:F87" si="4">E83*D83</f>
        <v>0</v>
      </c>
    </row>
    <row r="84" spans="1:6">
      <c r="A84" s="421" t="s">
        <v>3329</v>
      </c>
      <c r="C84" s="422" t="s">
        <v>2873</v>
      </c>
      <c r="D84" s="423">
        <v>77</v>
      </c>
      <c r="E84" s="384"/>
      <c r="F84" s="385">
        <f t="shared" si="4"/>
        <v>0</v>
      </c>
    </row>
    <row r="85" spans="1:6">
      <c r="A85" s="421" t="s">
        <v>3330</v>
      </c>
      <c r="C85" s="422" t="s">
        <v>2873</v>
      </c>
      <c r="D85" s="423">
        <v>28</v>
      </c>
      <c r="E85" s="384"/>
      <c r="F85" s="385">
        <f t="shared" si="4"/>
        <v>0</v>
      </c>
    </row>
    <row r="86" spans="1:6">
      <c r="A86" s="421" t="s">
        <v>3331</v>
      </c>
      <c r="C86" s="422" t="s">
        <v>2873</v>
      </c>
      <c r="D86" s="423">
        <v>13</v>
      </c>
      <c r="E86" s="384"/>
      <c r="F86" s="385">
        <f t="shared" si="4"/>
        <v>0</v>
      </c>
    </row>
    <row r="87" spans="1:6">
      <c r="A87" s="421" t="s">
        <v>3332</v>
      </c>
      <c r="C87" s="422" t="s">
        <v>2873</v>
      </c>
      <c r="D87" s="423">
        <v>30</v>
      </c>
      <c r="E87" s="384"/>
      <c r="F87" s="385">
        <f t="shared" si="4"/>
        <v>0</v>
      </c>
    </row>
    <row r="88" spans="1:6">
      <c r="A88" s="417" t="s">
        <v>3333</v>
      </c>
      <c r="C88" s="418"/>
      <c r="D88" s="419"/>
      <c r="E88" s="420"/>
      <c r="F88" s="385"/>
    </row>
    <row r="89" spans="1:6">
      <c r="A89" s="421" t="s">
        <v>3334</v>
      </c>
      <c r="C89" s="422" t="s">
        <v>2873</v>
      </c>
      <c r="D89" s="423">
        <v>5</v>
      </c>
      <c r="E89" s="384"/>
      <c r="F89" s="385">
        <f>E89*D89</f>
        <v>0</v>
      </c>
    </row>
    <row r="90" spans="1:6">
      <c r="A90" s="417" t="s">
        <v>3335</v>
      </c>
      <c r="C90" s="418"/>
      <c r="D90" s="419"/>
      <c r="E90" s="420"/>
      <c r="F90" s="385"/>
    </row>
    <row r="91" spans="1:6">
      <c r="A91" s="421" t="s">
        <v>3336</v>
      </c>
      <c r="C91" s="422" t="s">
        <v>2873</v>
      </c>
      <c r="D91" s="423">
        <v>11</v>
      </c>
      <c r="E91" s="384"/>
      <c r="F91" s="385">
        <f>E91*D91</f>
        <v>0</v>
      </c>
    </row>
    <row r="92" spans="1:6">
      <c r="A92" s="424" t="s">
        <v>3337</v>
      </c>
      <c r="B92" s="387"/>
      <c r="C92" s="425" t="s">
        <v>2873</v>
      </c>
      <c r="D92" s="426">
        <v>22</v>
      </c>
      <c r="E92" s="390"/>
      <c r="F92" s="391">
        <f>E92*D92</f>
        <v>0</v>
      </c>
    </row>
    <row r="93" spans="1:6">
      <c r="A93" s="427"/>
      <c r="C93" s="427"/>
      <c r="D93" s="428"/>
      <c r="E93" s="429"/>
    </row>
    <row r="94" spans="1:6">
      <c r="A94" s="430" t="s">
        <v>3338</v>
      </c>
      <c r="B94" s="372"/>
      <c r="C94" s="431" t="s">
        <v>191</v>
      </c>
      <c r="D94" s="432">
        <v>1</v>
      </c>
      <c r="E94" s="433"/>
      <c r="F94" s="434">
        <f>E94*D94</f>
        <v>0</v>
      </c>
    </row>
    <row r="95" spans="1:6">
      <c r="A95" s="427"/>
      <c r="C95" s="427"/>
      <c r="D95" s="428"/>
      <c r="E95" s="429"/>
    </row>
    <row r="96" spans="1:6">
      <c r="A96" s="435" t="s">
        <v>3339</v>
      </c>
      <c r="B96" s="416"/>
      <c r="C96" s="436"/>
      <c r="D96" s="437"/>
      <c r="E96" s="379"/>
      <c r="F96" s="380">
        <f>SUM(F97:F102)</f>
        <v>0</v>
      </c>
    </row>
    <row r="97" spans="1:6">
      <c r="A97" s="438" t="s">
        <v>3340</v>
      </c>
      <c r="C97" s="427" t="s">
        <v>1013</v>
      </c>
      <c r="D97" s="429">
        <v>9</v>
      </c>
      <c r="E97" s="384"/>
      <c r="F97" s="385">
        <f>E97*D97</f>
        <v>0</v>
      </c>
    </row>
    <row r="98" spans="1:6">
      <c r="A98" s="417" t="s">
        <v>3341</v>
      </c>
      <c r="C98" s="418"/>
      <c r="D98" s="439"/>
      <c r="F98" s="385"/>
    </row>
    <row r="99" spans="1:6">
      <c r="A99" s="417" t="s">
        <v>3342</v>
      </c>
      <c r="C99" s="418"/>
      <c r="D99" s="439"/>
      <c r="F99" s="385"/>
    </row>
    <row r="100" spans="1:6">
      <c r="A100" s="438" t="s">
        <v>3343</v>
      </c>
      <c r="C100" s="427" t="s">
        <v>1013</v>
      </c>
      <c r="D100" s="429">
        <v>20</v>
      </c>
      <c r="E100" s="384"/>
      <c r="F100" s="385">
        <f t="shared" ref="F100:F102" si="5">E100*D100</f>
        <v>0</v>
      </c>
    </row>
    <row r="101" spans="1:6">
      <c r="A101" s="438" t="s">
        <v>3344</v>
      </c>
      <c r="C101" s="427" t="s">
        <v>1013</v>
      </c>
      <c r="D101" s="429">
        <v>5</v>
      </c>
      <c r="E101" s="384"/>
      <c r="F101" s="385">
        <f t="shared" si="5"/>
        <v>0</v>
      </c>
    </row>
    <row r="102" spans="1:6">
      <c r="A102" s="424" t="s">
        <v>3345</v>
      </c>
      <c r="B102" s="387"/>
      <c r="C102" s="425" t="s">
        <v>191</v>
      </c>
      <c r="D102" s="440">
        <v>1</v>
      </c>
      <c r="E102" s="390"/>
      <c r="F102" s="391">
        <f t="shared" si="5"/>
        <v>0</v>
      </c>
    </row>
    <row r="103" spans="1:6">
      <c r="A103" s="427"/>
      <c r="C103" s="427"/>
      <c r="D103" s="428"/>
      <c r="E103" s="429"/>
    </row>
    <row r="104" spans="1:6" ht="12" thickBot="1">
      <c r="A104" s="441" t="s">
        <v>3346</v>
      </c>
      <c r="B104" s="442"/>
      <c r="C104" s="442"/>
      <c r="D104" s="443"/>
      <c r="E104" s="443"/>
      <c r="F104" s="444">
        <f>F96+F94+F67+F59+F55+F28+F20+F11</f>
        <v>0</v>
      </c>
    </row>
    <row r="105" spans="1:6">
      <c r="A105" s="427"/>
      <c r="C105" s="427"/>
      <c r="D105" s="428"/>
      <c r="E105" s="429"/>
    </row>
    <row r="106" spans="1:6">
      <c r="A106" s="435" t="s">
        <v>3347</v>
      </c>
      <c r="B106" s="416"/>
      <c r="C106" s="445"/>
      <c r="D106" s="446"/>
      <c r="E106" s="447"/>
      <c r="F106" s="380">
        <f>SUM(F108:F111)</f>
        <v>0</v>
      </c>
    </row>
    <row r="107" spans="1:6">
      <c r="A107" s="417" t="s">
        <v>3348</v>
      </c>
      <c r="C107" s="418"/>
      <c r="D107" s="439"/>
      <c r="E107" s="420"/>
      <c r="F107" s="385"/>
    </row>
    <row r="108" spans="1:6">
      <c r="A108" s="421" t="s">
        <v>3349</v>
      </c>
      <c r="C108" s="422" t="s">
        <v>257</v>
      </c>
      <c r="D108" s="420">
        <v>150</v>
      </c>
      <c r="E108" s="384"/>
      <c r="F108" s="385">
        <f>E108*D108</f>
        <v>0</v>
      </c>
    </row>
    <row r="109" spans="1:6">
      <c r="A109" s="417" t="s">
        <v>3350</v>
      </c>
      <c r="C109" s="418"/>
      <c r="D109" s="439"/>
      <c r="E109" s="420"/>
      <c r="F109" s="385"/>
    </row>
    <row r="110" spans="1:6">
      <c r="A110" s="421" t="s">
        <v>3351</v>
      </c>
      <c r="C110" s="422" t="s">
        <v>257</v>
      </c>
      <c r="D110" s="420">
        <v>150</v>
      </c>
      <c r="E110" s="384"/>
      <c r="F110" s="385">
        <f>E110*D110</f>
        <v>0</v>
      </c>
    </row>
    <row r="111" spans="1:6">
      <c r="A111" s="386" t="s">
        <v>3352</v>
      </c>
      <c r="B111" s="387"/>
      <c r="C111" s="448" t="s">
        <v>132</v>
      </c>
      <c r="D111" s="449">
        <v>45</v>
      </c>
      <c r="E111" s="390"/>
      <c r="F111" s="391">
        <f>E111*D111</f>
        <v>0</v>
      </c>
    </row>
    <row r="112" spans="1:6" ht="12" thickBot="1">
      <c r="A112" s="427"/>
      <c r="C112" s="427"/>
      <c r="D112" s="428"/>
      <c r="E112" s="429"/>
    </row>
    <row r="113" spans="1:6" ht="23.25" customHeight="1" thickBot="1">
      <c r="A113" s="450" t="s">
        <v>3353</v>
      </c>
      <c r="B113" s="451"/>
      <c r="C113" s="451"/>
      <c r="D113" s="452"/>
      <c r="E113" s="452"/>
      <c r="F113" s="453">
        <f>F104+F106</f>
        <v>0</v>
      </c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77E4-AB65-428D-AD9D-ED82D4ED124C}">
  <sheetPr>
    <pageSetUpPr fitToPage="1"/>
  </sheetPr>
  <dimension ref="A2:E128"/>
  <sheetViews>
    <sheetView topLeftCell="A96" zoomScaleNormal="100" workbookViewId="0">
      <selection activeCell="D128" sqref="D128"/>
    </sheetView>
  </sheetViews>
  <sheetFormatPr defaultColWidth="10.6640625" defaultRowHeight="12.75" customHeight="1"/>
  <cols>
    <col min="1" max="1" width="90.1640625" style="456" customWidth="1"/>
    <col min="2" max="2" width="9.6640625" style="456" customWidth="1"/>
    <col min="3" max="3" width="7.6640625" style="456" customWidth="1"/>
    <col min="4" max="4" width="17" style="456" customWidth="1"/>
    <col min="5" max="5" width="25.83203125" style="456" customWidth="1"/>
    <col min="6" max="16384" width="10.6640625" style="456"/>
  </cols>
  <sheetData>
    <row r="2" spans="1:5" s="454" customFormat="1" ht="29.65" customHeight="1">
      <c r="A2" s="614" t="s">
        <v>2683</v>
      </c>
      <c r="B2" s="615"/>
      <c r="C2" s="615"/>
      <c r="D2" s="615"/>
      <c r="E2" s="615"/>
    </row>
    <row r="3" spans="1:5" s="454" customFormat="1" ht="11.1" customHeight="1"/>
    <row r="4" spans="1:5" s="454" customFormat="1" ht="83.65" customHeight="1">
      <c r="A4" s="616" t="s">
        <v>3354</v>
      </c>
      <c r="B4" s="617"/>
      <c r="C4" s="617"/>
      <c r="D4" s="617"/>
      <c r="E4" s="617"/>
    </row>
    <row r="5" spans="1:5" ht="48" customHeight="1">
      <c r="A5" s="455" t="s">
        <v>3355</v>
      </c>
      <c r="B5" s="613" t="s">
        <v>3356</v>
      </c>
      <c r="C5" s="613" t="s">
        <v>3357</v>
      </c>
      <c r="D5" s="613" t="s">
        <v>3358</v>
      </c>
      <c r="E5" s="613" t="s">
        <v>3359</v>
      </c>
    </row>
    <row r="6" spans="1:5" ht="12.75" customHeight="1">
      <c r="A6" s="457" t="s">
        <v>3360</v>
      </c>
      <c r="B6" s="613"/>
      <c r="C6" s="613"/>
      <c r="D6" s="613"/>
      <c r="E6" s="613"/>
    </row>
    <row r="7" spans="1:5" ht="12.75" customHeight="1">
      <c r="A7" s="458" t="s">
        <v>3361</v>
      </c>
      <c r="B7" s="458">
        <v>25</v>
      </c>
      <c r="C7" s="458" t="s">
        <v>3362</v>
      </c>
      <c r="D7" s="458"/>
      <c r="E7" s="458">
        <f>B7*D7</f>
        <v>0</v>
      </c>
    </row>
    <row r="8" spans="1:5" ht="12.75" customHeight="1">
      <c r="A8" s="458" t="s">
        <v>3363</v>
      </c>
      <c r="B8" s="458">
        <v>15</v>
      </c>
      <c r="C8" s="458" t="s">
        <v>413</v>
      </c>
      <c r="D8" s="458"/>
      <c r="E8" s="458">
        <f>B8*D8</f>
        <v>0</v>
      </c>
    </row>
    <row r="9" spans="1:5" ht="12.75" customHeight="1">
      <c r="A9" s="458" t="s">
        <v>3364</v>
      </c>
      <c r="B9" s="458">
        <v>22</v>
      </c>
      <c r="C9" s="458" t="s">
        <v>413</v>
      </c>
      <c r="D9" s="458"/>
      <c r="E9" s="458">
        <f t="shared" ref="E9:E24" si="0">B9*D9</f>
        <v>0</v>
      </c>
    </row>
    <row r="10" spans="1:5" ht="12.75" customHeight="1">
      <c r="A10" s="458" t="s">
        <v>3365</v>
      </c>
      <c r="B10" s="458">
        <v>100</v>
      </c>
      <c r="C10" s="458" t="s">
        <v>3362</v>
      </c>
      <c r="D10" s="458"/>
      <c r="E10" s="458">
        <f t="shared" si="0"/>
        <v>0</v>
      </c>
    </row>
    <row r="11" spans="1:5" ht="12.75" customHeight="1">
      <c r="A11" s="458" t="s">
        <v>3366</v>
      </c>
      <c r="B11" s="458">
        <v>1</v>
      </c>
      <c r="C11" s="458" t="s">
        <v>3367</v>
      </c>
      <c r="D11" s="458"/>
      <c r="E11" s="458">
        <f t="shared" si="0"/>
        <v>0</v>
      </c>
    </row>
    <row r="12" spans="1:5" ht="12.75" customHeight="1">
      <c r="A12" s="458" t="s">
        <v>3368</v>
      </c>
      <c r="B12" s="458">
        <v>1</v>
      </c>
      <c r="C12" s="458" t="s">
        <v>3367</v>
      </c>
      <c r="D12" s="458"/>
      <c r="E12" s="458">
        <f t="shared" si="0"/>
        <v>0</v>
      </c>
    </row>
    <row r="13" spans="1:5" ht="12.75" customHeight="1">
      <c r="A13" s="458" t="s">
        <v>3369</v>
      </c>
      <c r="B13" s="458">
        <v>1</v>
      </c>
      <c r="C13" s="458" t="s">
        <v>3367</v>
      </c>
      <c r="D13" s="458"/>
      <c r="E13" s="458">
        <f t="shared" si="0"/>
        <v>0</v>
      </c>
    </row>
    <row r="14" spans="1:5" ht="12.75" customHeight="1">
      <c r="A14" s="458" t="s">
        <v>3370</v>
      </c>
      <c r="B14" s="458">
        <v>22</v>
      </c>
      <c r="C14" s="458" t="s">
        <v>413</v>
      </c>
      <c r="D14" s="458"/>
      <c r="E14" s="458">
        <f t="shared" si="0"/>
        <v>0</v>
      </c>
    </row>
    <row r="15" spans="1:5" ht="12.75" customHeight="1">
      <c r="A15" s="458" t="s">
        <v>3371</v>
      </c>
      <c r="B15" s="458">
        <v>1</v>
      </c>
      <c r="C15" s="458" t="s">
        <v>3367</v>
      </c>
      <c r="D15" s="458"/>
      <c r="E15" s="458">
        <f t="shared" si="0"/>
        <v>0</v>
      </c>
    </row>
    <row r="16" spans="1:5" ht="12.75" customHeight="1">
      <c r="A16" s="458" t="s">
        <v>3372</v>
      </c>
      <c r="B16" s="458">
        <v>10</v>
      </c>
      <c r="C16" s="458" t="s">
        <v>3362</v>
      </c>
      <c r="D16" s="458"/>
      <c r="E16" s="458">
        <f t="shared" si="0"/>
        <v>0</v>
      </c>
    </row>
    <row r="17" spans="1:5" ht="12.75" customHeight="1">
      <c r="A17" s="458" t="s">
        <v>3373</v>
      </c>
      <c r="B17" s="458">
        <v>38</v>
      </c>
      <c r="C17" s="458" t="s">
        <v>3362</v>
      </c>
      <c r="D17" s="458"/>
      <c r="E17" s="458">
        <f t="shared" si="0"/>
        <v>0</v>
      </c>
    </row>
    <row r="18" spans="1:5" ht="12.75" customHeight="1">
      <c r="A18" s="458" t="s">
        <v>3374</v>
      </c>
      <c r="B18" s="458">
        <v>5</v>
      </c>
      <c r="C18" s="458" t="s">
        <v>3362</v>
      </c>
      <c r="D18" s="458"/>
      <c r="E18" s="458">
        <f t="shared" si="0"/>
        <v>0</v>
      </c>
    </row>
    <row r="19" spans="1:5" ht="12.75" customHeight="1">
      <c r="A19" s="458" t="s">
        <v>3375</v>
      </c>
      <c r="B19" s="458">
        <v>1</v>
      </c>
      <c r="C19" s="458" t="s">
        <v>3367</v>
      </c>
      <c r="D19" s="458"/>
      <c r="E19" s="458">
        <f t="shared" si="0"/>
        <v>0</v>
      </c>
    </row>
    <row r="20" spans="1:5" ht="12.75" customHeight="1">
      <c r="A20" s="458" t="s">
        <v>3376</v>
      </c>
      <c r="B20" s="458">
        <v>1</v>
      </c>
      <c r="C20" s="458" t="s">
        <v>3367</v>
      </c>
      <c r="D20" s="458"/>
      <c r="E20" s="458">
        <f t="shared" si="0"/>
        <v>0</v>
      </c>
    </row>
    <row r="21" spans="1:5" ht="12.75" customHeight="1">
      <c r="A21" s="458" t="s">
        <v>3377</v>
      </c>
      <c r="B21" s="458">
        <v>1</v>
      </c>
      <c r="C21" s="458" t="s">
        <v>3367</v>
      </c>
      <c r="D21" s="458"/>
      <c r="E21" s="458">
        <f t="shared" si="0"/>
        <v>0</v>
      </c>
    </row>
    <row r="22" spans="1:5" ht="12.75" customHeight="1">
      <c r="A22" s="458" t="s">
        <v>3378</v>
      </c>
      <c r="B22" s="458">
        <v>1</v>
      </c>
      <c r="C22" s="458" t="s">
        <v>3367</v>
      </c>
      <c r="D22" s="458"/>
      <c r="E22" s="458">
        <f t="shared" si="0"/>
        <v>0</v>
      </c>
    </row>
    <row r="23" spans="1:5" ht="12.75" customHeight="1">
      <c r="A23" s="458" t="s">
        <v>3379</v>
      </c>
      <c r="B23" s="458">
        <v>1</v>
      </c>
      <c r="C23" s="458" t="s">
        <v>3367</v>
      </c>
      <c r="D23" s="458"/>
      <c r="E23" s="458">
        <f t="shared" si="0"/>
        <v>0</v>
      </c>
    </row>
    <row r="24" spans="1:5" ht="12.75" customHeight="1">
      <c r="A24" s="458" t="s">
        <v>3380</v>
      </c>
      <c r="B24" s="458">
        <v>1</v>
      </c>
      <c r="C24" s="458" t="s">
        <v>3367</v>
      </c>
      <c r="D24" s="458"/>
      <c r="E24" s="458">
        <f t="shared" si="0"/>
        <v>0</v>
      </c>
    </row>
    <row r="25" spans="1:5" ht="48" customHeight="1">
      <c r="A25" s="455" t="s">
        <v>3381</v>
      </c>
      <c r="B25" s="613"/>
      <c r="C25" s="613"/>
      <c r="D25" s="613"/>
      <c r="E25" s="613"/>
    </row>
    <row r="26" spans="1:5" ht="12.75" customHeight="1">
      <c r="A26" s="457" t="s">
        <v>3360</v>
      </c>
      <c r="B26" s="613"/>
      <c r="C26" s="613"/>
      <c r="D26" s="613"/>
      <c r="E26" s="613"/>
    </row>
    <row r="27" spans="1:5" ht="12.75" customHeight="1">
      <c r="A27" s="458" t="s">
        <v>3382</v>
      </c>
      <c r="B27" s="458">
        <v>32</v>
      </c>
      <c r="C27" s="458" t="s">
        <v>3362</v>
      </c>
      <c r="D27" s="458"/>
      <c r="E27" s="458">
        <f t="shared" ref="E27:E54" si="1">B27*D27</f>
        <v>0</v>
      </c>
    </row>
    <row r="28" spans="1:5" ht="12.75" customHeight="1">
      <c r="A28" s="458" t="s">
        <v>3383</v>
      </c>
      <c r="B28" s="458">
        <v>41</v>
      </c>
      <c r="C28" s="458" t="s">
        <v>3362</v>
      </c>
      <c r="D28" s="458"/>
      <c r="E28" s="458">
        <f t="shared" si="1"/>
        <v>0</v>
      </c>
    </row>
    <row r="29" spans="1:5" ht="12.75" customHeight="1">
      <c r="A29" s="458" t="s">
        <v>3384</v>
      </c>
      <c r="B29" s="458">
        <v>1</v>
      </c>
      <c r="C29" s="458" t="s">
        <v>3362</v>
      </c>
      <c r="D29" s="458"/>
      <c r="E29" s="458">
        <f t="shared" si="1"/>
        <v>0</v>
      </c>
    </row>
    <row r="30" spans="1:5" ht="12.75" customHeight="1">
      <c r="A30" s="458" t="s">
        <v>3385</v>
      </c>
      <c r="B30" s="458">
        <v>85</v>
      </c>
      <c r="C30" s="458" t="s">
        <v>413</v>
      </c>
      <c r="D30" s="458"/>
      <c r="E30" s="458">
        <f t="shared" si="1"/>
        <v>0</v>
      </c>
    </row>
    <row r="31" spans="1:5" ht="12.75" customHeight="1">
      <c r="A31" s="458" t="s">
        <v>3385</v>
      </c>
      <c r="B31" s="458">
        <v>45</v>
      </c>
      <c r="C31" s="458" t="s">
        <v>413</v>
      </c>
      <c r="D31" s="458"/>
      <c r="E31" s="458">
        <f t="shared" si="1"/>
        <v>0</v>
      </c>
    </row>
    <row r="32" spans="1:5" ht="12.75" customHeight="1">
      <c r="A32" s="458" t="s">
        <v>3385</v>
      </c>
      <c r="B32" s="458">
        <v>20</v>
      </c>
      <c r="C32" s="458" t="s">
        <v>413</v>
      </c>
      <c r="D32" s="458"/>
      <c r="E32" s="458">
        <f t="shared" si="1"/>
        <v>0</v>
      </c>
    </row>
    <row r="33" spans="1:5" ht="12.75" customHeight="1">
      <c r="A33" s="458" t="s">
        <v>3386</v>
      </c>
      <c r="B33" s="458">
        <v>4</v>
      </c>
      <c r="C33" s="458" t="s">
        <v>3362</v>
      </c>
      <c r="D33" s="458"/>
      <c r="E33" s="458">
        <f t="shared" si="1"/>
        <v>0</v>
      </c>
    </row>
    <row r="34" spans="1:5" ht="12.75" customHeight="1">
      <c r="A34" s="458" t="s">
        <v>3387</v>
      </c>
      <c r="B34" s="458">
        <v>5</v>
      </c>
      <c r="C34" s="458" t="s">
        <v>3362</v>
      </c>
      <c r="D34" s="458"/>
      <c r="E34" s="458">
        <f t="shared" si="1"/>
        <v>0</v>
      </c>
    </row>
    <row r="35" spans="1:5" ht="12.75" customHeight="1">
      <c r="A35" s="458" t="s">
        <v>3388</v>
      </c>
      <c r="B35" s="458">
        <v>2700</v>
      </c>
      <c r="C35" s="458" t="s">
        <v>413</v>
      </c>
      <c r="D35" s="458"/>
      <c r="E35" s="458">
        <f t="shared" si="1"/>
        <v>0</v>
      </c>
    </row>
    <row r="36" spans="1:5" ht="12.75" customHeight="1">
      <c r="A36" s="458" t="s">
        <v>3389</v>
      </c>
      <c r="B36" s="458">
        <v>25</v>
      </c>
      <c r="C36" s="458" t="s">
        <v>413</v>
      </c>
      <c r="D36" s="458"/>
      <c r="E36" s="458">
        <f t="shared" si="1"/>
        <v>0</v>
      </c>
    </row>
    <row r="37" spans="1:5" ht="12.75" customHeight="1">
      <c r="A37" s="458" t="s">
        <v>3390</v>
      </c>
      <c r="B37" s="458">
        <v>25</v>
      </c>
      <c r="C37" s="458" t="s">
        <v>3362</v>
      </c>
      <c r="D37" s="458"/>
      <c r="E37" s="458">
        <f t="shared" si="1"/>
        <v>0</v>
      </c>
    </row>
    <row r="38" spans="1:5" ht="12.75" customHeight="1">
      <c r="A38" s="458" t="s">
        <v>3391</v>
      </c>
      <c r="B38" s="458">
        <v>5</v>
      </c>
      <c r="C38" s="458" t="s">
        <v>3362</v>
      </c>
      <c r="D38" s="458"/>
      <c r="E38" s="458">
        <f t="shared" si="1"/>
        <v>0</v>
      </c>
    </row>
    <row r="39" spans="1:5" ht="12.75" customHeight="1">
      <c r="A39" s="458" t="s">
        <v>3392</v>
      </c>
      <c r="B39" s="458">
        <v>64</v>
      </c>
      <c r="C39" s="458" t="s">
        <v>3362</v>
      </c>
      <c r="D39" s="458"/>
      <c r="E39" s="458">
        <f t="shared" si="1"/>
        <v>0</v>
      </c>
    </row>
    <row r="40" spans="1:5" ht="12.75" customHeight="1">
      <c r="A40" s="458" t="s">
        <v>3366</v>
      </c>
      <c r="B40" s="458">
        <v>1</v>
      </c>
      <c r="C40" s="458" t="s">
        <v>3367</v>
      </c>
      <c r="D40" s="458"/>
      <c r="E40" s="458">
        <f t="shared" si="1"/>
        <v>0</v>
      </c>
    </row>
    <row r="41" spans="1:5" ht="12.75" customHeight="1">
      <c r="A41" s="458" t="s">
        <v>3393</v>
      </c>
      <c r="B41" s="458">
        <v>80</v>
      </c>
      <c r="C41" s="458" t="s">
        <v>3362</v>
      </c>
      <c r="D41" s="458"/>
      <c r="E41" s="458">
        <f t="shared" si="1"/>
        <v>0</v>
      </c>
    </row>
    <row r="42" spans="1:5" ht="12.75" customHeight="1">
      <c r="A42" s="458" t="s">
        <v>3394</v>
      </c>
      <c r="B42" s="458">
        <v>1</v>
      </c>
      <c r="C42" s="458" t="s">
        <v>3362</v>
      </c>
      <c r="D42" s="458"/>
      <c r="E42" s="458">
        <f t="shared" si="1"/>
        <v>0</v>
      </c>
    </row>
    <row r="43" spans="1:5" ht="12.75" customHeight="1">
      <c r="A43" s="458" t="s">
        <v>3395</v>
      </c>
      <c r="B43" s="458">
        <v>5</v>
      </c>
      <c r="C43" s="458" t="s">
        <v>3362</v>
      </c>
      <c r="D43" s="458"/>
      <c r="E43" s="458">
        <f t="shared" si="1"/>
        <v>0</v>
      </c>
    </row>
    <row r="44" spans="1:5" ht="12.75" customHeight="1">
      <c r="A44" s="458" t="s">
        <v>3396</v>
      </c>
      <c r="B44" s="458">
        <v>41</v>
      </c>
      <c r="C44" s="458" t="s">
        <v>3362</v>
      </c>
      <c r="D44" s="458"/>
      <c r="E44" s="458">
        <f t="shared" si="1"/>
        <v>0</v>
      </c>
    </row>
    <row r="45" spans="1:5" ht="12.75" customHeight="1">
      <c r="A45" s="458" t="s">
        <v>3397</v>
      </c>
      <c r="B45" s="458">
        <v>3</v>
      </c>
      <c r="C45" s="458" t="s">
        <v>3362</v>
      </c>
      <c r="D45" s="458"/>
      <c r="E45" s="458">
        <f t="shared" si="1"/>
        <v>0</v>
      </c>
    </row>
    <row r="46" spans="1:5" ht="12.75" customHeight="1">
      <c r="A46" s="458" t="s">
        <v>3398</v>
      </c>
      <c r="B46" s="458">
        <v>4</v>
      </c>
      <c r="C46" s="458" t="s">
        <v>3362</v>
      </c>
      <c r="D46" s="458"/>
      <c r="E46" s="458">
        <f t="shared" si="1"/>
        <v>0</v>
      </c>
    </row>
    <row r="47" spans="1:5" ht="12.75" customHeight="1">
      <c r="A47" s="458" t="s">
        <v>3399</v>
      </c>
      <c r="B47" s="458">
        <v>2</v>
      </c>
      <c r="C47" s="458" t="s">
        <v>3362</v>
      </c>
      <c r="D47" s="458"/>
      <c r="E47" s="458">
        <f t="shared" si="1"/>
        <v>0</v>
      </c>
    </row>
    <row r="48" spans="1:5" ht="12.75" customHeight="1">
      <c r="A48" s="458" t="s">
        <v>3400</v>
      </c>
      <c r="B48" s="458">
        <v>5</v>
      </c>
      <c r="C48" s="458" t="s">
        <v>3362</v>
      </c>
      <c r="D48" s="458"/>
      <c r="E48" s="458">
        <f t="shared" si="1"/>
        <v>0</v>
      </c>
    </row>
    <row r="49" spans="1:5" ht="12.75" customHeight="1">
      <c r="A49" s="458" t="s">
        <v>3401</v>
      </c>
      <c r="B49" s="458">
        <v>1</v>
      </c>
      <c r="C49" s="458" t="s">
        <v>3362</v>
      </c>
      <c r="D49" s="458"/>
      <c r="E49" s="458">
        <f t="shared" si="1"/>
        <v>0</v>
      </c>
    </row>
    <row r="50" spans="1:5" ht="12.75" customHeight="1">
      <c r="A50" s="458" t="s">
        <v>3402</v>
      </c>
      <c r="B50" s="458">
        <v>1</v>
      </c>
      <c r="C50" s="458" t="s">
        <v>3367</v>
      </c>
      <c r="D50" s="458"/>
      <c r="E50" s="458">
        <f t="shared" si="1"/>
        <v>0</v>
      </c>
    </row>
    <row r="51" spans="1:5" ht="12.75" customHeight="1">
      <c r="A51" s="458" t="s">
        <v>3403</v>
      </c>
      <c r="B51" s="458">
        <v>1</v>
      </c>
      <c r="C51" s="458" t="s">
        <v>3367</v>
      </c>
      <c r="D51" s="458"/>
      <c r="E51" s="458">
        <f t="shared" si="1"/>
        <v>0</v>
      </c>
    </row>
    <row r="52" spans="1:5" ht="12.75" customHeight="1">
      <c r="A52" s="458" t="s">
        <v>3404</v>
      </c>
      <c r="B52" s="458">
        <v>1</v>
      </c>
      <c r="C52" s="458" t="s">
        <v>3367</v>
      </c>
      <c r="D52" s="458"/>
      <c r="E52" s="458">
        <f t="shared" si="1"/>
        <v>0</v>
      </c>
    </row>
    <row r="53" spans="1:5" ht="12.75" customHeight="1">
      <c r="A53" s="458" t="s">
        <v>3405</v>
      </c>
      <c r="B53" s="458">
        <v>1</v>
      </c>
      <c r="C53" s="458" t="s">
        <v>3367</v>
      </c>
      <c r="D53" s="458"/>
      <c r="E53" s="458">
        <f t="shared" si="1"/>
        <v>0</v>
      </c>
    </row>
    <row r="54" spans="1:5" ht="12.75" customHeight="1">
      <c r="A54" s="458" t="s">
        <v>3406</v>
      </c>
      <c r="B54" s="458">
        <v>1</v>
      </c>
      <c r="C54" s="458" t="s">
        <v>3367</v>
      </c>
      <c r="D54" s="458"/>
      <c r="E54" s="458">
        <f t="shared" si="1"/>
        <v>0</v>
      </c>
    </row>
    <row r="55" spans="1:5" ht="48" customHeight="1">
      <c r="A55" s="455" t="s">
        <v>3407</v>
      </c>
      <c r="B55" s="613"/>
      <c r="C55" s="613"/>
      <c r="D55" s="613"/>
      <c r="E55" s="613"/>
    </row>
    <row r="56" spans="1:5" ht="12.75" customHeight="1">
      <c r="A56" s="457" t="s">
        <v>3360</v>
      </c>
      <c r="B56" s="613"/>
      <c r="C56" s="613"/>
      <c r="D56" s="613"/>
      <c r="E56" s="613"/>
    </row>
    <row r="57" spans="1:5" ht="12.75" customHeight="1">
      <c r="A57" s="458" t="s">
        <v>3408</v>
      </c>
      <c r="B57" s="458">
        <v>6</v>
      </c>
      <c r="C57" s="458" t="s">
        <v>3362</v>
      </c>
      <c r="D57" s="458"/>
      <c r="E57" s="458">
        <f t="shared" ref="E57:E68" si="2">B57*D57</f>
        <v>0</v>
      </c>
    </row>
    <row r="58" spans="1:5" ht="12.75" customHeight="1">
      <c r="A58" s="458" t="s">
        <v>3409</v>
      </c>
      <c r="B58" s="458">
        <v>48</v>
      </c>
      <c r="C58" s="458" t="s">
        <v>3362</v>
      </c>
      <c r="D58" s="458"/>
      <c r="E58" s="458">
        <f t="shared" si="2"/>
        <v>0</v>
      </c>
    </row>
    <row r="59" spans="1:5" ht="12.75" customHeight="1">
      <c r="A59" s="458" t="s">
        <v>3410</v>
      </c>
      <c r="B59" s="458">
        <v>205</v>
      </c>
      <c r="C59" s="458" t="s">
        <v>413</v>
      </c>
      <c r="D59" s="458"/>
      <c r="E59" s="458">
        <f t="shared" si="2"/>
        <v>0</v>
      </c>
    </row>
    <row r="60" spans="1:5" ht="12.75" customHeight="1">
      <c r="A60" s="458" t="s">
        <v>3411</v>
      </c>
      <c r="B60" s="458">
        <v>175</v>
      </c>
      <c r="C60" s="458" t="s">
        <v>413</v>
      </c>
      <c r="D60" s="458"/>
      <c r="E60" s="458">
        <f t="shared" si="2"/>
        <v>0</v>
      </c>
    </row>
    <row r="61" spans="1:5" ht="12.75" customHeight="1">
      <c r="A61" s="458" t="s">
        <v>3412</v>
      </c>
      <c r="B61" s="458">
        <v>48</v>
      </c>
      <c r="C61" s="458" t="s">
        <v>3362</v>
      </c>
      <c r="D61" s="458"/>
      <c r="E61" s="458">
        <f t="shared" si="2"/>
        <v>0</v>
      </c>
    </row>
    <row r="62" spans="1:5" ht="12.75" customHeight="1">
      <c r="A62" s="458" t="s">
        <v>3413</v>
      </c>
      <c r="B62" s="458">
        <v>6</v>
      </c>
      <c r="C62" s="458" t="s">
        <v>3362</v>
      </c>
      <c r="D62" s="458"/>
      <c r="E62" s="458">
        <f t="shared" si="2"/>
        <v>0</v>
      </c>
    </row>
    <row r="63" spans="1:5" ht="12.75" customHeight="1">
      <c r="A63" s="458" t="s">
        <v>3414</v>
      </c>
      <c r="B63" s="458">
        <v>48</v>
      </c>
      <c r="C63" s="458" t="s">
        <v>3362</v>
      </c>
      <c r="D63" s="458"/>
      <c r="E63" s="458">
        <f t="shared" si="2"/>
        <v>0</v>
      </c>
    </row>
    <row r="64" spans="1:5" ht="12.75" customHeight="1">
      <c r="A64" s="458" t="s">
        <v>3415</v>
      </c>
      <c r="B64" s="458">
        <v>6</v>
      </c>
      <c r="C64" s="458" t="s">
        <v>3362</v>
      </c>
      <c r="D64" s="458"/>
      <c r="E64" s="458">
        <f t="shared" si="2"/>
        <v>0</v>
      </c>
    </row>
    <row r="65" spans="1:5" ht="12.75" customHeight="1">
      <c r="A65" s="458" t="s">
        <v>3416</v>
      </c>
      <c r="B65" s="458">
        <v>1</v>
      </c>
      <c r="C65" s="458" t="s">
        <v>3367</v>
      </c>
      <c r="D65" s="458"/>
      <c r="E65" s="458">
        <f t="shared" si="2"/>
        <v>0</v>
      </c>
    </row>
    <row r="66" spans="1:5" ht="12.75" customHeight="1">
      <c r="A66" s="458" t="s">
        <v>3417</v>
      </c>
      <c r="B66" s="458">
        <v>1</v>
      </c>
      <c r="C66" s="458" t="s">
        <v>3367</v>
      </c>
      <c r="D66" s="458"/>
      <c r="E66" s="458">
        <f t="shared" si="2"/>
        <v>0</v>
      </c>
    </row>
    <row r="67" spans="1:5" ht="12.75" customHeight="1">
      <c r="A67" s="458" t="s">
        <v>3418</v>
      </c>
      <c r="B67" s="458">
        <v>1</v>
      </c>
      <c r="C67" s="458" t="s">
        <v>3367</v>
      </c>
      <c r="D67" s="458"/>
      <c r="E67" s="458">
        <f t="shared" si="2"/>
        <v>0</v>
      </c>
    </row>
    <row r="68" spans="1:5" ht="12.75" customHeight="1">
      <c r="A68" s="458" t="s">
        <v>3419</v>
      </c>
      <c r="B68" s="458">
        <v>1</v>
      </c>
      <c r="C68" s="458" t="s">
        <v>3367</v>
      </c>
      <c r="D68" s="458"/>
      <c r="E68" s="458">
        <f t="shared" si="2"/>
        <v>0</v>
      </c>
    </row>
    <row r="69" spans="1:5" ht="48" customHeight="1">
      <c r="A69" s="455" t="s">
        <v>3420</v>
      </c>
      <c r="B69" s="613"/>
      <c r="C69" s="613"/>
      <c r="D69" s="613"/>
      <c r="E69" s="613"/>
    </row>
    <row r="70" spans="1:5" ht="12.75" customHeight="1">
      <c r="A70" s="457" t="s">
        <v>3360</v>
      </c>
      <c r="B70" s="613"/>
      <c r="C70" s="613"/>
      <c r="D70" s="613"/>
      <c r="E70" s="613"/>
    </row>
    <row r="71" spans="1:5" ht="12.75" customHeight="1">
      <c r="A71" s="458" t="s">
        <v>3421</v>
      </c>
      <c r="B71" s="458">
        <v>60</v>
      </c>
      <c r="C71" s="458" t="s">
        <v>413</v>
      </c>
      <c r="D71" s="458"/>
      <c r="E71" s="458">
        <f t="shared" ref="E71:E75" si="3">B71*D71</f>
        <v>0</v>
      </c>
    </row>
    <row r="72" spans="1:5" ht="12.75" customHeight="1">
      <c r="A72" s="458" t="s">
        <v>3422</v>
      </c>
      <c r="B72" s="458">
        <v>8</v>
      </c>
      <c r="C72" s="458" t="s">
        <v>3362</v>
      </c>
      <c r="D72" s="458"/>
      <c r="E72" s="458">
        <f t="shared" si="3"/>
        <v>0</v>
      </c>
    </row>
    <row r="73" spans="1:5" ht="12.75" customHeight="1">
      <c r="A73" s="458" t="s">
        <v>3423</v>
      </c>
      <c r="B73" s="458">
        <v>8</v>
      </c>
      <c r="C73" s="458" t="s">
        <v>3362</v>
      </c>
      <c r="D73" s="458"/>
      <c r="E73" s="458">
        <f t="shared" si="3"/>
        <v>0</v>
      </c>
    </row>
    <row r="74" spans="1:5" ht="12.75" customHeight="1">
      <c r="A74" s="458" t="s">
        <v>3424</v>
      </c>
      <c r="B74" s="458">
        <v>1</v>
      </c>
      <c r="C74" s="458" t="s">
        <v>3367</v>
      </c>
      <c r="D74" s="458"/>
      <c r="E74" s="458">
        <f t="shared" si="3"/>
        <v>0</v>
      </c>
    </row>
    <row r="75" spans="1:5" ht="12.75" customHeight="1">
      <c r="A75" s="458" t="s">
        <v>3404</v>
      </c>
      <c r="B75" s="458">
        <v>1</v>
      </c>
      <c r="C75" s="458" t="s">
        <v>3367</v>
      </c>
      <c r="D75" s="458"/>
      <c r="E75" s="458">
        <f t="shared" si="3"/>
        <v>0</v>
      </c>
    </row>
    <row r="76" spans="1:5" ht="48" customHeight="1">
      <c r="A76" s="455" t="s">
        <v>3425</v>
      </c>
      <c r="B76" s="613"/>
      <c r="C76" s="613"/>
      <c r="D76" s="613"/>
      <c r="E76" s="613"/>
    </row>
    <row r="77" spans="1:5" ht="12.75" customHeight="1">
      <c r="A77" s="457" t="s">
        <v>3360</v>
      </c>
      <c r="B77" s="613"/>
      <c r="C77" s="613"/>
      <c r="D77" s="613"/>
      <c r="E77" s="613"/>
    </row>
    <row r="78" spans="1:5" ht="12.75" customHeight="1">
      <c r="A78" s="458" t="s">
        <v>3426</v>
      </c>
      <c r="B78" s="458">
        <v>7</v>
      </c>
      <c r="C78" s="458" t="s">
        <v>3362</v>
      </c>
      <c r="D78" s="458"/>
      <c r="E78" s="458">
        <f t="shared" ref="E78:E83" si="4">B78*D78</f>
        <v>0</v>
      </c>
    </row>
    <row r="79" spans="1:5" ht="12.75" customHeight="1">
      <c r="A79" s="458" t="s">
        <v>3421</v>
      </c>
      <c r="B79" s="458">
        <v>180</v>
      </c>
      <c r="C79" s="458" t="s">
        <v>413</v>
      </c>
      <c r="D79" s="458"/>
      <c r="E79" s="458">
        <f t="shared" si="4"/>
        <v>0</v>
      </c>
    </row>
    <row r="80" spans="1:5" ht="12.75" customHeight="1">
      <c r="A80" s="458" t="s">
        <v>3390</v>
      </c>
      <c r="B80" s="458">
        <v>2</v>
      </c>
      <c r="C80" s="458" t="s">
        <v>3362</v>
      </c>
      <c r="D80" s="458"/>
      <c r="E80" s="458">
        <f t="shared" si="4"/>
        <v>0</v>
      </c>
    </row>
    <row r="81" spans="1:5" ht="12.75" customHeight="1">
      <c r="A81" s="458" t="s">
        <v>3366</v>
      </c>
      <c r="B81" s="458">
        <v>1</v>
      </c>
      <c r="C81" s="458" t="s">
        <v>3367</v>
      </c>
      <c r="D81" s="458"/>
      <c r="E81" s="458">
        <f t="shared" si="4"/>
        <v>0</v>
      </c>
    </row>
    <row r="82" spans="1:5" ht="12.75" customHeight="1">
      <c r="A82" s="458" t="s">
        <v>3427</v>
      </c>
      <c r="B82" s="458">
        <v>1</v>
      </c>
      <c r="C82" s="458" t="s">
        <v>3367</v>
      </c>
      <c r="D82" s="458"/>
      <c r="E82" s="458">
        <f t="shared" si="4"/>
        <v>0</v>
      </c>
    </row>
    <row r="83" spans="1:5" ht="12.75" customHeight="1">
      <c r="A83" s="458" t="s">
        <v>3428</v>
      </c>
      <c r="B83" s="458">
        <v>1</v>
      </c>
      <c r="C83" s="458" t="s">
        <v>3367</v>
      </c>
      <c r="D83" s="458"/>
      <c r="E83" s="458">
        <f t="shared" si="4"/>
        <v>0</v>
      </c>
    </row>
    <row r="84" spans="1:5" ht="48" customHeight="1">
      <c r="A84" s="455" t="s">
        <v>3429</v>
      </c>
      <c r="B84" s="613"/>
      <c r="C84" s="613"/>
      <c r="D84" s="613"/>
      <c r="E84" s="613"/>
    </row>
    <row r="85" spans="1:5" ht="12.75" customHeight="1">
      <c r="A85" s="457" t="s">
        <v>3360</v>
      </c>
      <c r="B85" s="613"/>
      <c r="C85" s="613"/>
      <c r="D85" s="613"/>
      <c r="E85" s="613"/>
    </row>
    <row r="86" spans="1:5" ht="12.75" customHeight="1">
      <c r="A86" s="458" t="s">
        <v>3421</v>
      </c>
      <c r="B86" s="458">
        <v>95</v>
      </c>
      <c r="C86" s="458" t="s">
        <v>413</v>
      </c>
      <c r="D86" s="458"/>
      <c r="E86" s="458">
        <f t="shared" ref="E86:E90" si="5">B86*D86</f>
        <v>0</v>
      </c>
    </row>
    <row r="87" spans="1:5" ht="12.75" customHeight="1">
      <c r="A87" s="458" t="s">
        <v>3366</v>
      </c>
      <c r="B87" s="458">
        <v>1</v>
      </c>
      <c r="C87" s="458" t="s">
        <v>3367</v>
      </c>
      <c r="D87" s="458"/>
      <c r="E87" s="458">
        <f t="shared" si="5"/>
        <v>0</v>
      </c>
    </row>
    <row r="88" spans="1:5" ht="12.75" customHeight="1">
      <c r="A88" s="458" t="s">
        <v>3430</v>
      </c>
      <c r="B88" s="458">
        <v>1</v>
      </c>
      <c r="C88" s="458" t="s">
        <v>3362</v>
      </c>
      <c r="D88" s="458"/>
      <c r="E88" s="458">
        <f t="shared" si="5"/>
        <v>0</v>
      </c>
    </row>
    <row r="89" spans="1:5" ht="12.75" customHeight="1">
      <c r="A89" s="458" t="s">
        <v>3431</v>
      </c>
      <c r="B89" s="458">
        <v>1</v>
      </c>
      <c r="C89" s="458" t="s">
        <v>3367</v>
      </c>
      <c r="D89" s="458"/>
      <c r="E89" s="458">
        <f t="shared" si="5"/>
        <v>0</v>
      </c>
    </row>
    <row r="90" spans="1:5" ht="12.75" customHeight="1">
      <c r="A90" s="458" t="s">
        <v>3428</v>
      </c>
      <c r="B90" s="458">
        <v>1</v>
      </c>
      <c r="C90" s="458" t="s">
        <v>3367</v>
      </c>
      <c r="D90" s="458"/>
      <c r="E90" s="458">
        <f t="shared" si="5"/>
        <v>0</v>
      </c>
    </row>
    <row r="91" spans="1:5" ht="48" customHeight="1">
      <c r="A91" s="455" t="s">
        <v>3432</v>
      </c>
      <c r="B91" s="613"/>
      <c r="C91" s="613"/>
      <c r="D91" s="613"/>
      <c r="E91" s="613"/>
    </row>
    <row r="92" spans="1:5" ht="12.75" customHeight="1">
      <c r="A92" s="457" t="s">
        <v>3360</v>
      </c>
      <c r="B92" s="613"/>
      <c r="C92" s="613"/>
      <c r="D92" s="613"/>
      <c r="E92" s="613"/>
    </row>
    <row r="93" spans="1:5" ht="12.75" customHeight="1">
      <c r="A93" s="458" t="s">
        <v>3433</v>
      </c>
      <c r="B93" s="458">
        <v>1</v>
      </c>
      <c r="C93" s="458" t="s">
        <v>3362</v>
      </c>
      <c r="D93" s="458"/>
      <c r="E93" s="458">
        <f t="shared" ref="E93:E103" si="6">B93*D93</f>
        <v>0</v>
      </c>
    </row>
    <row r="94" spans="1:5" ht="12.75" customHeight="1">
      <c r="A94" s="458" t="s">
        <v>3434</v>
      </c>
      <c r="B94" s="458">
        <v>1</v>
      </c>
      <c r="C94" s="458" t="s">
        <v>3362</v>
      </c>
      <c r="D94" s="458"/>
      <c r="E94" s="458">
        <f t="shared" si="6"/>
        <v>0</v>
      </c>
    </row>
    <row r="95" spans="1:5" ht="12.75" customHeight="1">
      <c r="A95" s="458" t="s">
        <v>3435</v>
      </c>
      <c r="B95" s="458">
        <v>1</v>
      </c>
      <c r="C95" s="458" t="s">
        <v>3362</v>
      </c>
      <c r="D95" s="458"/>
      <c r="E95" s="458">
        <f t="shared" si="6"/>
        <v>0</v>
      </c>
    </row>
    <row r="96" spans="1:5" ht="12.75" customHeight="1">
      <c r="A96" s="458" t="s">
        <v>3436</v>
      </c>
      <c r="B96" s="458">
        <v>1</v>
      </c>
      <c r="C96" s="458" t="s">
        <v>3362</v>
      </c>
      <c r="D96" s="458"/>
      <c r="E96" s="458">
        <f t="shared" si="6"/>
        <v>0</v>
      </c>
    </row>
    <row r="97" spans="1:5" ht="12.75" customHeight="1">
      <c r="A97" s="458" t="s">
        <v>3437</v>
      </c>
      <c r="B97" s="458">
        <v>55</v>
      </c>
      <c r="C97" s="458" t="s">
        <v>413</v>
      </c>
      <c r="D97" s="458"/>
      <c r="E97" s="458">
        <f t="shared" si="6"/>
        <v>0</v>
      </c>
    </row>
    <row r="98" spans="1:5" ht="12.75" customHeight="1">
      <c r="A98" s="458" t="s">
        <v>3366</v>
      </c>
      <c r="B98" s="458">
        <v>1</v>
      </c>
      <c r="C98" s="458" t="s">
        <v>3367</v>
      </c>
      <c r="D98" s="458"/>
      <c r="E98" s="458">
        <f t="shared" si="6"/>
        <v>0</v>
      </c>
    </row>
    <row r="99" spans="1:5" ht="12.75" customHeight="1">
      <c r="A99" s="458" t="s">
        <v>3438</v>
      </c>
      <c r="B99" s="458">
        <v>1</v>
      </c>
      <c r="C99" s="458" t="s">
        <v>3362</v>
      </c>
      <c r="D99" s="458"/>
      <c r="E99" s="458">
        <f t="shared" si="6"/>
        <v>0</v>
      </c>
    </row>
    <row r="100" spans="1:5" ht="12.75" customHeight="1">
      <c r="A100" s="458" t="s">
        <v>3439</v>
      </c>
      <c r="B100" s="458">
        <v>1</v>
      </c>
      <c r="C100" s="458" t="s">
        <v>3362</v>
      </c>
      <c r="D100" s="458"/>
      <c r="E100" s="458">
        <f t="shared" si="6"/>
        <v>0</v>
      </c>
    </row>
    <row r="101" spans="1:5" ht="12.75" customHeight="1">
      <c r="A101" s="458" t="s">
        <v>3403</v>
      </c>
      <c r="B101" s="458">
        <v>1</v>
      </c>
      <c r="C101" s="458" t="s">
        <v>3367</v>
      </c>
      <c r="D101" s="458"/>
      <c r="E101" s="458">
        <f t="shared" si="6"/>
        <v>0</v>
      </c>
    </row>
    <row r="102" spans="1:5" ht="12.75" customHeight="1">
      <c r="A102" s="458" t="s">
        <v>3440</v>
      </c>
      <c r="B102" s="458">
        <v>1</v>
      </c>
      <c r="C102" s="458" t="s">
        <v>3367</v>
      </c>
      <c r="D102" s="458"/>
      <c r="E102" s="458">
        <f t="shared" si="6"/>
        <v>0</v>
      </c>
    </row>
    <row r="103" spans="1:5" ht="12.75" customHeight="1">
      <c r="A103" s="458" t="s">
        <v>3441</v>
      </c>
      <c r="B103" s="458">
        <v>1</v>
      </c>
      <c r="C103" s="458" t="s">
        <v>3367</v>
      </c>
      <c r="D103" s="458"/>
      <c r="E103" s="458">
        <f t="shared" si="6"/>
        <v>0</v>
      </c>
    </row>
    <row r="104" spans="1:5" ht="48" customHeight="1">
      <c r="A104" s="455" t="s">
        <v>3442</v>
      </c>
      <c r="B104" s="613"/>
      <c r="C104" s="613"/>
      <c r="D104" s="613"/>
      <c r="E104" s="613"/>
    </row>
    <row r="105" spans="1:5" ht="12.75" customHeight="1">
      <c r="A105" s="457" t="s">
        <v>3360</v>
      </c>
      <c r="B105" s="613"/>
      <c r="C105" s="613"/>
      <c r="D105" s="613"/>
      <c r="E105" s="613"/>
    </row>
    <row r="106" spans="1:5" ht="12.75" customHeight="1">
      <c r="A106" s="458" t="s">
        <v>3437</v>
      </c>
      <c r="B106" s="458">
        <v>75</v>
      </c>
      <c r="C106" s="458" t="s">
        <v>413</v>
      </c>
      <c r="D106" s="458"/>
      <c r="E106" s="458">
        <f t="shared" ref="E106:E109" si="7">B106*D106</f>
        <v>0</v>
      </c>
    </row>
    <row r="107" spans="1:5" ht="12.75" customHeight="1">
      <c r="A107" s="458" t="s">
        <v>3443</v>
      </c>
      <c r="B107" s="458">
        <v>1</v>
      </c>
      <c r="C107" s="458" t="s">
        <v>3362</v>
      </c>
      <c r="D107" s="458"/>
      <c r="E107" s="458">
        <f t="shared" si="7"/>
        <v>0</v>
      </c>
    </row>
    <row r="108" spans="1:5" ht="12.75" customHeight="1">
      <c r="A108" s="458" t="s">
        <v>3444</v>
      </c>
      <c r="B108" s="458">
        <v>1</v>
      </c>
      <c r="C108" s="458" t="s">
        <v>3367</v>
      </c>
      <c r="D108" s="458"/>
      <c r="E108" s="458">
        <f t="shared" si="7"/>
        <v>0</v>
      </c>
    </row>
    <row r="109" spans="1:5" ht="12.75" customHeight="1">
      <c r="A109" s="458" t="s">
        <v>3428</v>
      </c>
      <c r="B109" s="458">
        <v>1</v>
      </c>
      <c r="C109" s="458" t="s">
        <v>3367</v>
      </c>
      <c r="D109" s="458"/>
      <c r="E109" s="458">
        <f t="shared" si="7"/>
        <v>0</v>
      </c>
    </row>
    <row r="110" spans="1:5" ht="48" customHeight="1">
      <c r="A110" s="455" t="s">
        <v>3445</v>
      </c>
      <c r="B110" s="613"/>
      <c r="C110" s="613"/>
      <c r="D110" s="613"/>
      <c r="E110" s="613"/>
    </row>
    <row r="111" spans="1:5" ht="12.75" customHeight="1">
      <c r="A111" s="457" t="s">
        <v>3360</v>
      </c>
      <c r="B111" s="613"/>
      <c r="C111" s="613"/>
      <c r="D111" s="613"/>
      <c r="E111" s="613"/>
    </row>
    <row r="112" spans="1:5" ht="12.75" customHeight="1">
      <c r="A112" s="458" t="s">
        <v>3446</v>
      </c>
      <c r="B112" s="458">
        <v>60</v>
      </c>
      <c r="C112" s="458" t="s">
        <v>413</v>
      </c>
      <c r="D112" s="458"/>
      <c r="E112" s="458">
        <f t="shared" ref="E112:E116" si="8">B112*D112</f>
        <v>0</v>
      </c>
    </row>
    <row r="113" spans="1:5" ht="12.75" customHeight="1">
      <c r="A113" s="458" t="s">
        <v>3447</v>
      </c>
      <c r="B113" s="458">
        <v>1</v>
      </c>
      <c r="C113" s="458" t="s">
        <v>3362</v>
      </c>
      <c r="D113" s="458"/>
      <c r="E113" s="458">
        <f>B113*D113</f>
        <v>0</v>
      </c>
    </row>
    <row r="114" spans="1:5" ht="12.75" customHeight="1">
      <c r="A114" s="458" t="s">
        <v>3448</v>
      </c>
      <c r="B114" s="458">
        <v>2</v>
      </c>
      <c r="C114" s="458" t="s">
        <v>3362</v>
      </c>
      <c r="D114" s="458"/>
      <c r="E114" s="458">
        <f t="shared" si="8"/>
        <v>0</v>
      </c>
    </row>
    <row r="115" spans="1:5" ht="12.75" customHeight="1">
      <c r="A115" s="458" t="s">
        <v>3449</v>
      </c>
      <c r="B115" s="458">
        <v>1</v>
      </c>
      <c r="C115" s="458" t="s">
        <v>3367</v>
      </c>
      <c r="D115" s="458"/>
      <c r="E115" s="458">
        <f>B115*D115</f>
        <v>0</v>
      </c>
    </row>
    <row r="116" spans="1:5" ht="12.75" customHeight="1">
      <c r="A116" s="458" t="s">
        <v>3450</v>
      </c>
      <c r="B116" s="458">
        <v>1</v>
      </c>
      <c r="C116" s="458" t="s">
        <v>3367</v>
      </c>
      <c r="D116" s="458"/>
      <c r="E116" s="458">
        <f t="shared" si="8"/>
        <v>0</v>
      </c>
    </row>
    <row r="117" spans="1:5" ht="12.75" customHeight="1">
      <c r="A117" s="458" t="s">
        <v>3451</v>
      </c>
      <c r="B117" s="458">
        <v>1</v>
      </c>
      <c r="C117" s="458" t="s">
        <v>3367</v>
      </c>
      <c r="D117" s="458"/>
      <c r="E117" s="458">
        <f>B117*D117</f>
        <v>0</v>
      </c>
    </row>
    <row r="118" spans="1:5" ht="48" customHeight="1">
      <c r="A118" s="455" t="s">
        <v>3452</v>
      </c>
      <c r="B118" s="613"/>
      <c r="C118" s="613"/>
      <c r="D118" s="613"/>
      <c r="E118" s="613"/>
    </row>
    <row r="119" spans="1:5" ht="12.75" customHeight="1">
      <c r="A119" s="457" t="s">
        <v>3360</v>
      </c>
      <c r="B119" s="613"/>
      <c r="C119" s="613"/>
      <c r="D119" s="613"/>
      <c r="E119" s="613"/>
    </row>
    <row r="120" spans="1:5" ht="12.75" customHeight="1">
      <c r="A120" s="458" t="s">
        <v>3453</v>
      </c>
      <c r="B120" s="458">
        <v>2</v>
      </c>
      <c r="C120" s="458" t="s">
        <v>3362</v>
      </c>
      <c r="D120" s="458"/>
      <c r="E120" s="458">
        <f>B120*D120</f>
        <v>0</v>
      </c>
    </row>
    <row r="121" spans="1:5" ht="12.75" customHeight="1">
      <c r="A121" s="458" t="s">
        <v>3454</v>
      </c>
      <c r="B121" s="458">
        <v>2</v>
      </c>
      <c r="C121" s="458" t="s">
        <v>3362</v>
      </c>
      <c r="D121" s="458"/>
      <c r="E121" s="458">
        <f t="shared" ref="E121:E124" si="9">B121*D121</f>
        <v>0</v>
      </c>
    </row>
    <row r="122" spans="1:5" ht="12.75" customHeight="1">
      <c r="A122" s="458" t="s">
        <v>3422</v>
      </c>
      <c r="B122" s="458">
        <v>2</v>
      </c>
      <c r="C122" s="458" t="s">
        <v>3362</v>
      </c>
      <c r="D122" s="458"/>
      <c r="E122" s="458">
        <f t="shared" si="9"/>
        <v>0</v>
      </c>
    </row>
    <row r="123" spans="1:5" ht="12.75" customHeight="1">
      <c r="A123" s="458" t="s">
        <v>3455</v>
      </c>
      <c r="B123" s="458">
        <v>2</v>
      </c>
      <c r="C123" s="458" t="s">
        <v>3362</v>
      </c>
      <c r="D123" s="458"/>
      <c r="E123" s="458">
        <f>B123*D123</f>
        <v>0</v>
      </c>
    </row>
    <row r="124" spans="1:5" ht="12.75" customHeight="1">
      <c r="A124" s="458" t="s">
        <v>3456</v>
      </c>
      <c r="B124" s="458">
        <v>1</v>
      </c>
      <c r="C124" s="458" t="s">
        <v>3367</v>
      </c>
      <c r="D124" s="458"/>
      <c r="E124" s="458">
        <f t="shared" si="9"/>
        <v>0</v>
      </c>
    </row>
    <row r="125" spans="1:5" ht="12.75" customHeight="1">
      <c r="A125" s="458" t="s">
        <v>3457</v>
      </c>
      <c r="B125" s="458">
        <v>1</v>
      </c>
      <c r="C125" s="458" t="s">
        <v>3367</v>
      </c>
      <c r="D125" s="458"/>
      <c r="E125" s="458">
        <f>B125*D125</f>
        <v>0</v>
      </c>
    </row>
    <row r="126" spans="1:5" ht="12.75" customHeight="1" thickBot="1">
      <c r="A126" s="459"/>
      <c r="B126" s="459"/>
      <c r="C126" s="459"/>
      <c r="D126" s="459"/>
      <c r="E126" s="459"/>
    </row>
    <row r="127" spans="1:5" ht="19.350000000000001" customHeight="1">
      <c r="A127" s="460" t="s">
        <v>3458</v>
      </c>
      <c r="B127" s="458"/>
      <c r="C127" s="458"/>
      <c r="D127" s="461"/>
      <c r="E127" s="462">
        <f>SUM(E7:E125)</f>
        <v>0</v>
      </c>
    </row>
    <row r="128" spans="1:5" ht="19.350000000000001" customHeight="1">
      <c r="A128" s="455" t="s">
        <v>3459</v>
      </c>
      <c r="D128" s="463"/>
      <c r="E128" s="464">
        <f>E127*1.21</f>
        <v>0</v>
      </c>
    </row>
  </sheetData>
  <mergeCells count="42">
    <mergeCell ref="A2:E2"/>
    <mergeCell ref="A4:E4"/>
    <mergeCell ref="B5:B6"/>
    <mergeCell ref="C5:C6"/>
    <mergeCell ref="D5:D6"/>
    <mergeCell ref="E5:E6"/>
    <mergeCell ref="B25:B26"/>
    <mergeCell ref="C25:C26"/>
    <mergeCell ref="D25:D26"/>
    <mergeCell ref="E25:E26"/>
    <mergeCell ref="B55:B56"/>
    <mergeCell ref="C55:C56"/>
    <mergeCell ref="D55:D56"/>
    <mergeCell ref="E55:E56"/>
    <mergeCell ref="B69:B70"/>
    <mergeCell ref="C69:C70"/>
    <mergeCell ref="D69:D70"/>
    <mergeCell ref="E69:E70"/>
    <mergeCell ref="B76:B77"/>
    <mergeCell ref="C76:C77"/>
    <mergeCell ref="D76:D77"/>
    <mergeCell ref="E76:E77"/>
    <mergeCell ref="B84:B85"/>
    <mergeCell ref="C84:C85"/>
    <mergeCell ref="D84:D85"/>
    <mergeCell ref="E84:E85"/>
    <mergeCell ref="B91:B92"/>
    <mergeCell ref="C91:C92"/>
    <mergeCell ref="D91:D92"/>
    <mergeCell ref="E91:E92"/>
    <mergeCell ref="B118:B119"/>
    <mergeCell ref="C118:C119"/>
    <mergeCell ref="D118:D119"/>
    <mergeCell ref="E118:E119"/>
    <mergeCell ref="B104:B105"/>
    <mergeCell ref="C104:C105"/>
    <mergeCell ref="D104:D105"/>
    <mergeCell ref="E104:E105"/>
    <mergeCell ref="B110:B111"/>
    <mergeCell ref="C110:C111"/>
    <mergeCell ref="D110:D111"/>
    <mergeCell ref="E110:E111"/>
  </mergeCells>
  <pageMargins left="0.78740157499999996" right="0.78740157499999996" top="0.984251969" bottom="0.984251969" header="0.4921259845" footer="0.4921259845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352C-9D71-4146-B775-ABEF528E6141}">
  <dimension ref="A1:Q70"/>
  <sheetViews>
    <sheetView topLeftCell="A31" zoomScaleNormal="100" workbookViewId="0">
      <selection activeCell="D128" sqref="D128"/>
    </sheetView>
  </sheetViews>
  <sheetFormatPr defaultColWidth="8.83203125" defaultRowHeight="12.75"/>
  <cols>
    <col min="1" max="1" width="10.5" style="466" customWidth="1"/>
    <col min="2" max="2" width="0.1640625" style="466" customWidth="1"/>
    <col min="3" max="3" width="11.1640625" style="466" hidden="1" customWidth="1"/>
    <col min="4" max="4" width="27.5" style="466" customWidth="1"/>
    <col min="5" max="5" width="72" style="466" customWidth="1"/>
    <col min="6" max="6" width="7.1640625" style="466" customWidth="1"/>
    <col min="7" max="7" width="6.83203125" style="466" customWidth="1"/>
    <col min="8" max="8" width="11.1640625" style="466" hidden="1" customWidth="1"/>
    <col min="9" max="9" width="14.6640625" style="466" customWidth="1"/>
    <col min="10" max="10" width="19.5" style="466" customWidth="1"/>
    <col min="11" max="11" width="14.6640625" style="466" customWidth="1"/>
    <col min="12" max="12" width="6" style="466" customWidth="1"/>
    <col min="13" max="13" width="46.1640625" style="466" customWidth="1"/>
    <col min="14" max="21" width="8.83203125" style="466"/>
    <col min="22" max="22" width="15.5" style="466" bestFit="1" customWidth="1"/>
    <col min="23" max="16384" width="8.83203125" style="466"/>
  </cols>
  <sheetData>
    <row r="1" spans="1:17">
      <c r="A1" s="465"/>
      <c r="B1" s="465"/>
      <c r="C1" s="465"/>
      <c r="D1" s="465"/>
      <c r="E1" s="465"/>
      <c r="F1" s="465"/>
      <c r="G1" s="465"/>
    </row>
    <row r="2" spans="1:17" ht="15.75">
      <c r="A2" s="467" t="s">
        <v>3460</v>
      </c>
      <c r="B2" s="467"/>
      <c r="C2" s="467"/>
      <c r="D2" s="467"/>
      <c r="E2" s="467"/>
      <c r="F2" s="468"/>
      <c r="G2" s="468"/>
      <c r="H2" s="469"/>
      <c r="I2" s="469"/>
      <c r="J2" s="469"/>
      <c r="K2" s="469"/>
    </row>
    <row r="3" spans="1:17" ht="15.75">
      <c r="A3" s="467" t="s">
        <v>3461</v>
      </c>
      <c r="B3" s="467"/>
      <c r="C3" s="467"/>
      <c r="D3" s="467"/>
      <c r="E3" s="467"/>
      <c r="F3" s="468"/>
      <c r="G3" s="468"/>
      <c r="H3" s="469"/>
      <c r="I3" s="469"/>
      <c r="J3" s="469"/>
      <c r="K3" s="469"/>
    </row>
    <row r="4" spans="1:17">
      <c r="A4" s="468"/>
      <c r="B4" s="468"/>
      <c r="C4" s="468"/>
      <c r="D4" s="468"/>
      <c r="E4" s="468"/>
      <c r="F4" s="468"/>
      <c r="G4" s="468"/>
      <c r="H4" s="469"/>
      <c r="I4" s="469"/>
      <c r="J4" s="469"/>
      <c r="K4" s="469"/>
    </row>
    <row r="5" spans="1:17">
      <c r="A5" s="468" t="s">
        <v>3462</v>
      </c>
      <c r="B5" s="468"/>
      <c r="C5" s="468"/>
      <c r="D5" s="468" t="s">
        <v>3463</v>
      </c>
      <c r="E5" s="468" t="s">
        <v>3464</v>
      </c>
      <c r="F5" s="468" t="s">
        <v>3465</v>
      </c>
      <c r="G5" s="468" t="s">
        <v>114</v>
      </c>
      <c r="H5" s="469"/>
      <c r="I5" s="470" t="s">
        <v>3466</v>
      </c>
      <c r="J5" s="470" t="s">
        <v>2845</v>
      </c>
      <c r="K5" s="470" t="s">
        <v>2844</v>
      </c>
      <c r="O5" s="471"/>
      <c r="P5" s="471"/>
      <c r="Q5" s="471"/>
    </row>
    <row r="6" spans="1:17" ht="12.75" customHeight="1">
      <c r="A6" s="468"/>
      <c r="B6" s="468"/>
      <c r="C6" s="468"/>
      <c r="D6" s="472"/>
      <c r="E6" s="468"/>
      <c r="F6" s="468"/>
      <c r="G6" s="468"/>
      <c r="H6" s="469"/>
      <c r="I6" s="469"/>
      <c r="J6" s="469"/>
      <c r="K6" s="469"/>
    </row>
    <row r="7" spans="1:17" ht="12.75" customHeight="1">
      <c r="A7" s="468"/>
      <c r="B7" s="468"/>
      <c r="C7" s="468"/>
      <c r="D7" s="472"/>
      <c r="E7" s="468"/>
      <c r="F7" s="468"/>
      <c r="G7" s="468"/>
      <c r="H7" s="469"/>
      <c r="I7" s="469"/>
      <c r="J7" s="469"/>
      <c r="K7" s="469"/>
      <c r="M7" s="473"/>
    </row>
    <row r="8" spans="1:17" ht="12.75" customHeight="1">
      <c r="A8" s="468"/>
      <c r="B8" s="468"/>
      <c r="C8" s="468"/>
      <c r="D8" s="472"/>
      <c r="E8" s="468"/>
      <c r="F8" s="468"/>
      <c r="G8" s="468"/>
      <c r="H8" s="469"/>
      <c r="I8" s="469"/>
      <c r="J8" s="469"/>
      <c r="K8" s="469"/>
      <c r="M8" s="473"/>
    </row>
    <row r="9" spans="1:17">
      <c r="A9" s="468"/>
      <c r="B9" s="468"/>
      <c r="C9" s="468"/>
      <c r="D9" s="472"/>
      <c r="E9" s="468"/>
      <c r="F9" s="468"/>
      <c r="G9" s="468"/>
      <c r="H9" s="469"/>
      <c r="I9" s="469"/>
      <c r="J9" s="469"/>
      <c r="K9" s="469"/>
      <c r="M9" s="473"/>
    </row>
    <row r="10" spans="1:17" ht="18">
      <c r="A10" s="474">
        <v>101</v>
      </c>
      <c r="B10" s="468"/>
      <c r="C10" s="468"/>
      <c r="D10" s="472"/>
      <c r="E10" s="467" t="s">
        <v>3467</v>
      </c>
      <c r="F10" s="468"/>
      <c r="G10" s="468"/>
      <c r="H10" s="469"/>
      <c r="I10" s="469"/>
      <c r="J10" s="469"/>
      <c r="K10" s="469"/>
      <c r="M10" s="473"/>
    </row>
    <row r="11" spans="1:17">
      <c r="A11" s="468"/>
      <c r="B11" s="468"/>
      <c r="C11" s="468"/>
      <c r="D11" s="472"/>
      <c r="E11" s="468"/>
      <c r="F11" s="468"/>
      <c r="G11" s="468"/>
      <c r="H11" s="469"/>
      <c r="I11" s="469"/>
      <c r="J11" s="469"/>
      <c r="K11" s="469"/>
      <c r="M11" s="473"/>
    </row>
    <row r="12" spans="1:17" ht="25.7" customHeight="1">
      <c r="A12" s="475">
        <v>101</v>
      </c>
      <c r="B12" s="468"/>
      <c r="C12" s="468"/>
      <c r="D12" s="469" t="s">
        <v>3468</v>
      </c>
      <c r="E12" s="476" t="s">
        <v>3469</v>
      </c>
      <c r="F12" s="469">
        <v>1</v>
      </c>
      <c r="G12" s="469" t="s">
        <v>2873</v>
      </c>
      <c r="H12" s="469"/>
      <c r="I12" s="469"/>
      <c r="J12" s="469">
        <f t="shared" ref="J12:J21" si="0">I12*F12</f>
        <v>0</v>
      </c>
      <c r="K12" s="469"/>
    </row>
    <row r="13" spans="1:17" ht="25.7" customHeight="1">
      <c r="A13" s="475">
        <f>A12+1</f>
        <v>102</v>
      </c>
      <c r="B13" s="468"/>
      <c r="C13" s="468"/>
      <c r="D13" s="469" t="s">
        <v>3468</v>
      </c>
      <c r="E13" s="476" t="s">
        <v>3470</v>
      </c>
      <c r="F13" s="469">
        <v>1</v>
      </c>
      <c r="G13" s="469" t="s">
        <v>2873</v>
      </c>
      <c r="H13" s="469"/>
      <c r="I13" s="469"/>
      <c r="J13" s="469">
        <f t="shared" si="0"/>
        <v>0</v>
      </c>
      <c r="K13" s="469"/>
    </row>
    <row r="14" spans="1:17" ht="25.7" customHeight="1">
      <c r="A14" s="475">
        <f t="shared" ref="A14:A21" si="1">A13+1</f>
        <v>103</v>
      </c>
      <c r="B14" s="468"/>
      <c r="C14" s="468"/>
      <c r="D14" s="469" t="s">
        <v>3468</v>
      </c>
      <c r="E14" s="476" t="s">
        <v>3471</v>
      </c>
      <c r="F14" s="469">
        <v>1</v>
      </c>
      <c r="G14" s="469" t="s">
        <v>2873</v>
      </c>
      <c r="H14" s="469"/>
      <c r="I14" s="469"/>
      <c r="J14" s="469">
        <f t="shared" si="0"/>
        <v>0</v>
      </c>
      <c r="K14" s="469"/>
    </row>
    <row r="15" spans="1:17" ht="25.7" customHeight="1">
      <c r="A15" s="475">
        <f t="shared" si="1"/>
        <v>104</v>
      </c>
      <c r="B15" s="468"/>
      <c r="C15" s="468"/>
      <c r="D15" s="469" t="s">
        <v>3468</v>
      </c>
      <c r="E15" s="476" t="s">
        <v>3472</v>
      </c>
      <c r="F15" s="469">
        <v>3</v>
      </c>
      <c r="G15" s="469" t="s">
        <v>2873</v>
      </c>
      <c r="H15" s="469"/>
      <c r="I15" s="469"/>
      <c r="J15" s="469">
        <f t="shared" si="0"/>
        <v>0</v>
      </c>
      <c r="K15" s="469"/>
    </row>
    <row r="16" spans="1:17" ht="25.7" customHeight="1">
      <c r="A16" s="475">
        <f t="shared" si="1"/>
        <v>105</v>
      </c>
      <c r="B16" s="468"/>
      <c r="C16" s="468"/>
      <c r="D16" s="469" t="s">
        <v>3468</v>
      </c>
      <c r="E16" s="476" t="s">
        <v>3473</v>
      </c>
      <c r="F16" s="469">
        <v>2</v>
      </c>
      <c r="G16" s="469" t="s">
        <v>2873</v>
      </c>
      <c r="H16" s="469"/>
      <c r="I16" s="469"/>
      <c r="J16" s="469">
        <f t="shared" si="0"/>
        <v>0</v>
      </c>
      <c r="K16" s="469"/>
    </row>
    <row r="17" spans="1:13">
      <c r="A17" s="475">
        <f t="shared" si="1"/>
        <v>106</v>
      </c>
      <c r="B17" s="469"/>
      <c r="C17" s="469"/>
      <c r="D17" s="469" t="s">
        <v>3468</v>
      </c>
      <c r="E17" s="469" t="s">
        <v>3474</v>
      </c>
      <c r="F17" s="469">
        <v>7</v>
      </c>
      <c r="G17" s="469" t="s">
        <v>2873</v>
      </c>
      <c r="H17" s="469"/>
      <c r="I17" s="469"/>
      <c r="J17" s="469">
        <f t="shared" si="0"/>
        <v>0</v>
      </c>
      <c r="K17" s="469"/>
      <c r="M17" s="473"/>
    </row>
    <row r="18" spans="1:13">
      <c r="A18" s="475">
        <f t="shared" si="1"/>
        <v>107</v>
      </c>
      <c r="B18" s="469"/>
      <c r="C18" s="469"/>
      <c r="D18" s="469"/>
      <c r="E18" s="476" t="s">
        <v>3475</v>
      </c>
      <c r="F18" s="476">
        <v>55</v>
      </c>
      <c r="G18" s="476" t="s">
        <v>3476</v>
      </c>
      <c r="H18" s="469"/>
      <c r="I18" s="469"/>
      <c r="J18" s="469">
        <f t="shared" si="0"/>
        <v>0</v>
      </c>
      <c r="K18" s="469"/>
      <c r="M18" s="473"/>
    </row>
    <row r="19" spans="1:13">
      <c r="A19" s="475">
        <f t="shared" si="1"/>
        <v>108</v>
      </c>
      <c r="B19" s="477"/>
      <c r="C19" s="477"/>
      <c r="D19" s="477"/>
      <c r="E19" s="478" t="s">
        <v>3477</v>
      </c>
      <c r="F19" s="478">
        <v>6.5</v>
      </c>
      <c r="G19" s="478" t="s">
        <v>2050</v>
      </c>
      <c r="H19" s="477"/>
      <c r="I19" s="469"/>
      <c r="J19" s="469">
        <f t="shared" si="0"/>
        <v>0</v>
      </c>
      <c r="K19" s="469"/>
      <c r="M19" s="473"/>
    </row>
    <row r="20" spans="1:13">
      <c r="A20" s="475">
        <f t="shared" si="1"/>
        <v>109</v>
      </c>
      <c r="B20" s="477"/>
      <c r="C20" s="477"/>
      <c r="D20" s="477"/>
      <c r="E20" s="478" t="s">
        <v>3478</v>
      </c>
      <c r="F20" s="478">
        <v>1</v>
      </c>
      <c r="G20" s="478" t="s">
        <v>3086</v>
      </c>
      <c r="H20" s="477"/>
      <c r="I20" s="469"/>
      <c r="J20" s="469">
        <f t="shared" si="0"/>
        <v>0</v>
      </c>
      <c r="K20" s="469"/>
      <c r="M20" s="473"/>
    </row>
    <row r="21" spans="1:13" ht="13.5" thickBot="1">
      <c r="A21" s="475">
        <f t="shared" si="1"/>
        <v>110</v>
      </c>
      <c r="B21" s="477"/>
      <c r="C21" s="477"/>
      <c r="D21" s="479"/>
      <c r="E21" s="477" t="s">
        <v>3479</v>
      </c>
      <c r="F21" s="477">
        <v>1</v>
      </c>
      <c r="G21" s="477" t="s">
        <v>3086</v>
      </c>
      <c r="H21" s="477"/>
      <c r="I21" s="469"/>
      <c r="J21" s="469">
        <f t="shared" si="0"/>
        <v>0</v>
      </c>
      <c r="K21" s="469"/>
      <c r="M21" s="473"/>
    </row>
    <row r="22" spans="1:13">
      <c r="A22" s="480"/>
      <c r="B22" s="480"/>
      <c r="C22" s="480"/>
      <c r="D22" s="481" t="s">
        <v>3480</v>
      </c>
      <c r="E22" s="480"/>
      <c r="F22" s="480"/>
      <c r="G22" s="480"/>
      <c r="H22" s="482"/>
      <c r="I22" s="482"/>
      <c r="J22" s="480">
        <f>SUM(J12:J21)</f>
        <v>0</v>
      </c>
      <c r="K22" s="483">
        <f>SUM(K12:K21)</f>
        <v>0</v>
      </c>
      <c r="M22" s="473"/>
    </row>
    <row r="23" spans="1:13">
      <c r="A23" s="468"/>
      <c r="B23" s="468"/>
      <c r="C23" s="468"/>
      <c r="D23" s="472"/>
      <c r="E23" s="468"/>
      <c r="F23" s="468"/>
      <c r="G23" s="468"/>
      <c r="H23" s="469"/>
      <c r="I23" s="469"/>
      <c r="J23" s="469"/>
      <c r="K23" s="484"/>
      <c r="M23" s="473"/>
    </row>
    <row r="24" spans="1:13">
      <c r="A24" s="468"/>
      <c r="B24" s="468"/>
      <c r="C24" s="468"/>
      <c r="D24" s="472"/>
      <c r="E24" s="468"/>
      <c r="F24" s="468"/>
      <c r="G24" s="468"/>
      <c r="H24" s="469"/>
      <c r="I24" s="469"/>
      <c r="J24" s="469"/>
      <c r="K24" s="484"/>
      <c r="M24" s="473"/>
    </row>
    <row r="25" spans="1:13">
      <c r="A25" s="468"/>
      <c r="B25" s="468"/>
      <c r="C25" s="468"/>
      <c r="D25" s="472"/>
      <c r="E25" s="468"/>
      <c r="F25" s="468"/>
      <c r="G25" s="468"/>
      <c r="H25" s="469"/>
      <c r="I25" s="469"/>
      <c r="J25" s="469"/>
      <c r="K25" s="484"/>
      <c r="M25" s="473"/>
    </row>
    <row r="26" spans="1:13" ht="18">
      <c r="A26" s="474">
        <v>201</v>
      </c>
      <c r="B26" s="468"/>
      <c r="C26" s="468"/>
      <c r="D26" s="472"/>
      <c r="E26" s="474" t="s">
        <v>3481</v>
      </c>
      <c r="F26" s="468"/>
      <c r="G26" s="468"/>
      <c r="H26" s="469"/>
      <c r="I26" s="469"/>
      <c r="J26" s="469"/>
      <c r="K26" s="484"/>
      <c r="M26" s="473"/>
    </row>
    <row r="27" spans="1:13">
      <c r="A27" s="468"/>
      <c r="B27" s="468"/>
      <c r="C27" s="468"/>
      <c r="D27" s="472"/>
      <c r="E27" s="468"/>
      <c r="F27" s="468"/>
      <c r="G27" s="468"/>
      <c r="H27" s="469"/>
      <c r="I27" s="469"/>
      <c r="J27" s="469"/>
      <c r="K27" s="484"/>
      <c r="M27" s="473"/>
    </row>
    <row r="28" spans="1:13" s="485" customFormat="1" ht="25.5">
      <c r="A28" s="476">
        <v>201</v>
      </c>
      <c r="B28" s="476"/>
      <c r="C28" s="476"/>
      <c r="D28" s="476" t="s">
        <v>3468</v>
      </c>
      <c r="E28" s="476" t="s">
        <v>3482</v>
      </c>
      <c r="F28" s="476">
        <v>1</v>
      </c>
      <c r="G28" s="476" t="s">
        <v>2873</v>
      </c>
      <c r="H28" s="476"/>
      <c r="I28" s="469"/>
      <c r="J28" s="476">
        <f>I28*F28</f>
        <v>0</v>
      </c>
      <c r="K28" s="469"/>
      <c r="M28" s="473"/>
    </row>
    <row r="29" spans="1:13">
      <c r="A29" s="469">
        <v>202</v>
      </c>
      <c r="B29" s="469"/>
      <c r="C29" s="469"/>
      <c r="D29" s="476"/>
      <c r="E29" s="469" t="s">
        <v>3483</v>
      </c>
      <c r="F29" s="469">
        <v>90</v>
      </c>
      <c r="G29" s="469" t="s">
        <v>3476</v>
      </c>
      <c r="H29" s="469"/>
      <c r="I29" s="469"/>
      <c r="J29" s="476">
        <f>I29*F29</f>
        <v>0</v>
      </c>
      <c r="K29" s="469"/>
      <c r="M29" s="473"/>
    </row>
    <row r="30" spans="1:13" ht="13.5" thickBot="1">
      <c r="A30" s="469">
        <v>203</v>
      </c>
      <c r="B30" s="477"/>
      <c r="C30" s="477"/>
      <c r="D30" s="476"/>
      <c r="E30" s="477" t="s">
        <v>3484</v>
      </c>
      <c r="F30" s="477">
        <v>1</v>
      </c>
      <c r="G30" s="477" t="s">
        <v>3086</v>
      </c>
      <c r="H30" s="477"/>
      <c r="I30" s="469"/>
      <c r="J30" s="476">
        <v>0</v>
      </c>
      <c r="K30" s="469"/>
      <c r="M30" s="473"/>
    </row>
    <row r="31" spans="1:13">
      <c r="A31" s="480"/>
      <c r="B31" s="480"/>
      <c r="C31" s="480"/>
      <c r="D31" s="481" t="s">
        <v>3480</v>
      </c>
      <c r="E31" s="480"/>
      <c r="F31" s="480"/>
      <c r="G31" s="480"/>
      <c r="H31" s="482"/>
      <c r="I31" s="482"/>
      <c r="J31" s="480">
        <f>SUM(J28:J30)</f>
        <v>0</v>
      </c>
      <c r="K31" s="483">
        <f>SUM(K28:K30)</f>
        <v>0</v>
      </c>
      <c r="M31" s="473"/>
    </row>
    <row r="32" spans="1:13">
      <c r="A32" s="468"/>
      <c r="B32" s="468"/>
      <c r="C32" s="468"/>
      <c r="D32" s="472"/>
      <c r="E32" s="468"/>
      <c r="F32" s="468"/>
      <c r="G32" s="468"/>
      <c r="H32" s="469"/>
      <c r="I32" s="469"/>
      <c r="J32" s="469"/>
      <c r="K32" s="484"/>
    </row>
    <row r="33" spans="1:11">
      <c r="A33" s="468"/>
      <c r="B33" s="468"/>
      <c r="C33" s="468"/>
      <c r="D33" s="472"/>
      <c r="E33" s="468"/>
      <c r="F33" s="468"/>
      <c r="G33" s="468"/>
      <c r="H33" s="469"/>
      <c r="I33" s="469"/>
      <c r="J33" s="469"/>
      <c r="K33" s="484"/>
    </row>
    <row r="34" spans="1:11" ht="18">
      <c r="A34" s="474">
        <v>301</v>
      </c>
      <c r="B34" s="468"/>
      <c r="C34" s="468"/>
      <c r="D34" s="472"/>
      <c r="E34" s="467" t="s">
        <v>3485</v>
      </c>
      <c r="F34" s="468"/>
      <c r="G34" s="468"/>
      <c r="H34" s="469"/>
      <c r="I34" s="469"/>
      <c r="J34" s="469"/>
      <c r="K34" s="484"/>
    </row>
    <row r="35" spans="1:11">
      <c r="A35" s="468"/>
      <c r="B35" s="468"/>
      <c r="C35" s="468"/>
      <c r="D35" s="472"/>
      <c r="E35" s="468"/>
      <c r="F35" s="468"/>
      <c r="G35" s="468"/>
      <c r="H35" s="469"/>
      <c r="I35" s="469"/>
      <c r="J35" s="469"/>
      <c r="K35" s="484"/>
    </row>
    <row r="36" spans="1:11">
      <c r="A36" s="475">
        <v>301</v>
      </c>
      <c r="B36" s="469"/>
      <c r="C36" s="469"/>
      <c r="D36" s="469" t="s">
        <v>3468</v>
      </c>
      <c r="E36" s="469" t="s">
        <v>3486</v>
      </c>
      <c r="F36" s="469">
        <v>1</v>
      </c>
      <c r="G36" s="469" t="s">
        <v>2873</v>
      </c>
      <c r="H36" s="469"/>
      <c r="I36" s="469"/>
      <c r="J36" s="469">
        <f t="shared" ref="J36:J43" si="2">I36*F36</f>
        <v>0</v>
      </c>
      <c r="K36" s="469"/>
    </row>
    <row r="37" spans="1:11">
      <c r="A37" s="475">
        <f>A36+1</f>
        <v>302</v>
      </c>
      <c r="B37" s="469"/>
      <c r="C37" s="469"/>
      <c r="D37" s="469" t="s">
        <v>3468</v>
      </c>
      <c r="E37" s="469" t="s">
        <v>3487</v>
      </c>
      <c r="F37" s="469">
        <v>1</v>
      </c>
      <c r="G37" s="469" t="s">
        <v>2873</v>
      </c>
      <c r="H37" s="469"/>
      <c r="I37" s="469"/>
      <c r="J37" s="469">
        <f t="shared" si="2"/>
        <v>0</v>
      </c>
      <c r="K37" s="469"/>
    </row>
    <row r="38" spans="1:11">
      <c r="A38" s="475">
        <f t="shared" ref="A38:A43" si="3">A37+1</f>
        <v>303</v>
      </c>
      <c r="B38" s="469"/>
      <c r="C38" s="469"/>
      <c r="D38" s="469" t="s">
        <v>3468</v>
      </c>
      <c r="E38" s="469" t="s">
        <v>3474</v>
      </c>
      <c r="F38" s="469">
        <v>1</v>
      </c>
      <c r="G38" s="469" t="s">
        <v>2873</v>
      </c>
      <c r="H38" s="469"/>
      <c r="I38" s="469"/>
      <c r="J38" s="469">
        <f t="shared" si="2"/>
        <v>0</v>
      </c>
      <c r="K38" s="469"/>
    </row>
    <row r="39" spans="1:11" ht="25.7" customHeight="1">
      <c r="A39" s="475">
        <f t="shared" si="3"/>
        <v>304</v>
      </c>
      <c r="B39" s="468"/>
      <c r="C39" s="468"/>
      <c r="D39" s="469" t="s">
        <v>3468</v>
      </c>
      <c r="E39" s="476" t="s">
        <v>3488</v>
      </c>
      <c r="F39" s="469">
        <v>1</v>
      </c>
      <c r="G39" s="469" t="s">
        <v>2873</v>
      </c>
      <c r="H39" s="469"/>
      <c r="I39" s="469"/>
      <c r="J39" s="469">
        <f t="shared" si="2"/>
        <v>0</v>
      </c>
      <c r="K39" s="469"/>
    </row>
    <row r="40" spans="1:11">
      <c r="A40" s="475">
        <f t="shared" si="3"/>
        <v>305</v>
      </c>
      <c r="B40" s="468"/>
      <c r="C40" s="468"/>
      <c r="D40" s="469" t="s">
        <v>3468</v>
      </c>
      <c r="E40" s="469" t="s">
        <v>3474</v>
      </c>
      <c r="F40" s="469">
        <v>1</v>
      </c>
      <c r="G40" s="469" t="s">
        <v>2873</v>
      </c>
      <c r="H40" s="469"/>
      <c r="I40" s="469"/>
      <c r="J40" s="469">
        <f t="shared" si="2"/>
        <v>0</v>
      </c>
      <c r="K40" s="469"/>
    </row>
    <row r="41" spans="1:11">
      <c r="A41" s="475">
        <f t="shared" si="3"/>
        <v>306</v>
      </c>
      <c r="B41" s="468"/>
      <c r="C41" s="468"/>
      <c r="D41" s="469"/>
      <c r="E41" s="476" t="s">
        <v>3475</v>
      </c>
      <c r="F41" s="476">
        <v>15</v>
      </c>
      <c r="G41" s="476" t="s">
        <v>3476</v>
      </c>
      <c r="H41" s="469"/>
      <c r="I41" s="469"/>
      <c r="J41" s="469">
        <f t="shared" si="2"/>
        <v>0</v>
      </c>
      <c r="K41" s="469"/>
    </row>
    <row r="42" spans="1:11">
      <c r="A42" s="475">
        <f t="shared" si="3"/>
        <v>307</v>
      </c>
      <c r="B42" s="468"/>
      <c r="C42" s="468"/>
      <c r="D42" s="477"/>
      <c r="E42" s="478" t="s">
        <v>3478</v>
      </c>
      <c r="F42" s="478">
        <v>1</v>
      </c>
      <c r="G42" s="478" t="s">
        <v>3086</v>
      </c>
      <c r="H42" s="477"/>
      <c r="I42" s="469"/>
      <c r="J42" s="469">
        <f t="shared" si="2"/>
        <v>0</v>
      </c>
      <c r="K42" s="469"/>
    </row>
    <row r="43" spans="1:11" ht="13.5" thickBot="1">
      <c r="A43" s="475">
        <f t="shared" si="3"/>
        <v>308</v>
      </c>
      <c r="B43" s="468"/>
      <c r="C43" s="468"/>
      <c r="D43" s="479"/>
      <c r="E43" s="477" t="s">
        <v>3479</v>
      </c>
      <c r="F43" s="477">
        <v>1</v>
      </c>
      <c r="G43" s="477" t="s">
        <v>3086</v>
      </c>
      <c r="H43" s="477"/>
      <c r="I43" s="469"/>
      <c r="J43" s="469">
        <f t="shared" si="2"/>
        <v>0</v>
      </c>
      <c r="K43" s="469"/>
    </row>
    <row r="44" spans="1:11">
      <c r="A44" s="480"/>
      <c r="B44" s="480"/>
      <c r="C44" s="480"/>
      <c r="D44" s="481" t="s">
        <v>3480</v>
      </c>
      <c r="E44" s="480"/>
      <c r="F44" s="480"/>
      <c r="G44" s="480"/>
      <c r="H44" s="482"/>
      <c r="I44" s="482"/>
      <c r="J44" s="480">
        <f>SUM(J36:J43)</f>
        <v>0</v>
      </c>
      <c r="K44" s="483">
        <f>SUM(K36:K43)</f>
        <v>0</v>
      </c>
    </row>
    <row r="45" spans="1:11">
      <c r="A45" s="475"/>
      <c r="B45" s="468"/>
      <c r="C45" s="468"/>
      <c r="D45" s="479"/>
      <c r="E45" s="477"/>
      <c r="F45" s="477"/>
      <c r="G45" s="477"/>
      <c r="H45" s="477"/>
      <c r="I45" s="477"/>
      <c r="J45" s="469"/>
      <c r="K45" s="477"/>
    </row>
    <row r="46" spans="1:11">
      <c r="A46" s="469"/>
      <c r="B46" s="469"/>
      <c r="C46" s="469"/>
      <c r="D46" s="469"/>
      <c r="E46" s="469"/>
      <c r="F46" s="469"/>
      <c r="G46" s="469"/>
      <c r="H46" s="469"/>
      <c r="I46" s="469"/>
      <c r="J46" s="469"/>
      <c r="K46" s="469"/>
    </row>
    <row r="47" spans="1:11" ht="15.75">
      <c r="A47" s="469"/>
      <c r="B47" s="469"/>
      <c r="C47" s="469"/>
      <c r="D47" s="469"/>
      <c r="E47" s="467" t="s">
        <v>3489</v>
      </c>
      <c r="F47" s="469"/>
      <c r="G47" s="469"/>
      <c r="H47" s="469"/>
      <c r="I47" s="469"/>
      <c r="J47" s="469"/>
      <c r="K47" s="469"/>
    </row>
    <row r="48" spans="1:11">
      <c r="A48" s="469"/>
      <c r="B48" s="469"/>
      <c r="C48" s="469"/>
      <c r="D48" s="469"/>
      <c r="E48" s="469"/>
      <c r="F48" s="469"/>
      <c r="G48" s="469"/>
      <c r="H48" s="469"/>
      <c r="I48" s="469"/>
      <c r="J48" s="469"/>
      <c r="K48" s="469"/>
    </row>
    <row r="49" spans="1:11" ht="15">
      <c r="A49" s="469"/>
      <c r="B49" s="469"/>
      <c r="C49" s="469"/>
      <c r="D49" s="469"/>
      <c r="E49" s="486" t="s">
        <v>2843</v>
      </c>
      <c r="F49" s="486"/>
      <c r="G49" s="486"/>
      <c r="H49" s="486"/>
      <c r="I49" s="486"/>
      <c r="J49" s="487">
        <f>J22+J31+J44</f>
        <v>0</v>
      </c>
      <c r="K49" s="469"/>
    </row>
    <row r="50" spans="1:11" ht="15">
      <c r="A50" s="469"/>
      <c r="B50" s="469"/>
      <c r="C50" s="469"/>
      <c r="D50" s="469"/>
      <c r="E50" s="486" t="s">
        <v>2844</v>
      </c>
      <c r="F50" s="486"/>
      <c r="G50" s="486"/>
      <c r="H50" s="486"/>
      <c r="I50" s="486"/>
      <c r="J50" s="487">
        <f>K22+K31+K44</f>
        <v>0</v>
      </c>
      <c r="K50" s="469"/>
    </row>
    <row r="51" spans="1:11" ht="15">
      <c r="A51" s="469"/>
      <c r="B51" s="469"/>
      <c r="C51" s="469"/>
      <c r="D51" s="469"/>
      <c r="E51" s="488" t="s">
        <v>3490</v>
      </c>
      <c r="F51" s="488"/>
      <c r="G51" s="488"/>
      <c r="H51" s="488"/>
      <c r="I51" s="488"/>
      <c r="J51" s="489"/>
      <c r="K51" s="469"/>
    </row>
    <row r="52" spans="1:11" ht="15.75" thickBot="1">
      <c r="A52" s="469"/>
      <c r="B52" s="469"/>
      <c r="C52" s="469"/>
      <c r="D52" s="469"/>
      <c r="E52" s="488" t="s">
        <v>3491</v>
      </c>
      <c r="F52" s="488"/>
      <c r="G52" s="488"/>
      <c r="H52" s="488"/>
      <c r="I52" s="488"/>
      <c r="J52" s="489"/>
      <c r="K52" s="469"/>
    </row>
    <row r="53" spans="1:11" ht="15.75">
      <c r="A53" s="469"/>
      <c r="B53" s="469"/>
      <c r="C53" s="469"/>
      <c r="D53" s="469"/>
      <c r="E53" s="490" t="s">
        <v>3492</v>
      </c>
      <c r="F53" s="490"/>
      <c r="G53" s="490"/>
      <c r="H53" s="490"/>
      <c r="I53" s="490"/>
      <c r="J53" s="491">
        <f>SUM(J49:J52)</f>
        <v>0</v>
      </c>
      <c r="K53" s="469"/>
    </row>
    <row r="54" spans="1:11">
      <c r="A54" s="469"/>
      <c r="B54" s="469"/>
      <c r="C54" s="469"/>
      <c r="D54" s="469"/>
      <c r="E54" s="469"/>
      <c r="F54" s="469"/>
      <c r="G54" s="469"/>
      <c r="H54" s="469"/>
      <c r="I54" s="469"/>
      <c r="J54" s="469"/>
      <c r="K54" s="469"/>
    </row>
    <row r="55" spans="1:11">
      <c r="A55" s="469"/>
      <c r="B55" s="469"/>
      <c r="C55" s="469"/>
      <c r="D55" s="469"/>
      <c r="E55" s="469"/>
      <c r="F55" s="469"/>
      <c r="G55" s="469"/>
      <c r="H55" s="469"/>
      <c r="I55" s="469"/>
      <c r="J55" s="469"/>
      <c r="K55" s="469"/>
    </row>
    <row r="56" spans="1:11" ht="15">
      <c r="A56" s="469"/>
      <c r="B56" s="469"/>
      <c r="C56" s="469"/>
      <c r="D56" s="486"/>
      <c r="E56" s="486" t="s">
        <v>3493</v>
      </c>
      <c r="F56" s="469"/>
      <c r="G56" s="469"/>
      <c r="H56" s="469"/>
      <c r="I56" s="469"/>
      <c r="J56" s="469"/>
      <c r="K56" s="469"/>
    </row>
    <row r="57" spans="1:11">
      <c r="A57" s="469"/>
      <c r="B57" s="469"/>
      <c r="C57" s="469"/>
      <c r="D57" s="469"/>
      <c r="E57" s="469" t="s">
        <v>3494</v>
      </c>
      <c r="F57" s="469"/>
      <c r="G57" s="469"/>
      <c r="H57" s="469"/>
      <c r="I57" s="469"/>
      <c r="J57" s="469"/>
      <c r="K57" s="469"/>
    </row>
    <row r="58" spans="1:11">
      <c r="A58" s="469"/>
      <c r="B58" s="469"/>
      <c r="C58" s="469"/>
      <c r="D58" s="469"/>
      <c r="E58" s="469" t="s">
        <v>3495</v>
      </c>
      <c r="F58" s="469"/>
      <c r="G58" s="469"/>
      <c r="H58" s="469"/>
      <c r="I58" s="469"/>
      <c r="J58" s="469"/>
      <c r="K58" s="469"/>
    </row>
    <row r="59" spans="1:11">
      <c r="A59" s="469"/>
      <c r="B59" s="469"/>
      <c r="C59" s="469"/>
      <c r="D59" s="469"/>
      <c r="E59" s="469" t="s">
        <v>3496</v>
      </c>
      <c r="F59" s="469"/>
      <c r="G59" s="469"/>
      <c r="H59" s="469"/>
      <c r="I59" s="469"/>
      <c r="J59" s="469"/>
      <c r="K59" s="469"/>
    </row>
    <row r="60" spans="1:11">
      <c r="A60" s="469"/>
      <c r="B60" s="469"/>
      <c r="C60" s="469"/>
      <c r="D60" s="469"/>
      <c r="E60" s="469" t="s">
        <v>3497</v>
      </c>
      <c r="F60" s="469"/>
      <c r="G60" s="469"/>
      <c r="H60" s="469"/>
      <c r="I60" s="469"/>
      <c r="J60" s="469"/>
      <c r="K60" s="469"/>
    </row>
    <row r="61" spans="1:11">
      <c r="A61" s="469"/>
      <c r="B61" s="469"/>
      <c r="C61" s="469"/>
      <c r="D61" s="469"/>
      <c r="E61" s="469"/>
      <c r="F61" s="469"/>
      <c r="G61" s="469"/>
      <c r="H61" s="469"/>
      <c r="I61" s="469"/>
      <c r="J61" s="469"/>
      <c r="K61" s="469"/>
    </row>
    <row r="62" spans="1:11">
      <c r="A62" s="469"/>
      <c r="B62" s="469"/>
      <c r="C62" s="469"/>
      <c r="D62" s="469"/>
      <c r="E62" s="469"/>
      <c r="F62" s="469"/>
      <c r="G62" s="469"/>
      <c r="H62" s="469"/>
      <c r="I62" s="469"/>
      <c r="J62" s="469"/>
      <c r="K62" s="469"/>
    </row>
    <row r="63" spans="1:11">
      <c r="A63" s="469"/>
      <c r="B63" s="469"/>
      <c r="C63" s="469"/>
      <c r="D63" s="469"/>
      <c r="E63" s="469"/>
      <c r="F63" s="469"/>
      <c r="G63" s="469"/>
      <c r="H63" s="469"/>
      <c r="I63" s="469"/>
      <c r="J63" s="469"/>
      <c r="K63" s="469"/>
    </row>
    <row r="64" spans="1:11">
      <c r="A64" s="469"/>
      <c r="B64" s="469"/>
      <c r="C64" s="469"/>
      <c r="D64" s="469"/>
      <c r="E64" s="469"/>
      <c r="F64" s="469"/>
      <c r="G64" s="469"/>
      <c r="H64" s="469"/>
      <c r="I64" s="469"/>
      <c r="J64" s="469"/>
      <c r="K64" s="469"/>
    </row>
    <row r="65" spans="1:11">
      <c r="A65" s="469"/>
      <c r="B65" s="469"/>
      <c r="C65" s="469"/>
      <c r="D65" s="469"/>
      <c r="E65" s="469"/>
      <c r="F65" s="469"/>
      <c r="G65" s="469"/>
      <c r="H65" s="469"/>
      <c r="I65" s="469"/>
      <c r="J65" s="469"/>
      <c r="K65" s="469"/>
    </row>
    <row r="66" spans="1:11">
      <c r="A66" s="469"/>
      <c r="B66" s="469"/>
      <c r="C66" s="469"/>
      <c r="D66" s="469"/>
      <c r="E66" s="469"/>
      <c r="F66" s="469"/>
      <c r="G66" s="469"/>
      <c r="H66" s="469"/>
      <c r="I66" s="469"/>
      <c r="J66" s="469"/>
      <c r="K66" s="469"/>
    </row>
    <row r="67" spans="1:11">
      <c r="A67" s="469"/>
      <c r="B67" s="469"/>
      <c r="C67" s="469"/>
      <c r="D67" s="469"/>
      <c r="E67" s="469"/>
      <c r="F67" s="469"/>
      <c r="G67" s="469"/>
      <c r="H67" s="469"/>
      <c r="I67" s="469"/>
      <c r="J67" s="469"/>
      <c r="K67" s="469"/>
    </row>
    <row r="68" spans="1:11">
      <c r="A68" s="469"/>
      <c r="B68" s="469"/>
      <c r="C68" s="469"/>
      <c r="D68" s="469"/>
      <c r="E68" s="469"/>
      <c r="F68" s="469"/>
      <c r="G68" s="469"/>
      <c r="H68" s="469"/>
      <c r="I68" s="469"/>
      <c r="J68" s="469"/>
      <c r="K68" s="469"/>
    </row>
    <row r="69" spans="1:11">
      <c r="A69" s="469"/>
      <c r="B69" s="469"/>
      <c r="C69" s="469"/>
      <c r="D69" s="469"/>
      <c r="E69" s="469"/>
      <c r="F69" s="469"/>
      <c r="G69" s="469"/>
      <c r="H69" s="469"/>
      <c r="I69" s="469"/>
      <c r="J69" s="469"/>
      <c r="K69" s="469"/>
    </row>
    <row r="70" spans="1:11">
      <c r="A70" s="469"/>
      <c r="B70" s="469"/>
      <c r="C70" s="469"/>
      <c r="D70" s="469"/>
      <c r="E70" s="469"/>
      <c r="F70" s="469"/>
      <c r="G70" s="469"/>
      <c r="H70" s="469"/>
      <c r="I70" s="469"/>
      <c r="J70" s="469"/>
      <c r="K70" s="469"/>
    </row>
  </sheetData>
  <pageMargins left="0.78740157480314965" right="0.78740157480314965" top="0.98425196850393704" bottom="0.98425196850393704" header="0.51181102362204722" footer="0.51181102362204722"/>
  <pageSetup paperSize="9" scale="61" fitToHeight="10" orientation="portrait" r:id="rId1"/>
  <headerFooter alignWithMargins="0">
    <oddHeader>&amp;LAC PALACHOVKA</oddHeader>
    <oddFooter>&amp;CStránka &amp;P</oddFooter>
  </headerFooter>
  <rowBreaks count="1" manualBreakCount="1">
    <brk id="2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34CEF-8C04-4C4B-B940-B87DA9A3D209}">
  <dimension ref="A3:I18"/>
  <sheetViews>
    <sheetView tabSelected="1" topLeftCell="A7" zoomScale="90" zoomScaleNormal="90" workbookViewId="0">
      <selection activeCell="P7" sqref="P7"/>
    </sheetView>
  </sheetViews>
  <sheetFormatPr defaultColWidth="13.33203125" defaultRowHeight="12.75"/>
  <cols>
    <col min="1" max="1" width="6.1640625" style="466" customWidth="1"/>
    <col min="2" max="2" width="49.6640625" style="466" customWidth="1"/>
    <col min="3" max="3" width="4.6640625" style="466" customWidth="1"/>
    <col min="4" max="6" width="11.1640625" style="466" customWidth="1"/>
    <col min="7" max="256" width="13.33203125" style="466"/>
    <col min="257" max="257" width="6.1640625" style="466" customWidth="1"/>
    <col min="258" max="258" width="49.6640625" style="466" customWidth="1"/>
    <col min="259" max="259" width="4.6640625" style="466" customWidth="1"/>
    <col min="260" max="262" width="11.1640625" style="466" customWidth="1"/>
    <col min="263" max="512" width="13.33203125" style="466"/>
    <col min="513" max="513" width="6.1640625" style="466" customWidth="1"/>
    <col min="514" max="514" width="49.6640625" style="466" customWidth="1"/>
    <col min="515" max="515" width="4.6640625" style="466" customWidth="1"/>
    <col min="516" max="518" width="11.1640625" style="466" customWidth="1"/>
    <col min="519" max="768" width="13.33203125" style="466"/>
    <col min="769" max="769" width="6.1640625" style="466" customWidth="1"/>
    <col min="770" max="770" width="49.6640625" style="466" customWidth="1"/>
    <col min="771" max="771" width="4.6640625" style="466" customWidth="1"/>
    <col min="772" max="774" width="11.1640625" style="466" customWidth="1"/>
    <col min="775" max="1024" width="13.33203125" style="466"/>
    <col min="1025" max="1025" width="6.1640625" style="466" customWidth="1"/>
    <col min="1026" max="1026" width="49.6640625" style="466" customWidth="1"/>
    <col min="1027" max="1027" width="4.6640625" style="466" customWidth="1"/>
    <col min="1028" max="1030" width="11.1640625" style="466" customWidth="1"/>
    <col min="1031" max="1280" width="13.33203125" style="466"/>
    <col min="1281" max="1281" width="6.1640625" style="466" customWidth="1"/>
    <col min="1282" max="1282" width="49.6640625" style="466" customWidth="1"/>
    <col min="1283" max="1283" width="4.6640625" style="466" customWidth="1"/>
    <col min="1284" max="1286" width="11.1640625" style="466" customWidth="1"/>
    <col min="1287" max="1536" width="13.33203125" style="466"/>
    <col min="1537" max="1537" width="6.1640625" style="466" customWidth="1"/>
    <col min="1538" max="1538" width="49.6640625" style="466" customWidth="1"/>
    <col min="1539" max="1539" width="4.6640625" style="466" customWidth="1"/>
    <col min="1540" max="1542" width="11.1640625" style="466" customWidth="1"/>
    <col min="1543" max="1792" width="13.33203125" style="466"/>
    <col min="1793" max="1793" width="6.1640625" style="466" customWidth="1"/>
    <col min="1794" max="1794" width="49.6640625" style="466" customWidth="1"/>
    <col min="1795" max="1795" width="4.6640625" style="466" customWidth="1"/>
    <col min="1796" max="1798" width="11.1640625" style="466" customWidth="1"/>
    <col min="1799" max="2048" width="13.33203125" style="466"/>
    <col min="2049" max="2049" width="6.1640625" style="466" customWidth="1"/>
    <col min="2050" max="2050" width="49.6640625" style="466" customWidth="1"/>
    <col min="2051" max="2051" width="4.6640625" style="466" customWidth="1"/>
    <col min="2052" max="2054" width="11.1640625" style="466" customWidth="1"/>
    <col min="2055" max="2304" width="13.33203125" style="466"/>
    <col min="2305" max="2305" width="6.1640625" style="466" customWidth="1"/>
    <col min="2306" max="2306" width="49.6640625" style="466" customWidth="1"/>
    <col min="2307" max="2307" width="4.6640625" style="466" customWidth="1"/>
    <col min="2308" max="2310" width="11.1640625" style="466" customWidth="1"/>
    <col min="2311" max="2560" width="13.33203125" style="466"/>
    <col min="2561" max="2561" width="6.1640625" style="466" customWidth="1"/>
    <col min="2562" max="2562" width="49.6640625" style="466" customWidth="1"/>
    <col min="2563" max="2563" width="4.6640625" style="466" customWidth="1"/>
    <col min="2564" max="2566" width="11.1640625" style="466" customWidth="1"/>
    <col min="2567" max="2816" width="13.33203125" style="466"/>
    <col min="2817" max="2817" width="6.1640625" style="466" customWidth="1"/>
    <col min="2818" max="2818" width="49.6640625" style="466" customWidth="1"/>
    <col min="2819" max="2819" width="4.6640625" style="466" customWidth="1"/>
    <col min="2820" max="2822" width="11.1640625" style="466" customWidth="1"/>
    <col min="2823" max="3072" width="13.33203125" style="466"/>
    <col min="3073" max="3073" width="6.1640625" style="466" customWidth="1"/>
    <col min="3074" max="3074" width="49.6640625" style="466" customWidth="1"/>
    <col min="3075" max="3075" width="4.6640625" style="466" customWidth="1"/>
    <col min="3076" max="3078" width="11.1640625" style="466" customWidth="1"/>
    <col min="3079" max="3328" width="13.33203125" style="466"/>
    <col min="3329" max="3329" width="6.1640625" style="466" customWidth="1"/>
    <col min="3330" max="3330" width="49.6640625" style="466" customWidth="1"/>
    <col min="3331" max="3331" width="4.6640625" style="466" customWidth="1"/>
    <col min="3332" max="3334" width="11.1640625" style="466" customWidth="1"/>
    <col min="3335" max="3584" width="13.33203125" style="466"/>
    <col min="3585" max="3585" width="6.1640625" style="466" customWidth="1"/>
    <col min="3586" max="3586" width="49.6640625" style="466" customWidth="1"/>
    <col min="3587" max="3587" width="4.6640625" style="466" customWidth="1"/>
    <col min="3588" max="3590" width="11.1640625" style="466" customWidth="1"/>
    <col min="3591" max="3840" width="13.33203125" style="466"/>
    <col min="3841" max="3841" width="6.1640625" style="466" customWidth="1"/>
    <col min="3842" max="3842" width="49.6640625" style="466" customWidth="1"/>
    <col min="3843" max="3843" width="4.6640625" style="466" customWidth="1"/>
    <col min="3844" max="3846" width="11.1640625" style="466" customWidth="1"/>
    <col min="3847" max="4096" width="13.33203125" style="466"/>
    <col min="4097" max="4097" width="6.1640625" style="466" customWidth="1"/>
    <col min="4098" max="4098" width="49.6640625" style="466" customWidth="1"/>
    <col min="4099" max="4099" width="4.6640625" style="466" customWidth="1"/>
    <col min="4100" max="4102" width="11.1640625" style="466" customWidth="1"/>
    <col min="4103" max="4352" width="13.33203125" style="466"/>
    <col min="4353" max="4353" width="6.1640625" style="466" customWidth="1"/>
    <col min="4354" max="4354" width="49.6640625" style="466" customWidth="1"/>
    <col min="4355" max="4355" width="4.6640625" style="466" customWidth="1"/>
    <col min="4356" max="4358" width="11.1640625" style="466" customWidth="1"/>
    <col min="4359" max="4608" width="13.33203125" style="466"/>
    <col min="4609" max="4609" width="6.1640625" style="466" customWidth="1"/>
    <col min="4610" max="4610" width="49.6640625" style="466" customWidth="1"/>
    <col min="4611" max="4611" width="4.6640625" style="466" customWidth="1"/>
    <col min="4612" max="4614" width="11.1640625" style="466" customWidth="1"/>
    <col min="4615" max="4864" width="13.33203125" style="466"/>
    <col min="4865" max="4865" width="6.1640625" style="466" customWidth="1"/>
    <col min="4866" max="4866" width="49.6640625" style="466" customWidth="1"/>
    <col min="4867" max="4867" width="4.6640625" style="466" customWidth="1"/>
    <col min="4868" max="4870" width="11.1640625" style="466" customWidth="1"/>
    <col min="4871" max="5120" width="13.33203125" style="466"/>
    <col min="5121" max="5121" width="6.1640625" style="466" customWidth="1"/>
    <col min="5122" max="5122" width="49.6640625" style="466" customWidth="1"/>
    <col min="5123" max="5123" width="4.6640625" style="466" customWidth="1"/>
    <col min="5124" max="5126" width="11.1640625" style="466" customWidth="1"/>
    <col min="5127" max="5376" width="13.33203125" style="466"/>
    <col min="5377" max="5377" width="6.1640625" style="466" customWidth="1"/>
    <col min="5378" max="5378" width="49.6640625" style="466" customWidth="1"/>
    <col min="5379" max="5379" width="4.6640625" style="466" customWidth="1"/>
    <col min="5380" max="5382" width="11.1640625" style="466" customWidth="1"/>
    <col min="5383" max="5632" width="13.33203125" style="466"/>
    <col min="5633" max="5633" width="6.1640625" style="466" customWidth="1"/>
    <col min="5634" max="5634" width="49.6640625" style="466" customWidth="1"/>
    <col min="5635" max="5635" width="4.6640625" style="466" customWidth="1"/>
    <col min="5636" max="5638" width="11.1640625" style="466" customWidth="1"/>
    <col min="5639" max="5888" width="13.33203125" style="466"/>
    <col min="5889" max="5889" width="6.1640625" style="466" customWidth="1"/>
    <col min="5890" max="5890" width="49.6640625" style="466" customWidth="1"/>
    <col min="5891" max="5891" width="4.6640625" style="466" customWidth="1"/>
    <col min="5892" max="5894" width="11.1640625" style="466" customWidth="1"/>
    <col min="5895" max="6144" width="13.33203125" style="466"/>
    <col min="6145" max="6145" width="6.1640625" style="466" customWidth="1"/>
    <col min="6146" max="6146" width="49.6640625" style="466" customWidth="1"/>
    <col min="6147" max="6147" width="4.6640625" style="466" customWidth="1"/>
    <col min="6148" max="6150" width="11.1640625" style="466" customWidth="1"/>
    <col min="6151" max="6400" width="13.33203125" style="466"/>
    <col min="6401" max="6401" width="6.1640625" style="466" customWidth="1"/>
    <col min="6402" max="6402" width="49.6640625" style="466" customWidth="1"/>
    <col min="6403" max="6403" width="4.6640625" style="466" customWidth="1"/>
    <col min="6404" max="6406" width="11.1640625" style="466" customWidth="1"/>
    <col min="6407" max="6656" width="13.33203125" style="466"/>
    <col min="6657" max="6657" width="6.1640625" style="466" customWidth="1"/>
    <col min="6658" max="6658" width="49.6640625" style="466" customWidth="1"/>
    <col min="6659" max="6659" width="4.6640625" style="466" customWidth="1"/>
    <col min="6660" max="6662" width="11.1640625" style="466" customWidth="1"/>
    <col min="6663" max="6912" width="13.33203125" style="466"/>
    <col min="6913" max="6913" width="6.1640625" style="466" customWidth="1"/>
    <col min="6914" max="6914" width="49.6640625" style="466" customWidth="1"/>
    <col min="6915" max="6915" width="4.6640625" style="466" customWidth="1"/>
    <col min="6916" max="6918" width="11.1640625" style="466" customWidth="1"/>
    <col min="6919" max="7168" width="13.33203125" style="466"/>
    <col min="7169" max="7169" width="6.1640625" style="466" customWidth="1"/>
    <col min="7170" max="7170" width="49.6640625" style="466" customWidth="1"/>
    <col min="7171" max="7171" width="4.6640625" style="466" customWidth="1"/>
    <col min="7172" max="7174" width="11.1640625" style="466" customWidth="1"/>
    <col min="7175" max="7424" width="13.33203125" style="466"/>
    <col min="7425" max="7425" width="6.1640625" style="466" customWidth="1"/>
    <col min="7426" max="7426" width="49.6640625" style="466" customWidth="1"/>
    <col min="7427" max="7427" width="4.6640625" style="466" customWidth="1"/>
    <col min="7428" max="7430" width="11.1640625" style="466" customWidth="1"/>
    <col min="7431" max="7680" width="13.33203125" style="466"/>
    <col min="7681" max="7681" width="6.1640625" style="466" customWidth="1"/>
    <col min="7682" max="7682" width="49.6640625" style="466" customWidth="1"/>
    <col min="7683" max="7683" width="4.6640625" style="466" customWidth="1"/>
    <col min="7684" max="7686" width="11.1640625" style="466" customWidth="1"/>
    <col min="7687" max="7936" width="13.33203125" style="466"/>
    <col min="7937" max="7937" width="6.1640625" style="466" customWidth="1"/>
    <col min="7938" max="7938" width="49.6640625" style="466" customWidth="1"/>
    <col min="7939" max="7939" width="4.6640625" style="466" customWidth="1"/>
    <col min="7940" max="7942" width="11.1640625" style="466" customWidth="1"/>
    <col min="7943" max="8192" width="13.33203125" style="466"/>
    <col min="8193" max="8193" width="6.1640625" style="466" customWidth="1"/>
    <col min="8194" max="8194" width="49.6640625" style="466" customWidth="1"/>
    <col min="8195" max="8195" width="4.6640625" style="466" customWidth="1"/>
    <col min="8196" max="8198" width="11.1640625" style="466" customWidth="1"/>
    <col min="8199" max="8448" width="13.33203125" style="466"/>
    <col min="8449" max="8449" width="6.1640625" style="466" customWidth="1"/>
    <col min="8450" max="8450" width="49.6640625" style="466" customWidth="1"/>
    <col min="8451" max="8451" width="4.6640625" style="466" customWidth="1"/>
    <col min="8452" max="8454" width="11.1640625" style="466" customWidth="1"/>
    <col min="8455" max="8704" width="13.33203125" style="466"/>
    <col min="8705" max="8705" width="6.1640625" style="466" customWidth="1"/>
    <col min="8706" max="8706" width="49.6640625" style="466" customWidth="1"/>
    <col min="8707" max="8707" width="4.6640625" style="466" customWidth="1"/>
    <col min="8708" max="8710" width="11.1640625" style="466" customWidth="1"/>
    <col min="8711" max="8960" width="13.33203125" style="466"/>
    <col min="8961" max="8961" width="6.1640625" style="466" customWidth="1"/>
    <col min="8962" max="8962" width="49.6640625" style="466" customWidth="1"/>
    <col min="8963" max="8963" width="4.6640625" style="466" customWidth="1"/>
    <col min="8964" max="8966" width="11.1640625" style="466" customWidth="1"/>
    <col min="8967" max="9216" width="13.33203125" style="466"/>
    <col min="9217" max="9217" width="6.1640625" style="466" customWidth="1"/>
    <col min="9218" max="9218" width="49.6640625" style="466" customWidth="1"/>
    <col min="9219" max="9219" width="4.6640625" style="466" customWidth="1"/>
    <col min="9220" max="9222" width="11.1640625" style="466" customWidth="1"/>
    <col min="9223" max="9472" width="13.33203125" style="466"/>
    <col min="9473" max="9473" width="6.1640625" style="466" customWidth="1"/>
    <col min="9474" max="9474" width="49.6640625" style="466" customWidth="1"/>
    <col min="9475" max="9475" width="4.6640625" style="466" customWidth="1"/>
    <col min="9476" max="9478" width="11.1640625" style="466" customWidth="1"/>
    <col min="9479" max="9728" width="13.33203125" style="466"/>
    <col min="9729" max="9729" width="6.1640625" style="466" customWidth="1"/>
    <col min="9730" max="9730" width="49.6640625" style="466" customWidth="1"/>
    <col min="9731" max="9731" width="4.6640625" style="466" customWidth="1"/>
    <col min="9732" max="9734" width="11.1640625" style="466" customWidth="1"/>
    <col min="9735" max="9984" width="13.33203125" style="466"/>
    <col min="9985" max="9985" width="6.1640625" style="466" customWidth="1"/>
    <col min="9986" max="9986" width="49.6640625" style="466" customWidth="1"/>
    <col min="9987" max="9987" width="4.6640625" style="466" customWidth="1"/>
    <col min="9988" max="9990" width="11.1640625" style="466" customWidth="1"/>
    <col min="9991" max="10240" width="13.33203125" style="466"/>
    <col min="10241" max="10241" width="6.1640625" style="466" customWidth="1"/>
    <col min="10242" max="10242" width="49.6640625" style="466" customWidth="1"/>
    <col min="10243" max="10243" width="4.6640625" style="466" customWidth="1"/>
    <col min="10244" max="10246" width="11.1640625" style="466" customWidth="1"/>
    <col min="10247" max="10496" width="13.33203125" style="466"/>
    <col min="10497" max="10497" width="6.1640625" style="466" customWidth="1"/>
    <col min="10498" max="10498" width="49.6640625" style="466" customWidth="1"/>
    <col min="10499" max="10499" width="4.6640625" style="466" customWidth="1"/>
    <col min="10500" max="10502" width="11.1640625" style="466" customWidth="1"/>
    <col min="10503" max="10752" width="13.33203125" style="466"/>
    <col min="10753" max="10753" width="6.1640625" style="466" customWidth="1"/>
    <col min="10754" max="10754" width="49.6640625" style="466" customWidth="1"/>
    <col min="10755" max="10755" width="4.6640625" style="466" customWidth="1"/>
    <col min="10756" max="10758" width="11.1640625" style="466" customWidth="1"/>
    <col min="10759" max="11008" width="13.33203125" style="466"/>
    <col min="11009" max="11009" width="6.1640625" style="466" customWidth="1"/>
    <col min="11010" max="11010" width="49.6640625" style="466" customWidth="1"/>
    <col min="11011" max="11011" width="4.6640625" style="466" customWidth="1"/>
    <col min="11012" max="11014" width="11.1640625" style="466" customWidth="1"/>
    <col min="11015" max="11264" width="13.33203125" style="466"/>
    <col min="11265" max="11265" width="6.1640625" style="466" customWidth="1"/>
    <col min="11266" max="11266" width="49.6640625" style="466" customWidth="1"/>
    <col min="11267" max="11267" width="4.6640625" style="466" customWidth="1"/>
    <col min="11268" max="11270" width="11.1640625" style="466" customWidth="1"/>
    <col min="11271" max="11520" width="13.33203125" style="466"/>
    <col min="11521" max="11521" width="6.1640625" style="466" customWidth="1"/>
    <col min="11522" max="11522" width="49.6640625" style="466" customWidth="1"/>
    <col min="11523" max="11523" width="4.6640625" style="466" customWidth="1"/>
    <col min="11524" max="11526" width="11.1640625" style="466" customWidth="1"/>
    <col min="11527" max="11776" width="13.33203125" style="466"/>
    <col min="11777" max="11777" width="6.1640625" style="466" customWidth="1"/>
    <col min="11778" max="11778" width="49.6640625" style="466" customWidth="1"/>
    <col min="11779" max="11779" width="4.6640625" style="466" customWidth="1"/>
    <col min="11780" max="11782" width="11.1640625" style="466" customWidth="1"/>
    <col min="11783" max="12032" width="13.33203125" style="466"/>
    <col min="12033" max="12033" width="6.1640625" style="466" customWidth="1"/>
    <col min="12034" max="12034" width="49.6640625" style="466" customWidth="1"/>
    <col min="12035" max="12035" width="4.6640625" style="466" customWidth="1"/>
    <col min="12036" max="12038" width="11.1640625" style="466" customWidth="1"/>
    <col min="12039" max="12288" width="13.33203125" style="466"/>
    <col min="12289" max="12289" width="6.1640625" style="466" customWidth="1"/>
    <col min="12290" max="12290" width="49.6640625" style="466" customWidth="1"/>
    <col min="12291" max="12291" width="4.6640625" style="466" customWidth="1"/>
    <col min="12292" max="12294" width="11.1640625" style="466" customWidth="1"/>
    <col min="12295" max="12544" width="13.33203125" style="466"/>
    <col min="12545" max="12545" width="6.1640625" style="466" customWidth="1"/>
    <col min="12546" max="12546" width="49.6640625" style="466" customWidth="1"/>
    <col min="12547" max="12547" width="4.6640625" style="466" customWidth="1"/>
    <col min="12548" max="12550" width="11.1640625" style="466" customWidth="1"/>
    <col min="12551" max="12800" width="13.33203125" style="466"/>
    <col min="12801" max="12801" width="6.1640625" style="466" customWidth="1"/>
    <col min="12802" max="12802" width="49.6640625" style="466" customWidth="1"/>
    <col min="12803" max="12803" width="4.6640625" style="466" customWidth="1"/>
    <col min="12804" max="12806" width="11.1640625" style="466" customWidth="1"/>
    <col min="12807" max="13056" width="13.33203125" style="466"/>
    <col min="13057" max="13057" width="6.1640625" style="466" customWidth="1"/>
    <col min="13058" max="13058" width="49.6640625" style="466" customWidth="1"/>
    <col min="13059" max="13059" width="4.6640625" style="466" customWidth="1"/>
    <col min="13060" max="13062" width="11.1640625" style="466" customWidth="1"/>
    <col min="13063" max="13312" width="13.33203125" style="466"/>
    <col min="13313" max="13313" width="6.1640625" style="466" customWidth="1"/>
    <col min="13314" max="13314" width="49.6640625" style="466" customWidth="1"/>
    <col min="13315" max="13315" width="4.6640625" style="466" customWidth="1"/>
    <col min="13316" max="13318" width="11.1640625" style="466" customWidth="1"/>
    <col min="13319" max="13568" width="13.33203125" style="466"/>
    <col min="13569" max="13569" width="6.1640625" style="466" customWidth="1"/>
    <col min="13570" max="13570" width="49.6640625" style="466" customWidth="1"/>
    <col min="13571" max="13571" width="4.6640625" style="466" customWidth="1"/>
    <col min="13572" max="13574" width="11.1640625" style="466" customWidth="1"/>
    <col min="13575" max="13824" width="13.33203125" style="466"/>
    <col min="13825" max="13825" width="6.1640625" style="466" customWidth="1"/>
    <col min="13826" max="13826" width="49.6640625" style="466" customWidth="1"/>
    <col min="13827" max="13827" width="4.6640625" style="466" customWidth="1"/>
    <col min="13828" max="13830" width="11.1640625" style="466" customWidth="1"/>
    <col min="13831" max="14080" width="13.33203125" style="466"/>
    <col min="14081" max="14081" width="6.1640625" style="466" customWidth="1"/>
    <col min="14082" max="14082" width="49.6640625" style="466" customWidth="1"/>
    <col min="14083" max="14083" width="4.6640625" style="466" customWidth="1"/>
    <col min="14084" max="14086" width="11.1640625" style="466" customWidth="1"/>
    <col min="14087" max="14336" width="13.33203125" style="466"/>
    <col min="14337" max="14337" width="6.1640625" style="466" customWidth="1"/>
    <col min="14338" max="14338" width="49.6640625" style="466" customWidth="1"/>
    <col min="14339" max="14339" width="4.6640625" style="466" customWidth="1"/>
    <col min="14340" max="14342" width="11.1640625" style="466" customWidth="1"/>
    <col min="14343" max="14592" width="13.33203125" style="466"/>
    <col min="14593" max="14593" width="6.1640625" style="466" customWidth="1"/>
    <col min="14594" max="14594" width="49.6640625" style="466" customWidth="1"/>
    <col min="14595" max="14595" width="4.6640625" style="466" customWidth="1"/>
    <col min="14596" max="14598" width="11.1640625" style="466" customWidth="1"/>
    <col min="14599" max="14848" width="13.33203125" style="466"/>
    <col min="14849" max="14849" width="6.1640625" style="466" customWidth="1"/>
    <col min="14850" max="14850" width="49.6640625" style="466" customWidth="1"/>
    <col min="14851" max="14851" width="4.6640625" style="466" customWidth="1"/>
    <col min="14852" max="14854" width="11.1640625" style="466" customWidth="1"/>
    <col min="14855" max="15104" width="13.33203125" style="466"/>
    <col min="15105" max="15105" width="6.1640625" style="466" customWidth="1"/>
    <col min="15106" max="15106" width="49.6640625" style="466" customWidth="1"/>
    <col min="15107" max="15107" width="4.6640625" style="466" customWidth="1"/>
    <col min="15108" max="15110" width="11.1640625" style="466" customWidth="1"/>
    <col min="15111" max="15360" width="13.33203125" style="466"/>
    <col min="15361" max="15361" width="6.1640625" style="466" customWidth="1"/>
    <col min="15362" max="15362" width="49.6640625" style="466" customWidth="1"/>
    <col min="15363" max="15363" width="4.6640625" style="466" customWidth="1"/>
    <col min="15364" max="15366" width="11.1640625" style="466" customWidth="1"/>
    <col min="15367" max="15616" width="13.33203125" style="466"/>
    <col min="15617" max="15617" width="6.1640625" style="466" customWidth="1"/>
    <col min="15618" max="15618" width="49.6640625" style="466" customWidth="1"/>
    <col min="15619" max="15619" width="4.6640625" style="466" customWidth="1"/>
    <col min="15620" max="15622" width="11.1640625" style="466" customWidth="1"/>
    <col min="15623" max="15872" width="13.33203125" style="466"/>
    <col min="15873" max="15873" width="6.1640625" style="466" customWidth="1"/>
    <col min="15874" max="15874" width="49.6640625" style="466" customWidth="1"/>
    <col min="15875" max="15875" width="4.6640625" style="466" customWidth="1"/>
    <col min="15876" max="15878" width="11.1640625" style="466" customWidth="1"/>
    <col min="15879" max="16128" width="13.33203125" style="466"/>
    <col min="16129" max="16129" width="6.1640625" style="466" customWidth="1"/>
    <col min="16130" max="16130" width="49.6640625" style="466" customWidth="1"/>
    <col min="16131" max="16131" width="4.6640625" style="466" customWidth="1"/>
    <col min="16132" max="16134" width="11.1640625" style="466" customWidth="1"/>
    <col min="16135" max="16384" width="13.33203125" style="466"/>
  </cols>
  <sheetData>
    <row r="3" spans="1:9" ht="30.6" customHeight="1">
      <c r="B3" s="618"/>
      <c r="C3" s="618"/>
      <c r="D3" s="618"/>
      <c r="E3" s="618"/>
      <c r="F3" s="618"/>
      <c r="G3" s="618"/>
      <c r="H3" s="618"/>
      <c r="I3" s="618"/>
    </row>
    <row r="5" spans="1:9" ht="52.5" thickTop="1" thickBot="1">
      <c r="A5" s="492" t="s">
        <v>3498</v>
      </c>
      <c r="B5" s="493" t="s">
        <v>3499</v>
      </c>
      <c r="C5" s="494" t="s">
        <v>3500</v>
      </c>
      <c r="D5" s="495" t="s">
        <v>3501</v>
      </c>
      <c r="E5" s="494" t="s">
        <v>3502</v>
      </c>
      <c r="F5" s="495" t="s">
        <v>3503</v>
      </c>
      <c r="G5" s="496" t="s">
        <v>3504</v>
      </c>
      <c r="H5" s="497" t="s">
        <v>3505</v>
      </c>
      <c r="I5" s="498" t="s">
        <v>3506</v>
      </c>
    </row>
    <row r="6" spans="1:9" ht="17.100000000000001" customHeight="1">
      <c r="A6" s="499"/>
      <c r="B6" s="500" t="s">
        <v>3507</v>
      </c>
      <c r="C6" s="501"/>
      <c r="D6" s="502"/>
      <c r="E6" s="503"/>
      <c r="F6" s="503"/>
      <c r="G6" s="503"/>
      <c r="H6" s="503"/>
      <c r="I6" s="504"/>
    </row>
    <row r="7" spans="1:9" ht="173.25" customHeight="1">
      <c r="A7" s="505" t="s">
        <v>3508</v>
      </c>
      <c r="B7" s="506" t="s">
        <v>3509</v>
      </c>
      <c r="C7" s="507">
        <v>2</v>
      </c>
      <c r="D7" s="508"/>
      <c r="E7" s="508"/>
      <c r="F7" s="509"/>
      <c r="G7" s="508">
        <f t="shared" ref="G7:G8" si="0">C7*D7</f>
        <v>0</v>
      </c>
      <c r="H7" s="508">
        <f t="shared" ref="H7:H8" si="1">C7*E7</f>
        <v>0</v>
      </c>
      <c r="I7" s="510">
        <f t="shared" ref="I7:I8" si="2">C7*F7</f>
        <v>0</v>
      </c>
    </row>
    <row r="8" spans="1:9" s="517" customFormat="1" ht="172.5" customHeight="1">
      <c r="A8" s="511" t="s">
        <v>3510</v>
      </c>
      <c r="B8" s="512" t="s">
        <v>3511</v>
      </c>
      <c r="C8" s="513">
        <v>2</v>
      </c>
      <c r="D8" s="514"/>
      <c r="E8" s="514"/>
      <c r="F8" s="515"/>
      <c r="G8" s="514">
        <f t="shared" si="0"/>
        <v>0</v>
      </c>
      <c r="H8" s="514">
        <f t="shared" si="1"/>
        <v>0</v>
      </c>
      <c r="I8" s="516">
        <f t="shared" si="2"/>
        <v>0</v>
      </c>
    </row>
    <row r="9" spans="1:9" ht="17.100000000000001" customHeight="1">
      <c r="A9" s="518"/>
      <c r="B9" s="519" t="s">
        <v>3512</v>
      </c>
      <c r="C9" s="507"/>
      <c r="D9" s="508"/>
      <c r="E9" s="508"/>
      <c r="F9" s="508"/>
      <c r="G9" s="520">
        <f>SUM(G7:G8)</f>
        <v>0</v>
      </c>
      <c r="H9" s="520">
        <f>SUM(H7:H8)</f>
        <v>0</v>
      </c>
      <c r="I9" s="521">
        <f>SUM(I7:I8)</f>
        <v>0</v>
      </c>
    </row>
    <row r="10" spans="1:9" ht="2.85" customHeight="1">
      <c r="A10" s="518"/>
      <c r="B10" s="522"/>
      <c r="C10" s="507"/>
      <c r="D10" s="508"/>
      <c r="E10" s="508"/>
      <c r="F10" s="508"/>
      <c r="G10" s="508"/>
      <c r="H10" s="508"/>
      <c r="I10" s="510"/>
    </row>
    <row r="11" spans="1:9" ht="17.100000000000001" customHeight="1">
      <c r="A11" s="523"/>
      <c r="B11" s="524" t="s">
        <v>620</v>
      </c>
      <c r="C11" s="525"/>
      <c r="D11" s="526"/>
      <c r="E11" s="508"/>
      <c r="F11" s="508"/>
      <c r="G11" s="527"/>
      <c r="H11" s="527"/>
      <c r="I11" s="528"/>
    </row>
    <row r="12" spans="1:9" ht="17.100000000000001" customHeight="1">
      <c r="A12" s="518" t="s">
        <v>3513</v>
      </c>
      <c r="B12" s="529" t="s">
        <v>3514</v>
      </c>
      <c r="C12" s="507">
        <v>1</v>
      </c>
      <c r="D12" s="508"/>
      <c r="E12" s="508"/>
      <c r="F12" s="509"/>
      <c r="G12" s="508">
        <f t="shared" ref="G12:G15" si="3">C12*D12</f>
        <v>0</v>
      </c>
      <c r="H12" s="508">
        <f t="shared" ref="H12:H15" si="4">C12*E12</f>
        <v>0</v>
      </c>
      <c r="I12" s="510">
        <f t="shared" ref="I12:I15" si="5">C12*F12</f>
        <v>0</v>
      </c>
    </row>
    <row r="13" spans="1:9" ht="17.100000000000001" customHeight="1">
      <c r="A13" s="518" t="s">
        <v>3515</v>
      </c>
      <c r="B13" s="529" t="s">
        <v>3516</v>
      </c>
      <c r="C13" s="507">
        <v>1</v>
      </c>
      <c r="D13" s="508"/>
      <c r="E13" s="508"/>
      <c r="F13" s="509"/>
      <c r="G13" s="508">
        <f t="shared" si="3"/>
        <v>0</v>
      </c>
      <c r="H13" s="508">
        <f t="shared" si="4"/>
        <v>0</v>
      </c>
      <c r="I13" s="510">
        <f t="shared" si="5"/>
        <v>0</v>
      </c>
    </row>
    <row r="14" spans="1:9" ht="17.100000000000001" customHeight="1">
      <c r="A14" s="518" t="s">
        <v>3517</v>
      </c>
      <c r="B14" s="529" t="s">
        <v>3518</v>
      </c>
      <c r="C14" s="507">
        <v>1</v>
      </c>
      <c r="D14" s="508"/>
      <c r="E14" s="508"/>
      <c r="F14" s="509"/>
      <c r="G14" s="508">
        <f t="shared" si="3"/>
        <v>0</v>
      </c>
      <c r="H14" s="508">
        <f t="shared" si="4"/>
        <v>0</v>
      </c>
      <c r="I14" s="510">
        <f t="shared" si="5"/>
        <v>0</v>
      </c>
    </row>
    <row r="15" spans="1:9" ht="17.100000000000001" customHeight="1">
      <c r="A15" s="518" t="s">
        <v>3519</v>
      </c>
      <c r="B15" s="529" t="s">
        <v>3520</v>
      </c>
      <c r="C15" s="507">
        <v>1</v>
      </c>
      <c r="D15" s="508"/>
      <c r="E15" s="508"/>
      <c r="F15" s="509"/>
      <c r="G15" s="508">
        <f t="shared" si="3"/>
        <v>0</v>
      </c>
      <c r="H15" s="508">
        <f t="shared" si="4"/>
        <v>0</v>
      </c>
      <c r="I15" s="510">
        <f t="shared" si="5"/>
        <v>0</v>
      </c>
    </row>
    <row r="16" spans="1:9" ht="17.100000000000001" customHeight="1" thickBot="1">
      <c r="A16" s="530"/>
      <c r="B16" s="531" t="s">
        <v>3521</v>
      </c>
      <c r="C16" s="525"/>
      <c r="D16" s="526"/>
      <c r="E16" s="532"/>
      <c r="F16" s="527"/>
      <c r="G16" s="520">
        <f>SUM(G12:G15)</f>
        <v>0</v>
      </c>
      <c r="H16" s="520">
        <f>SUM(H12:H15)</f>
        <v>0</v>
      </c>
      <c r="I16" s="521">
        <f>SUM(I12:I15)</f>
        <v>0</v>
      </c>
    </row>
    <row r="17" spans="1:9" ht="20.100000000000001" customHeight="1" thickBot="1">
      <c r="A17" s="533" t="s">
        <v>3522</v>
      </c>
      <c r="B17" s="534"/>
      <c r="C17" s="535"/>
      <c r="D17" s="536"/>
      <c r="E17" s="537"/>
      <c r="F17" s="538"/>
      <c r="G17" s="539">
        <f>G9+G16</f>
        <v>0</v>
      </c>
      <c r="H17" s="539">
        <f>H9+H16</f>
        <v>0</v>
      </c>
      <c r="I17" s="540">
        <f>I9+I16</f>
        <v>0</v>
      </c>
    </row>
    <row r="18" spans="1:9" ht="13.5" thickTop="1">
      <c r="A18" s="541"/>
      <c r="B18" s="542"/>
      <c r="C18" s="541"/>
      <c r="D18" s="543"/>
      <c r="E18" s="544"/>
      <c r="F18" s="544"/>
      <c r="G18" s="544"/>
      <c r="H18" s="544"/>
      <c r="I18" s="544"/>
    </row>
  </sheetData>
  <sheetProtection selectLockedCells="1" selectUnlockedCells="1"/>
  <mergeCells count="1">
    <mergeCell ref="B3:I3"/>
  </mergeCells>
  <pageMargins left="0.39374999999999999" right="0.39374999999999999" top="0.39374999999999999" bottom="0.39374999999999999" header="0.51180555555555551" footer="0.51180555555555551"/>
  <pageSetup paperSize="9" scale="77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88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584" t="str">
        <f>'Rekapitulace stavby'!K6</f>
        <v>gymnáziu Hostivice - rekonstrukce gymnázia II.etapa</v>
      </c>
      <c r="F7" s="585"/>
      <c r="G7" s="585"/>
      <c r="H7" s="585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556" t="s">
        <v>2562</v>
      </c>
      <c r="F9" s="583"/>
      <c r="G9" s="583"/>
      <c r="H9" s="58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>
        <f>'Rekapitulace stavby'!AN8</f>
        <v>45139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586" t="str">
        <f>'Rekapitulace stavby'!E14</f>
        <v>Vyplň údaj</v>
      </c>
      <c r="F18" s="575"/>
      <c r="G18" s="575"/>
      <c r="H18" s="57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32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4"/>
      <c r="E27" s="579" t="s">
        <v>19</v>
      </c>
      <c r="F27" s="579"/>
      <c r="G27" s="579"/>
      <c r="H27" s="579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37</v>
      </c>
      <c r="J30" s="61">
        <f>ROUND(J85,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39</v>
      </c>
      <c r="I32" s="86" t="s">
        <v>38</v>
      </c>
      <c r="J32" s="86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ROUND((SUM(BE85:BE124)),  2)</f>
        <v>0</v>
      </c>
      <c r="I33" s="89">
        <v>0.21</v>
      </c>
      <c r="J33" s="88">
        <f>ROUND(((SUM(BE85:BE124))*I33),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ROUND((SUM(BF85:BF124)),  2)</f>
        <v>0</v>
      </c>
      <c r="I34" s="89">
        <v>0.15</v>
      </c>
      <c r="J34" s="88">
        <f>ROUND(((SUM(BF85:BF124))*I34),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ROUND((SUM(BG85:BG124)),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ROUND((SUM(BH85:BH124)),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ROUND((SUM(BI85:BI124)),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2"/>
      <c r="F39" s="52"/>
      <c r="G39" s="92" t="s">
        <v>48</v>
      </c>
      <c r="H39" s="93" t="s">
        <v>49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584" t="str">
        <f>E7</f>
        <v>gymnáziu Hostivice - rekonstrukce gymnázia II.etapa</v>
      </c>
      <c r="F48" s="585"/>
      <c r="G48" s="585"/>
      <c r="H48" s="585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556" t="str">
        <f>E9</f>
        <v>03 - Vedlejší rozpočtové náklady</v>
      </c>
      <c r="F50" s="583"/>
      <c r="G50" s="583"/>
      <c r="H50" s="58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Gymnázium Hostivice, Komenského 141</v>
      </c>
      <c r="I52" s="27" t="s">
        <v>23</v>
      </c>
      <c r="J52" s="48">
        <f>IF(J12="","",J12)</f>
        <v>45139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 Zborovská 81/11, Praha 5</v>
      </c>
      <c r="I54" s="27" t="s">
        <v>30</v>
      </c>
      <c r="J54" s="30" t="str">
        <f>E21</f>
        <v>Ing. Petr Petele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34</v>
      </c>
      <c r="J55" s="30" t="str">
        <f>E24</f>
        <v>Ing. Petr Petele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1">
        <f>J85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110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2563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2564</v>
      </c>
      <c r="E62" s="105"/>
      <c r="F62" s="105"/>
      <c r="G62" s="105"/>
      <c r="H62" s="105"/>
      <c r="I62" s="105"/>
      <c r="J62" s="106">
        <f>J109</f>
        <v>0</v>
      </c>
      <c r="L62" s="103"/>
    </row>
    <row r="63" spans="2:47" s="9" customFormat="1" ht="19.899999999999999" customHeight="1">
      <c r="B63" s="103"/>
      <c r="D63" s="104" t="s">
        <v>2565</v>
      </c>
      <c r="E63" s="105"/>
      <c r="F63" s="105"/>
      <c r="G63" s="105"/>
      <c r="H63" s="105"/>
      <c r="I63" s="105"/>
      <c r="J63" s="106">
        <f>J116</f>
        <v>0</v>
      </c>
      <c r="L63" s="103"/>
    </row>
    <row r="64" spans="2:47" s="9" customFormat="1" ht="19.899999999999999" customHeight="1">
      <c r="B64" s="103"/>
      <c r="D64" s="104" t="s">
        <v>2566</v>
      </c>
      <c r="E64" s="105"/>
      <c r="F64" s="105"/>
      <c r="G64" s="105"/>
      <c r="H64" s="105"/>
      <c r="I64" s="105"/>
      <c r="J64" s="106">
        <f>J119</f>
        <v>0</v>
      </c>
      <c r="L64" s="103"/>
    </row>
    <row r="65" spans="2:12" s="9" customFormat="1" ht="19.899999999999999" customHeight="1">
      <c r="B65" s="103"/>
      <c r="D65" s="104" t="s">
        <v>111</v>
      </c>
      <c r="E65" s="105"/>
      <c r="F65" s="105"/>
      <c r="G65" s="105"/>
      <c r="H65" s="105"/>
      <c r="I65" s="105"/>
      <c r="J65" s="106">
        <f>J122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2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2"/>
    </row>
    <row r="72" spans="2:12" s="1" customFormat="1" ht="24.95" customHeight="1">
      <c r="B72" s="32"/>
      <c r="C72" s="21" t="s">
        <v>112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584" t="str">
        <f>E7</f>
        <v>gymnáziu Hostivice - rekonstrukce gymnázia II.etapa</v>
      </c>
      <c r="F75" s="585"/>
      <c r="G75" s="585"/>
      <c r="H75" s="585"/>
      <c r="L75" s="32"/>
    </row>
    <row r="76" spans="2:12" s="1" customFormat="1" ht="12" customHeight="1">
      <c r="B76" s="32"/>
      <c r="C76" s="27" t="s">
        <v>89</v>
      </c>
      <c r="L76" s="32"/>
    </row>
    <row r="77" spans="2:12" s="1" customFormat="1" ht="16.5" customHeight="1">
      <c r="B77" s="32"/>
      <c r="E77" s="556" t="str">
        <f>E9</f>
        <v>03 - Vedlejší rozpočtové náklady</v>
      </c>
      <c r="F77" s="583"/>
      <c r="G77" s="583"/>
      <c r="H77" s="58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Gymnázium Hostivice, Komenského 141</v>
      </c>
      <c r="I79" s="27" t="s">
        <v>23</v>
      </c>
      <c r="J79" s="48">
        <f>IF(J12="","",J12)</f>
        <v>45139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24</v>
      </c>
      <c r="F81" s="25" t="str">
        <f>E15</f>
        <v>Středočeský kraj, Zborovská 81/11, Praha 5</v>
      </c>
      <c r="I81" s="27" t="s">
        <v>30</v>
      </c>
      <c r="J81" s="30" t="str">
        <f>E21</f>
        <v>Ing. Petr Petele</v>
      </c>
      <c r="L81" s="32"/>
    </row>
    <row r="82" spans="2:65" s="1" customFormat="1" ht="15.2" customHeight="1">
      <c r="B82" s="32"/>
      <c r="C82" s="27" t="s">
        <v>28</v>
      </c>
      <c r="F82" s="25" t="str">
        <f>IF(E18="","",E18)</f>
        <v>Vyplň údaj</v>
      </c>
      <c r="I82" s="27" t="s">
        <v>34</v>
      </c>
      <c r="J82" s="30" t="str">
        <f>E24</f>
        <v>Ing. Petr Petele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113</v>
      </c>
      <c r="D84" s="109" t="s">
        <v>56</v>
      </c>
      <c r="E84" s="109" t="s">
        <v>52</v>
      </c>
      <c r="F84" s="109" t="s">
        <v>53</v>
      </c>
      <c r="G84" s="109" t="s">
        <v>114</v>
      </c>
      <c r="H84" s="109" t="s">
        <v>115</v>
      </c>
      <c r="I84" s="109" t="s">
        <v>116</v>
      </c>
      <c r="J84" s="109" t="s">
        <v>93</v>
      </c>
      <c r="K84" s="110" t="s">
        <v>117</v>
      </c>
      <c r="L84" s="107"/>
      <c r="M84" s="54" t="s">
        <v>19</v>
      </c>
      <c r="N84" s="55" t="s">
        <v>41</v>
      </c>
      <c r="O84" s="55" t="s">
        <v>118</v>
      </c>
      <c r="P84" s="55" t="s">
        <v>119</v>
      </c>
      <c r="Q84" s="55" t="s">
        <v>120</v>
      </c>
      <c r="R84" s="55" t="s">
        <v>121</v>
      </c>
      <c r="S84" s="55" t="s">
        <v>122</v>
      </c>
      <c r="T84" s="56" t="s">
        <v>123</v>
      </c>
    </row>
    <row r="85" spans="2:65" s="1" customFormat="1" ht="22.9" customHeight="1">
      <c r="B85" s="32"/>
      <c r="C85" s="59" t="s">
        <v>124</v>
      </c>
      <c r="J85" s="111">
        <f>BK85</f>
        <v>0</v>
      </c>
      <c r="L85" s="32"/>
      <c r="M85" s="57"/>
      <c r="N85" s="49"/>
      <c r="O85" s="49"/>
      <c r="P85" s="112">
        <f>P86</f>
        <v>0</v>
      </c>
      <c r="Q85" s="49"/>
      <c r="R85" s="112">
        <f>R86</f>
        <v>0</v>
      </c>
      <c r="S85" s="49"/>
      <c r="T85" s="113">
        <f>T86</f>
        <v>0</v>
      </c>
      <c r="AT85" s="17" t="s">
        <v>70</v>
      </c>
      <c r="AU85" s="17" t="s">
        <v>94</v>
      </c>
      <c r="BK85" s="114">
        <f>BK86</f>
        <v>0</v>
      </c>
    </row>
    <row r="86" spans="2:65" s="11" customFormat="1" ht="25.9" customHeight="1">
      <c r="B86" s="115"/>
      <c r="D86" s="116" t="s">
        <v>70</v>
      </c>
      <c r="E86" s="117" t="s">
        <v>618</v>
      </c>
      <c r="F86" s="117" t="s">
        <v>86</v>
      </c>
      <c r="I86" s="118"/>
      <c r="J86" s="119">
        <f>BK86</f>
        <v>0</v>
      </c>
      <c r="L86" s="115"/>
      <c r="M86" s="120"/>
      <c r="P86" s="121">
        <f>P87+P109+P116+P119+P122</f>
        <v>0</v>
      </c>
      <c r="R86" s="121">
        <f>R87+R109+R116+R119+R122</f>
        <v>0</v>
      </c>
      <c r="T86" s="122">
        <f>T87+T109+T116+T119+T122</f>
        <v>0</v>
      </c>
      <c r="AR86" s="116" t="s">
        <v>159</v>
      </c>
      <c r="AT86" s="123" t="s">
        <v>70</v>
      </c>
      <c r="AU86" s="123" t="s">
        <v>71</v>
      </c>
      <c r="AY86" s="116" t="s">
        <v>127</v>
      </c>
      <c r="BK86" s="124">
        <f>BK87+BK109+BK116+BK119+BK122</f>
        <v>0</v>
      </c>
    </row>
    <row r="87" spans="2:65" s="11" customFormat="1" ht="22.9" customHeight="1">
      <c r="B87" s="115"/>
      <c r="D87" s="116" t="s">
        <v>70</v>
      </c>
      <c r="E87" s="125" t="s">
        <v>2567</v>
      </c>
      <c r="F87" s="125" t="s">
        <v>2568</v>
      </c>
      <c r="I87" s="118"/>
      <c r="J87" s="126">
        <f>BK87</f>
        <v>0</v>
      </c>
      <c r="L87" s="115"/>
      <c r="M87" s="120"/>
      <c r="P87" s="121">
        <f>SUM(P88:P108)</f>
        <v>0</v>
      </c>
      <c r="R87" s="121">
        <f>SUM(R88:R108)</f>
        <v>0</v>
      </c>
      <c r="T87" s="122">
        <f>SUM(T88:T108)</f>
        <v>0</v>
      </c>
      <c r="AR87" s="116" t="s">
        <v>159</v>
      </c>
      <c r="AT87" s="123" t="s">
        <v>70</v>
      </c>
      <c r="AU87" s="123" t="s">
        <v>79</v>
      </c>
      <c r="AY87" s="116" t="s">
        <v>127</v>
      </c>
      <c r="BK87" s="124">
        <f>SUM(BK88:BK108)</f>
        <v>0</v>
      </c>
    </row>
    <row r="88" spans="2:65" s="1" customFormat="1" ht="16.5" customHeight="1">
      <c r="B88" s="32"/>
      <c r="C88" s="127" t="s">
        <v>79</v>
      </c>
      <c r="D88" s="127" t="s">
        <v>129</v>
      </c>
      <c r="E88" s="128" t="s">
        <v>2569</v>
      </c>
      <c r="F88" s="129" t="s">
        <v>2570</v>
      </c>
      <c r="G88" s="130" t="s">
        <v>191</v>
      </c>
      <c r="H88" s="131">
        <v>1</v>
      </c>
      <c r="I88" s="132"/>
      <c r="J88" s="133">
        <f>ROUND(I88*H88,2)</f>
        <v>0</v>
      </c>
      <c r="K88" s="129" t="s">
        <v>133</v>
      </c>
      <c r="L88" s="32"/>
      <c r="M88" s="134" t="s">
        <v>19</v>
      </c>
      <c r="N88" s="135" t="s">
        <v>42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624</v>
      </c>
      <c r="AT88" s="138" t="s">
        <v>129</v>
      </c>
      <c r="AU88" s="138" t="s">
        <v>81</v>
      </c>
      <c r="AY88" s="17" t="s">
        <v>127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79</v>
      </c>
      <c r="BK88" s="139">
        <f>ROUND(I88*H88,2)</f>
        <v>0</v>
      </c>
      <c r="BL88" s="17" t="s">
        <v>624</v>
      </c>
      <c r="BM88" s="138" t="s">
        <v>2571</v>
      </c>
    </row>
    <row r="89" spans="2:65" s="1" customFormat="1">
      <c r="B89" s="32"/>
      <c r="D89" s="140" t="s">
        <v>136</v>
      </c>
      <c r="F89" s="141" t="s">
        <v>2572</v>
      </c>
      <c r="I89" s="142"/>
      <c r="L89" s="32"/>
      <c r="M89" s="143"/>
      <c r="T89" s="51"/>
      <c r="AT89" s="17" t="s">
        <v>136</v>
      </c>
      <c r="AU89" s="17" t="s">
        <v>81</v>
      </c>
    </row>
    <row r="90" spans="2:65" s="1" customFormat="1" ht="19.5">
      <c r="B90" s="32"/>
      <c r="D90" s="145" t="s">
        <v>2573</v>
      </c>
      <c r="F90" s="183" t="s">
        <v>2574</v>
      </c>
      <c r="I90" s="142"/>
      <c r="L90" s="32"/>
      <c r="M90" s="143"/>
      <c r="T90" s="51"/>
      <c r="AT90" s="17" t="s">
        <v>2573</v>
      </c>
      <c r="AU90" s="17" t="s">
        <v>81</v>
      </c>
    </row>
    <row r="91" spans="2:65" s="1" customFormat="1" ht="16.5" customHeight="1">
      <c r="B91" s="32"/>
      <c r="C91" s="127" t="s">
        <v>81</v>
      </c>
      <c r="D91" s="127" t="s">
        <v>129</v>
      </c>
      <c r="E91" s="128" t="s">
        <v>2575</v>
      </c>
      <c r="F91" s="129" t="s">
        <v>2576</v>
      </c>
      <c r="G91" s="130" t="s">
        <v>191</v>
      </c>
      <c r="H91" s="131">
        <v>1</v>
      </c>
      <c r="I91" s="132"/>
      <c r="J91" s="133">
        <f>ROUND(I91*H91,2)</f>
        <v>0</v>
      </c>
      <c r="K91" s="129" t="s">
        <v>133</v>
      </c>
      <c r="L91" s="32"/>
      <c r="M91" s="134" t="s">
        <v>19</v>
      </c>
      <c r="N91" s="135" t="s">
        <v>42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624</v>
      </c>
      <c r="AT91" s="138" t="s">
        <v>129</v>
      </c>
      <c r="AU91" s="138" t="s">
        <v>81</v>
      </c>
      <c r="AY91" s="17" t="s">
        <v>127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79</v>
      </c>
      <c r="BK91" s="139">
        <f>ROUND(I91*H91,2)</f>
        <v>0</v>
      </c>
      <c r="BL91" s="17" t="s">
        <v>624</v>
      </c>
      <c r="BM91" s="138" t="s">
        <v>2577</v>
      </c>
    </row>
    <row r="92" spans="2:65" s="1" customFormat="1">
      <c r="B92" s="32"/>
      <c r="D92" s="140" t="s">
        <v>136</v>
      </c>
      <c r="F92" s="141" t="s">
        <v>2578</v>
      </c>
      <c r="I92" s="142"/>
      <c r="L92" s="32"/>
      <c r="M92" s="143"/>
      <c r="T92" s="51"/>
      <c r="AT92" s="17" t="s">
        <v>136</v>
      </c>
      <c r="AU92" s="17" t="s">
        <v>81</v>
      </c>
    </row>
    <row r="93" spans="2:65" s="1" customFormat="1" ht="19.5">
      <c r="B93" s="32"/>
      <c r="D93" s="145" t="s">
        <v>2573</v>
      </c>
      <c r="F93" s="183" t="s">
        <v>2579</v>
      </c>
      <c r="I93" s="142"/>
      <c r="L93" s="32"/>
      <c r="M93" s="143"/>
      <c r="T93" s="51"/>
      <c r="AT93" s="17" t="s">
        <v>2573</v>
      </c>
      <c r="AU93" s="17" t="s">
        <v>81</v>
      </c>
    </row>
    <row r="94" spans="2:65" s="1" customFormat="1" ht="16.5" customHeight="1">
      <c r="B94" s="32"/>
      <c r="C94" s="127" t="s">
        <v>144</v>
      </c>
      <c r="D94" s="127" t="s">
        <v>129</v>
      </c>
      <c r="E94" s="128" t="s">
        <v>2580</v>
      </c>
      <c r="F94" s="129" t="s">
        <v>2581</v>
      </c>
      <c r="G94" s="130" t="s">
        <v>191</v>
      </c>
      <c r="H94" s="131">
        <v>1</v>
      </c>
      <c r="I94" s="132"/>
      <c r="J94" s="133">
        <f>ROUND(I94*H94,2)</f>
        <v>0</v>
      </c>
      <c r="K94" s="129" t="s">
        <v>133</v>
      </c>
      <c r="L94" s="32"/>
      <c r="M94" s="134" t="s">
        <v>19</v>
      </c>
      <c r="N94" s="135" t="s">
        <v>42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624</v>
      </c>
      <c r="AT94" s="138" t="s">
        <v>129</v>
      </c>
      <c r="AU94" s="138" t="s">
        <v>81</v>
      </c>
      <c r="AY94" s="17" t="s">
        <v>127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79</v>
      </c>
      <c r="BK94" s="139">
        <f>ROUND(I94*H94,2)</f>
        <v>0</v>
      </c>
      <c r="BL94" s="17" t="s">
        <v>624</v>
      </c>
      <c r="BM94" s="138" t="s">
        <v>2582</v>
      </c>
    </row>
    <row r="95" spans="2:65" s="1" customFormat="1">
      <c r="B95" s="32"/>
      <c r="D95" s="140" t="s">
        <v>136</v>
      </c>
      <c r="F95" s="141" t="s">
        <v>2583</v>
      </c>
      <c r="I95" s="142"/>
      <c r="L95" s="32"/>
      <c r="M95" s="143"/>
      <c r="T95" s="51"/>
      <c r="AT95" s="17" t="s">
        <v>136</v>
      </c>
      <c r="AU95" s="17" t="s">
        <v>81</v>
      </c>
    </row>
    <row r="96" spans="2:65" s="1" customFormat="1" ht="16.5" customHeight="1">
      <c r="B96" s="32"/>
      <c r="C96" s="127" t="s">
        <v>134</v>
      </c>
      <c r="D96" s="127" t="s">
        <v>129</v>
      </c>
      <c r="E96" s="128" t="s">
        <v>2584</v>
      </c>
      <c r="F96" s="129" t="s">
        <v>2585</v>
      </c>
      <c r="G96" s="130" t="s">
        <v>191</v>
      </c>
      <c r="H96" s="131">
        <v>1</v>
      </c>
      <c r="I96" s="132"/>
      <c r="J96" s="133">
        <f>ROUND(I96*H96,2)</f>
        <v>0</v>
      </c>
      <c r="K96" s="129" t="s">
        <v>133</v>
      </c>
      <c r="L96" s="32"/>
      <c r="M96" s="134" t="s">
        <v>19</v>
      </c>
      <c r="N96" s="135" t="s">
        <v>42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624</v>
      </c>
      <c r="AT96" s="138" t="s">
        <v>129</v>
      </c>
      <c r="AU96" s="138" t="s">
        <v>81</v>
      </c>
      <c r="AY96" s="17" t="s">
        <v>127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79</v>
      </c>
      <c r="BK96" s="139">
        <f>ROUND(I96*H96,2)</f>
        <v>0</v>
      </c>
      <c r="BL96" s="17" t="s">
        <v>624</v>
      </c>
      <c r="BM96" s="138" t="s">
        <v>2586</v>
      </c>
    </row>
    <row r="97" spans="2:65" s="1" customFormat="1">
      <c r="B97" s="32"/>
      <c r="D97" s="140" t="s">
        <v>136</v>
      </c>
      <c r="F97" s="141" t="s">
        <v>2587</v>
      </c>
      <c r="I97" s="142"/>
      <c r="L97" s="32"/>
      <c r="M97" s="143"/>
      <c r="T97" s="51"/>
      <c r="AT97" s="17" t="s">
        <v>136</v>
      </c>
      <c r="AU97" s="17" t="s">
        <v>81</v>
      </c>
    </row>
    <row r="98" spans="2:65" s="1" customFormat="1" ht="39">
      <c r="B98" s="32"/>
      <c r="D98" s="145" t="s">
        <v>2573</v>
      </c>
      <c r="F98" s="183" t="s">
        <v>2588</v>
      </c>
      <c r="I98" s="142"/>
      <c r="L98" s="32"/>
      <c r="M98" s="143"/>
      <c r="T98" s="51"/>
      <c r="AT98" s="17" t="s">
        <v>2573</v>
      </c>
      <c r="AU98" s="17" t="s">
        <v>81</v>
      </c>
    </row>
    <row r="99" spans="2:65" s="1" customFormat="1" ht="16.5" customHeight="1">
      <c r="B99" s="32"/>
      <c r="C99" s="127" t="s">
        <v>159</v>
      </c>
      <c r="D99" s="127" t="s">
        <v>129</v>
      </c>
      <c r="E99" s="128" t="s">
        <v>2589</v>
      </c>
      <c r="F99" s="129" t="s">
        <v>2590</v>
      </c>
      <c r="G99" s="130" t="s">
        <v>191</v>
      </c>
      <c r="H99" s="131">
        <v>1</v>
      </c>
      <c r="I99" s="132"/>
      <c r="J99" s="133">
        <f>ROUND(I99*H99,2)</f>
        <v>0</v>
      </c>
      <c r="K99" s="129" t="s">
        <v>133</v>
      </c>
      <c r="L99" s="32"/>
      <c r="M99" s="134" t="s">
        <v>19</v>
      </c>
      <c r="N99" s="135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624</v>
      </c>
      <c r="AT99" s="138" t="s">
        <v>129</v>
      </c>
      <c r="AU99" s="138" t="s">
        <v>81</v>
      </c>
      <c r="AY99" s="17" t="s">
        <v>127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79</v>
      </c>
      <c r="BK99" s="139">
        <f>ROUND(I99*H99,2)</f>
        <v>0</v>
      </c>
      <c r="BL99" s="17" t="s">
        <v>624</v>
      </c>
      <c r="BM99" s="138" t="s">
        <v>2591</v>
      </c>
    </row>
    <row r="100" spans="2:65" s="1" customFormat="1">
      <c r="B100" s="32"/>
      <c r="D100" s="140" t="s">
        <v>136</v>
      </c>
      <c r="F100" s="141" t="s">
        <v>2592</v>
      </c>
      <c r="I100" s="142"/>
      <c r="L100" s="32"/>
      <c r="M100" s="143"/>
      <c r="T100" s="51"/>
      <c r="AT100" s="17" t="s">
        <v>136</v>
      </c>
      <c r="AU100" s="17" t="s">
        <v>81</v>
      </c>
    </row>
    <row r="101" spans="2:65" s="1" customFormat="1" ht="16.5" customHeight="1">
      <c r="B101" s="32"/>
      <c r="C101" s="127" t="s">
        <v>165</v>
      </c>
      <c r="D101" s="127" t="s">
        <v>129</v>
      </c>
      <c r="E101" s="128" t="s">
        <v>2593</v>
      </c>
      <c r="F101" s="129" t="s">
        <v>2594</v>
      </c>
      <c r="G101" s="130" t="s">
        <v>191</v>
      </c>
      <c r="H101" s="131">
        <v>1</v>
      </c>
      <c r="I101" s="132"/>
      <c r="J101" s="133">
        <f>ROUND(I101*H101,2)</f>
        <v>0</v>
      </c>
      <c r="K101" s="129" t="s">
        <v>19</v>
      </c>
      <c r="L101" s="32"/>
      <c r="M101" s="134" t="s">
        <v>19</v>
      </c>
      <c r="N101" s="135" t="s">
        <v>42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624</v>
      </c>
      <c r="AT101" s="138" t="s">
        <v>129</v>
      </c>
      <c r="AU101" s="138" t="s">
        <v>81</v>
      </c>
      <c r="AY101" s="17" t="s">
        <v>127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79</v>
      </c>
      <c r="BK101" s="139">
        <f>ROUND(I101*H101,2)</f>
        <v>0</v>
      </c>
      <c r="BL101" s="17" t="s">
        <v>624</v>
      </c>
      <c r="BM101" s="138" t="s">
        <v>2595</v>
      </c>
    </row>
    <row r="102" spans="2:65" s="1" customFormat="1" ht="16.5" customHeight="1">
      <c r="B102" s="32"/>
      <c r="C102" s="127" t="s">
        <v>170</v>
      </c>
      <c r="D102" s="127" t="s">
        <v>129</v>
      </c>
      <c r="E102" s="128" t="s">
        <v>2596</v>
      </c>
      <c r="F102" s="129" t="s">
        <v>2597</v>
      </c>
      <c r="G102" s="130" t="s">
        <v>191</v>
      </c>
      <c r="H102" s="131">
        <v>1</v>
      </c>
      <c r="I102" s="132"/>
      <c r="J102" s="133">
        <f>ROUND(I102*H102,2)</f>
        <v>0</v>
      </c>
      <c r="K102" s="129" t="s">
        <v>133</v>
      </c>
      <c r="L102" s="32"/>
      <c r="M102" s="134" t="s">
        <v>19</v>
      </c>
      <c r="N102" s="135" t="s">
        <v>42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624</v>
      </c>
      <c r="AT102" s="138" t="s">
        <v>129</v>
      </c>
      <c r="AU102" s="138" t="s">
        <v>81</v>
      </c>
      <c r="AY102" s="17" t="s">
        <v>127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79</v>
      </c>
      <c r="BK102" s="139">
        <f>ROUND(I102*H102,2)</f>
        <v>0</v>
      </c>
      <c r="BL102" s="17" t="s">
        <v>624</v>
      </c>
      <c r="BM102" s="138" t="s">
        <v>2598</v>
      </c>
    </row>
    <row r="103" spans="2:65" s="1" customFormat="1">
      <c r="B103" s="32"/>
      <c r="D103" s="140" t="s">
        <v>136</v>
      </c>
      <c r="F103" s="141" t="s">
        <v>2599</v>
      </c>
      <c r="I103" s="142"/>
      <c r="L103" s="32"/>
      <c r="M103" s="143"/>
      <c r="T103" s="51"/>
      <c r="AT103" s="17" t="s">
        <v>136</v>
      </c>
      <c r="AU103" s="17" t="s">
        <v>81</v>
      </c>
    </row>
    <row r="104" spans="2:65" s="1" customFormat="1" ht="29.25">
      <c r="B104" s="32"/>
      <c r="D104" s="145" t="s">
        <v>2573</v>
      </c>
      <c r="F104" s="183" t="s">
        <v>2600</v>
      </c>
      <c r="I104" s="142"/>
      <c r="L104" s="32"/>
      <c r="M104" s="143"/>
      <c r="T104" s="51"/>
      <c r="AT104" s="17" t="s">
        <v>2573</v>
      </c>
      <c r="AU104" s="17" t="s">
        <v>81</v>
      </c>
    </row>
    <row r="105" spans="2:65" s="1" customFormat="1" ht="16.5" customHeight="1">
      <c r="B105" s="32"/>
      <c r="C105" s="127" t="s">
        <v>177</v>
      </c>
      <c r="D105" s="127" t="s">
        <v>129</v>
      </c>
      <c r="E105" s="128" t="s">
        <v>2601</v>
      </c>
      <c r="F105" s="129" t="s">
        <v>2602</v>
      </c>
      <c r="G105" s="130" t="s">
        <v>191</v>
      </c>
      <c r="H105" s="131">
        <v>1</v>
      </c>
      <c r="I105" s="132"/>
      <c r="J105" s="133">
        <f>ROUND(I105*H105,2)</f>
        <v>0</v>
      </c>
      <c r="K105" s="129" t="s">
        <v>133</v>
      </c>
      <c r="L105" s="32"/>
      <c r="M105" s="134" t="s">
        <v>19</v>
      </c>
      <c r="N105" s="135" t="s">
        <v>42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624</v>
      </c>
      <c r="AT105" s="138" t="s">
        <v>129</v>
      </c>
      <c r="AU105" s="138" t="s">
        <v>81</v>
      </c>
      <c r="AY105" s="17" t="s">
        <v>127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79</v>
      </c>
      <c r="BK105" s="139">
        <f>ROUND(I105*H105,2)</f>
        <v>0</v>
      </c>
      <c r="BL105" s="17" t="s">
        <v>624</v>
      </c>
      <c r="BM105" s="138" t="s">
        <v>2603</v>
      </c>
    </row>
    <row r="106" spans="2:65" s="1" customFormat="1">
      <c r="B106" s="32"/>
      <c r="D106" s="140" t="s">
        <v>136</v>
      </c>
      <c r="F106" s="141" t="s">
        <v>2604</v>
      </c>
      <c r="I106" s="142"/>
      <c r="L106" s="32"/>
      <c r="M106" s="143"/>
      <c r="T106" s="51"/>
      <c r="AT106" s="17" t="s">
        <v>136</v>
      </c>
      <c r="AU106" s="17" t="s">
        <v>81</v>
      </c>
    </row>
    <row r="107" spans="2:65" s="1" customFormat="1" ht="16.5" customHeight="1">
      <c r="B107" s="32"/>
      <c r="C107" s="127" t="s">
        <v>188</v>
      </c>
      <c r="D107" s="127" t="s">
        <v>129</v>
      </c>
      <c r="E107" s="128" t="s">
        <v>2605</v>
      </c>
      <c r="F107" s="129" t="s">
        <v>2606</v>
      </c>
      <c r="G107" s="130" t="s">
        <v>191</v>
      </c>
      <c r="H107" s="131">
        <v>1</v>
      </c>
      <c r="I107" s="132"/>
      <c r="J107" s="133">
        <f>ROUND(I107*H107,2)</f>
        <v>0</v>
      </c>
      <c r="K107" s="129" t="s">
        <v>133</v>
      </c>
      <c r="L107" s="32"/>
      <c r="M107" s="134" t="s">
        <v>19</v>
      </c>
      <c r="N107" s="135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624</v>
      </c>
      <c r="AT107" s="138" t="s">
        <v>129</v>
      </c>
      <c r="AU107" s="138" t="s">
        <v>81</v>
      </c>
      <c r="AY107" s="17" t="s">
        <v>127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79</v>
      </c>
      <c r="BK107" s="139">
        <f>ROUND(I107*H107,2)</f>
        <v>0</v>
      </c>
      <c r="BL107" s="17" t="s">
        <v>624</v>
      </c>
      <c r="BM107" s="138" t="s">
        <v>2607</v>
      </c>
    </row>
    <row r="108" spans="2:65" s="1" customFormat="1">
      <c r="B108" s="32"/>
      <c r="D108" s="140" t="s">
        <v>136</v>
      </c>
      <c r="F108" s="141" t="s">
        <v>2608</v>
      </c>
      <c r="I108" s="142"/>
      <c r="L108" s="32"/>
      <c r="M108" s="143"/>
      <c r="T108" s="51"/>
      <c r="AT108" s="17" t="s">
        <v>136</v>
      </c>
      <c r="AU108" s="17" t="s">
        <v>81</v>
      </c>
    </row>
    <row r="109" spans="2:65" s="11" customFormat="1" ht="22.9" customHeight="1">
      <c r="B109" s="115"/>
      <c r="D109" s="116" t="s">
        <v>70</v>
      </c>
      <c r="E109" s="125" t="s">
        <v>2609</v>
      </c>
      <c r="F109" s="125" t="s">
        <v>2610</v>
      </c>
      <c r="I109" s="118"/>
      <c r="J109" s="126">
        <f>BK109</f>
        <v>0</v>
      </c>
      <c r="L109" s="115"/>
      <c r="M109" s="120"/>
      <c r="P109" s="121">
        <f>SUM(P110:P115)</f>
        <v>0</v>
      </c>
      <c r="R109" s="121">
        <f>SUM(R110:R115)</f>
        <v>0</v>
      </c>
      <c r="T109" s="122">
        <f>SUM(T110:T115)</f>
        <v>0</v>
      </c>
      <c r="AR109" s="116" t="s">
        <v>159</v>
      </c>
      <c r="AT109" s="123" t="s">
        <v>70</v>
      </c>
      <c r="AU109" s="123" t="s">
        <v>79</v>
      </c>
      <c r="AY109" s="116" t="s">
        <v>127</v>
      </c>
      <c r="BK109" s="124">
        <f>SUM(BK110:BK115)</f>
        <v>0</v>
      </c>
    </row>
    <row r="110" spans="2:65" s="1" customFormat="1" ht="16.5" customHeight="1">
      <c r="B110" s="32"/>
      <c r="C110" s="127" t="s">
        <v>200</v>
      </c>
      <c r="D110" s="127" t="s">
        <v>129</v>
      </c>
      <c r="E110" s="128" t="s">
        <v>2611</v>
      </c>
      <c r="F110" s="129" t="s">
        <v>2610</v>
      </c>
      <c r="G110" s="130" t="s">
        <v>191</v>
      </c>
      <c r="H110" s="131">
        <v>1</v>
      </c>
      <c r="I110" s="132"/>
      <c r="J110" s="133">
        <f>ROUND(I110*H110,2)</f>
        <v>0</v>
      </c>
      <c r="K110" s="129" t="s">
        <v>133</v>
      </c>
      <c r="L110" s="32"/>
      <c r="M110" s="134" t="s">
        <v>19</v>
      </c>
      <c r="N110" s="135" t="s">
        <v>42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624</v>
      </c>
      <c r="AT110" s="138" t="s">
        <v>129</v>
      </c>
      <c r="AU110" s="138" t="s">
        <v>81</v>
      </c>
      <c r="AY110" s="17" t="s">
        <v>127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79</v>
      </c>
      <c r="BK110" s="139">
        <f>ROUND(I110*H110,2)</f>
        <v>0</v>
      </c>
      <c r="BL110" s="17" t="s">
        <v>624</v>
      </c>
      <c r="BM110" s="138" t="s">
        <v>2612</v>
      </c>
    </row>
    <row r="111" spans="2:65" s="1" customFormat="1">
      <c r="B111" s="32"/>
      <c r="D111" s="140" t="s">
        <v>136</v>
      </c>
      <c r="F111" s="141" t="s">
        <v>2613</v>
      </c>
      <c r="I111" s="142"/>
      <c r="L111" s="32"/>
      <c r="M111" s="143"/>
      <c r="T111" s="51"/>
      <c r="AT111" s="17" t="s">
        <v>136</v>
      </c>
      <c r="AU111" s="17" t="s">
        <v>81</v>
      </c>
    </row>
    <row r="112" spans="2:65" s="1" customFormat="1" ht="16.5" customHeight="1">
      <c r="B112" s="32"/>
      <c r="C112" s="127" t="s">
        <v>206</v>
      </c>
      <c r="D112" s="127" t="s">
        <v>129</v>
      </c>
      <c r="E112" s="128" t="s">
        <v>2614</v>
      </c>
      <c r="F112" s="129" t="s">
        <v>2615</v>
      </c>
      <c r="G112" s="130" t="s">
        <v>191</v>
      </c>
      <c r="H112" s="131">
        <v>1</v>
      </c>
      <c r="I112" s="132"/>
      <c r="J112" s="133">
        <f>ROUND(I112*H112,2)</f>
        <v>0</v>
      </c>
      <c r="K112" s="129" t="s">
        <v>133</v>
      </c>
      <c r="L112" s="32"/>
      <c r="M112" s="134" t="s">
        <v>19</v>
      </c>
      <c r="N112" s="135" t="s">
        <v>42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624</v>
      </c>
      <c r="AT112" s="138" t="s">
        <v>129</v>
      </c>
      <c r="AU112" s="138" t="s">
        <v>81</v>
      </c>
      <c r="AY112" s="17" t="s">
        <v>127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79</v>
      </c>
      <c r="BK112" s="139">
        <f>ROUND(I112*H112,2)</f>
        <v>0</v>
      </c>
      <c r="BL112" s="17" t="s">
        <v>624</v>
      </c>
      <c r="BM112" s="138" t="s">
        <v>2616</v>
      </c>
    </row>
    <row r="113" spans="2:65" s="1" customFormat="1">
      <c r="B113" s="32"/>
      <c r="D113" s="140" t="s">
        <v>136</v>
      </c>
      <c r="F113" s="141" t="s">
        <v>2617</v>
      </c>
      <c r="I113" s="142"/>
      <c r="L113" s="32"/>
      <c r="M113" s="143"/>
      <c r="T113" s="51"/>
      <c r="AT113" s="17" t="s">
        <v>136</v>
      </c>
      <c r="AU113" s="17" t="s">
        <v>81</v>
      </c>
    </row>
    <row r="114" spans="2:65" s="1" customFormat="1" ht="16.5" customHeight="1">
      <c r="B114" s="32"/>
      <c r="C114" s="127" t="s">
        <v>211</v>
      </c>
      <c r="D114" s="127" t="s">
        <v>129</v>
      </c>
      <c r="E114" s="128" t="s">
        <v>2618</v>
      </c>
      <c r="F114" s="129" t="s">
        <v>2619</v>
      </c>
      <c r="G114" s="130" t="s">
        <v>191</v>
      </c>
      <c r="H114" s="131">
        <v>1</v>
      </c>
      <c r="I114" s="132"/>
      <c r="J114" s="133">
        <f>ROUND(I114*H114,2)</f>
        <v>0</v>
      </c>
      <c r="K114" s="129" t="s">
        <v>133</v>
      </c>
      <c r="L114" s="32"/>
      <c r="M114" s="134" t="s">
        <v>19</v>
      </c>
      <c r="N114" s="135" t="s">
        <v>42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624</v>
      </c>
      <c r="AT114" s="138" t="s">
        <v>129</v>
      </c>
      <c r="AU114" s="138" t="s">
        <v>81</v>
      </c>
      <c r="AY114" s="17" t="s">
        <v>127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79</v>
      </c>
      <c r="BK114" s="139">
        <f>ROUND(I114*H114,2)</f>
        <v>0</v>
      </c>
      <c r="BL114" s="17" t="s">
        <v>624</v>
      </c>
      <c r="BM114" s="138" t="s">
        <v>2620</v>
      </c>
    </row>
    <row r="115" spans="2:65" s="1" customFormat="1">
      <c r="B115" s="32"/>
      <c r="D115" s="140" t="s">
        <v>136</v>
      </c>
      <c r="F115" s="141" t="s">
        <v>2621</v>
      </c>
      <c r="I115" s="142"/>
      <c r="L115" s="32"/>
      <c r="M115" s="143"/>
      <c r="T115" s="51"/>
      <c r="AT115" s="17" t="s">
        <v>136</v>
      </c>
      <c r="AU115" s="17" t="s">
        <v>81</v>
      </c>
    </row>
    <row r="116" spans="2:65" s="11" customFormat="1" ht="22.9" customHeight="1">
      <c r="B116" s="115"/>
      <c r="D116" s="116" t="s">
        <v>70</v>
      </c>
      <c r="E116" s="125" t="s">
        <v>2622</v>
      </c>
      <c r="F116" s="125" t="s">
        <v>2623</v>
      </c>
      <c r="I116" s="118"/>
      <c r="J116" s="126">
        <f>BK116</f>
        <v>0</v>
      </c>
      <c r="L116" s="115"/>
      <c r="M116" s="120"/>
      <c r="P116" s="121">
        <f>SUM(P117:P118)</f>
        <v>0</v>
      </c>
      <c r="R116" s="121">
        <f>SUM(R117:R118)</f>
        <v>0</v>
      </c>
      <c r="T116" s="122">
        <f>SUM(T117:T118)</f>
        <v>0</v>
      </c>
      <c r="AR116" s="116" t="s">
        <v>159</v>
      </c>
      <c r="AT116" s="123" t="s">
        <v>70</v>
      </c>
      <c r="AU116" s="123" t="s">
        <v>79</v>
      </c>
      <c r="AY116" s="116" t="s">
        <v>127</v>
      </c>
      <c r="BK116" s="124">
        <f>SUM(BK117:BK118)</f>
        <v>0</v>
      </c>
    </row>
    <row r="117" spans="2:65" s="1" customFormat="1" ht="16.5" customHeight="1">
      <c r="B117" s="32"/>
      <c r="C117" s="127" t="s">
        <v>8</v>
      </c>
      <c r="D117" s="127" t="s">
        <v>129</v>
      </c>
      <c r="E117" s="128" t="s">
        <v>2624</v>
      </c>
      <c r="F117" s="129" t="s">
        <v>2625</v>
      </c>
      <c r="G117" s="130" t="s">
        <v>191</v>
      </c>
      <c r="H117" s="131">
        <v>1</v>
      </c>
      <c r="I117" s="132"/>
      <c r="J117" s="133">
        <f>ROUND(I117*H117,2)</f>
        <v>0</v>
      </c>
      <c r="K117" s="129" t="s">
        <v>133</v>
      </c>
      <c r="L117" s="32"/>
      <c r="M117" s="134" t="s">
        <v>19</v>
      </c>
      <c r="N117" s="135" t="s">
        <v>42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624</v>
      </c>
      <c r="AT117" s="138" t="s">
        <v>129</v>
      </c>
      <c r="AU117" s="138" t="s">
        <v>81</v>
      </c>
      <c r="AY117" s="17" t="s">
        <v>127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79</v>
      </c>
      <c r="BK117" s="139">
        <f>ROUND(I117*H117,2)</f>
        <v>0</v>
      </c>
      <c r="BL117" s="17" t="s">
        <v>624</v>
      </c>
      <c r="BM117" s="138" t="s">
        <v>2626</v>
      </c>
    </row>
    <row r="118" spans="2:65" s="1" customFormat="1">
      <c r="B118" s="32"/>
      <c r="D118" s="140" t="s">
        <v>136</v>
      </c>
      <c r="F118" s="141" t="s">
        <v>2627</v>
      </c>
      <c r="I118" s="142"/>
      <c r="L118" s="32"/>
      <c r="M118" s="143"/>
      <c r="T118" s="51"/>
      <c r="AT118" s="17" t="s">
        <v>136</v>
      </c>
      <c r="AU118" s="17" t="s">
        <v>81</v>
      </c>
    </row>
    <row r="119" spans="2:65" s="11" customFormat="1" ht="22.9" customHeight="1">
      <c r="B119" s="115"/>
      <c r="D119" s="116" t="s">
        <v>70</v>
      </c>
      <c r="E119" s="125" t="s">
        <v>2628</v>
      </c>
      <c r="F119" s="125" t="s">
        <v>2629</v>
      </c>
      <c r="I119" s="118"/>
      <c r="J119" s="126">
        <f>BK119</f>
        <v>0</v>
      </c>
      <c r="L119" s="115"/>
      <c r="M119" s="120"/>
      <c r="P119" s="121">
        <f>SUM(P120:P121)</f>
        <v>0</v>
      </c>
      <c r="R119" s="121">
        <f>SUM(R120:R121)</f>
        <v>0</v>
      </c>
      <c r="T119" s="122">
        <f>SUM(T120:T121)</f>
        <v>0</v>
      </c>
      <c r="AR119" s="116" t="s">
        <v>159</v>
      </c>
      <c r="AT119" s="123" t="s">
        <v>70</v>
      </c>
      <c r="AU119" s="123" t="s">
        <v>79</v>
      </c>
      <c r="AY119" s="116" t="s">
        <v>127</v>
      </c>
      <c r="BK119" s="124">
        <f>SUM(BK120:BK121)</f>
        <v>0</v>
      </c>
    </row>
    <row r="120" spans="2:65" s="1" customFormat="1" ht="16.5" customHeight="1">
      <c r="B120" s="32"/>
      <c r="C120" s="127" t="s">
        <v>235</v>
      </c>
      <c r="D120" s="127" t="s">
        <v>129</v>
      </c>
      <c r="E120" s="128" t="s">
        <v>2630</v>
      </c>
      <c r="F120" s="129" t="s">
        <v>2631</v>
      </c>
      <c r="G120" s="130" t="s">
        <v>191</v>
      </c>
      <c r="H120" s="131">
        <v>1</v>
      </c>
      <c r="I120" s="132"/>
      <c r="J120" s="133">
        <f>ROUND(I120*H120,2)</f>
        <v>0</v>
      </c>
      <c r="K120" s="129" t="s">
        <v>133</v>
      </c>
      <c r="L120" s="32"/>
      <c r="M120" s="134" t="s">
        <v>19</v>
      </c>
      <c r="N120" s="135" t="s">
        <v>42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624</v>
      </c>
      <c r="AT120" s="138" t="s">
        <v>129</v>
      </c>
      <c r="AU120" s="138" t="s">
        <v>81</v>
      </c>
      <c r="AY120" s="17" t="s">
        <v>127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79</v>
      </c>
      <c r="BK120" s="139">
        <f>ROUND(I120*H120,2)</f>
        <v>0</v>
      </c>
      <c r="BL120" s="17" t="s">
        <v>624</v>
      </c>
      <c r="BM120" s="138" t="s">
        <v>2632</v>
      </c>
    </row>
    <row r="121" spans="2:65" s="1" customFormat="1">
      <c r="B121" s="32"/>
      <c r="D121" s="140" t="s">
        <v>136</v>
      </c>
      <c r="F121" s="141" t="s">
        <v>2633</v>
      </c>
      <c r="I121" s="142"/>
      <c r="L121" s="32"/>
      <c r="M121" s="143"/>
      <c r="T121" s="51"/>
      <c r="AT121" s="17" t="s">
        <v>136</v>
      </c>
      <c r="AU121" s="17" t="s">
        <v>81</v>
      </c>
    </row>
    <row r="122" spans="2:65" s="11" customFormat="1" ht="22.9" customHeight="1">
      <c r="B122" s="115"/>
      <c r="D122" s="116" t="s">
        <v>70</v>
      </c>
      <c r="E122" s="125" t="s">
        <v>619</v>
      </c>
      <c r="F122" s="125" t="s">
        <v>620</v>
      </c>
      <c r="I122" s="118"/>
      <c r="J122" s="126">
        <f>BK122</f>
        <v>0</v>
      </c>
      <c r="L122" s="115"/>
      <c r="M122" s="120"/>
      <c r="P122" s="121">
        <f>SUM(P123:P124)</f>
        <v>0</v>
      </c>
      <c r="R122" s="121">
        <f>SUM(R123:R124)</f>
        <v>0</v>
      </c>
      <c r="T122" s="122">
        <f>SUM(T123:T124)</f>
        <v>0</v>
      </c>
      <c r="AR122" s="116" t="s">
        <v>159</v>
      </c>
      <c r="AT122" s="123" t="s">
        <v>70</v>
      </c>
      <c r="AU122" s="123" t="s">
        <v>79</v>
      </c>
      <c r="AY122" s="116" t="s">
        <v>127</v>
      </c>
      <c r="BK122" s="124">
        <f>SUM(BK123:BK124)</f>
        <v>0</v>
      </c>
    </row>
    <row r="123" spans="2:65" s="1" customFormat="1" ht="16.5" customHeight="1">
      <c r="B123" s="32"/>
      <c r="C123" s="127" t="s">
        <v>241</v>
      </c>
      <c r="D123" s="127" t="s">
        <v>129</v>
      </c>
      <c r="E123" s="128" t="s">
        <v>2634</v>
      </c>
      <c r="F123" s="129" t="s">
        <v>2635</v>
      </c>
      <c r="G123" s="130" t="s">
        <v>191</v>
      </c>
      <c r="H123" s="131">
        <v>1</v>
      </c>
      <c r="I123" s="132"/>
      <c r="J123" s="133">
        <f>ROUND(I123*H123,2)</f>
        <v>0</v>
      </c>
      <c r="K123" s="129" t="s">
        <v>133</v>
      </c>
      <c r="L123" s="32"/>
      <c r="M123" s="134" t="s">
        <v>19</v>
      </c>
      <c r="N123" s="135" t="s">
        <v>42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624</v>
      </c>
      <c r="AT123" s="138" t="s">
        <v>129</v>
      </c>
      <c r="AU123" s="138" t="s">
        <v>81</v>
      </c>
      <c r="AY123" s="17" t="s">
        <v>127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79</v>
      </c>
      <c r="BK123" s="139">
        <f>ROUND(I123*H123,2)</f>
        <v>0</v>
      </c>
      <c r="BL123" s="17" t="s">
        <v>624</v>
      </c>
      <c r="BM123" s="138" t="s">
        <v>2636</v>
      </c>
    </row>
    <row r="124" spans="2:65" s="1" customFormat="1">
      <c r="B124" s="32"/>
      <c r="D124" s="140" t="s">
        <v>136</v>
      </c>
      <c r="F124" s="141" t="s">
        <v>2637</v>
      </c>
      <c r="I124" s="142"/>
      <c r="L124" s="32"/>
      <c r="M124" s="170"/>
      <c r="N124" s="171"/>
      <c r="O124" s="171"/>
      <c r="P124" s="171"/>
      <c r="Q124" s="171"/>
      <c r="R124" s="171"/>
      <c r="S124" s="171"/>
      <c r="T124" s="172"/>
      <c r="AT124" s="17" t="s">
        <v>136</v>
      </c>
      <c r="AU124" s="17" t="s">
        <v>81</v>
      </c>
    </row>
    <row r="125" spans="2:65" s="1" customFormat="1" ht="6.95" customHeight="1"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32"/>
    </row>
  </sheetData>
  <sheetProtection algorithmName="SHA-512" hashValue="0VXO00LdGnxTJkLcq+VZGVtSc/cmOQxM97uJNXt+qY7HTFIuJ9u1DlSxceeCNmM15ZrfBFjpnO1txVn2f8rvUA==" saltValue="QmJ+sPSi1S9+7d+x/P57lE5EwDlWQR3uhwrxePx0tl+ckCuXFCXmTiHpJnaldEBbUjJAB5FbilhZbr/xnL6o9g==" spinCount="100000" sheet="1" objects="1" scenarios="1" formatColumns="0" formatRows="0" autoFilter="0"/>
  <autoFilter ref="C84:K124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2" r:id="rId2" xr:uid="{00000000-0004-0000-0300-000001000000}"/>
    <hyperlink ref="F95" r:id="rId3" xr:uid="{00000000-0004-0000-0300-000002000000}"/>
    <hyperlink ref="F97" r:id="rId4" xr:uid="{00000000-0004-0000-0300-000003000000}"/>
    <hyperlink ref="F100" r:id="rId5" xr:uid="{00000000-0004-0000-0300-000004000000}"/>
    <hyperlink ref="F103" r:id="rId6" xr:uid="{00000000-0004-0000-0300-000005000000}"/>
    <hyperlink ref="F106" r:id="rId7" xr:uid="{00000000-0004-0000-0300-000006000000}"/>
    <hyperlink ref="F108" r:id="rId8" xr:uid="{00000000-0004-0000-0300-000007000000}"/>
    <hyperlink ref="F111" r:id="rId9" xr:uid="{00000000-0004-0000-0300-000008000000}"/>
    <hyperlink ref="F113" r:id="rId10" xr:uid="{00000000-0004-0000-0300-000009000000}"/>
    <hyperlink ref="F115" r:id="rId11" xr:uid="{00000000-0004-0000-0300-00000A000000}"/>
    <hyperlink ref="F118" r:id="rId12" xr:uid="{00000000-0004-0000-0300-00000B000000}"/>
    <hyperlink ref="F121" r:id="rId13" xr:uid="{00000000-0004-0000-0300-00000C000000}"/>
    <hyperlink ref="F124" r:id="rId14" xr:uid="{00000000-0004-0000-03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620" t="s">
        <v>2638</v>
      </c>
      <c r="D3" s="620"/>
      <c r="E3" s="620"/>
      <c r="F3" s="620"/>
      <c r="G3" s="620"/>
      <c r="H3" s="620"/>
      <c r="I3" s="620"/>
      <c r="J3" s="620"/>
      <c r="K3" s="189"/>
    </row>
    <row r="4" spans="2:11" customFormat="1" ht="25.5" customHeight="1">
      <c r="B4" s="190"/>
      <c r="C4" s="621" t="s">
        <v>2639</v>
      </c>
      <c r="D4" s="621"/>
      <c r="E4" s="621"/>
      <c r="F4" s="621"/>
      <c r="G4" s="621"/>
      <c r="H4" s="621"/>
      <c r="I4" s="621"/>
      <c r="J4" s="621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619" t="s">
        <v>2640</v>
      </c>
      <c r="D6" s="619"/>
      <c r="E6" s="619"/>
      <c r="F6" s="619"/>
      <c r="G6" s="619"/>
      <c r="H6" s="619"/>
      <c r="I6" s="619"/>
      <c r="J6" s="619"/>
      <c r="K6" s="191"/>
    </row>
    <row r="7" spans="2:11" customFormat="1" ht="15" customHeight="1">
      <c r="B7" s="194"/>
      <c r="C7" s="619" t="s">
        <v>2641</v>
      </c>
      <c r="D7" s="619"/>
      <c r="E7" s="619"/>
      <c r="F7" s="619"/>
      <c r="G7" s="619"/>
      <c r="H7" s="619"/>
      <c r="I7" s="619"/>
      <c r="J7" s="619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619" t="s">
        <v>2642</v>
      </c>
      <c r="D9" s="619"/>
      <c r="E9" s="619"/>
      <c r="F9" s="619"/>
      <c r="G9" s="619"/>
      <c r="H9" s="619"/>
      <c r="I9" s="619"/>
      <c r="J9" s="619"/>
      <c r="K9" s="191"/>
    </row>
    <row r="10" spans="2:11" customFormat="1" ht="15" customHeight="1">
      <c r="B10" s="194"/>
      <c r="C10" s="193"/>
      <c r="D10" s="619" t="s">
        <v>2643</v>
      </c>
      <c r="E10" s="619"/>
      <c r="F10" s="619"/>
      <c r="G10" s="619"/>
      <c r="H10" s="619"/>
      <c r="I10" s="619"/>
      <c r="J10" s="619"/>
      <c r="K10" s="191"/>
    </row>
    <row r="11" spans="2:11" customFormat="1" ht="15" customHeight="1">
      <c r="B11" s="194"/>
      <c r="C11" s="195"/>
      <c r="D11" s="619" t="s">
        <v>2644</v>
      </c>
      <c r="E11" s="619"/>
      <c r="F11" s="619"/>
      <c r="G11" s="619"/>
      <c r="H11" s="619"/>
      <c r="I11" s="619"/>
      <c r="J11" s="619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2645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619" t="s">
        <v>2646</v>
      </c>
      <c r="E15" s="619"/>
      <c r="F15" s="619"/>
      <c r="G15" s="619"/>
      <c r="H15" s="619"/>
      <c r="I15" s="619"/>
      <c r="J15" s="619"/>
      <c r="K15" s="191"/>
    </row>
    <row r="16" spans="2:11" customFormat="1" ht="15" customHeight="1">
      <c r="B16" s="194"/>
      <c r="C16" s="195"/>
      <c r="D16" s="619" t="s">
        <v>2647</v>
      </c>
      <c r="E16" s="619"/>
      <c r="F16" s="619"/>
      <c r="G16" s="619"/>
      <c r="H16" s="619"/>
      <c r="I16" s="619"/>
      <c r="J16" s="619"/>
      <c r="K16" s="191"/>
    </row>
    <row r="17" spans="2:11" customFormat="1" ht="15" customHeight="1">
      <c r="B17" s="194"/>
      <c r="C17" s="195"/>
      <c r="D17" s="619" t="s">
        <v>2648</v>
      </c>
      <c r="E17" s="619"/>
      <c r="F17" s="619"/>
      <c r="G17" s="619"/>
      <c r="H17" s="619"/>
      <c r="I17" s="619"/>
      <c r="J17" s="619"/>
      <c r="K17" s="191"/>
    </row>
    <row r="18" spans="2:11" customFormat="1" ht="15" customHeight="1">
      <c r="B18" s="194"/>
      <c r="C18" s="195"/>
      <c r="D18" s="195"/>
      <c r="E18" s="197" t="s">
        <v>78</v>
      </c>
      <c r="F18" s="619" t="s">
        <v>2649</v>
      </c>
      <c r="G18" s="619"/>
      <c r="H18" s="619"/>
      <c r="I18" s="619"/>
      <c r="J18" s="619"/>
      <c r="K18" s="191"/>
    </row>
    <row r="19" spans="2:11" customFormat="1" ht="15" customHeight="1">
      <c r="B19" s="194"/>
      <c r="C19" s="195"/>
      <c r="D19" s="195"/>
      <c r="E19" s="197" t="s">
        <v>2650</v>
      </c>
      <c r="F19" s="619" t="s">
        <v>2651</v>
      </c>
      <c r="G19" s="619"/>
      <c r="H19" s="619"/>
      <c r="I19" s="619"/>
      <c r="J19" s="619"/>
      <c r="K19" s="191"/>
    </row>
    <row r="20" spans="2:11" customFormat="1" ht="15" customHeight="1">
      <c r="B20" s="194"/>
      <c r="C20" s="195"/>
      <c r="D20" s="195"/>
      <c r="E20" s="197" t="s">
        <v>2652</v>
      </c>
      <c r="F20" s="619" t="s">
        <v>2653</v>
      </c>
      <c r="G20" s="619"/>
      <c r="H20" s="619"/>
      <c r="I20" s="619"/>
      <c r="J20" s="619"/>
      <c r="K20" s="191"/>
    </row>
    <row r="21" spans="2:11" customFormat="1" ht="15" customHeight="1">
      <c r="B21" s="194"/>
      <c r="C21" s="195"/>
      <c r="D21" s="195"/>
      <c r="E21" s="197" t="s">
        <v>2654</v>
      </c>
      <c r="F21" s="619" t="s">
        <v>2655</v>
      </c>
      <c r="G21" s="619"/>
      <c r="H21" s="619"/>
      <c r="I21" s="619"/>
      <c r="J21" s="619"/>
      <c r="K21" s="191"/>
    </row>
    <row r="22" spans="2:11" customFormat="1" ht="15" customHeight="1">
      <c r="B22" s="194"/>
      <c r="C22" s="195"/>
      <c r="D22" s="195"/>
      <c r="E22" s="197" t="s">
        <v>2544</v>
      </c>
      <c r="F22" s="619" t="s">
        <v>2545</v>
      </c>
      <c r="G22" s="619"/>
      <c r="H22" s="619"/>
      <c r="I22" s="619"/>
      <c r="J22" s="619"/>
      <c r="K22" s="191"/>
    </row>
    <row r="23" spans="2:11" customFormat="1" ht="15" customHeight="1">
      <c r="B23" s="194"/>
      <c r="C23" s="195"/>
      <c r="D23" s="195"/>
      <c r="E23" s="197" t="s">
        <v>2656</v>
      </c>
      <c r="F23" s="619" t="s">
        <v>2657</v>
      </c>
      <c r="G23" s="619"/>
      <c r="H23" s="619"/>
      <c r="I23" s="619"/>
      <c r="J23" s="619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619" t="s">
        <v>2658</v>
      </c>
      <c r="D25" s="619"/>
      <c r="E25" s="619"/>
      <c r="F25" s="619"/>
      <c r="G25" s="619"/>
      <c r="H25" s="619"/>
      <c r="I25" s="619"/>
      <c r="J25" s="619"/>
      <c r="K25" s="191"/>
    </row>
    <row r="26" spans="2:11" customFormat="1" ht="15" customHeight="1">
      <c r="B26" s="194"/>
      <c r="C26" s="619" t="s">
        <v>2659</v>
      </c>
      <c r="D26" s="619"/>
      <c r="E26" s="619"/>
      <c r="F26" s="619"/>
      <c r="G26" s="619"/>
      <c r="H26" s="619"/>
      <c r="I26" s="619"/>
      <c r="J26" s="619"/>
      <c r="K26" s="191"/>
    </row>
    <row r="27" spans="2:11" customFormat="1" ht="15" customHeight="1">
      <c r="B27" s="194"/>
      <c r="C27" s="193"/>
      <c r="D27" s="619" t="s">
        <v>2660</v>
      </c>
      <c r="E27" s="619"/>
      <c r="F27" s="619"/>
      <c r="G27" s="619"/>
      <c r="H27" s="619"/>
      <c r="I27" s="619"/>
      <c r="J27" s="619"/>
      <c r="K27" s="191"/>
    </row>
    <row r="28" spans="2:11" customFormat="1" ht="15" customHeight="1">
      <c r="B28" s="194"/>
      <c r="C28" s="195"/>
      <c r="D28" s="619" t="s">
        <v>2661</v>
      </c>
      <c r="E28" s="619"/>
      <c r="F28" s="619"/>
      <c r="G28" s="619"/>
      <c r="H28" s="619"/>
      <c r="I28" s="619"/>
      <c r="J28" s="619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619" t="s">
        <v>2662</v>
      </c>
      <c r="E30" s="619"/>
      <c r="F30" s="619"/>
      <c r="G30" s="619"/>
      <c r="H30" s="619"/>
      <c r="I30" s="619"/>
      <c r="J30" s="619"/>
      <c r="K30" s="191"/>
    </row>
    <row r="31" spans="2:11" customFormat="1" ht="15" customHeight="1">
      <c r="B31" s="194"/>
      <c r="C31" s="195"/>
      <c r="D31" s="619" t="s">
        <v>2663</v>
      </c>
      <c r="E31" s="619"/>
      <c r="F31" s="619"/>
      <c r="G31" s="619"/>
      <c r="H31" s="619"/>
      <c r="I31" s="619"/>
      <c r="J31" s="619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619" t="s">
        <v>2664</v>
      </c>
      <c r="E33" s="619"/>
      <c r="F33" s="619"/>
      <c r="G33" s="619"/>
      <c r="H33" s="619"/>
      <c r="I33" s="619"/>
      <c r="J33" s="619"/>
      <c r="K33" s="191"/>
    </row>
    <row r="34" spans="2:11" customFormat="1" ht="15" customHeight="1">
      <c r="B34" s="194"/>
      <c r="C34" s="195"/>
      <c r="D34" s="619" t="s">
        <v>2665</v>
      </c>
      <c r="E34" s="619"/>
      <c r="F34" s="619"/>
      <c r="G34" s="619"/>
      <c r="H34" s="619"/>
      <c r="I34" s="619"/>
      <c r="J34" s="619"/>
      <c r="K34" s="191"/>
    </row>
    <row r="35" spans="2:11" customFormat="1" ht="15" customHeight="1">
      <c r="B35" s="194"/>
      <c r="C35" s="195"/>
      <c r="D35" s="619" t="s">
        <v>2666</v>
      </c>
      <c r="E35" s="619"/>
      <c r="F35" s="619"/>
      <c r="G35" s="619"/>
      <c r="H35" s="619"/>
      <c r="I35" s="619"/>
      <c r="J35" s="619"/>
      <c r="K35" s="191"/>
    </row>
    <row r="36" spans="2:11" customFormat="1" ht="15" customHeight="1">
      <c r="B36" s="194"/>
      <c r="C36" s="195"/>
      <c r="D36" s="193"/>
      <c r="E36" s="196" t="s">
        <v>113</v>
      </c>
      <c r="F36" s="193"/>
      <c r="G36" s="619" t="s">
        <v>2667</v>
      </c>
      <c r="H36" s="619"/>
      <c r="I36" s="619"/>
      <c r="J36" s="619"/>
      <c r="K36" s="191"/>
    </row>
    <row r="37" spans="2:11" customFormat="1" ht="30.75" customHeight="1">
      <c r="B37" s="194"/>
      <c r="C37" s="195"/>
      <c r="D37" s="193"/>
      <c r="E37" s="196" t="s">
        <v>2668</v>
      </c>
      <c r="F37" s="193"/>
      <c r="G37" s="619" t="s">
        <v>2669</v>
      </c>
      <c r="H37" s="619"/>
      <c r="I37" s="619"/>
      <c r="J37" s="619"/>
      <c r="K37" s="191"/>
    </row>
    <row r="38" spans="2:11" customFormat="1" ht="15" customHeight="1">
      <c r="B38" s="194"/>
      <c r="C38" s="195"/>
      <c r="D38" s="193"/>
      <c r="E38" s="196" t="s">
        <v>52</v>
      </c>
      <c r="F38" s="193"/>
      <c r="G38" s="619" t="s">
        <v>2670</v>
      </c>
      <c r="H38" s="619"/>
      <c r="I38" s="619"/>
      <c r="J38" s="619"/>
      <c r="K38" s="191"/>
    </row>
    <row r="39" spans="2:11" customFormat="1" ht="15" customHeight="1">
      <c r="B39" s="194"/>
      <c r="C39" s="195"/>
      <c r="D39" s="193"/>
      <c r="E39" s="196" t="s">
        <v>53</v>
      </c>
      <c r="F39" s="193"/>
      <c r="G39" s="619" t="s">
        <v>2671</v>
      </c>
      <c r="H39" s="619"/>
      <c r="I39" s="619"/>
      <c r="J39" s="619"/>
      <c r="K39" s="191"/>
    </row>
    <row r="40" spans="2:11" customFormat="1" ht="15" customHeight="1">
      <c r="B40" s="194"/>
      <c r="C40" s="195"/>
      <c r="D40" s="193"/>
      <c r="E40" s="196" t="s">
        <v>114</v>
      </c>
      <c r="F40" s="193"/>
      <c r="G40" s="619" t="s">
        <v>2672</v>
      </c>
      <c r="H40" s="619"/>
      <c r="I40" s="619"/>
      <c r="J40" s="619"/>
      <c r="K40" s="191"/>
    </row>
    <row r="41" spans="2:11" customFormat="1" ht="15" customHeight="1">
      <c r="B41" s="194"/>
      <c r="C41" s="195"/>
      <c r="D41" s="193"/>
      <c r="E41" s="196" t="s">
        <v>115</v>
      </c>
      <c r="F41" s="193"/>
      <c r="G41" s="619" t="s">
        <v>2673</v>
      </c>
      <c r="H41" s="619"/>
      <c r="I41" s="619"/>
      <c r="J41" s="619"/>
      <c r="K41" s="191"/>
    </row>
    <row r="42" spans="2:11" customFormat="1" ht="15" customHeight="1">
      <c r="B42" s="194"/>
      <c r="C42" s="195"/>
      <c r="D42" s="193"/>
      <c r="E42" s="196" t="s">
        <v>2674</v>
      </c>
      <c r="F42" s="193"/>
      <c r="G42" s="619" t="s">
        <v>2675</v>
      </c>
      <c r="H42" s="619"/>
      <c r="I42" s="619"/>
      <c r="J42" s="619"/>
      <c r="K42" s="191"/>
    </row>
    <row r="43" spans="2:11" customFormat="1" ht="15" customHeight="1">
      <c r="B43" s="194"/>
      <c r="C43" s="195"/>
      <c r="D43" s="193"/>
      <c r="E43" s="196"/>
      <c r="F43" s="193"/>
      <c r="G43" s="619" t="s">
        <v>2676</v>
      </c>
      <c r="H43" s="619"/>
      <c r="I43" s="619"/>
      <c r="J43" s="619"/>
      <c r="K43" s="191"/>
    </row>
    <row r="44" spans="2:11" customFormat="1" ht="15" customHeight="1">
      <c r="B44" s="194"/>
      <c r="C44" s="195"/>
      <c r="D44" s="193"/>
      <c r="E44" s="196" t="s">
        <v>2677</v>
      </c>
      <c r="F44" s="193"/>
      <c r="G44" s="619" t="s">
        <v>2678</v>
      </c>
      <c r="H44" s="619"/>
      <c r="I44" s="619"/>
      <c r="J44" s="619"/>
      <c r="K44" s="191"/>
    </row>
    <row r="45" spans="2:11" customFormat="1" ht="15" customHeight="1">
      <c r="B45" s="194"/>
      <c r="C45" s="195"/>
      <c r="D45" s="193"/>
      <c r="E45" s="196" t="s">
        <v>117</v>
      </c>
      <c r="F45" s="193"/>
      <c r="G45" s="619" t="s">
        <v>2679</v>
      </c>
      <c r="H45" s="619"/>
      <c r="I45" s="619"/>
      <c r="J45" s="619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619" t="s">
        <v>2680</v>
      </c>
      <c r="E47" s="619"/>
      <c r="F47" s="619"/>
      <c r="G47" s="619"/>
      <c r="H47" s="619"/>
      <c r="I47" s="619"/>
      <c r="J47" s="619"/>
      <c r="K47" s="191"/>
    </row>
    <row r="48" spans="2:11" customFormat="1" ht="15" customHeight="1">
      <c r="B48" s="194"/>
      <c r="C48" s="195"/>
      <c r="D48" s="195"/>
      <c r="E48" s="619" t="s">
        <v>2681</v>
      </c>
      <c r="F48" s="619"/>
      <c r="G48" s="619"/>
      <c r="H48" s="619"/>
      <c r="I48" s="619"/>
      <c r="J48" s="619"/>
      <c r="K48" s="191"/>
    </row>
    <row r="49" spans="2:11" customFormat="1" ht="15" customHeight="1">
      <c r="B49" s="194"/>
      <c r="C49" s="195"/>
      <c r="D49" s="195"/>
      <c r="E49" s="619" t="s">
        <v>2682</v>
      </c>
      <c r="F49" s="619"/>
      <c r="G49" s="619"/>
      <c r="H49" s="619"/>
      <c r="I49" s="619"/>
      <c r="J49" s="619"/>
      <c r="K49" s="191"/>
    </row>
    <row r="50" spans="2:11" customFormat="1" ht="15" customHeight="1">
      <c r="B50" s="194"/>
      <c r="C50" s="195"/>
      <c r="D50" s="195"/>
      <c r="E50" s="619" t="s">
        <v>2683</v>
      </c>
      <c r="F50" s="619"/>
      <c r="G50" s="619"/>
      <c r="H50" s="619"/>
      <c r="I50" s="619"/>
      <c r="J50" s="619"/>
      <c r="K50" s="191"/>
    </row>
    <row r="51" spans="2:11" customFormat="1" ht="15" customHeight="1">
      <c r="B51" s="194"/>
      <c r="C51" s="195"/>
      <c r="D51" s="619" t="s">
        <v>2684</v>
      </c>
      <c r="E51" s="619"/>
      <c r="F51" s="619"/>
      <c r="G51" s="619"/>
      <c r="H51" s="619"/>
      <c r="I51" s="619"/>
      <c r="J51" s="619"/>
      <c r="K51" s="191"/>
    </row>
    <row r="52" spans="2:11" customFormat="1" ht="25.5" customHeight="1">
      <c r="B52" s="190"/>
      <c r="C52" s="621" t="s">
        <v>2685</v>
      </c>
      <c r="D52" s="621"/>
      <c r="E52" s="621"/>
      <c r="F52" s="621"/>
      <c r="G52" s="621"/>
      <c r="H52" s="621"/>
      <c r="I52" s="621"/>
      <c r="J52" s="621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619" t="s">
        <v>2686</v>
      </c>
      <c r="D54" s="619"/>
      <c r="E54" s="619"/>
      <c r="F54" s="619"/>
      <c r="G54" s="619"/>
      <c r="H54" s="619"/>
      <c r="I54" s="619"/>
      <c r="J54" s="619"/>
      <c r="K54" s="191"/>
    </row>
    <row r="55" spans="2:11" customFormat="1" ht="15" customHeight="1">
      <c r="B55" s="190"/>
      <c r="C55" s="619" t="s">
        <v>2687</v>
      </c>
      <c r="D55" s="619"/>
      <c r="E55" s="619"/>
      <c r="F55" s="619"/>
      <c r="G55" s="619"/>
      <c r="H55" s="619"/>
      <c r="I55" s="619"/>
      <c r="J55" s="619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619" t="s">
        <v>2688</v>
      </c>
      <c r="D57" s="619"/>
      <c r="E57" s="619"/>
      <c r="F57" s="619"/>
      <c r="G57" s="619"/>
      <c r="H57" s="619"/>
      <c r="I57" s="619"/>
      <c r="J57" s="619"/>
      <c r="K57" s="191"/>
    </row>
    <row r="58" spans="2:11" customFormat="1" ht="15" customHeight="1">
      <c r="B58" s="190"/>
      <c r="C58" s="195"/>
      <c r="D58" s="619" t="s">
        <v>2689</v>
      </c>
      <c r="E58" s="619"/>
      <c r="F58" s="619"/>
      <c r="G58" s="619"/>
      <c r="H58" s="619"/>
      <c r="I58" s="619"/>
      <c r="J58" s="619"/>
      <c r="K58" s="191"/>
    </row>
    <row r="59" spans="2:11" customFormat="1" ht="15" customHeight="1">
      <c r="B59" s="190"/>
      <c r="C59" s="195"/>
      <c r="D59" s="619" t="s">
        <v>2690</v>
      </c>
      <c r="E59" s="619"/>
      <c r="F59" s="619"/>
      <c r="G59" s="619"/>
      <c r="H59" s="619"/>
      <c r="I59" s="619"/>
      <c r="J59" s="619"/>
      <c r="K59" s="191"/>
    </row>
    <row r="60" spans="2:11" customFormat="1" ht="15" customHeight="1">
      <c r="B60" s="190"/>
      <c r="C60" s="195"/>
      <c r="D60" s="619" t="s">
        <v>2691</v>
      </c>
      <c r="E60" s="619"/>
      <c r="F60" s="619"/>
      <c r="G60" s="619"/>
      <c r="H60" s="619"/>
      <c r="I60" s="619"/>
      <c r="J60" s="619"/>
      <c r="K60" s="191"/>
    </row>
    <row r="61" spans="2:11" customFormat="1" ht="15" customHeight="1">
      <c r="B61" s="190"/>
      <c r="C61" s="195"/>
      <c r="D61" s="619" t="s">
        <v>2692</v>
      </c>
      <c r="E61" s="619"/>
      <c r="F61" s="619"/>
      <c r="G61" s="619"/>
      <c r="H61" s="619"/>
      <c r="I61" s="619"/>
      <c r="J61" s="619"/>
      <c r="K61" s="191"/>
    </row>
    <row r="62" spans="2:11" customFormat="1" ht="15" customHeight="1">
      <c r="B62" s="190"/>
      <c r="C62" s="195"/>
      <c r="D62" s="623" t="s">
        <v>2693</v>
      </c>
      <c r="E62" s="623"/>
      <c r="F62" s="623"/>
      <c r="G62" s="623"/>
      <c r="H62" s="623"/>
      <c r="I62" s="623"/>
      <c r="J62" s="623"/>
      <c r="K62" s="191"/>
    </row>
    <row r="63" spans="2:11" customFormat="1" ht="15" customHeight="1">
      <c r="B63" s="190"/>
      <c r="C63" s="195"/>
      <c r="D63" s="619" t="s">
        <v>2694</v>
      </c>
      <c r="E63" s="619"/>
      <c r="F63" s="619"/>
      <c r="G63" s="619"/>
      <c r="H63" s="619"/>
      <c r="I63" s="619"/>
      <c r="J63" s="619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619" t="s">
        <v>2695</v>
      </c>
      <c r="E65" s="619"/>
      <c r="F65" s="619"/>
      <c r="G65" s="619"/>
      <c r="H65" s="619"/>
      <c r="I65" s="619"/>
      <c r="J65" s="619"/>
      <c r="K65" s="191"/>
    </row>
    <row r="66" spans="2:11" customFormat="1" ht="15" customHeight="1">
      <c r="B66" s="190"/>
      <c r="C66" s="195"/>
      <c r="D66" s="623" t="s">
        <v>2696</v>
      </c>
      <c r="E66" s="623"/>
      <c r="F66" s="623"/>
      <c r="G66" s="623"/>
      <c r="H66" s="623"/>
      <c r="I66" s="623"/>
      <c r="J66" s="623"/>
      <c r="K66" s="191"/>
    </row>
    <row r="67" spans="2:11" customFormat="1" ht="15" customHeight="1">
      <c r="B67" s="190"/>
      <c r="C67" s="195"/>
      <c r="D67" s="619" t="s">
        <v>2697</v>
      </c>
      <c r="E67" s="619"/>
      <c r="F67" s="619"/>
      <c r="G67" s="619"/>
      <c r="H67" s="619"/>
      <c r="I67" s="619"/>
      <c r="J67" s="619"/>
      <c r="K67" s="191"/>
    </row>
    <row r="68" spans="2:11" customFormat="1" ht="15" customHeight="1">
      <c r="B68" s="190"/>
      <c r="C68" s="195"/>
      <c r="D68" s="619" t="s">
        <v>2698</v>
      </c>
      <c r="E68" s="619"/>
      <c r="F68" s="619"/>
      <c r="G68" s="619"/>
      <c r="H68" s="619"/>
      <c r="I68" s="619"/>
      <c r="J68" s="619"/>
      <c r="K68" s="191"/>
    </row>
    <row r="69" spans="2:11" customFormat="1" ht="15" customHeight="1">
      <c r="B69" s="190"/>
      <c r="C69" s="195"/>
      <c r="D69" s="619" t="s">
        <v>2699</v>
      </c>
      <c r="E69" s="619"/>
      <c r="F69" s="619"/>
      <c r="G69" s="619"/>
      <c r="H69" s="619"/>
      <c r="I69" s="619"/>
      <c r="J69" s="619"/>
      <c r="K69" s="191"/>
    </row>
    <row r="70" spans="2:11" customFormat="1" ht="15" customHeight="1">
      <c r="B70" s="190"/>
      <c r="C70" s="195"/>
      <c r="D70" s="619" t="s">
        <v>2700</v>
      </c>
      <c r="E70" s="619"/>
      <c r="F70" s="619"/>
      <c r="G70" s="619"/>
      <c r="H70" s="619"/>
      <c r="I70" s="619"/>
      <c r="J70" s="619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622" t="s">
        <v>2701</v>
      </c>
      <c r="D75" s="622"/>
      <c r="E75" s="622"/>
      <c r="F75" s="622"/>
      <c r="G75" s="622"/>
      <c r="H75" s="622"/>
      <c r="I75" s="622"/>
      <c r="J75" s="622"/>
      <c r="K75" s="208"/>
    </row>
    <row r="76" spans="2:11" customFormat="1" ht="17.25" customHeight="1">
      <c r="B76" s="207"/>
      <c r="C76" s="209" t="s">
        <v>2702</v>
      </c>
      <c r="D76" s="209"/>
      <c r="E76" s="209"/>
      <c r="F76" s="209" t="s">
        <v>2703</v>
      </c>
      <c r="G76" s="210"/>
      <c r="H76" s="209" t="s">
        <v>53</v>
      </c>
      <c r="I76" s="209" t="s">
        <v>56</v>
      </c>
      <c r="J76" s="209" t="s">
        <v>2704</v>
      </c>
      <c r="K76" s="208"/>
    </row>
    <row r="77" spans="2:11" customFormat="1" ht="17.25" customHeight="1">
      <c r="B77" s="207"/>
      <c r="C77" s="211" t="s">
        <v>2705</v>
      </c>
      <c r="D77" s="211"/>
      <c r="E77" s="211"/>
      <c r="F77" s="212" t="s">
        <v>2706</v>
      </c>
      <c r="G77" s="213"/>
      <c r="H77" s="211"/>
      <c r="I77" s="211"/>
      <c r="J77" s="211" t="s">
        <v>2707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52</v>
      </c>
      <c r="D79" s="216"/>
      <c r="E79" s="216"/>
      <c r="F79" s="217" t="s">
        <v>2708</v>
      </c>
      <c r="G79" s="218"/>
      <c r="H79" s="196" t="s">
        <v>2709</v>
      </c>
      <c r="I79" s="196" t="s">
        <v>2710</v>
      </c>
      <c r="J79" s="196">
        <v>20</v>
      </c>
      <c r="K79" s="208"/>
    </row>
    <row r="80" spans="2:11" customFormat="1" ht="15" customHeight="1">
      <c r="B80" s="207"/>
      <c r="C80" s="196" t="s">
        <v>2711</v>
      </c>
      <c r="D80" s="196"/>
      <c r="E80" s="196"/>
      <c r="F80" s="217" t="s">
        <v>2708</v>
      </c>
      <c r="G80" s="218"/>
      <c r="H80" s="196" t="s">
        <v>2712</v>
      </c>
      <c r="I80" s="196" t="s">
        <v>2710</v>
      </c>
      <c r="J80" s="196">
        <v>120</v>
      </c>
      <c r="K80" s="208"/>
    </row>
    <row r="81" spans="2:11" customFormat="1" ht="15" customHeight="1">
      <c r="B81" s="219"/>
      <c r="C81" s="196" t="s">
        <v>2713</v>
      </c>
      <c r="D81" s="196"/>
      <c r="E81" s="196"/>
      <c r="F81" s="217" t="s">
        <v>2714</v>
      </c>
      <c r="G81" s="218"/>
      <c r="H81" s="196" t="s">
        <v>2715</v>
      </c>
      <c r="I81" s="196" t="s">
        <v>2710</v>
      </c>
      <c r="J81" s="196">
        <v>50</v>
      </c>
      <c r="K81" s="208"/>
    </row>
    <row r="82" spans="2:11" customFormat="1" ht="15" customHeight="1">
      <c r="B82" s="219"/>
      <c r="C82" s="196" t="s">
        <v>2716</v>
      </c>
      <c r="D82" s="196"/>
      <c r="E82" s="196"/>
      <c r="F82" s="217" t="s">
        <v>2708</v>
      </c>
      <c r="G82" s="218"/>
      <c r="H82" s="196" t="s">
        <v>2717</v>
      </c>
      <c r="I82" s="196" t="s">
        <v>2718</v>
      </c>
      <c r="J82" s="196"/>
      <c r="K82" s="208"/>
    </row>
    <row r="83" spans="2:11" customFormat="1" ht="15" customHeight="1">
      <c r="B83" s="219"/>
      <c r="C83" s="196" t="s">
        <v>2719</v>
      </c>
      <c r="D83" s="196"/>
      <c r="E83" s="196"/>
      <c r="F83" s="217" t="s">
        <v>2714</v>
      </c>
      <c r="G83" s="196"/>
      <c r="H83" s="196" t="s">
        <v>2720</v>
      </c>
      <c r="I83" s="196" t="s">
        <v>2710</v>
      </c>
      <c r="J83" s="196">
        <v>15</v>
      </c>
      <c r="K83" s="208"/>
    </row>
    <row r="84" spans="2:11" customFormat="1" ht="15" customHeight="1">
      <c r="B84" s="219"/>
      <c r="C84" s="196" t="s">
        <v>2721</v>
      </c>
      <c r="D84" s="196"/>
      <c r="E84" s="196"/>
      <c r="F84" s="217" t="s">
        <v>2714</v>
      </c>
      <c r="G84" s="196"/>
      <c r="H84" s="196" t="s">
        <v>2722</v>
      </c>
      <c r="I84" s="196" t="s">
        <v>2710</v>
      </c>
      <c r="J84" s="196">
        <v>15</v>
      </c>
      <c r="K84" s="208"/>
    </row>
    <row r="85" spans="2:11" customFormat="1" ht="15" customHeight="1">
      <c r="B85" s="219"/>
      <c r="C85" s="196" t="s">
        <v>2723</v>
      </c>
      <c r="D85" s="196"/>
      <c r="E85" s="196"/>
      <c r="F85" s="217" t="s">
        <v>2714</v>
      </c>
      <c r="G85" s="196"/>
      <c r="H85" s="196" t="s">
        <v>2724</v>
      </c>
      <c r="I85" s="196" t="s">
        <v>2710</v>
      </c>
      <c r="J85" s="196">
        <v>20</v>
      </c>
      <c r="K85" s="208"/>
    </row>
    <row r="86" spans="2:11" customFormat="1" ht="15" customHeight="1">
      <c r="B86" s="219"/>
      <c r="C86" s="196" t="s">
        <v>2725</v>
      </c>
      <c r="D86" s="196"/>
      <c r="E86" s="196"/>
      <c r="F86" s="217" t="s">
        <v>2714</v>
      </c>
      <c r="G86" s="196"/>
      <c r="H86" s="196" t="s">
        <v>2726</v>
      </c>
      <c r="I86" s="196" t="s">
        <v>2710</v>
      </c>
      <c r="J86" s="196">
        <v>20</v>
      </c>
      <c r="K86" s="208"/>
    </row>
    <row r="87" spans="2:11" customFormat="1" ht="15" customHeight="1">
      <c r="B87" s="219"/>
      <c r="C87" s="196" t="s">
        <v>2727</v>
      </c>
      <c r="D87" s="196"/>
      <c r="E87" s="196"/>
      <c r="F87" s="217" t="s">
        <v>2714</v>
      </c>
      <c r="G87" s="218"/>
      <c r="H87" s="196" t="s">
        <v>2728</v>
      </c>
      <c r="I87" s="196" t="s">
        <v>2710</v>
      </c>
      <c r="J87" s="196">
        <v>50</v>
      </c>
      <c r="K87" s="208"/>
    </row>
    <row r="88" spans="2:11" customFormat="1" ht="15" customHeight="1">
      <c r="B88" s="219"/>
      <c r="C88" s="196" t="s">
        <v>2729</v>
      </c>
      <c r="D88" s="196"/>
      <c r="E88" s="196"/>
      <c r="F88" s="217" t="s">
        <v>2714</v>
      </c>
      <c r="G88" s="218"/>
      <c r="H88" s="196" t="s">
        <v>2730</v>
      </c>
      <c r="I88" s="196" t="s">
        <v>2710</v>
      </c>
      <c r="J88" s="196">
        <v>20</v>
      </c>
      <c r="K88" s="208"/>
    </row>
    <row r="89" spans="2:11" customFormat="1" ht="15" customHeight="1">
      <c r="B89" s="219"/>
      <c r="C89" s="196" t="s">
        <v>2731</v>
      </c>
      <c r="D89" s="196"/>
      <c r="E89" s="196"/>
      <c r="F89" s="217" t="s">
        <v>2714</v>
      </c>
      <c r="G89" s="218"/>
      <c r="H89" s="196" t="s">
        <v>2732</v>
      </c>
      <c r="I89" s="196" t="s">
        <v>2710</v>
      </c>
      <c r="J89" s="196">
        <v>20</v>
      </c>
      <c r="K89" s="208"/>
    </row>
    <row r="90" spans="2:11" customFormat="1" ht="15" customHeight="1">
      <c r="B90" s="219"/>
      <c r="C90" s="196" t="s">
        <v>2733</v>
      </c>
      <c r="D90" s="196"/>
      <c r="E90" s="196"/>
      <c r="F90" s="217" t="s">
        <v>2714</v>
      </c>
      <c r="G90" s="218"/>
      <c r="H90" s="196" t="s">
        <v>2734</v>
      </c>
      <c r="I90" s="196" t="s">
        <v>2710</v>
      </c>
      <c r="J90" s="196">
        <v>50</v>
      </c>
      <c r="K90" s="208"/>
    </row>
    <row r="91" spans="2:11" customFormat="1" ht="15" customHeight="1">
      <c r="B91" s="219"/>
      <c r="C91" s="196" t="s">
        <v>2735</v>
      </c>
      <c r="D91" s="196"/>
      <c r="E91" s="196"/>
      <c r="F91" s="217" t="s">
        <v>2714</v>
      </c>
      <c r="G91" s="218"/>
      <c r="H91" s="196" t="s">
        <v>2735</v>
      </c>
      <c r="I91" s="196" t="s">
        <v>2710</v>
      </c>
      <c r="J91" s="196">
        <v>50</v>
      </c>
      <c r="K91" s="208"/>
    </row>
    <row r="92" spans="2:11" customFormat="1" ht="15" customHeight="1">
      <c r="B92" s="219"/>
      <c r="C92" s="196" t="s">
        <v>2736</v>
      </c>
      <c r="D92" s="196"/>
      <c r="E92" s="196"/>
      <c r="F92" s="217" t="s">
        <v>2714</v>
      </c>
      <c r="G92" s="218"/>
      <c r="H92" s="196" t="s">
        <v>2737</v>
      </c>
      <c r="I92" s="196" t="s">
        <v>2710</v>
      </c>
      <c r="J92" s="196">
        <v>255</v>
      </c>
      <c r="K92" s="208"/>
    </row>
    <row r="93" spans="2:11" customFormat="1" ht="15" customHeight="1">
      <c r="B93" s="219"/>
      <c r="C93" s="196" t="s">
        <v>2738</v>
      </c>
      <c r="D93" s="196"/>
      <c r="E93" s="196"/>
      <c r="F93" s="217" t="s">
        <v>2708</v>
      </c>
      <c r="G93" s="218"/>
      <c r="H93" s="196" t="s">
        <v>2739</v>
      </c>
      <c r="I93" s="196" t="s">
        <v>2740</v>
      </c>
      <c r="J93" s="196"/>
      <c r="K93" s="208"/>
    </row>
    <row r="94" spans="2:11" customFormat="1" ht="15" customHeight="1">
      <c r="B94" s="219"/>
      <c r="C94" s="196" t="s">
        <v>2741</v>
      </c>
      <c r="D94" s="196"/>
      <c r="E94" s="196"/>
      <c r="F94" s="217" t="s">
        <v>2708</v>
      </c>
      <c r="G94" s="218"/>
      <c r="H94" s="196" t="s">
        <v>2742</v>
      </c>
      <c r="I94" s="196" t="s">
        <v>2743</v>
      </c>
      <c r="J94" s="196"/>
      <c r="K94" s="208"/>
    </row>
    <row r="95" spans="2:11" customFormat="1" ht="15" customHeight="1">
      <c r="B95" s="219"/>
      <c r="C95" s="196" t="s">
        <v>2744</v>
      </c>
      <c r="D95" s="196"/>
      <c r="E95" s="196"/>
      <c r="F95" s="217" t="s">
        <v>2708</v>
      </c>
      <c r="G95" s="218"/>
      <c r="H95" s="196" t="s">
        <v>2744</v>
      </c>
      <c r="I95" s="196" t="s">
        <v>2743</v>
      </c>
      <c r="J95" s="196"/>
      <c r="K95" s="208"/>
    </row>
    <row r="96" spans="2:11" customFormat="1" ht="15" customHeight="1">
      <c r="B96" s="219"/>
      <c r="C96" s="196" t="s">
        <v>37</v>
      </c>
      <c r="D96" s="196"/>
      <c r="E96" s="196"/>
      <c r="F96" s="217" t="s">
        <v>2708</v>
      </c>
      <c r="G96" s="218"/>
      <c r="H96" s="196" t="s">
        <v>2745</v>
      </c>
      <c r="I96" s="196" t="s">
        <v>2743</v>
      </c>
      <c r="J96" s="196"/>
      <c r="K96" s="208"/>
    </row>
    <row r="97" spans="2:11" customFormat="1" ht="15" customHeight="1">
      <c r="B97" s="219"/>
      <c r="C97" s="196" t="s">
        <v>47</v>
      </c>
      <c r="D97" s="196"/>
      <c r="E97" s="196"/>
      <c r="F97" s="217" t="s">
        <v>2708</v>
      </c>
      <c r="G97" s="218"/>
      <c r="H97" s="196" t="s">
        <v>2746</v>
      </c>
      <c r="I97" s="196" t="s">
        <v>2743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622" t="s">
        <v>2747</v>
      </c>
      <c r="D102" s="622"/>
      <c r="E102" s="622"/>
      <c r="F102" s="622"/>
      <c r="G102" s="622"/>
      <c r="H102" s="622"/>
      <c r="I102" s="622"/>
      <c r="J102" s="622"/>
      <c r="K102" s="208"/>
    </row>
    <row r="103" spans="2:11" customFormat="1" ht="17.25" customHeight="1">
      <c r="B103" s="207"/>
      <c r="C103" s="209" t="s">
        <v>2702</v>
      </c>
      <c r="D103" s="209"/>
      <c r="E103" s="209"/>
      <c r="F103" s="209" t="s">
        <v>2703</v>
      </c>
      <c r="G103" s="210"/>
      <c r="H103" s="209" t="s">
        <v>53</v>
      </c>
      <c r="I103" s="209" t="s">
        <v>56</v>
      </c>
      <c r="J103" s="209" t="s">
        <v>2704</v>
      </c>
      <c r="K103" s="208"/>
    </row>
    <row r="104" spans="2:11" customFormat="1" ht="17.25" customHeight="1">
      <c r="B104" s="207"/>
      <c r="C104" s="211" t="s">
        <v>2705</v>
      </c>
      <c r="D104" s="211"/>
      <c r="E104" s="211"/>
      <c r="F104" s="212" t="s">
        <v>2706</v>
      </c>
      <c r="G104" s="213"/>
      <c r="H104" s="211"/>
      <c r="I104" s="211"/>
      <c r="J104" s="211" t="s">
        <v>2707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52</v>
      </c>
      <c r="D106" s="216"/>
      <c r="E106" s="216"/>
      <c r="F106" s="217" t="s">
        <v>2708</v>
      </c>
      <c r="G106" s="196"/>
      <c r="H106" s="196" t="s">
        <v>2748</v>
      </c>
      <c r="I106" s="196" t="s">
        <v>2710</v>
      </c>
      <c r="J106" s="196">
        <v>20</v>
      </c>
      <c r="K106" s="208"/>
    </row>
    <row r="107" spans="2:11" customFormat="1" ht="15" customHeight="1">
      <c r="B107" s="207"/>
      <c r="C107" s="196" t="s">
        <v>2711</v>
      </c>
      <c r="D107" s="196"/>
      <c r="E107" s="196"/>
      <c r="F107" s="217" t="s">
        <v>2708</v>
      </c>
      <c r="G107" s="196"/>
      <c r="H107" s="196" t="s">
        <v>2748</v>
      </c>
      <c r="I107" s="196" t="s">
        <v>2710</v>
      </c>
      <c r="J107" s="196">
        <v>120</v>
      </c>
      <c r="K107" s="208"/>
    </row>
    <row r="108" spans="2:11" customFormat="1" ht="15" customHeight="1">
      <c r="B108" s="219"/>
      <c r="C108" s="196" t="s">
        <v>2713</v>
      </c>
      <c r="D108" s="196"/>
      <c r="E108" s="196"/>
      <c r="F108" s="217" t="s">
        <v>2714</v>
      </c>
      <c r="G108" s="196"/>
      <c r="H108" s="196" t="s">
        <v>2748</v>
      </c>
      <c r="I108" s="196" t="s">
        <v>2710</v>
      </c>
      <c r="J108" s="196">
        <v>50</v>
      </c>
      <c r="K108" s="208"/>
    </row>
    <row r="109" spans="2:11" customFormat="1" ht="15" customHeight="1">
      <c r="B109" s="219"/>
      <c r="C109" s="196" t="s">
        <v>2716</v>
      </c>
      <c r="D109" s="196"/>
      <c r="E109" s="196"/>
      <c r="F109" s="217" t="s">
        <v>2708</v>
      </c>
      <c r="G109" s="196"/>
      <c r="H109" s="196" t="s">
        <v>2748</v>
      </c>
      <c r="I109" s="196" t="s">
        <v>2718</v>
      </c>
      <c r="J109" s="196"/>
      <c r="K109" s="208"/>
    </row>
    <row r="110" spans="2:11" customFormat="1" ht="15" customHeight="1">
      <c r="B110" s="219"/>
      <c r="C110" s="196" t="s">
        <v>2727</v>
      </c>
      <c r="D110" s="196"/>
      <c r="E110" s="196"/>
      <c r="F110" s="217" t="s">
        <v>2714</v>
      </c>
      <c r="G110" s="196"/>
      <c r="H110" s="196" t="s">
        <v>2748</v>
      </c>
      <c r="I110" s="196" t="s">
        <v>2710</v>
      </c>
      <c r="J110" s="196">
        <v>50</v>
      </c>
      <c r="K110" s="208"/>
    </row>
    <row r="111" spans="2:11" customFormat="1" ht="15" customHeight="1">
      <c r="B111" s="219"/>
      <c r="C111" s="196" t="s">
        <v>2735</v>
      </c>
      <c r="D111" s="196"/>
      <c r="E111" s="196"/>
      <c r="F111" s="217" t="s">
        <v>2714</v>
      </c>
      <c r="G111" s="196"/>
      <c r="H111" s="196" t="s">
        <v>2748</v>
      </c>
      <c r="I111" s="196" t="s">
        <v>2710</v>
      </c>
      <c r="J111" s="196">
        <v>50</v>
      </c>
      <c r="K111" s="208"/>
    </row>
    <row r="112" spans="2:11" customFormat="1" ht="15" customHeight="1">
      <c r="B112" s="219"/>
      <c r="C112" s="196" t="s">
        <v>2733</v>
      </c>
      <c r="D112" s="196"/>
      <c r="E112" s="196"/>
      <c r="F112" s="217" t="s">
        <v>2714</v>
      </c>
      <c r="G112" s="196"/>
      <c r="H112" s="196" t="s">
        <v>2748</v>
      </c>
      <c r="I112" s="196" t="s">
        <v>2710</v>
      </c>
      <c r="J112" s="196">
        <v>50</v>
      </c>
      <c r="K112" s="208"/>
    </row>
    <row r="113" spans="2:11" customFormat="1" ht="15" customHeight="1">
      <c r="B113" s="219"/>
      <c r="C113" s="196" t="s">
        <v>52</v>
      </c>
      <c r="D113" s="196"/>
      <c r="E113" s="196"/>
      <c r="F113" s="217" t="s">
        <v>2708</v>
      </c>
      <c r="G113" s="196"/>
      <c r="H113" s="196" t="s">
        <v>2749</v>
      </c>
      <c r="I113" s="196" t="s">
        <v>2710</v>
      </c>
      <c r="J113" s="196">
        <v>20</v>
      </c>
      <c r="K113" s="208"/>
    </row>
    <row r="114" spans="2:11" customFormat="1" ht="15" customHeight="1">
      <c r="B114" s="219"/>
      <c r="C114" s="196" t="s">
        <v>2750</v>
      </c>
      <c r="D114" s="196"/>
      <c r="E114" s="196"/>
      <c r="F114" s="217" t="s">
        <v>2708</v>
      </c>
      <c r="G114" s="196"/>
      <c r="H114" s="196" t="s">
        <v>2751</v>
      </c>
      <c r="I114" s="196" t="s">
        <v>2710</v>
      </c>
      <c r="J114" s="196">
        <v>120</v>
      </c>
      <c r="K114" s="208"/>
    </row>
    <row r="115" spans="2:11" customFormat="1" ht="15" customHeight="1">
      <c r="B115" s="219"/>
      <c r="C115" s="196" t="s">
        <v>37</v>
      </c>
      <c r="D115" s="196"/>
      <c r="E115" s="196"/>
      <c r="F115" s="217" t="s">
        <v>2708</v>
      </c>
      <c r="G115" s="196"/>
      <c r="H115" s="196" t="s">
        <v>2752</v>
      </c>
      <c r="I115" s="196" t="s">
        <v>2743</v>
      </c>
      <c r="J115" s="196"/>
      <c r="K115" s="208"/>
    </row>
    <row r="116" spans="2:11" customFormat="1" ht="15" customHeight="1">
      <c r="B116" s="219"/>
      <c r="C116" s="196" t="s">
        <v>47</v>
      </c>
      <c r="D116" s="196"/>
      <c r="E116" s="196"/>
      <c r="F116" s="217" t="s">
        <v>2708</v>
      </c>
      <c r="G116" s="196"/>
      <c r="H116" s="196" t="s">
        <v>2753</v>
      </c>
      <c r="I116" s="196" t="s">
        <v>2743</v>
      </c>
      <c r="J116" s="196"/>
      <c r="K116" s="208"/>
    </row>
    <row r="117" spans="2:11" customFormat="1" ht="15" customHeight="1">
      <c r="B117" s="219"/>
      <c r="C117" s="196" t="s">
        <v>56</v>
      </c>
      <c r="D117" s="196"/>
      <c r="E117" s="196"/>
      <c r="F117" s="217" t="s">
        <v>2708</v>
      </c>
      <c r="G117" s="196"/>
      <c r="H117" s="196" t="s">
        <v>2754</v>
      </c>
      <c r="I117" s="196" t="s">
        <v>2755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620" t="s">
        <v>2756</v>
      </c>
      <c r="D122" s="620"/>
      <c r="E122" s="620"/>
      <c r="F122" s="620"/>
      <c r="G122" s="620"/>
      <c r="H122" s="620"/>
      <c r="I122" s="620"/>
      <c r="J122" s="620"/>
      <c r="K122" s="234"/>
    </row>
    <row r="123" spans="2:11" customFormat="1" ht="17.25" customHeight="1">
      <c r="B123" s="235"/>
      <c r="C123" s="209" t="s">
        <v>2702</v>
      </c>
      <c r="D123" s="209"/>
      <c r="E123" s="209"/>
      <c r="F123" s="209" t="s">
        <v>2703</v>
      </c>
      <c r="G123" s="210"/>
      <c r="H123" s="209" t="s">
        <v>53</v>
      </c>
      <c r="I123" s="209" t="s">
        <v>56</v>
      </c>
      <c r="J123" s="209" t="s">
        <v>2704</v>
      </c>
      <c r="K123" s="236"/>
    </row>
    <row r="124" spans="2:11" customFormat="1" ht="17.25" customHeight="1">
      <c r="B124" s="235"/>
      <c r="C124" s="211" t="s">
        <v>2705</v>
      </c>
      <c r="D124" s="211"/>
      <c r="E124" s="211"/>
      <c r="F124" s="212" t="s">
        <v>2706</v>
      </c>
      <c r="G124" s="213"/>
      <c r="H124" s="211"/>
      <c r="I124" s="211"/>
      <c r="J124" s="211" t="s">
        <v>2707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2711</v>
      </c>
      <c r="D126" s="216"/>
      <c r="E126" s="216"/>
      <c r="F126" s="217" t="s">
        <v>2708</v>
      </c>
      <c r="G126" s="196"/>
      <c r="H126" s="196" t="s">
        <v>2748</v>
      </c>
      <c r="I126" s="196" t="s">
        <v>2710</v>
      </c>
      <c r="J126" s="196">
        <v>120</v>
      </c>
      <c r="K126" s="240"/>
    </row>
    <row r="127" spans="2:11" customFormat="1" ht="15" customHeight="1">
      <c r="B127" s="237"/>
      <c r="C127" s="196" t="s">
        <v>2757</v>
      </c>
      <c r="D127" s="196"/>
      <c r="E127" s="196"/>
      <c r="F127" s="217" t="s">
        <v>2708</v>
      </c>
      <c r="G127" s="196"/>
      <c r="H127" s="196" t="s">
        <v>2758</v>
      </c>
      <c r="I127" s="196" t="s">
        <v>2710</v>
      </c>
      <c r="J127" s="196" t="s">
        <v>2759</v>
      </c>
      <c r="K127" s="240"/>
    </row>
    <row r="128" spans="2:11" customFormat="1" ht="15" customHeight="1">
      <c r="B128" s="237"/>
      <c r="C128" s="196" t="s">
        <v>2656</v>
      </c>
      <c r="D128" s="196"/>
      <c r="E128" s="196"/>
      <c r="F128" s="217" t="s">
        <v>2708</v>
      </c>
      <c r="G128" s="196"/>
      <c r="H128" s="196" t="s">
        <v>2760</v>
      </c>
      <c r="I128" s="196" t="s">
        <v>2710</v>
      </c>
      <c r="J128" s="196" t="s">
        <v>2759</v>
      </c>
      <c r="K128" s="240"/>
    </row>
    <row r="129" spans="2:11" customFormat="1" ht="15" customHeight="1">
      <c r="B129" s="237"/>
      <c r="C129" s="196" t="s">
        <v>2719</v>
      </c>
      <c r="D129" s="196"/>
      <c r="E129" s="196"/>
      <c r="F129" s="217" t="s">
        <v>2714</v>
      </c>
      <c r="G129" s="196"/>
      <c r="H129" s="196" t="s">
        <v>2720</v>
      </c>
      <c r="I129" s="196" t="s">
        <v>2710</v>
      </c>
      <c r="J129" s="196">
        <v>15</v>
      </c>
      <c r="K129" s="240"/>
    </row>
    <row r="130" spans="2:11" customFormat="1" ht="15" customHeight="1">
      <c r="B130" s="237"/>
      <c r="C130" s="196" t="s">
        <v>2721</v>
      </c>
      <c r="D130" s="196"/>
      <c r="E130" s="196"/>
      <c r="F130" s="217" t="s">
        <v>2714</v>
      </c>
      <c r="G130" s="196"/>
      <c r="H130" s="196" t="s">
        <v>2722</v>
      </c>
      <c r="I130" s="196" t="s">
        <v>2710</v>
      </c>
      <c r="J130" s="196">
        <v>15</v>
      </c>
      <c r="K130" s="240"/>
    </row>
    <row r="131" spans="2:11" customFormat="1" ht="15" customHeight="1">
      <c r="B131" s="237"/>
      <c r="C131" s="196" t="s">
        <v>2723</v>
      </c>
      <c r="D131" s="196"/>
      <c r="E131" s="196"/>
      <c r="F131" s="217" t="s">
        <v>2714</v>
      </c>
      <c r="G131" s="196"/>
      <c r="H131" s="196" t="s">
        <v>2724</v>
      </c>
      <c r="I131" s="196" t="s">
        <v>2710</v>
      </c>
      <c r="J131" s="196">
        <v>20</v>
      </c>
      <c r="K131" s="240"/>
    </row>
    <row r="132" spans="2:11" customFormat="1" ht="15" customHeight="1">
      <c r="B132" s="237"/>
      <c r="C132" s="196" t="s">
        <v>2725</v>
      </c>
      <c r="D132" s="196"/>
      <c r="E132" s="196"/>
      <c r="F132" s="217" t="s">
        <v>2714</v>
      </c>
      <c r="G132" s="196"/>
      <c r="H132" s="196" t="s">
        <v>2726</v>
      </c>
      <c r="I132" s="196" t="s">
        <v>2710</v>
      </c>
      <c r="J132" s="196">
        <v>20</v>
      </c>
      <c r="K132" s="240"/>
    </row>
    <row r="133" spans="2:11" customFormat="1" ht="15" customHeight="1">
      <c r="B133" s="237"/>
      <c r="C133" s="196" t="s">
        <v>2713</v>
      </c>
      <c r="D133" s="196"/>
      <c r="E133" s="196"/>
      <c r="F133" s="217" t="s">
        <v>2714</v>
      </c>
      <c r="G133" s="196"/>
      <c r="H133" s="196" t="s">
        <v>2748</v>
      </c>
      <c r="I133" s="196" t="s">
        <v>2710</v>
      </c>
      <c r="J133" s="196">
        <v>50</v>
      </c>
      <c r="K133" s="240"/>
    </row>
    <row r="134" spans="2:11" customFormat="1" ht="15" customHeight="1">
      <c r="B134" s="237"/>
      <c r="C134" s="196" t="s">
        <v>2727</v>
      </c>
      <c r="D134" s="196"/>
      <c r="E134" s="196"/>
      <c r="F134" s="217" t="s">
        <v>2714</v>
      </c>
      <c r="G134" s="196"/>
      <c r="H134" s="196" t="s">
        <v>2748</v>
      </c>
      <c r="I134" s="196" t="s">
        <v>2710</v>
      </c>
      <c r="J134" s="196">
        <v>50</v>
      </c>
      <c r="K134" s="240"/>
    </row>
    <row r="135" spans="2:11" customFormat="1" ht="15" customHeight="1">
      <c r="B135" s="237"/>
      <c r="C135" s="196" t="s">
        <v>2733</v>
      </c>
      <c r="D135" s="196"/>
      <c r="E135" s="196"/>
      <c r="F135" s="217" t="s">
        <v>2714</v>
      </c>
      <c r="G135" s="196"/>
      <c r="H135" s="196" t="s">
        <v>2748</v>
      </c>
      <c r="I135" s="196" t="s">
        <v>2710</v>
      </c>
      <c r="J135" s="196">
        <v>50</v>
      </c>
      <c r="K135" s="240"/>
    </row>
    <row r="136" spans="2:11" customFormat="1" ht="15" customHeight="1">
      <c r="B136" s="237"/>
      <c r="C136" s="196" t="s">
        <v>2735</v>
      </c>
      <c r="D136" s="196"/>
      <c r="E136" s="196"/>
      <c r="F136" s="217" t="s">
        <v>2714</v>
      </c>
      <c r="G136" s="196"/>
      <c r="H136" s="196" t="s">
        <v>2748</v>
      </c>
      <c r="I136" s="196" t="s">
        <v>2710</v>
      </c>
      <c r="J136" s="196">
        <v>50</v>
      </c>
      <c r="K136" s="240"/>
    </row>
    <row r="137" spans="2:11" customFormat="1" ht="15" customHeight="1">
      <c r="B137" s="237"/>
      <c r="C137" s="196" t="s">
        <v>2736</v>
      </c>
      <c r="D137" s="196"/>
      <c r="E137" s="196"/>
      <c r="F137" s="217" t="s">
        <v>2714</v>
      </c>
      <c r="G137" s="196"/>
      <c r="H137" s="196" t="s">
        <v>2761</v>
      </c>
      <c r="I137" s="196" t="s">
        <v>2710</v>
      </c>
      <c r="J137" s="196">
        <v>255</v>
      </c>
      <c r="K137" s="240"/>
    </row>
    <row r="138" spans="2:11" customFormat="1" ht="15" customHeight="1">
      <c r="B138" s="237"/>
      <c r="C138" s="196" t="s">
        <v>2738</v>
      </c>
      <c r="D138" s="196"/>
      <c r="E138" s="196"/>
      <c r="F138" s="217" t="s">
        <v>2708</v>
      </c>
      <c r="G138" s="196"/>
      <c r="H138" s="196" t="s">
        <v>2762</v>
      </c>
      <c r="I138" s="196" t="s">
        <v>2740</v>
      </c>
      <c r="J138" s="196"/>
      <c r="K138" s="240"/>
    </row>
    <row r="139" spans="2:11" customFormat="1" ht="15" customHeight="1">
      <c r="B139" s="237"/>
      <c r="C139" s="196" t="s">
        <v>2741</v>
      </c>
      <c r="D139" s="196"/>
      <c r="E139" s="196"/>
      <c r="F139" s="217" t="s">
        <v>2708</v>
      </c>
      <c r="G139" s="196"/>
      <c r="H139" s="196" t="s">
        <v>2763</v>
      </c>
      <c r="I139" s="196" t="s">
        <v>2743</v>
      </c>
      <c r="J139" s="196"/>
      <c r="K139" s="240"/>
    </row>
    <row r="140" spans="2:11" customFormat="1" ht="15" customHeight="1">
      <c r="B140" s="237"/>
      <c r="C140" s="196" t="s">
        <v>2744</v>
      </c>
      <c r="D140" s="196"/>
      <c r="E140" s="196"/>
      <c r="F140" s="217" t="s">
        <v>2708</v>
      </c>
      <c r="G140" s="196"/>
      <c r="H140" s="196" t="s">
        <v>2744</v>
      </c>
      <c r="I140" s="196" t="s">
        <v>2743</v>
      </c>
      <c r="J140" s="196"/>
      <c r="K140" s="240"/>
    </row>
    <row r="141" spans="2:11" customFormat="1" ht="15" customHeight="1">
      <c r="B141" s="237"/>
      <c r="C141" s="196" t="s">
        <v>37</v>
      </c>
      <c r="D141" s="196"/>
      <c r="E141" s="196"/>
      <c r="F141" s="217" t="s">
        <v>2708</v>
      </c>
      <c r="G141" s="196"/>
      <c r="H141" s="196" t="s">
        <v>2764</v>
      </c>
      <c r="I141" s="196" t="s">
        <v>2743</v>
      </c>
      <c r="J141" s="196"/>
      <c r="K141" s="240"/>
    </row>
    <row r="142" spans="2:11" customFormat="1" ht="15" customHeight="1">
      <c r="B142" s="237"/>
      <c r="C142" s="196" t="s">
        <v>2765</v>
      </c>
      <c r="D142" s="196"/>
      <c r="E142" s="196"/>
      <c r="F142" s="217" t="s">
        <v>2708</v>
      </c>
      <c r="G142" s="196"/>
      <c r="H142" s="196" t="s">
        <v>2766</v>
      </c>
      <c r="I142" s="196" t="s">
        <v>2743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622" t="s">
        <v>2767</v>
      </c>
      <c r="D147" s="622"/>
      <c r="E147" s="622"/>
      <c r="F147" s="622"/>
      <c r="G147" s="622"/>
      <c r="H147" s="622"/>
      <c r="I147" s="622"/>
      <c r="J147" s="622"/>
      <c r="K147" s="208"/>
    </row>
    <row r="148" spans="2:11" customFormat="1" ht="17.25" customHeight="1">
      <c r="B148" s="207"/>
      <c r="C148" s="209" t="s">
        <v>2702</v>
      </c>
      <c r="D148" s="209"/>
      <c r="E148" s="209"/>
      <c r="F148" s="209" t="s">
        <v>2703</v>
      </c>
      <c r="G148" s="210"/>
      <c r="H148" s="209" t="s">
        <v>53</v>
      </c>
      <c r="I148" s="209" t="s">
        <v>56</v>
      </c>
      <c r="J148" s="209" t="s">
        <v>2704</v>
      </c>
      <c r="K148" s="208"/>
    </row>
    <row r="149" spans="2:11" customFormat="1" ht="17.25" customHeight="1">
      <c r="B149" s="207"/>
      <c r="C149" s="211" t="s">
        <v>2705</v>
      </c>
      <c r="D149" s="211"/>
      <c r="E149" s="211"/>
      <c r="F149" s="212" t="s">
        <v>2706</v>
      </c>
      <c r="G149" s="213"/>
      <c r="H149" s="211"/>
      <c r="I149" s="211"/>
      <c r="J149" s="211" t="s">
        <v>2707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2711</v>
      </c>
      <c r="D151" s="196"/>
      <c r="E151" s="196"/>
      <c r="F151" s="245" t="s">
        <v>2708</v>
      </c>
      <c r="G151" s="196"/>
      <c r="H151" s="244" t="s">
        <v>2748</v>
      </c>
      <c r="I151" s="244" t="s">
        <v>2710</v>
      </c>
      <c r="J151" s="244">
        <v>120</v>
      </c>
      <c r="K151" s="240"/>
    </row>
    <row r="152" spans="2:11" customFormat="1" ht="15" customHeight="1">
      <c r="B152" s="219"/>
      <c r="C152" s="244" t="s">
        <v>2757</v>
      </c>
      <c r="D152" s="196"/>
      <c r="E152" s="196"/>
      <c r="F152" s="245" t="s">
        <v>2708</v>
      </c>
      <c r="G152" s="196"/>
      <c r="H152" s="244" t="s">
        <v>2768</v>
      </c>
      <c r="I152" s="244" t="s">
        <v>2710</v>
      </c>
      <c r="J152" s="244" t="s">
        <v>2759</v>
      </c>
      <c r="K152" s="240"/>
    </row>
    <row r="153" spans="2:11" customFormat="1" ht="15" customHeight="1">
      <c r="B153" s="219"/>
      <c r="C153" s="244" t="s">
        <v>2656</v>
      </c>
      <c r="D153" s="196"/>
      <c r="E153" s="196"/>
      <c r="F153" s="245" t="s">
        <v>2708</v>
      </c>
      <c r="G153" s="196"/>
      <c r="H153" s="244" t="s">
        <v>2769</v>
      </c>
      <c r="I153" s="244" t="s">
        <v>2710</v>
      </c>
      <c r="J153" s="244" t="s">
        <v>2759</v>
      </c>
      <c r="K153" s="240"/>
    </row>
    <row r="154" spans="2:11" customFormat="1" ht="15" customHeight="1">
      <c r="B154" s="219"/>
      <c r="C154" s="244" t="s">
        <v>2713</v>
      </c>
      <c r="D154" s="196"/>
      <c r="E154" s="196"/>
      <c r="F154" s="245" t="s">
        <v>2714</v>
      </c>
      <c r="G154" s="196"/>
      <c r="H154" s="244" t="s">
        <v>2748</v>
      </c>
      <c r="I154" s="244" t="s">
        <v>2710</v>
      </c>
      <c r="J154" s="244">
        <v>50</v>
      </c>
      <c r="K154" s="240"/>
    </row>
    <row r="155" spans="2:11" customFormat="1" ht="15" customHeight="1">
      <c r="B155" s="219"/>
      <c r="C155" s="244" t="s">
        <v>2716</v>
      </c>
      <c r="D155" s="196"/>
      <c r="E155" s="196"/>
      <c r="F155" s="245" t="s">
        <v>2708</v>
      </c>
      <c r="G155" s="196"/>
      <c r="H155" s="244" t="s">
        <v>2748</v>
      </c>
      <c r="I155" s="244" t="s">
        <v>2718</v>
      </c>
      <c r="J155" s="244"/>
      <c r="K155" s="240"/>
    </row>
    <row r="156" spans="2:11" customFormat="1" ht="15" customHeight="1">
      <c r="B156" s="219"/>
      <c r="C156" s="244" t="s">
        <v>2727</v>
      </c>
      <c r="D156" s="196"/>
      <c r="E156" s="196"/>
      <c r="F156" s="245" t="s">
        <v>2714</v>
      </c>
      <c r="G156" s="196"/>
      <c r="H156" s="244" t="s">
        <v>2748</v>
      </c>
      <c r="I156" s="244" t="s">
        <v>2710</v>
      </c>
      <c r="J156" s="244">
        <v>50</v>
      </c>
      <c r="K156" s="240"/>
    </row>
    <row r="157" spans="2:11" customFormat="1" ht="15" customHeight="1">
      <c r="B157" s="219"/>
      <c r="C157" s="244" t="s">
        <v>2735</v>
      </c>
      <c r="D157" s="196"/>
      <c r="E157" s="196"/>
      <c r="F157" s="245" t="s">
        <v>2714</v>
      </c>
      <c r="G157" s="196"/>
      <c r="H157" s="244" t="s">
        <v>2748</v>
      </c>
      <c r="I157" s="244" t="s">
        <v>2710</v>
      </c>
      <c r="J157" s="244">
        <v>50</v>
      </c>
      <c r="K157" s="240"/>
    </row>
    <row r="158" spans="2:11" customFormat="1" ht="15" customHeight="1">
      <c r="B158" s="219"/>
      <c r="C158" s="244" t="s">
        <v>2733</v>
      </c>
      <c r="D158" s="196"/>
      <c r="E158" s="196"/>
      <c r="F158" s="245" t="s">
        <v>2714</v>
      </c>
      <c r="G158" s="196"/>
      <c r="H158" s="244" t="s">
        <v>2748</v>
      </c>
      <c r="I158" s="244" t="s">
        <v>2710</v>
      </c>
      <c r="J158" s="244">
        <v>50</v>
      </c>
      <c r="K158" s="240"/>
    </row>
    <row r="159" spans="2:11" customFormat="1" ht="15" customHeight="1">
      <c r="B159" s="219"/>
      <c r="C159" s="244" t="s">
        <v>92</v>
      </c>
      <c r="D159" s="196"/>
      <c r="E159" s="196"/>
      <c r="F159" s="245" t="s">
        <v>2708</v>
      </c>
      <c r="G159" s="196"/>
      <c r="H159" s="244" t="s">
        <v>2770</v>
      </c>
      <c r="I159" s="244" t="s">
        <v>2710</v>
      </c>
      <c r="J159" s="244" t="s">
        <v>2771</v>
      </c>
      <c r="K159" s="240"/>
    </row>
    <row r="160" spans="2:11" customFormat="1" ht="15" customHeight="1">
      <c r="B160" s="219"/>
      <c r="C160" s="244" t="s">
        <v>2772</v>
      </c>
      <c r="D160" s="196"/>
      <c r="E160" s="196"/>
      <c r="F160" s="245" t="s">
        <v>2708</v>
      </c>
      <c r="G160" s="196"/>
      <c r="H160" s="244" t="s">
        <v>2773</v>
      </c>
      <c r="I160" s="244" t="s">
        <v>2743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620" t="s">
        <v>2774</v>
      </c>
      <c r="D165" s="620"/>
      <c r="E165" s="620"/>
      <c r="F165" s="620"/>
      <c r="G165" s="620"/>
      <c r="H165" s="620"/>
      <c r="I165" s="620"/>
      <c r="J165" s="620"/>
      <c r="K165" s="189"/>
    </row>
    <row r="166" spans="2:11" customFormat="1" ht="17.25" customHeight="1">
      <c r="B166" s="188"/>
      <c r="C166" s="209" t="s">
        <v>2702</v>
      </c>
      <c r="D166" s="209"/>
      <c r="E166" s="209"/>
      <c r="F166" s="209" t="s">
        <v>2703</v>
      </c>
      <c r="G166" s="249"/>
      <c r="H166" s="250" t="s">
        <v>53</v>
      </c>
      <c r="I166" s="250" t="s">
        <v>56</v>
      </c>
      <c r="J166" s="209" t="s">
        <v>2704</v>
      </c>
      <c r="K166" s="189"/>
    </row>
    <row r="167" spans="2:11" customFormat="1" ht="17.25" customHeight="1">
      <c r="B167" s="190"/>
      <c r="C167" s="211" t="s">
        <v>2705</v>
      </c>
      <c r="D167" s="211"/>
      <c r="E167" s="211"/>
      <c r="F167" s="212" t="s">
        <v>2706</v>
      </c>
      <c r="G167" s="251"/>
      <c r="H167" s="252"/>
      <c r="I167" s="252"/>
      <c r="J167" s="211" t="s">
        <v>2707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2711</v>
      </c>
      <c r="D169" s="196"/>
      <c r="E169" s="196"/>
      <c r="F169" s="217" t="s">
        <v>2708</v>
      </c>
      <c r="G169" s="196"/>
      <c r="H169" s="196" t="s">
        <v>2748</v>
      </c>
      <c r="I169" s="196" t="s">
        <v>2710</v>
      </c>
      <c r="J169" s="196">
        <v>120</v>
      </c>
      <c r="K169" s="240"/>
    </row>
    <row r="170" spans="2:11" customFormat="1" ht="15" customHeight="1">
      <c r="B170" s="219"/>
      <c r="C170" s="196" t="s">
        <v>2757</v>
      </c>
      <c r="D170" s="196"/>
      <c r="E170" s="196"/>
      <c r="F170" s="217" t="s">
        <v>2708</v>
      </c>
      <c r="G170" s="196"/>
      <c r="H170" s="196" t="s">
        <v>2758</v>
      </c>
      <c r="I170" s="196" t="s">
        <v>2710</v>
      </c>
      <c r="J170" s="196" t="s">
        <v>2759</v>
      </c>
      <c r="K170" s="240"/>
    </row>
    <row r="171" spans="2:11" customFormat="1" ht="15" customHeight="1">
      <c r="B171" s="219"/>
      <c r="C171" s="196" t="s">
        <v>2656</v>
      </c>
      <c r="D171" s="196"/>
      <c r="E171" s="196"/>
      <c r="F171" s="217" t="s">
        <v>2708</v>
      </c>
      <c r="G171" s="196"/>
      <c r="H171" s="196" t="s">
        <v>2775</v>
      </c>
      <c r="I171" s="196" t="s">
        <v>2710</v>
      </c>
      <c r="J171" s="196" t="s">
        <v>2759</v>
      </c>
      <c r="K171" s="240"/>
    </row>
    <row r="172" spans="2:11" customFormat="1" ht="15" customHeight="1">
      <c r="B172" s="219"/>
      <c r="C172" s="196" t="s">
        <v>2713</v>
      </c>
      <c r="D172" s="196"/>
      <c r="E172" s="196"/>
      <c r="F172" s="217" t="s">
        <v>2714</v>
      </c>
      <c r="G172" s="196"/>
      <c r="H172" s="196" t="s">
        <v>2775</v>
      </c>
      <c r="I172" s="196" t="s">
        <v>2710</v>
      </c>
      <c r="J172" s="196">
        <v>50</v>
      </c>
      <c r="K172" s="240"/>
    </row>
    <row r="173" spans="2:11" customFormat="1" ht="15" customHeight="1">
      <c r="B173" s="219"/>
      <c r="C173" s="196" t="s">
        <v>2716</v>
      </c>
      <c r="D173" s="196"/>
      <c r="E173" s="196"/>
      <c r="F173" s="217" t="s">
        <v>2708</v>
      </c>
      <c r="G173" s="196"/>
      <c r="H173" s="196" t="s">
        <v>2775</v>
      </c>
      <c r="I173" s="196" t="s">
        <v>2718</v>
      </c>
      <c r="J173" s="196"/>
      <c r="K173" s="240"/>
    </row>
    <row r="174" spans="2:11" customFormat="1" ht="15" customHeight="1">
      <c r="B174" s="219"/>
      <c r="C174" s="196" t="s">
        <v>2727</v>
      </c>
      <c r="D174" s="196"/>
      <c r="E174" s="196"/>
      <c r="F174" s="217" t="s">
        <v>2714</v>
      </c>
      <c r="G174" s="196"/>
      <c r="H174" s="196" t="s">
        <v>2775</v>
      </c>
      <c r="I174" s="196" t="s">
        <v>2710</v>
      </c>
      <c r="J174" s="196">
        <v>50</v>
      </c>
      <c r="K174" s="240"/>
    </row>
    <row r="175" spans="2:11" customFormat="1" ht="15" customHeight="1">
      <c r="B175" s="219"/>
      <c r="C175" s="196" t="s">
        <v>2735</v>
      </c>
      <c r="D175" s="196"/>
      <c r="E175" s="196"/>
      <c r="F175" s="217" t="s">
        <v>2714</v>
      </c>
      <c r="G175" s="196"/>
      <c r="H175" s="196" t="s">
        <v>2775</v>
      </c>
      <c r="I175" s="196" t="s">
        <v>2710</v>
      </c>
      <c r="J175" s="196">
        <v>50</v>
      </c>
      <c r="K175" s="240"/>
    </row>
    <row r="176" spans="2:11" customFormat="1" ht="15" customHeight="1">
      <c r="B176" s="219"/>
      <c r="C176" s="196" t="s">
        <v>2733</v>
      </c>
      <c r="D176" s="196"/>
      <c r="E176" s="196"/>
      <c r="F176" s="217" t="s">
        <v>2714</v>
      </c>
      <c r="G176" s="196"/>
      <c r="H176" s="196" t="s">
        <v>2775</v>
      </c>
      <c r="I176" s="196" t="s">
        <v>2710</v>
      </c>
      <c r="J176" s="196">
        <v>50</v>
      </c>
      <c r="K176" s="240"/>
    </row>
    <row r="177" spans="2:11" customFormat="1" ht="15" customHeight="1">
      <c r="B177" s="219"/>
      <c r="C177" s="196" t="s">
        <v>113</v>
      </c>
      <c r="D177" s="196"/>
      <c r="E177" s="196"/>
      <c r="F177" s="217" t="s">
        <v>2708</v>
      </c>
      <c r="G177" s="196"/>
      <c r="H177" s="196" t="s">
        <v>2776</v>
      </c>
      <c r="I177" s="196" t="s">
        <v>2777</v>
      </c>
      <c r="J177" s="196"/>
      <c r="K177" s="240"/>
    </row>
    <row r="178" spans="2:11" customFormat="1" ht="15" customHeight="1">
      <c r="B178" s="219"/>
      <c r="C178" s="196" t="s">
        <v>56</v>
      </c>
      <c r="D178" s="196"/>
      <c r="E178" s="196"/>
      <c r="F178" s="217" t="s">
        <v>2708</v>
      </c>
      <c r="G178" s="196"/>
      <c r="H178" s="196" t="s">
        <v>2778</v>
      </c>
      <c r="I178" s="196" t="s">
        <v>2779</v>
      </c>
      <c r="J178" s="196">
        <v>1</v>
      </c>
      <c r="K178" s="240"/>
    </row>
    <row r="179" spans="2:11" customFormat="1" ht="15" customHeight="1">
      <c r="B179" s="219"/>
      <c r="C179" s="196" t="s">
        <v>52</v>
      </c>
      <c r="D179" s="196"/>
      <c r="E179" s="196"/>
      <c r="F179" s="217" t="s">
        <v>2708</v>
      </c>
      <c r="G179" s="196"/>
      <c r="H179" s="196" t="s">
        <v>2780</v>
      </c>
      <c r="I179" s="196" t="s">
        <v>2710</v>
      </c>
      <c r="J179" s="196">
        <v>20</v>
      </c>
      <c r="K179" s="240"/>
    </row>
    <row r="180" spans="2:11" customFormat="1" ht="15" customHeight="1">
      <c r="B180" s="219"/>
      <c r="C180" s="196" t="s">
        <v>53</v>
      </c>
      <c r="D180" s="196"/>
      <c r="E180" s="196"/>
      <c r="F180" s="217" t="s">
        <v>2708</v>
      </c>
      <c r="G180" s="196"/>
      <c r="H180" s="196" t="s">
        <v>2781</v>
      </c>
      <c r="I180" s="196" t="s">
        <v>2710</v>
      </c>
      <c r="J180" s="196">
        <v>255</v>
      </c>
      <c r="K180" s="240"/>
    </row>
    <row r="181" spans="2:11" customFormat="1" ht="15" customHeight="1">
      <c r="B181" s="219"/>
      <c r="C181" s="196" t="s">
        <v>114</v>
      </c>
      <c r="D181" s="196"/>
      <c r="E181" s="196"/>
      <c r="F181" s="217" t="s">
        <v>2708</v>
      </c>
      <c r="G181" s="196"/>
      <c r="H181" s="196" t="s">
        <v>2672</v>
      </c>
      <c r="I181" s="196" t="s">
        <v>2710</v>
      </c>
      <c r="J181" s="196">
        <v>10</v>
      </c>
      <c r="K181" s="240"/>
    </row>
    <row r="182" spans="2:11" customFormat="1" ht="15" customHeight="1">
      <c r="B182" s="219"/>
      <c r="C182" s="196" t="s">
        <v>115</v>
      </c>
      <c r="D182" s="196"/>
      <c r="E182" s="196"/>
      <c r="F182" s="217" t="s">
        <v>2708</v>
      </c>
      <c r="G182" s="196"/>
      <c r="H182" s="196" t="s">
        <v>2782</v>
      </c>
      <c r="I182" s="196" t="s">
        <v>2743</v>
      </c>
      <c r="J182" s="196"/>
      <c r="K182" s="240"/>
    </row>
    <row r="183" spans="2:11" customFormat="1" ht="15" customHeight="1">
      <c r="B183" s="219"/>
      <c r="C183" s="196" t="s">
        <v>2783</v>
      </c>
      <c r="D183" s="196"/>
      <c r="E183" s="196"/>
      <c r="F183" s="217" t="s">
        <v>2708</v>
      </c>
      <c r="G183" s="196"/>
      <c r="H183" s="196" t="s">
        <v>2784</v>
      </c>
      <c r="I183" s="196" t="s">
        <v>2743</v>
      </c>
      <c r="J183" s="196"/>
      <c r="K183" s="240"/>
    </row>
    <row r="184" spans="2:11" customFormat="1" ht="15" customHeight="1">
      <c r="B184" s="219"/>
      <c r="C184" s="196" t="s">
        <v>2772</v>
      </c>
      <c r="D184" s="196"/>
      <c r="E184" s="196"/>
      <c r="F184" s="217" t="s">
        <v>2708</v>
      </c>
      <c r="G184" s="196"/>
      <c r="H184" s="196" t="s">
        <v>2785</v>
      </c>
      <c r="I184" s="196" t="s">
        <v>2743</v>
      </c>
      <c r="J184" s="196"/>
      <c r="K184" s="240"/>
    </row>
    <row r="185" spans="2:11" customFormat="1" ht="15" customHeight="1">
      <c r="B185" s="219"/>
      <c r="C185" s="196" t="s">
        <v>117</v>
      </c>
      <c r="D185" s="196"/>
      <c r="E185" s="196"/>
      <c r="F185" s="217" t="s">
        <v>2714</v>
      </c>
      <c r="G185" s="196"/>
      <c r="H185" s="196" t="s">
        <v>2786</v>
      </c>
      <c r="I185" s="196" t="s">
        <v>2710</v>
      </c>
      <c r="J185" s="196">
        <v>50</v>
      </c>
      <c r="K185" s="240"/>
    </row>
    <row r="186" spans="2:11" customFormat="1" ht="15" customHeight="1">
      <c r="B186" s="219"/>
      <c r="C186" s="196" t="s">
        <v>2787</v>
      </c>
      <c r="D186" s="196"/>
      <c r="E186" s="196"/>
      <c r="F186" s="217" t="s">
        <v>2714</v>
      </c>
      <c r="G186" s="196"/>
      <c r="H186" s="196" t="s">
        <v>2788</v>
      </c>
      <c r="I186" s="196" t="s">
        <v>2789</v>
      </c>
      <c r="J186" s="196"/>
      <c r="K186" s="240"/>
    </row>
    <row r="187" spans="2:11" customFormat="1" ht="15" customHeight="1">
      <c r="B187" s="219"/>
      <c r="C187" s="196" t="s">
        <v>2790</v>
      </c>
      <c r="D187" s="196"/>
      <c r="E187" s="196"/>
      <c r="F187" s="217" t="s">
        <v>2714</v>
      </c>
      <c r="G187" s="196"/>
      <c r="H187" s="196" t="s">
        <v>2791</v>
      </c>
      <c r="I187" s="196" t="s">
        <v>2789</v>
      </c>
      <c r="J187" s="196"/>
      <c r="K187" s="240"/>
    </row>
    <row r="188" spans="2:11" customFormat="1" ht="15" customHeight="1">
      <c r="B188" s="219"/>
      <c r="C188" s="196" t="s">
        <v>2792</v>
      </c>
      <c r="D188" s="196"/>
      <c r="E188" s="196"/>
      <c r="F188" s="217" t="s">
        <v>2714</v>
      </c>
      <c r="G188" s="196"/>
      <c r="H188" s="196" t="s">
        <v>2793</v>
      </c>
      <c r="I188" s="196" t="s">
        <v>2789</v>
      </c>
      <c r="J188" s="196"/>
      <c r="K188" s="240"/>
    </row>
    <row r="189" spans="2:11" customFormat="1" ht="15" customHeight="1">
      <c r="B189" s="219"/>
      <c r="C189" s="253" t="s">
        <v>2794</v>
      </c>
      <c r="D189" s="196"/>
      <c r="E189" s="196"/>
      <c r="F189" s="217" t="s">
        <v>2714</v>
      </c>
      <c r="G189" s="196"/>
      <c r="H189" s="196" t="s">
        <v>2795</v>
      </c>
      <c r="I189" s="196" t="s">
        <v>2796</v>
      </c>
      <c r="J189" s="254" t="s">
        <v>2797</v>
      </c>
      <c r="K189" s="240"/>
    </row>
    <row r="190" spans="2:11" customFormat="1" ht="15" customHeight="1">
      <c r="B190" s="219"/>
      <c r="C190" s="253" t="s">
        <v>41</v>
      </c>
      <c r="D190" s="196"/>
      <c r="E190" s="196"/>
      <c r="F190" s="217" t="s">
        <v>2708</v>
      </c>
      <c r="G190" s="196"/>
      <c r="H190" s="193" t="s">
        <v>2798</v>
      </c>
      <c r="I190" s="196" t="s">
        <v>2799</v>
      </c>
      <c r="J190" s="196"/>
      <c r="K190" s="240"/>
    </row>
    <row r="191" spans="2:11" customFormat="1" ht="15" customHeight="1">
      <c r="B191" s="219"/>
      <c r="C191" s="253" t="s">
        <v>2800</v>
      </c>
      <c r="D191" s="196"/>
      <c r="E191" s="196"/>
      <c r="F191" s="217" t="s">
        <v>2708</v>
      </c>
      <c r="G191" s="196"/>
      <c r="H191" s="196" t="s">
        <v>2801</v>
      </c>
      <c r="I191" s="196" t="s">
        <v>2743</v>
      </c>
      <c r="J191" s="196"/>
      <c r="K191" s="240"/>
    </row>
    <row r="192" spans="2:11" customFormat="1" ht="15" customHeight="1">
      <c r="B192" s="219"/>
      <c r="C192" s="253" t="s">
        <v>2802</v>
      </c>
      <c r="D192" s="196"/>
      <c r="E192" s="196"/>
      <c r="F192" s="217" t="s">
        <v>2708</v>
      </c>
      <c r="G192" s="196"/>
      <c r="H192" s="196" t="s">
        <v>2803</v>
      </c>
      <c r="I192" s="196" t="s">
        <v>2743</v>
      </c>
      <c r="J192" s="196"/>
      <c r="K192" s="240"/>
    </row>
    <row r="193" spans="2:11" customFormat="1" ht="15" customHeight="1">
      <c r="B193" s="219"/>
      <c r="C193" s="253" t="s">
        <v>2804</v>
      </c>
      <c r="D193" s="196"/>
      <c r="E193" s="196"/>
      <c r="F193" s="217" t="s">
        <v>2714</v>
      </c>
      <c r="G193" s="196"/>
      <c r="H193" s="196" t="s">
        <v>2805</v>
      </c>
      <c r="I193" s="196" t="s">
        <v>2743</v>
      </c>
      <c r="J193" s="196"/>
      <c r="K193" s="240"/>
    </row>
    <row r="194" spans="2:11" customFormat="1" ht="15" customHeight="1">
      <c r="B194" s="246"/>
      <c r="C194" s="255"/>
      <c r="D194" s="226"/>
      <c r="E194" s="226"/>
      <c r="F194" s="226"/>
      <c r="G194" s="226"/>
      <c r="H194" s="226"/>
      <c r="I194" s="226"/>
      <c r="J194" s="226"/>
      <c r="K194" s="247"/>
    </row>
    <row r="195" spans="2:11" customFormat="1" ht="18.75" customHeight="1">
      <c r="B195" s="228"/>
      <c r="C195" s="238"/>
      <c r="D195" s="238"/>
      <c r="E195" s="238"/>
      <c r="F195" s="248"/>
      <c r="G195" s="238"/>
      <c r="H195" s="238"/>
      <c r="I195" s="238"/>
      <c r="J195" s="238"/>
      <c r="K195" s="228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customFormat="1" ht="13.5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customFormat="1" ht="21">
      <c r="B199" s="188"/>
      <c r="C199" s="620" t="s">
        <v>2806</v>
      </c>
      <c r="D199" s="620"/>
      <c r="E199" s="620"/>
      <c r="F199" s="620"/>
      <c r="G199" s="620"/>
      <c r="H199" s="620"/>
      <c r="I199" s="620"/>
      <c r="J199" s="620"/>
      <c r="K199" s="189"/>
    </row>
    <row r="200" spans="2:11" customFormat="1" ht="25.5" customHeight="1">
      <c r="B200" s="188"/>
      <c r="C200" s="256" t="s">
        <v>2807</v>
      </c>
      <c r="D200" s="256"/>
      <c r="E200" s="256"/>
      <c r="F200" s="256" t="s">
        <v>2808</v>
      </c>
      <c r="G200" s="257"/>
      <c r="H200" s="626" t="s">
        <v>2809</v>
      </c>
      <c r="I200" s="626"/>
      <c r="J200" s="626"/>
      <c r="K200" s="189"/>
    </row>
    <row r="201" spans="2:11" customFormat="1" ht="5.25" customHeight="1">
      <c r="B201" s="219"/>
      <c r="C201" s="214"/>
      <c r="D201" s="214"/>
      <c r="E201" s="214"/>
      <c r="F201" s="214"/>
      <c r="G201" s="238"/>
      <c r="H201" s="214"/>
      <c r="I201" s="214"/>
      <c r="J201" s="214"/>
      <c r="K201" s="240"/>
    </row>
    <row r="202" spans="2:11" customFormat="1" ht="15" customHeight="1">
      <c r="B202" s="219"/>
      <c r="C202" s="196" t="s">
        <v>2799</v>
      </c>
      <c r="D202" s="196"/>
      <c r="E202" s="196"/>
      <c r="F202" s="217" t="s">
        <v>42</v>
      </c>
      <c r="G202" s="196"/>
      <c r="H202" s="625" t="s">
        <v>2810</v>
      </c>
      <c r="I202" s="625"/>
      <c r="J202" s="625"/>
      <c r="K202" s="240"/>
    </row>
    <row r="203" spans="2:11" customFormat="1" ht="15" customHeight="1">
      <c r="B203" s="219"/>
      <c r="C203" s="196"/>
      <c r="D203" s="196"/>
      <c r="E203" s="196"/>
      <c r="F203" s="217" t="s">
        <v>43</v>
      </c>
      <c r="G203" s="196"/>
      <c r="H203" s="625" t="s">
        <v>2811</v>
      </c>
      <c r="I203" s="625"/>
      <c r="J203" s="625"/>
      <c r="K203" s="240"/>
    </row>
    <row r="204" spans="2:11" customFormat="1" ht="15" customHeight="1">
      <c r="B204" s="219"/>
      <c r="C204" s="196"/>
      <c r="D204" s="196"/>
      <c r="E204" s="196"/>
      <c r="F204" s="217" t="s">
        <v>46</v>
      </c>
      <c r="G204" s="196"/>
      <c r="H204" s="625" t="s">
        <v>2812</v>
      </c>
      <c r="I204" s="625"/>
      <c r="J204" s="625"/>
      <c r="K204" s="240"/>
    </row>
    <row r="205" spans="2:11" customFormat="1" ht="15" customHeight="1">
      <c r="B205" s="219"/>
      <c r="C205" s="196"/>
      <c r="D205" s="196"/>
      <c r="E205" s="196"/>
      <c r="F205" s="217" t="s">
        <v>44</v>
      </c>
      <c r="G205" s="196"/>
      <c r="H205" s="625" t="s">
        <v>2813</v>
      </c>
      <c r="I205" s="625"/>
      <c r="J205" s="625"/>
      <c r="K205" s="240"/>
    </row>
    <row r="206" spans="2:11" customFormat="1" ht="15" customHeight="1">
      <c r="B206" s="219"/>
      <c r="C206" s="196"/>
      <c r="D206" s="196"/>
      <c r="E206" s="196"/>
      <c r="F206" s="217" t="s">
        <v>45</v>
      </c>
      <c r="G206" s="196"/>
      <c r="H206" s="625" t="s">
        <v>2814</v>
      </c>
      <c r="I206" s="625"/>
      <c r="J206" s="625"/>
      <c r="K206" s="240"/>
    </row>
    <row r="207" spans="2:11" customFormat="1" ht="15" customHeight="1">
      <c r="B207" s="219"/>
      <c r="C207" s="196"/>
      <c r="D207" s="196"/>
      <c r="E207" s="196"/>
      <c r="F207" s="217"/>
      <c r="G207" s="196"/>
      <c r="H207" s="196"/>
      <c r="I207" s="196"/>
      <c r="J207" s="196"/>
      <c r="K207" s="240"/>
    </row>
    <row r="208" spans="2:11" customFormat="1" ht="15" customHeight="1">
      <c r="B208" s="219"/>
      <c r="C208" s="196" t="s">
        <v>2755</v>
      </c>
      <c r="D208" s="196"/>
      <c r="E208" s="196"/>
      <c r="F208" s="217" t="s">
        <v>78</v>
      </c>
      <c r="G208" s="196"/>
      <c r="H208" s="625" t="s">
        <v>2815</v>
      </c>
      <c r="I208" s="625"/>
      <c r="J208" s="625"/>
      <c r="K208" s="240"/>
    </row>
    <row r="209" spans="2:11" customFormat="1" ht="15" customHeight="1">
      <c r="B209" s="219"/>
      <c r="C209" s="196"/>
      <c r="D209" s="196"/>
      <c r="E209" s="196"/>
      <c r="F209" s="217" t="s">
        <v>2652</v>
      </c>
      <c r="G209" s="196"/>
      <c r="H209" s="625" t="s">
        <v>2653</v>
      </c>
      <c r="I209" s="625"/>
      <c r="J209" s="625"/>
      <c r="K209" s="240"/>
    </row>
    <row r="210" spans="2:11" customFormat="1" ht="15" customHeight="1">
      <c r="B210" s="219"/>
      <c r="C210" s="196"/>
      <c r="D210" s="196"/>
      <c r="E210" s="196"/>
      <c r="F210" s="217" t="s">
        <v>2650</v>
      </c>
      <c r="G210" s="196"/>
      <c r="H210" s="625" t="s">
        <v>2816</v>
      </c>
      <c r="I210" s="625"/>
      <c r="J210" s="625"/>
      <c r="K210" s="240"/>
    </row>
    <row r="211" spans="2:11" customFormat="1" ht="15" customHeight="1">
      <c r="B211" s="258"/>
      <c r="C211" s="196"/>
      <c r="D211" s="196"/>
      <c r="E211" s="196"/>
      <c r="F211" s="217" t="s">
        <v>2654</v>
      </c>
      <c r="G211" s="253"/>
      <c r="H211" s="624" t="s">
        <v>2655</v>
      </c>
      <c r="I211" s="624"/>
      <c r="J211" s="624"/>
      <c r="K211" s="259"/>
    </row>
    <row r="212" spans="2:11" customFormat="1" ht="15" customHeight="1">
      <c r="B212" s="258"/>
      <c r="C212" s="196"/>
      <c r="D212" s="196"/>
      <c r="E212" s="196"/>
      <c r="F212" s="217" t="s">
        <v>2544</v>
      </c>
      <c r="G212" s="253"/>
      <c r="H212" s="624" t="s">
        <v>620</v>
      </c>
      <c r="I212" s="624"/>
      <c r="J212" s="624"/>
      <c r="K212" s="259"/>
    </row>
    <row r="213" spans="2:11" customFormat="1" ht="15" customHeight="1">
      <c r="B213" s="258"/>
      <c r="C213" s="196"/>
      <c r="D213" s="196"/>
      <c r="E213" s="196"/>
      <c r="F213" s="217"/>
      <c r="G213" s="253"/>
      <c r="H213" s="244"/>
      <c r="I213" s="244"/>
      <c r="J213" s="244"/>
      <c r="K213" s="259"/>
    </row>
    <row r="214" spans="2:11" customFormat="1" ht="15" customHeight="1">
      <c r="B214" s="258"/>
      <c r="C214" s="196" t="s">
        <v>2779</v>
      </c>
      <c r="D214" s="196"/>
      <c r="E214" s="196"/>
      <c r="F214" s="217">
        <v>1</v>
      </c>
      <c r="G214" s="253"/>
      <c r="H214" s="624" t="s">
        <v>2817</v>
      </c>
      <c r="I214" s="624"/>
      <c r="J214" s="624"/>
      <c r="K214" s="259"/>
    </row>
    <row r="215" spans="2:11" customFormat="1" ht="15" customHeight="1">
      <c r="B215" s="258"/>
      <c r="C215" s="196"/>
      <c r="D215" s="196"/>
      <c r="E215" s="196"/>
      <c r="F215" s="217">
        <v>2</v>
      </c>
      <c r="G215" s="253"/>
      <c r="H215" s="624" t="s">
        <v>2818</v>
      </c>
      <c r="I215" s="624"/>
      <c r="J215" s="624"/>
      <c r="K215" s="259"/>
    </row>
    <row r="216" spans="2:11" customFormat="1" ht="15" customHeight="1">
      <c r="B216" s="258"/>
      <c r="C216" s="196"/>
      <c r="D216" s="196"/>
      <c r="E216" s="196"/>
      <c r="F216" s="217">
        <v>3</v>
      </c>
      <c r="G216" s="253"/>
      <c r="H216" s="624" t="s">
        <v>2819</v>
      </c>
      <c r="I216" s="624"/>
      <c r="J216" s="624"/>
      <c r="K216" s="259"/>
    </row>
    <row r="217" spans="2:11" customFormat="1" ht="15" customHeight="1">
      <c r="B217" s="258"/>
      <c r="C217" s="196"/>
      <c r="D217" s="196"/>
      <c r="E217" s="196"/>
      <c r="F217" s="217">
        <v>4</v>
      </c>
      <c r="G217" s="253"/>
      <c r="H217" s="624" t="s">
        <v>2820</v>
      </c>
      <c r="I217" s="624"/>
      <c r="J217" s="624"/>
      <c r="K217" s="259"/>
    </row>
    <row r="218" spans="2:11" customFormat="1" ht="12.75" customHeight="1">
      <c r="B218" s="260"/>
      <c r="C218" s="261"/>
      <c r="D218" s="261"/>
      <c r="E218" s="261"/>
      <c r="F218" s="261"/>
      <c r="G218" s="261"/>
      <c r="H218" s="261"/>
      <c r="I218" s="261"/>
      <c r="J218" s="261"/>
      <c r="K218" s="26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Rekapitulace stavby</vt:lpstr>
      <vt:lpstr>01 - Bourací práce</vt:lpstr>
      <vt:lpstr>02 - Nové konstrukce</vt:lpstr>
      <vt:lpstr>zdravotechnika</vt:lpstr>
      <vt:lpstr>plyn</vt:lpstr>
      <vt:lpstr>vytapeni</vt:lpstr>
      <vt:lpstr>elektroinstalace</vt:lpstr>
      <vt:lpstr>slaboproud</vt:lpstr>
      <vt:lpstr>klimatizace</vt:lpstr>
      <vt:lpstr>vybaveni laboratori</vt:lpstr>
      <vt:lpstr>03 - Vedlejší rozpočtové ...</vt:lpstr>
      <vt:lpstr>Pokyny pro vyplnění</vt:lpstr>
      <vt:lpstr>'01 - Bourací práce'!Názvy_tisku</vt:lpstr>
      <vt:lpstr>'02 - Nové konstrukce'!Názvy_tisku</vt:lpstr>
      <vt:lpstr>'03 - Vedlejší rozpočtové ...'!Názvy_tisku</vt:lpstr>
      <vt:lpstr>'Rekapitulace stavby'!Názvy_tisku</vt:lpstr>
      <vt:lpstr>vytapeni!Názvy_tisku</vt:lpstr>
      <vt:lpstr>'01 - Bourací práce'!Oblast_tisku</vt:lpstr>
      <vt:lpstr>'02 - Nové konstrukce'!Oblast_tisku</vt:lpstr>
      <vt:lpstr>'03 - Vedlejší rozpočtové ...'!Oblast_tisku</vt:lpstr>
      <vt:lpstr>klimatizace!Oblast_tisku</vt:lpstr>
      <vt:lpstr>'Pokyny pro vyplnění'!Oblast_tisku</vt:lpstr>
      <vt:lpstr>'Rekapitulace stavby'!Oblast_tisku</vt:lpstr>
      <vt:lpstr>vytapeni!Oblast_tisku</vt:lpstr>
      <vt:lpstr>zdravotechnika!Oblast_tisku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DESKTOP-OCAMGMR\pe3k182</dc:creator>
  <cp:lastModifiedBy>PETR</cp:lastModifiedBy>
  <dcterms:created xsi:type="dcterms:W3CDTF">2023-08-01T11:00:12Z</dcterms:created>
  <dcterms:modified xsi:type="dcterms:W3CDTF">2023-08-01T12:09:15Z</dcterms:modified>
</cp:coreProperties>
</file>