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5840" activeTab="0"/>
  </bookViews>
  <sheets>
    <sheet name="Rekapitulace stavby" sheetId="1" r:id="rId1"/>
    <sheet name="01 - Bourací práce" sheetId="2" r:id="rId2"/>
    <sheet name="02 - Nové konstrukce" sheetId="3" r:id="rId3"/>
    <sheet name="03 - Vedlejší rozpočtové ..." sheetId="4" r:id="rId4"/>
    <sheet name="elektroinstalace" sheetId="6" r:id="rId5"/>
    <sheet name="plyn" sheetId="7" r:id="rId6"/>
    <sheet name="zdravotechnika" sheetId="8" r:id="rId7"/>
    <sheet name="vytapeni" sheetId="9" r:id="rId8"/>
    <sheet name="klimatizace" sheetId="10" r:id="rId9"/>
    <sheet name="Pokyny pro vyplnění" sheetId="5" r:id="rId10"/>
  </sheets>
  <definedNames>
    <definedName name="_xlnm._FilterDatabase" localSheetId="1" hidden="1">'01 - Bourací práce'!$C$95:$K$358</definedName>
    <definedName name="_xlnm._FilterDatabase" localSheetId="2" hidden="1">'02 - Nové konstrukce'!$C$110:$K$1304</definedName>
    <definedName name="_xlnm._FilterDatabase" localSheetId="3" hidden="1">'03 - Vedlejší rozpočtové ...'!$C$85:$K$131</definedName>
    <definedName name="_xlnm.Print_Area" localSheetId="1">'01 - Bourací práce'!$C$4:$J$39,'01 - Bourací práce'!$C$45:$J$77,'01 - Bourací práce'!$C$83:$K$358</definedName>
    <definedName name="_xlnm.Print_Area" localSheetId="2">'02 - Nové konstrukce'!$C$4:$J$39,'02 - Nové konstrukce'!$C$45:$J$92,'02 - Nové konstrukce'!$C$98:$K$1304</definedName>
    <definedName name="_xlnm.Print_Area" localSheetId="3">'03 - Vedlejší rozpočtové ...'!$C$4:$J$39,'03 - Vedlejší rozpočtové ...'!$C$45:$J$67,'03 - Vedlejší rozpočtové ...'!$C$73:$K$131</definedName>
    <definedName name="_xlnm.Print_Area" localSheetId="8">'klimatizace'!$A$1:$L$47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7">'vytapeni'!$A$1:$I$111</definedName>
    <definedName name="_xlnm.Print_Area" localSheetId="6">'zdravotechnika'!$D$120:$J$150</definedName>
    <definedName name="_xlnm.Print_Titles" localSheetId="0">'Rekapitulace stavby'!$52:$52</definedName>
    <definedName name="_xlnm.Print_Titles" localSheetId="1">'01 - Bourací práce'!$95:$95</definedName>
    <definedName name="_xlnm.Print_Titles" localSheetId="2">'02 - Nové konstrukce'!$110:$110</definedName>
    <definedName name="_xlnm.Print_Titles" localSheetId="3">'03 - Vedlejší rozpočtové ...'!$85:$85</definedName>
    <definedName name="_xlnm.Print_Titles" localSheetId="7">'vytapeni'!$1:$3</definedName>
  </definedNames>
  <calcPr calcId="191029"/>
  <extLst/>
</workbook>
</file>

<file path=xl/sharedStrings.xml><?xml version="1.0" encoding="utf-8"?>
<sst xmlns="http://schemas.openxmlformats.org/spreadsheetml/2006/main" count="16547" uniqueCount="3349">
  <si>
    <t>Export Komplet</t>
  </si>
  <si>
    <t>VZ</t>
  </si>
  <si>
    <t>2.0</t>
  </si>
  <si>
    <t/>
  </si>
  <si>
    <t>False</t>
  </si>
  <si>
    <t>{376644c3-97aa-4ce3-8223-2b7b3e77f5e1}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</si>
  <si>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</si>
  <si>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</si>
  <si>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</si>
  <si>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</si>
  <si>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</si>
  <si>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</si>
  <si>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</si>
  <si>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</si>
  <si>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22/393</t>
  </si>
  <si>
    <t>Stavba:</t>
  </si>
  <si>
    <t>gymnáziu Hostivice - rekonstrukce gymnázia II.etapa</t>
  </si>
  <si>
    <t>KSO:</t>
  </si>
  <si>
    <t>CC-CZ:</t>
  </si>
  <si>
    <t>Místo:</t>
  </si>
  <si>
    <t>Gymnázium Hostivice, Komenského 141</t>
  </si>
  <si>
    <t>Datum:</t>
  </si>
  <si>
    <t>9. 12. 2022</t>
  </si>
  <si>
    <t>Zadavatel:</t>
  </si>
  <si>
    <t>IČ:</t>
  </si>
  <si>
    <t>Středočeský kraj, Zborovská 81/11, Praha 5</t>
  </si>
  <si>
    <t>DIČ:</t>
  </si>
  <si>
    <t>Zhotovitel:</t>
  </si>
  <si>
    <t xml:space="preserve"> </t>
  </si>
  <si>
    <t>Projektant:</t>
  </si>
  <si>
    <t>13309099</t>
  </si>
  <si>
    <t>Ing. Petr Petele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</si>
  <si>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</si>
  <si>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</si>
  <si>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</si>
  <si>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</si>
  <si>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</si>
  <si>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</si>
  <si>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</si>
  <si>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</si>
  <si>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</si>
  <si>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</si>
  <si>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</si>
  <si>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</si>
  <si>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</si>
  <si>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</si>
  <si>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</si>
  <si>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</si>
  <si>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</si>
  <si>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</si>
  <si>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</si>
  <si>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</si>
  <si>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</si>
  <si>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</si>
  <si>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</si>
  <si>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</si>
  <si>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</si>
  <si>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</si>
  <si>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</si>
  <si>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</si>
  <si>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</si>
  <si>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</si>
  <si>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</si>
  <si>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</si>
  <si>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</si>
  <si>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</si>
  <si>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</si>
  <si>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</si>
  <si>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</si>
  <si>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</si>
  <si>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</si>
  <si>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</si>
  <si>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</si>
  <si>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</si>
  <si>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</si>
  <si>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</si>
  <si>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</t>
  </si>
  <si>
    <t>STA</t>
  </si>
  <si>
    <t>1</t>
  </si>
  <si>
    <t>{95006946-8438-4894-a214-3208d70c8c0b}</t>
  </si>
  <si>
    <t>2</t>
  </si>
  <si>
    <t>02</t>
  </si>
  <si>
    <t>Nové konstrukce</t>
  </si>
  <si>
    <t>{7e9ba591-a401-4da8-bbee-eb727b4de791}</t>
  </si>
  <si>
    <t>03</t>
  </si>
  <si>
    <t>Vedlejší rozpočtové náklady</t>
  </si>
  <si>
    <t>{f0bf325a-89a5-4427-80a3-9f46b972c136}</t>
  </si>
  <si>
    <t>KRYCÍ LIST SOUPISU PRACÍ</t>
  </si>
  <si>
    <t>Objekt:</t>
  </si>
  <si>
    <t>01 -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</si>
  <si>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</si>
  <si>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</si>
  <si>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</si>
  <si>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</si>
  <si>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</si>
  <si>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</si>
  <si>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</si>
  <si>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</si>
  <si>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</si>
  <si>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</si>
  <si>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720 - Zdravotechnika</t>
  </si>
  <si>
    <t xml:space="preserve">    730 - Ústřední vytápění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</si>
  <si>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</si>
  <si>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</si>
  <si>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</si>
  <si>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</si>
  <si>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</si>
  <si>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</si>
  <si>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</si>
  <si>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</si>
  <si>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</si>
  <si>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</si>
  <si>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</si>
  <si>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</si>
  <si>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</si>
  <si>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</si>
  <si>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</si>
  <si>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</si>
  <si>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</si>
  <si>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</si>
  <si>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</si>
  <si>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</si>
  <si>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</si>
  <si>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</si>
  <si>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</si>
  <si>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</si>
  <si>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</si>
  <si>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</si>
  <si>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</si>
  <si>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</si>
  <si>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</si>
  <si>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</si>
  <si>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02</t>
  </si>
  <si>
    <t>4</t>
  </si>
  <si>
    <t>1410644782</t>
  </si>
  <si>
    <t>Online PSC</t>
  </si>
  <si>
    <t>https://podminky.urs.cz/item/CS_URS_2022_02/113106123</t>
  </si>
  <si>
    <t>VV</t>
  </si>
  <si>
    <t>17 "plocha pod budoucím schodištěm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</si>
  <si>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</si>
  <si>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</si>
  <si>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1370486069</t>
  </si>
  <si>
    <t>https://podminky.urs.cz/item/CS_URS_2022_02/113107123</t>
  </si>
  <si>
    <t>3</t>
  </si>
  <si>
    <t>132212131</t>
  </si>
  <si>
    <t>Hloubení nezapažených rýh šířky do 800 mm ručně s urovnáním dna do předepsaného profilu a spádu v hornině třídy těžitelnosti I skupiny 3 soudržných</t>
  </si>
  <si>
    <t>m3</t>
  </si>
  <si>
    <t>721543842</t>
  </si>
  <si>
    <t>https://podminky.urs.cz/item/CS_URS_2022_02/132212131</t>
  </si>
  <si>
    <t>1,35*0,8*2,608 "výkop pro základ stěny u schodiště</t>
  </si>
  <si>
    <t>0,2*0,55*2,608 "pod nastupní rameno schodiště</t>
  </si>
  <si>
    <t>Součet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</si>
  <si>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</si>
  <si>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</si>
  <si>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1811295510</t>
  </si>
  <si>
    <t>https://podminky.urs.cz/item/CS_URS_2022_02/162751117</t>
  </si>
  <si>
    <t>17*0,3 "plocha pod budoucím schodištěm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</si>
  <si>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</si>
  <si>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</si>
  <si>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</si>
  <si>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-67862015</t>
  </si>
  <si>
    <t>https://podminky.urs.cz/item/CS_URS_2022_02/162751119</t>
  </si>
  <si>
    <t>8,204*10 'Přepočtené koeficientem množství</t>
  </si>
  <si>
    <t>6</t>
  </si>
  <si>
    <t>167111101</t>
  </si>
  <si>
    <t>Nakládání, skládání a překládání neulehlého výkopku nebo sypaniny ručně nakládání, z hornin třídy těžitelnosti I, skupiny 1 až 3</t>
  </si>
  <si>
    <t>-717167731</t>
  </si>
  <si>
    <t>https://podminky.urs.cz/item/CS_URS_2022_02/167111101</t>
  </si>
  <si>
    <t>7</t>
  </si>
  <si>
    <t>171201221</t>
  </si>
  <si>
    <t>Poplatek za uložení stavebního odpadu na skládce (skládkovné) zeminy a kamení zatříděného do Katalogu odpadů pod kódem 17 05 04</t>
  </si>
  <si>
    <t>t</t>
  </si>
  <si>
    <t>-1769018430</t>
  </si>
  <si>
    <t>https://podminky.urs.cz/item/CS_URS_2022_02/171201221</t>
  </si>
  <si>
    <t>7,917*1,8 'Přepočtené koeficientem množství</t>
  </si>
  <si>
    <t>8</t>
  </si>
  <si>
    <t>171251201</t>
  </si>
  <si>
    <t>Uložení sypaniny na skládky nebo meziskládky bez hutnění s upravením uložené sypaniny do předepsaného tvaru</t>
  </si>
  <si>
    <t>1327251820</t>
  </si>
  <si>
    <t>https://podminky.urs.cz/item/CS_URS_2022_02/171251201</t>
  </si>
  <si>
    <t>9</t>
  </si>
  <si>
    <t>1-spec.01</t>
  </si>
  <si>
    <t>Provedení sondy před výkopovými pracemi v místě budoucího schodiště</t>
  </si>
  <si>
    <t>kpl.</t>
  </si>
  <si>
    <t>-1763681253</t>
  </si>
  <si>
    <t>Ostatní konstrukce a práce, bourání</t>
  </si>
  <si>
    <t>10</t>
  </si>
  <si>
    <t>943211112</t>
  </si>
  <si>
    <t>Montáž lešení prostorového rámového lehkého pracovního s podlahami s provozním zatížením tř. 3 do 200 kg/m2, výšky přes 10 do 25 m</t>
  </si>
  <si>
    <t>-734075449</t>
  </si>
  <si>
    <t>https://podminky.urs.cz/item/CS_URS_2022_02/943211112</t>
  </si>
  <si>
    <t>6*2,61*15,1 "v prostoru budoucího schodiště</t>
  </si>
  <si>
    <t>11</t>
  </si>
  <si>
    <t>943211212</t>
  </si>
  <si>
    <t>Montáž lešení prostorového rámového lehkého pracovního s podlahami Příplatek za první a každý další den použití lešení k ceně -1112</t>
  </si>
  <si>
    <t>-1323010492</t>
  </si>
  <si>
    <t>https://podminky.urs.cz/item/CS_URS_2022_02/943211212</t>
  </si>
  <si>
    <t>236,466*60 'Přepočtené koeficientem množství</t>
  </si>
  <si>
    <t>12</t>
  </si>
  <si>
    <t>943211812</t>
  </si>
  <si>
    <t>Demontáž lešení prostorového rámového lehkého pracovního s podlahami s provozním zatížením tř. 3 do 200 kg/m2, výšky přes 10 do 25 m</t>
  </si>
  <si>
    <t>-99852017</t>
  </si>
  <si>
    <t>https://podminky.urs.cz/item/CS_URS_2022_02/943211812</t>
  </si>
  <si>
    <t>13</t>
  </si>
  <si>
    <t>962031133</t>
  </si>
  <si>
    <t>Bourání příček z cihel, tvárnic nebo příčkovek z cihel pálených, plných nebo dutých na maltu vápennou nebo vápenocementovou, tl. do 150 mm</t>
  </si>
  <si>
    <t>-1983129842</t>
  </si>
  <si>
    <t>https://podminky.urs.cz/item/CS_URS_2022_02/962031133</t>
  </si>
  <si>
    <t>(2,9+2,8+2+11,2+7,6+2,2+0,9+1,32+1,13+4,37+6,5)*3 "vnitřní příčky</t>
  </si>
  <si>
    <t>14</t>
  </si>
  <si>
    <t>962032230</t>
  </si>
  <si>
    <t>Bourání zdiva nadzákladového z cihel nebo tvárnic z cihel pálených nebo vápenopískových, na maltu vápennou nebo vápenocementovou, objemu do 1 m3</t>
  </si>
  <si>
    <t>-2066053969</t>
  </si>
  <si>
    <t>https://podminky.urs.cz/item/CS_URS_2022_02/962032230</t>
  </si>
  <si>
    <t>(2,32*0,48+0,48*2,53+1,56*0,48+2,04*0,478)*3 "komíny pod střešní část</t>
  </si>
  <si>
    <t>(6,7*0,4+6,7*0,43+6,7*0,48)*3+1*0,45*2,2 "vnitřní stěny v podkroví</t>
  </si>
  <si>
    <t>962032631</t>
  </si>
  <si>
    <t>Bourání zdiva nadzákladového z cihel nebo tvárnic komínového z cihel pálených, šamotových nebo vápenopískových nad střechou na maltu vápennou nebo vápenocementovou</t>
  </si>
  <si>
    <t>-515704138</t>
  </si>
  <si>
    <t>https://podminky.urs.cz/item/CS_URS_2022_02/962032631</t>
  </si>
  <si>
    <t>(2,32*0,48+0,48*2,53+1,56*0,48+2,04*0,478+2,46*0,538)*1,5 "komíny nad střešní část</t>
  </si>
  <si>
    <t>16</t>
  </si>
  <si>
    <t>964011221</t>
  </si>
  <si>
    <t>Vybourání železobetonových prefabrikovaných překladů uložených ve zdivu, délky do 3 m, hmotnosti do 75 kg/m</t>
  </si>
  <si>
    <t>1095295388</t>
  </si>
  <si>
    <t>https://podminky.urs.cz/item/CS_URS_2022_02/964011221</t>
  </si>
  <si>
    <t>0,45*0,37*2 "pro uložení překladu u výtahových dveří</t>
  </si>
  <si>
    <t>17</t>
  </si>
  <si>
    <t>965041341</t>
  </si>
  <si>
    <t>Bourání mazanin škvárobetonových tl. do 100 mm, plochy přes 4 m2</t>
  </si>
  <si>
    <t>158405526</t>
  </si>
  <si>
    <t>https://podminky.urs.cz/item/CS_URS_2022_02/965041341</t>
  </si>
  <si>
    <t>544,25*0,025 "maltové lože půdní plocha 4.NP</t>
  </si>
  <si>
    <t>18</t>
  </si>
  <si>
    <t>965081113</t>
  </si>
  <si>
    <t>Bourání podlah z dlaždic bez podkladního lože nebo mazaniny, s jakoukoliv výplní spár půdních, plochy přes 1 m2</t>
  </si>
  <si>
    <t>544040210</t>
  </si>
  <si>
    <t>https://podminky.urs.cz/item/CS_URS_2022_02/965081113</t>
  </si>
  <si>
    <t>544,25 "půdní plocha 4.NP</t>
  </si>
  <si>
    <t>-27,5 "prostor kotelny</t>
  </si>
  <si>
    <t>19</t>
  </si>
  <si>
    <t>965082923</t>
  </si>
  <si>
    <t>Odstranění násypu pod podlahami nebo ochranného násypu na střechách tl. do 100 mm, plochy přes 2 m2</t>
  </si>
  <si>
    <t>1768066572</t>
  </si>
  <si>
    <t>https://podminky.urs.cz/item/CS_URS_2022_02/965082923</t>
  </si>
  <si>
    <t>544,25*0,07 "škvárový násyp půdní plocha 4.NP</t>
  </si>
  <si>
    <t>20</t>
  </si>
  <si>
    <t>966031313</t>
  </si>
  <si>
    <t>Vybourání částí říms z cihel vyložených do 250 mm tl. do 300 mm</t>
  </si>
  <si>
    <t>m</t>
  </si>
  <si>
    <t>553066771</t>
  </si>
  <si>
    <t>https://podminky.urs.cz/item/CS_URS_2022_02/966031313</t>
  </si>
  <si>
    <t>6+6+1,638 "podstřešní římsa v úrovni podlahy 4.NP</t>
  </si>
  <si>
    <t>966031314</t>
  </si>
  <si>
    <t>Vybourání částí říms z cihel vyložených do 250 mm tl. přes 300 mm</t>
  </si>
  <si>
    <t>593597083</t>
  </si>
  <si>
    <t>https://podminky.urs.cz/item/CS_URS_2022_02/966031314</t>
  </si>
  <si>
    <t>6+6+1,638 "podstřešní římsa</t>
  </si>
  <si>
    <t>6+6+1,638 "římsa v úrovni podlahy 2.NP</t>
  </si>
  <si>
    <t>22</t>
  </si>
  <si>
    <t>967042712</t>
  </si>
  <si>
    <t>Odsekání zdiva z kamene nebo betonu plošné, tl. do 100 mm</t>
  </si>
  <si>
    <t>-1134523740</t>
  </si>
  <si>
    <t>https://podminky.urs.cz/item/CS_URS_2022_02/967042712</t>
  </si>
  <si>
    <t>(6+2,61+6)*0,85 "kamenný sokl v úrovni 1.NP</t>
  </si>
  <si>
    <t>23</t>
  </si>
  <si>
    <t>968062246</t>
  </si>
  <si>
    <t>Vybourání dřevěných rámů oken s křídly, dveřních zárubní, vrat, stěn, ostění nebo obkladů rámů oken s křídly jednoduchých, plochy do 4 m2</t>
  </si>
  <si>
    <t>-142580227</t>
  </si>
  <si>
    <t>https://podminky.urs.cz/item/CS_URS_2022_02/968062246</t>
  </si>
  <si>
    <t>1,27*1,44 "štítové okno pohled východní</t>
  </si>
  <si>
    <t>0,95*0,43 "okno viz. výkres D.1.1.4 - §4</t>
  </si>
  <si>
    <t>0,94*0,46 "okno viz. výkres D.1.1.4 - §7</t>
  </si>
  <si>
    <t>24</t>
  </si>
  <si>
    <t>968072455</t>
  </si>
  <si>
    <t>Vybourání kovových rámů oken s křídly, dveřních zárubní, vrat, stěn, ostění nebo obkladů dveřních zárubní, plochy do 2 m2</t>
  </si>
  <si>
    <t>-138109162</t>
  </si>
  <si>
    <t>https://podminky.urs.cz/item/CS_URS_2022_02/968072455</t>
  </si>
  <si>
    <t>0,8*1,97+0,85*1,97+0,8*1,97 "zárubně v 4.NP</t>
  </si>
  <si>
    <t>25</t>
  </si>
  <si>
    <t>968072456</t>
  </si>
  <si>
    <t>Vybourání kovových rámů oken s křídly, dveřních zárubní, vrat, stěn, ostění nebo obkladů dveřních zárubní, plochy přes 2 m2</t>
  </si>
  <si>
    <t>1816661773</t>
  </si>
  <si>
    <t>https://podminky.urs.cz/item/CS_URS_2022_02/968072456</t>
  </si>
  <si>
    <t>1,16*2,4+1,16*2,13 "zárubně v 4.NP</t>
  </si>
  <si>
    <t>26</t>
  </si>
  <si>
    <t>973031151</t>
  </si>
  <si>
    <t>Vysekání výklenků nebo kapes ve zdivu z cihel na maltu vápennou nebo vápenocementovou výklenků, pohledové plochy přes 0,25 m2</t>
  </si>
  <si>
    <t>-1356101626</t>
  </si>
  <si>
    <t>https://podminky.urs.cz/item/CS_URS_2022_02/973031151</t>
  </si>
  <si>
    <t>0,6*0,35*1,4*25 "vyskání výklenku pro ocelovou konstrukci</t>
  </si>
  <si>
    <t>(1,56+1,56+2,899)*0,3*0,3*3+(1,299+1,299)*0,3*0,3*3 "kapsy pro uložení PZD nosníku viz. bourací príce §6</t>
  </si>
  <si>
    <t>0,35*0,2*25 "vysekání výklenku pro patku ocelové konstrukce</t>
  </si>
  <si>
    <t>27</t>
  </si>
  <si>
    <t>973031335</t>
  </si>
  <si>
    <t>Vysekání výklenků nebo kapes ve zdivu z cihel na maltu vápennou nebo vápenocementovou kapes, plochy do 0,16 m2, hl. do 300 mm</t>
  </si>
  <si>
    <t>kus</t>
  </si>
  <si>
    <t>532378144</t>
  </si>
  <si>
    <t>https://podminky.urs.cz/item/CS_URS_2022_02/973031335</t>
  </si>
  <si>
    <t>7*2 "kapsa pro IPE nosníky §8 viz. výkres bourané kce</t>
  </si>
  <si>
    <t>3*2 "kapsa pro kotvení ŽB věnců §7 viz. výkres bourané kce</t>
  </si>
  <si>
    <t>2,25*0,3*0,45 "kapsa pro uložení překladu nad okno na štítové straně</t>
  </si>
  <si>
    <t>28</t>
  </si>
  <si>
    <t>975121321</t>
  </si>
  <si>
    <t>Jednořadé podchycení konstrukcí systémovými prvky stojkami včetně nosníků výšky podepření do 4 m, zatížení přes 750 do 1 000 kg/m zřízení</t>
  </si>
  <si>
    <t>-930757627</t>
  </si>
  <si>
    <t>https://podminky.urs.cz/item/CS_URS_2022_02/975121321</t>
  </si>
  <si>
    <t>(4,31+3,158)*6 "podstojkování stropu při demontáži krovu viz. výkres řez C-C bourací práce</t>
  </si>
  <si>
    <t>29</t>
  </si>
  <si>
    <t>975121322</t>
  </si>
  <si>
    <t>Jednořadé podchycení konstrukcí systémovými prvky stojkami včetně nosníků výšky podepření do 4 m, zatížení přes 750 do 1 000 kg/m příplatek za první a každý další den použití</t>
  </si>
  <si>
    <t>-1664776029</t>
  </si>
  <si>
    <t>https://podminky.urs.cz/item/CS_URS_2022_02/975121322</t>
  </si>
  <si>
    <t>44,808*30 'Přepočtené koeficientem množství</t>
  </si>
  <si>
    <t>30</t>
  </si>
  <si>
    <t>975121323</t>
  </si>
  <si>
    <t>Jednořadé podchycení konstrukcí systémovými prvky stojkami včetně nosníků výšky podepření do 4 m, zatížení přes 750 do 1 000 kg/m odstranění</t>
  </si>
  <si>
    <t>-851104494</t>
  </si>
  <si>
    <t>https://podminky.urs.cz/item/CS_URS_2022_02/975121323</t>
  </si>
  <si>
    <t>31</t>
  </si>
  <si>
    <t>975121421</t>
  </si>
  <si>
    <t>Jednořadé podchycení konstrukcí systémovými prvky stojkami včetně nosníků výšky podepření přes 4 do 5 m, zatížení přes 750 do 1 000 kg/m zřízení</t>
  </si>
  <si>
    <t>-835426686</t>
  </si>
  <si>
    <t>https://podminky.urs.cz/item/CS_URS_2022_02/975121421</t>
  </si>
  <si>
    <t>3,579*6 "podstojkování stropu na stáv. schodišti při demontáži krovu viz. výkres řez C-C bourací práce</t>
  </si>
  <si>
    <t>32</t>
  </si>
  <si>
    <t>975121422</t>
  </si>
  <si>
    <t>Jednořadé podchycení konstrukcí systémovými prvky stojkami včetně nosníků výšky podepření přes 4 do 5 m, zatížení přes 750 do 1 000 kg/m příplatek za první a každý další den použití</t>
  </si>
  <si>
    <t>1950568664</t>
  </si>
  <si>
    <t>https://podminky.urs.cz/item/CS_URS_2022_02/975121422</t>
  </si>
  <si>
    <t>21,474*30 'Přepočtené koeficientem množství</t>
  </si>
  <si>
    <t>33</t>
  </si>
  <si>
    <t>975121423</t>
  </si>
  <si>
    <t>Jednořadé podchycení konstrukcí systémovými prvky stojkami včetně nosníků výšky podepření přes 4 do 5 m, zatížení přes 750 do 1 000 kg/m odstranění</t>
  </si>
  <si>
    <t>362151974</t>
  </si>
  <si>
    <t>https://podminky.urs.cz/item/CS_URS_2022_02/975121423</t>
  </si>
  <si>
    <t>34</t>
  </si>
  <si>
    <t>978012191</t>
  </si>
  <si>
    <t>Otlučení vápenných nebo vápenocementových omítek vnitřních ploch stropů rákosovaných, v rozsahu přes 50 do 100 %</t>
  </si>
  <si>
    <t>316107557</t>
  </si>
  <si>
    <t>https://podminky.urs.cz/item/CS_URS_2022_02/978012191</t>
  </si>
  <si>
    <t>157 "podbiti střešní konstrukce</t>
  </si>
  <si>
    <t>35</t>
  </si>
  <si>
    <t>978013191</t>
  </si>
  <si>
    <t>Otlučení vápenných nebo vápenocementových omítek vnitřních ploch stěn s vyškrabáním spar, s očištěním zdiva, v rozsahu přes 50 do 100 %</t>
  </si>
  <si>
    <t>-600719251</t>
  </si>
  <si>
    <t>https://podminky.urs.cz/item/CS_URS_2022_02/978013191</t>
  </si>
  <si>
    <t>158,24*1 "po obvodu objektu</t>
  </si>
  <si>
    <t>36</t>
  </si>
  <si>
    <t>978015391</t>
  </si>
  <si>
    <t>Otlučení vápenných nebo vápenocementových omítek vnějších ploch s vyškrabáním spar a s očištěním zdiva stupně členitosti 1 a 2, v rozsahu přes 80 do 100 %</t>
  </si>
  <si>
    <t>1316084438</t>
  </si>
  <si>
    <t>https://podminky.urs.cz/item/CS_URS_2022_02/978015391</t>
  </si>
  <si>
    <t>(6+2,61+6)*15,1 "vnější omítka budoucího schodiště</t>
  </si>
  <si>
    <t>997</t>
  </si>
  <si>
    <t>Přesun sutě</t>
  </si>
  <si>
    <t>37</t>
  </si>
  <si>
    <t>997013154</t>
  </si>
  <si>
    <t>Vnitrostaveništní doprava suti a vybouraných hmot vodorovně do 50 m svisle s omezením mechanizace pro budovy a haly výšky přes 12 do 15 m</t>
  </si>
  <si>
    <t>-1619678159</t>
  </si>
  <si>
    <t>https://podminky.urs.cz/item/CS_URS_2022_02/997013154</t>
  </si>
  <si>
    <t>38</t>
  </si>
  <si>
    <t>997013312</t>
  </si>
  <si>
    <t>Doprava suti shozem montáž a demontáž shozu výšky přes 10 do 20 m</t>
  </si>
  <si>
    <t>-464986500</t>
  </si>
  <si>
    <t>https://podminky.urs.cz/item/CS_URS_2022_02/997013312</t>
  </si>
  <si>
    <t>39</t>
  </si>
  <si>
    <t>997013322</t>
  </si>
  <si>
    <t>Doprava suti shozem montáž a demontáž shozu výšky Příplatek za první a každý další den použití shozu k ceně -3312</t>
  </si>
  <si>
    <t>-792150232</t>
  </si>
  <si>
    <t>https://podminky.urs.cz/item/CS_URS_2022_02/997013322</t>
  </si>
  <si>
    <t>17*90 'Přepočtené koeficientem množství</t>
  </si>
  <si>
    <t>40</t>
  </si>
  <si>
    <t>997013501</t>
  </si>
  <si>
    <t>Odvoz suti a vybouraných hmot na skládku nebo meziskládku se složením, na vzdálenost do 1 km</t>
  </si>
  <si>
    <t>1587919046</t>
  </si>
  <si>
    <t>https://podminky.urs.cz/item/CS_URS_2022_02/997013501</t>
  </si>
  <si>
    <t>41</t>
  </si>
  <si>
    <t>997013509</t>
  </si>
  <si>
    <t>Odvoz suti a vybouraných hmot na skládku nebo meziskládku se složením, na vzdálenost Příplatek k ceně za každý další i započatý 1 km přes 1 km</t>
  </si>
  <si>
    <t>-773430655</t>
  </si>
  <si>
    <t>https://podminky.urs.cz/item/CS_URS_2022_02/997013509</t>
  </si>
  <si>
    <t>397,568*19 'Přepočtené koeficientem množství</t>
  </si>
  <si>
    <t>42</t>
  </si>
  <si>
    <t>997013631</t>
  </si>
  <si>
    <t>Poplatek za uložení stavebního odpadu na skládce (skládkovné) směsného stavebního a demoličního zatříděného do Katalogu odpadů pod kódem 17 09 04</t>
  </si>
  <si>
    <t>-131569135</t>
  </si>
  <si>
    <t>https://podminky.urs.cz/item/CS_URS_2022_02/997013631</t>
  </si>
  <si>
    <t>PSV</t>
  </si>
  <si>
    <t>Práce a dodávky PSV</t>
  </si>
  <si>
    <t>712</t>
  </si>
  <si>
    <t>Povlakové krytiny</t>
  </si>
  <si>
    <t>43</t>
  </si>
  <si>
    <t>712340833</t>
  </si>
  <si>
    <t>Odstranění povlakové krytiny střech plochých do 10° z přitavených pásů NAIP v plné ploše třívrstvé</t>
  </si>
  <si>
    <t>94059890</t>
  </si>
  <si>
    <t>https://podminky.urs.cz/item/CS_URS_2022_02/712340833</t>
  </si>
  <si>
    <t>29 "střecha výtahu</t>
  </si>
  <si>
    <t>44</t>
  </si>
  <si>
    <t>712341659</t>
  </si>
  <si>
    <t>Provedení povlakové krytiny střech plochých do 10° pásy přitavením NAIP bodově</t>
  </si>
  <si>
    <t>60871805</t>
  </si>
  <si>
    <t>https://podminky.urs.cz/item/CS_URS_2022_02/712341659</t>
  </si>
  <si>
    <t>544,25 "půdní plocha 4.NP provizorní izolační vrstva po dobu stavebních prací</t>
  </si>
  <si>
    <t>45</t>
  </si>
  <si>
    <t>M</t>
  </si>
  <si>
    <t>62832001</t>
  </si>
  <si>
    <t>pás asfaltový natavitelný oxidovaný tl 3,5mm typu V60 S35 s vložkou ze skleněné rohože, s jemnozrnným minerálním posypem</t>
  </si>
  <si>
    <t>-1925599119</t>
  </si>
  <si>
    <t>544,25*1,1655 'Přepočtené koeficientem množství</t>
  </si>
  <si>
    <t>46</t>
  </si>
  <si>
    <t>998712203</t>
  </si>
  <si>
    <t>Přesun hmot pro povlakové krytiny stanovený procentní sazbou (%) z ceny vodorovná dopravní vzdálenost do 50 m v objektech výšky přes 12 do 24 m</t>
  </si>
  <si>
    <t>%</t>
  </si>
  <si>
    <t>1196131894</t>
  </si>
  <si>
    <t>https://podminky.urs.cz/item/CS_URS_2022_02/998712203</t>
  </si>
  <si>
    <t>720</t>
  </si>
  <si>
    <t>Zdravotechnika</t>
  </si>
  <si>
    <t>47</t>
  </si>
  <si>
    <t>720-spec.01</t>
  </si>
  <si>
    <t>Odpojení a přeložení vody, kanalizace, plynu před bouracími pracemi</t>
  </si>
  <si>
    <t>2092846931</t>
  </si>
  <si>
    <t>730</t>
  </si>
  <si>
    <t>Ústřední vytápění</t>
  </si>
  <si>
    <t>48</t>
  </si>
  <si>
    <t>730-spec.01</t>
  </si>
  <si>
    <t>Odpojení a přeložení topení před bouracími pracemi vč. bourání kotelny</t>
  </si>
  <si>
    <t>-1030816598</t>
  </si>
  <si>
    <t>741</t>
  </si>
  <si>
    <t>Elektroinstalace - silnoproud</t>
  </si>
  <si>
    <t>49</t>
  </si>
  <si>
    <t>741-spec.01</t>
  </si>
  <si>
    <t>Demontáž hromosvodu na střešní konstrukci a dmtž svodu v prostoru nového schodiště</t>
  </si>
  <si>
    <t>545362092</t>
  </si>
  <si>
    <t>50</t>
  </si>
  <si>
    <t>741-spec.02</t>
  </si>
  <si>
    <t>Odpojení a přeložení elektroinstalace před bouracími pracemi</t>
  </si>
  <si>
    <t>-385609358</t>
  </si>
  <si>
    <t>751</t>
  </si>
  <si>
    <t>Vzduchotechnika</t>
  </si>
  <si>
    <t>51</t>
  </si>
  <si>
    <t>750-spec.01</t>
  </si>
  <si>
    <t>Odstranění vyústění VZT šachty nad střechou</t>
  </si>
  <si>
    <t>622206678</t>
  </si>
  <si>
    <t>762</t>
  </si>
  <si>
    <t>Konstrukce tesařské</t>
  </si>
  <si>
    <t>52</t>
  </si>
  <si>
    <t>762331813</t>
  </si>
  <si>
    <t>Demontáž vázaných konstrukcí krovů sklonu do 60° z hranolů, hranolků, fošen, průřezové plochy přes 224 do 288 cm2</t>
  </si>
  <si>
    <t>-353149615</t>
  </si>
  <si>
    <t>https://podminky.urs.cz/item/CS_URS_2022_02/762331813</t>
  </si>
  <si>
    <t>7,72+7,18+18+26+3,5+3,5+6,3+7,4+28+7,6+8+13*4+9,3*4+7,8*2+27*2+20+14*2+26+26+20+16+12+32+22+32+15+6+16+2,5*23+5*5+7,2*73</t>
  </si>
  <si>
    <t>(7,8+7,8+8,2+8,2+8,1+8+8,6+7,3+8,3+6,8+8+8+18+10)*1,3</t>
  </si>
  <si>
    <t>53</t>
  </si>
  <si>
    <t>762331814</t>
  </si>
  <si>
    <t>Demontáž vázaných konstrukcí krovů sklonu do 60° z hranolů, hranolků, fošen, průřezové plochy přes 288 do 450 cm2</t>
  </si>
  <si>
    <t>-2020098793</t>
  </si>
  <si>
    <t>https://podminky.urs.cz/item/CS_URS_2022_02/762331814</t>
  </si>
  <si>
    <t>7,8+27+5,6+7,6</t>
  </si>
  <si>
    <t>54</t>
  </si>
  <si>
    <t>762341832</t>
  </si>
  <si>
    <t>Demontáž bednění a laťování bednění střech rovných, obloukových, sklonu do 60° se všemi nadstřešními konstrukcemi z desek tvrdých (cementotřískových, dřevoštěpkových apod.)</t>
  </si>
  <si>
    <t>426107693</t>
  </si>
  <si>
    <t>https://podminky.urs.cz/item/CS_URS_2022_02/762341832</t>
  </si>
  <si>
    <t>55</t>
  </si>
  <si>
    <t>762342812</t>
  </si>
  <si>
    <t>Demontáž bednění a laťování laťování střech sklonu do 60° se všemi nadstřešními konstrukcemi, z latí průřezové plochy do 25 cm2 při osové vzdálenosti přes 0,22 do 0,50 m</t>
  </si>
  <si>
    <t>1506386330</t>
  </si>
  <si>
    <t>https://podminky.urs.cz/item/CS_URS_2022_02/762342812</t>
  </si>
  <si>
    <t>790 "plocha střechy</t>
  </si>
  <si>
    <t>56</t>
  </si>
  <si>
    <t>762521811</t>
  </si>
  <si>
    <t>Demontáž podlah bez polštářů z prken tl. do 32 mm</t>
  </si>
  <si>
    <t>932596880</t>
  </si>
  <si>
    <t>https://podminky.urs.cz/item/CS_URS_2022_02/762521811</t>
  </si>
  <si>
    <t>544,25 "prkenný záklop půdní plocha 4.NP</t>
  </si>
  <si>
    <t>57</t>
  </si>
  <si>
    <t>762841811</t>
  </si>
  <si>
    <t>Demontáž podbíjení obkladů stropů a střech sklonu do 60° z hrubých prken tl. do 35 mm bez omítky</t>
  </si>
  <si>
    <t>-1125687180</t>
  </si>
  <si>
    <t>https://podminky.urs.cz/item/CS_URS_2022_02/762841811</t>
  </si>
  <si>
    <t>58</t>
  </si>
  <si>
    <t>762841812</t>
  </si>
  <si>
    <t>Demontáž podbíjení obkladů stropů a střech sklonu do 60° z hrubých prken tl. do 35 mm s omítkou</t>
  </si>
  <si>
    <t>1352502645</t>
  </si>
  <si>
    <t>https://podminky.urs.cz/item/CS_URS_2022_02/762841812</t>
  </si>
  <si>
    <t>544,25 "podbití půdní plocha 4.NP</t>
  </si>
  <si>
    <t>764</t>
  </si>
  <si>
    <t>Konstrukce klempířské</t>
  </si>
  <si>
    <t>59</t>
  </si>
  <si>
    <t>764001891</t>
  </si>
  <si>
    <t>Demontáž klempířských konstrukcí oplechování úžlabí do suti</t>
  </si>
  <si>
    <t>1199281887</t>
  </si>
  <si>
    <t>https://podminky.urs.cz/item/CS_URS_2022_02/764001891</t>
  </si>
  <si>
    <t>8,5*6</t>
  </si>
  <si>
    <t>60</t>
  </si>
  <si>
    <t>764002841</t>
  </si>
  <si>
    <t>Demontáž klempířských konstrukcí oplechování horních ploch zdí a nadezdívek do suti</t>
  </si>
  <si>
    <t>-2056816407</t>
  </si>
  <si>
    <t>https://podminky.urs.cz/item/CS_URS_2022_02/764002841</t>
  </si>
  <si>
    <t>7*2 "štítová stěna střechy</t>
  </si>
  <si>
    <t>61</t>
  </si>
  <si>
    <t>764002851</t>
  </si>
  <si>
    <t>Demontáž klempířských konstrukcí oplechování parapetů do suti</t>
  </si>
  <si>
    <t>-788415322</t>
  </si>
  <si>
    <t>https://podminky.urs.cz/item/CS_URS_2022_02/764002851</t>
  </si>
  <si>
    <t>1,27 "štítové okno pohled východní</t>
  </si>
  <si>
    <t>0,95 "okno viz. výkres D.1.1.4 - §4</t>
  </si>
  <si>
    <t>0,94 "okno viz. výkres D.1.1.4 - §7</t>
  </si>
  <si>
    <t>62</t>
  </si>
  <si>
    <t>764002861</t>
  </si>
  <si>
    <t>Demontáž klempířských konstrukcí oplechování říms do suti</t>
  </si>
  <si>
    <t>-1948915053</t>
  </si>
  <si>
    <t>https://podminky.urs.cz/item/CS_URS_2022_02/764002861</t>
  </si>
  <si>
    <t>132,65 "podstřešní římsa v úrovni podlahy 4.NP</t>
  </si>
  <si>
    <t>63</t>
  </si>
  <si>
    <t>764002871</t>
  </si>
  <si>
    <t>Demontáž klempířských konstrukcí lemování zdí do suti</t>
  </si>
  <si>
    <t>2106852045</t>
  </si>
  <si>
    <t>https://podminky.urs.cz/item/CS_URS_2022_02/764002871</t>
  </si>
  <si>
    <t>(2,32*2+0,48*2+0,48*2+2,53*2+1,56*2+0,48*2+2,04*2+0,478*2+2,46*2+0,538*2)*1,3 "kolem komínů na střeše</t>
  </si>
  <si>
    <t>64</t>
  </si>
  <si>
    <t>764004801</t>
  </si>
  <si>
    <t>Demontáž klempířských konstrukcí žlabu podokapního do suti</t>
  </si>
  <si>
    <t>-1662252831</t>
  </si>
  <si>
    <t>https://podminky.urs.cz/item/CS_URS_2022_02/764004801</t>
  </si>
  <si>
    <t>137,41 "žlab po obvodu střechy</t>
  </si>
  <si>
    <t>65</t>
  </si>
  <si>
    <t>764004861</t>
  </si>
  <si>
    <t>Demontáž klempířských konstrukcí svodu do suti</t>
  </si>
  <si>
    <t>725907455</t>
  </si>
  <si>
    <t>https://podminky.urs.cz/item/CS_URS_2022_02/764004861</t>
  </si>
  <si>
    <t>15 "v prostoru budoucího schodiště</t>
  </si>
  <si>
    <t>66</t>
  </si>
  <si>
    <t>764004863</t>
  </si>
  <si>
    <t>Demontáž klempířských konstrukcí svodu k dalšímu použití</t>
  </si>
  <si>
    <t>-1203486722</t>
  </si>
  <si>
    <t>https://podminky.urs.cz/item/CS_URS_2022_02/764004863</t>
  </si>
  <si>
    <t>5*15</t>
  </si>
  <si>
    <t>67</t>
  </si>
  <si>
    <t>764508131</t>
  </si>
  <si>
    <t>Montáž svodu kruhového, průměru svodu</t>
  </si>
  <si>
    <t>-967655191</t>
  </si>
  <si>
    <t>https://podminky.urs.cz/item/CS_URS_2022_02/764508131</t>
  </si>
  <si>
    <t>6*20 "provizorní odvodnění střešní konstrukce po dobu stavebních prací</t>
  </si>
  <si>
    <t>68</t>
  </si>
  <si>
    <t>28611281</t>
  </si>
  <si>
    <t>trubka drenážní systému budov neperforovaná flexibilní tyčová PVC-U DN 125 SN4 2,5m</t>
  </si>
  <si>
    <t>1747454722</t>
  </si>
  <si>
    <t>120*1,1 'Přepočtené koeficientem množství</t>
  </si>
  <si>
    <t>765</t>
  </si>
  <si>
    <t>Krytina skládaná</t>
  </si>
  <si>
    <t>69</t>
  </si>
  <si>
    <t>765111801</t>
  </si>
  <si>
    <t>Demontáž krytiny keramické drážkové, sklonu do 30° na sucho do suti</t>
  </si>
  <si>
    <t>-2048372472</t>
  </si>
  <si>
    <t>https://podminky.urs.cz/item/CS_URS_2022_02/765111801</t>
  </si>
  <si>
    <t>70</t>
  </si>
  <si>
    <t>765111811</t>
  </si>
  <si>
    <t>Demontáž krytiny keramické Příplatek k cenám za sklon přes 30° do suti</t>
  </si>
  <si>
    <t>2008437839</t>
  </si>
  <si>
    <t>https://podminky.urs.cz/item/CS_URS_2022_02/765111811</t>
  </si>
  <si>
    <t>71</t>
  </si>
  <si>
    <t>765111861</t>
  </si>
  <si>
    <t>Demontáž krytiny keramické hřebenů a nároží, sklonu do 30° z hřebenáčů na sucho do suti</t>
  </si>
  <si>
    <t>-1528780971</t>
  </si>
  <si>
    <t>https://podminky.urs.cz/item/CS_URS_2022_02/765111861</t>
  </si>
  <si>
    <t>7,75+26,7+5,3+5,6+(7,8+7,8+8,2+7,4+7,4+8,3+9+9)*1,3</t>
  </si>
  <si>
    <t>72</t>
  </si>
  <si>
    <t>765111881</t>
  </si>
  <si>
    <t>-1788855742</t>
  </si>
  <si>
    <t>https://podminky.urs.cz/item/CS_URS_2022_02/765111881</t>
  </si>
  <si>
    <t>73</t>
  </si>
  <si>
    <t>765192001</t>
  </si>
  <si>
    <t>Nouzové zakrytí střechy plachtou</t>
  </si>
  <si>
    <t>1092027311</t>
  </si>
  <si>
    <t>https://podminky.urs.cz/item/CS_URS_2022_02/765192001</t>
  </si>
  <si>
    <t>766</t>
  </si>
  <si>
    <t>Konstrukce truhlářské</t>
  </si>
  <si>
    <t>74</t>
  </si>
  <si>
    <t>766441812</t>
  </si>
  <si>
    <t>Demontáž parapetních desek dřevěných nebo plastových šířky přes 300 mm, délky do 1000 mm</t>
  </si>
  <si>
    <t>1238200780</t>
  </si>
  <si>
    <t>https://podminky.urs.cz/item/CS_URS_2022_02/766441812</t>
  </si>
  <si>
    <t>1 "okno viz. výkres D.1.1.4 - §4</t>
  </si>
  <si>
    <t>1 "okno viz. výkres D.1.1.4 - §7</t>
  </si>
  <si>
    <t>75</t>
  </si>
  <si>
    <t>766441822</t>
  </si>
  <si>
    <t>Demontáž parapetních desek dřevěných nebo plastových šířky přes 300 mm, délky přes 1000 do 2000 mm</t>
  </si>
  <si>
    <t>709167671</t>
  </si>
  <si>
    <t>https://podminky.urs.cz/item/CS_URS_2022_02/766441822</t>
  </si>
  <si>
    <t>1 "štítové okno pohled východní</t>
  </si>
  <si>
    <t>76</t>
  </si>
  <si>
    <t>766674811</t>
  </si>
  <si>
    <t>Demontáž střešních oken na krytině hladké a drážkové, sklonu přes 30 do 45°</t>
  </si>
  <si>
    <t>448281465</t>
  </si>
  <si>
    <t>https://podminky.urs.cz/item/CS_URS_2022_02/766674811</t>
  </si>
  <si>
    <t>16 "stávajících střešních oken</t>
  </si>
  <si>
    <t>771</t>
  </si>
  <si>
    <t>Podlahy z dlaždic</t>
  </si>
  <si>
    <t>77</t>
  </si>
  <si>
    <t>771573810</t>
  </si>
  <si>
    <t>Demontáž podlah z dlaždic keramických lepených</t>
  </si>
  <si>
    <t>1601301416</t>
  </si>
  <si>
    <t>https://podminky.urs.cz/item/CS_URS_2022_02/771573810</t>
  </si>
  <si>
    <t>27,5 "prostor kotelny</t>
  </si>
  <si>
    <t>VRN</t>
  </si>
  <si>
    <t>VRN9</t>
  </si>
  <si>
    <t>Ostatní náklady</t>
  </si>
  <si>
    <t>78</t>
  </si>
  <si>
    <t>094103000</t>
  </si>
  <si>
    <t>Náklady na plánované vyklizení objektu</t>
  </si>
  <si>
    <t>1024</t>
  </si>
  <si>
    <t>-989048519</t>
  </si>
  <si>
    <t>https://podminky.urs.cz/item/CS_URS_2022_02/094103000</t>
  </si>
  <si>
    <t>02 - Nové konstrukce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</si>
  <si>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</si>
  <si>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</si>
  <si>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</si>
  <si>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</si>
  <si>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</si>
  <si>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</si>
  <si>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</si>
  <si>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</si>
  <si>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741 - Elektroinstalace</t>
  </si>
  <si>
    <t xml:space="preserve">    763 - Konstrukce suché výstavby</t>
  </si>
  <si>
    <t xml:space="preserve">    767 - Konstrukce zámečnické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</si>
  <si>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</si>
  <si>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</si>
  <si>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</si>
  <si>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</si>
  <si>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</si>
  <si>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</si>
  <si>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</si>
  <si>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</si>
  <si>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OST - Ostatní</t>
  </si>
  <si>
    <t>Zakládání</t>
  </si>
  <si>
    <t>181912112</t>
  </si>
  <si>
    <t>Úprava pláně vyrovnáním výškových rozdílů ručně v hornině třídy těžitelnosti I skupiny 3 se zhutněním</t>
  </si>
  <si>
    <t>403699261</t>
  </si>
  <si>
    <t>https://podminky.urs.cz/item/CS_URS_2022_02/181912112</t>
  </si>
  <si>
    <t>6*2,608 "skladba P2b</t>
  </si>
  <si>
    <t>273321511</t>
  </si>
  <si>
    <t>Základy z betonu železového (bez výztuže) desky z betonu bez zvláštních nároků na prostředí tř. C 25/30</t>
  </si>
  <si>
    <t>-700131501</t>
  </si>
  <si>
    <t>https://podminky.urs.cz/item/CS_URS_2022_02/273321511</t>
  </si>
  <si>
    <t>6*2,608*0,15 "skladba P2b</t>
  </si>
  <si>
    <t>273351121</t>
  </si>
  <si>
    <t>Bednění základů desek zřízení</t>
  </si>
  <si>
    <t>-568951140</t>
  </si>
  <si>
    <t>https://podminky.urs.cz/item/CS_URS_2022_02/273351121</t>
  </si>
  <si>
    <t>2,608*0,3 "podkladní betonová deska</t>
  </si>
  <si>
    <t>273351122</t>
  </si>
  <si>
    <t>Bednění základů desek odstranění</t>
  </si>
  <si>
    <t>-365010528</t>
  </si>
  <si>
    <t>https://podminky.urs.cz/item/CS_URS_2022_02/273351122</t>
  </si>
  <si>
    <t>273362021</t>
  </si>
  <si>
    <t>Výztuž základů desek ze svařovaných sítí z drátů typu KARI</t>
  </si>
  <si>
    <t>256339637</t>
  </si>
  <si>
    <t>https://podminky.urs.cz/item/CS_URS_2022_02/273362021</t>
  </si>
  <si>
    <t>procento vyztužení 90 kg/m3</t>
  </si>
  <si>
    <t>6*2,608*0,15*90/1000 "skladba P2b</t>
  </si>
  <si>
    <t>274321411</t>
  </si>
  <si>
    <t>Základy z betonu železového (bez výztuže) pasy z betonu bez zvláštních nároků na prostředí tř. C 20/25</t>
  </si>
  <si>
    <t>307682379</t>
  </si>
  <si>
    <t>https://podminky.urs.cz/item/CS_URS_2022_02/274321411</t>
  </si>
  <si>
    <t>1,2*0,6*2,608 "základ stěny u schodiště</t>
  </si>
  <si>
    <t>0,5*0,55*2,608 "pod nastupní rameno schodiště</t>
  </si>
  <si>
    <t>274351121</t>
  </si>
  <si>
    <t>Bednění základů pasů rovné zřízení</t>
  </si>
  <si>
    <t>-678151488</t>
  </si>
  <si>
    <t>https://podminky.urs.cz/item/CS_URS_2022_02/274351121</t>
  </si>
  <si>
    <t>0,7*2*2,608 "pod nastupní rameno schodiště</t>
  </si>
  <si>
    <t>274351122</t>
  </si>
  <si>
    <t>Bednění základů pasů rovné odstranění</t>
  </si>
  <si>
    <t>133867349</t>
  </si>
  <si>
    <t>https://podminky.urs.cz/item/CS_URS_2022_02/274351122</t>
  </si>
  <si>
    <t>274361821</t>
  </si>
  <si>
    <t>Výztuž základů pasů z betonářské oceli 10 505 (R) nebo BSt 500</t>
  </si>
  <si>
    <t>-1746730107</t>
  </si>
  <si>
    <t>https://podminky.urs.cz/item/CS_URS_2022_02/274361821</t>
  </si>
  <si>
    <t>procento vyztužení 120 kg/m3</t>
  </si>
  <si>
    <t>1,2*0,6*2,608*120/1000 "základ stěny u schodiště</t>
  </si>
  <si>
    <t>0,5*0,55*2,608*120/1000 "pod nastupní rameno schodiště</t>
  </si>
  <si>
    <t>Svislé a kompletní konstrukce</t>
  </si>
  <si>
    <t>311234051</t>
  </si>
  <si>
    <t>Zdivo jednovrstvé z cihel děrovaných nebroušených klasických spojených na pero a drážku na maltu M5, pevnost cihel do P10, tl. zdiva 300 mm</t>
  </si>
  <si>
    <t>-488479507</t>
  </si>
  <si>
    <t>https://podminky.urs.cz/item/CS_URS_2022_02/311234051</t>
  </si>
  <si>
    <t>(3,15+3,15)*3,8-0,9*1,97*2 "stěna u WC</t>
  </si>
  <si>
    <t>311234111</t>
  </si>
  <si>
    <t>Zdivo jednovrstvé z cihel děrovaných nebroušených klasických spojených na pero a drážku na maltu M5, pevnost cihel do P10, tl. zdiva 440 mm</t>
  </si>
  <si>
    <t>520379542</t>
  </si>
  <si>
    <t>https://podminky.urs.cz/item/CS_URS_2022_02/311234111</t>
  </si>
  <si>
    <t>1,8*3,8-1*1,97 "u vystupu z únikového schodiště ve 4.NP</t>
  </si>
  <si>
    <t>311236101</t>
  </si>
  <si>
    <t>Zdivo jednovrstvé zvukově izolační z cihel děrovaných spojených na pero a drážku na maltu cementovou M10, pevnost cihel do P15, tl. zdiva 190 mm</t>
  </si>
  <si>
    <t>-1577867142</t>
  </si>
  <si>
    <t>https://podminky.urs.cz/item/CS_URS_2022_02/311236101</t>
  </si>
  <si>
    <t>(9,3+20,22+0,68+3,2+7,75)*3,8-0,9*1,97*4 "vnitřní stěna mezi chodbou a učebnami</t>
  </si>
  <si>
    <t>311238803</t>
  </si>
  <si>
    <t>Zdivo jednovrstvé tepelně izolační z cihel děrovaných broušených s integrovanou izolací z expandovaného (samozhášivého) polystyrenu na tenkovrstvou maltu, součinitel prostupu tepla U do 0,14, pevnost cihel P8, tl. zdiva 440 mm</t>
  </si>
  <si>
    <t>-1748873073</t>
  </si>
  <si>
    <t>https://podminky.urs.cz/item/CS_URS_2022_02/311238803</t>
  </si>
  <si>
    <t>2,6*17,9+25*2-1,2*2,4*3-1,2*2,1 "stěny únikové schodiště</t>
  </si>
  <si>
    <t>317168052</t>
  </si>
  <si>
    <t>Překlady keramické vysoké osazené do maltového lože, šířky překladu 70 mm výšky 238 mm, délky 1250 mm</t>
  </si>
  <si>
    <t>955772469</t>
  </si>
  <si>
    <t>https://podminky.urs.cz/item/CS_URS_2022_02/317168052</t>
  </si>
  <si>
    <t>4 "do m.č. 4.02</t>
  </si>
  <si>
    <t>3 "do m.č. 4.03</t>
  </si>
  <si>
    <t>2*4 "z místnostní do chodby 4.01</t>
  </si>
  <si>
    <t>317168053</t>
  </si>
  <si>
    <t>Překlady keramické vysoké osazené do maltového lože, šířky překladu 70 mm výšky 238 mm, délky 1500 mm</t>
  </si>
  <si>
    <t>-671656012</t>
  </si>
  <si>
    <t>https://podminky.urs.cz/item/CS_URS_2022_02/317168053</t>
  </si>
  <si>
    <t>4*5 "překlady nad okna a dveře na schodišti</t>
  </si>
  <si>
    <t>6 "překlad nad vstupními dvermi ze schodiště do 4.NP</t>
  </si>
  <si>
    <t>317168056</t>
  </si>
  <si>
    <t>Překlady keramické vysoké osazené do maltového lože, šířky překladu 70 mm výšky 238 mm, délky 2250 mm</t>
  </si>
  <si>
    <t>1093973920</t>
  </si>
  <si>
    <t>https://podminky.urs.cz/item/CS_URS_2022_02/317168056</t>
  </si>
  <si>
    <t>5 "nad štítové okno</t>
  </si>
  <si>
    <t>317234410</t>
  </si>
  <si>
    <t>Vyzdívka mezi nosníky cihlami pálenými na maltu cementovou</t>
  </si>
  <si>
    <t>-1796851262</t>
  </si>
  <si>
    <t>https://podminky.urs.cz/item/CS_URS_2022_02/317234410</t>
  </si>
  <si>
    <t>0,6*0,35*1,4*25 "kolem ocelových stojek po obvodu budovy</t>
  </si>
  <si>
    <t>7*2*0,3*0,25*0,3 "kapsa pro IPE nosníky §8 viz. výkres bourané kce</t>
  </si>
  <si>
    <t>(11*4+10*4+22*4+14*4+22*4+11*2+10*4)*0,3*0,2*0,2 "pro vložení STEICO příložek</t>
  </si>
  <si>
    <t>317998143</t>
  </si>
  <si>
    <t>Izolace tepelná mezi překlady z extrudovaného polystyrenu jakékoliv výšky, tloušťky 80 mm</t>
  </si>
  <si>
    <t>-1332604832</t>
  </si>
  <si>
    <t>https://podminky.urs.cz/item/CS_URS_2022_02/317998143</t>
  </si>
  <si>
    <t>2,6*3+(2,6+10+10) "věnec únikové schodiště</t>
  </si>
  <si>
    <t>Vodorovné konstrukce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</si>
  <si>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</si>
  <si>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</si>
  <si>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-1074388239</t>
  </si>
  <si>
    <t>https://podminky.urs.cz/item/CS_URS_2022_02/411121232</t>
  </si>
  <si>
    <t>27 "D1</t>
  </si>
  <si>
    <t>28 "D2</t>
  </si>
  <si>
    <t>77 "D3</t>
  </si>
  <si>
    <t>9 "D4</t>
  </si>
  <si>
    <t>59341218</t>
  </si>
  <si>
    <t>deska stropní plná PZD 1200x300x90mm</t>
  </si>
  <si>
    <t>1598244809</t>
  </si>
  <si>
    <t>5934121x</t>
  </si>
  <si>
    <t>deska stropní plná PZD 1400x300x90mm</t>
  </si>
  <si>
    <t>-465528372</t>
  </si>
  <si>
    <t>5934121y</t>
  </si>
  <si>
    <t>deska stropní plná PZD 1600x300x90mm</t>
  </si>
  <si>
    <t>-67511668</t>
  </si>
  <si>
    <t>5934122x</t>
  </si>
  <si>
    <t>deska stropní plná PZD 1700x300x90mm</t>
  </si>
  <si>
    <t>1002674260</t>
  </si>
  <si>
    <t>417321515</t>
  </si>
  <si>
    <t>Ztužující pásy a věnce z betonu železového (bez výztuže) tř. C 25/30</t>
  </si>
  <si>
    <t>-349986105</t>
  </si>
  <si>
    <t>https://podminky.urs.cz/item/CS_URS_2022_02/417321515</t>
  </si>
  <si>
    <t>0,3*0,25*2,6*3+0,3*0,25*(2,6+10+10) "stěna únikové schodiště</t>
  </si>
  <si>
    <t>0,35*0,2*25 "výklenku pro patku ocelové konstrukce</t>
  </si>
  <si>
    <t>0,25*0,45*7 "nad vstupními dvermi ve 4.NP řez A-A</t>
  </si>
  <si>
    <t>417351115</t>
  </si>
  <si>
    <t>Bednění bočnic ztužujících pásů a věnců včetně vzpěr zřízení</t>
  </si>
  <si>
    <t>-1183586229</t>
  </si>
  <si>
    <t>https://podminky.urs.cz/item/CS_URS_2022_02/417351115</t>
  </si>
  <si>
    <t>0,4*2,6*2*3+0,4*(2,6+10+10)*2 "stěna únikové schodiště</t>
  </si>
  <si>
    <t>0,5*0,3*25 "výklenku pro patku ocelové konstrukce</t>
  </si>
  <si>
    <t>0,4*2*7 "nad vstupními dvermi ve 4.NP řez A-A</t>
  </si>
  <si>
    <t>417351116</t>
  </si>
  <si>
    <t>Bednění bočnic ztužujících pásů a věnců včetně vzpěr odstranění</t>
  </si>
  <si>
    <t>-1214237080</t>
  </si>
  <si>
    <t>https://podminky.urs.cz/item/CS_URS_2022_02/417351116</t>
  </si>
  <si>
    <t>417361821</t>
  </si>
  <si>
    <t>Výztuž ztužujících pásů a věnců z betonářské oceli 10 505 (R) nebo BSt 500</t>
  </si>
  <si>
    <t>-1101589345</t>
  </si>
  <si>
    <t>https://podminky.urs.cz/item/CS_URS_2022_02/417361821</t>
  </si>
  <si>
    <t>procento vyztužení 110 kg/m3</t>
  </si>
  <si>
    <t>(0,3*0,25*2,6*3+0,3*0,25*(2,6+10+10))*110/1000 "stěna únikové schodiště</t>
  </si>
  <si>
    <t>0,35*0,2*25*110/1000 "výklenku pro patku ocelové konstrukce</t>
  </si>
  <si>
    <t>0,25*0,45*7*110/1000 "nad vstupními dvermi ve 4.NP řez A-A</t>
  </si>
  <si>
    <t>430321212</t>
  </si>
  <si>
    <t>Schodišťové konstrukce a rampy z betonu železového (bez výztuže) stupně, schodnice, ramena, podesty s nosníky tř. C 12/15</t>
  </si>
  <si>
    <t>-578016229</t>
  </si>
  <si>
    <t>https://podminky.urs.cz/item/CS_URS_2022_02/430321212</t>
  </si>
  <si>
    <t>0,39*1,3+0,44*1,3*5+0,76*1,3 "vnitřní schodiště</t>
  </si>
  <si>
    <t>430361821</t>
  </si>
  <si>
    <t>Výztuž schodišťových konstrukcí a ramp stupňů, schodnic, ramen, podest s nosníky z betonářské oceli 10 505 (R) nebo BSt 500</t>
  </si>
  <si>
    <t>-738466437</t>
  </si>
  <si>
    <t>https://podminky.urs.cz/item/CS_URS_2022_02/430361821</t>
  </si>
  <si>
    <t>procento vyztužení 150 kg/m3</t>
  </si>
  <si>
    <t>(0,39*1,3+0,44*1,3*5+0,76*1,3)*150/1000 "vnitřní schodiště</t>
  </si>
  <si>
    <t>434351141</t>
  </si>
  <si>
    <t>Bednění stupňů betonovaných na podstupňové desce nebo na terénu půdorysně přímočarých zřízení</t>
  </si>
  <si>
    <t>1281479870</t>
  </si>
  <si>
    <t>https://podminky.urs.cz/item/CS_URS_2022_02/434351141</t>
  </si>
  <si>
    <t>0,186*1,3*10+0,186*1,3*11*5+0,186*1,3*12 "vnitřní schodiště</t>
  </si>
  <si>
    <t>434351142</t>
  </si>
  <si>
    <t>Bednění stupňů betonovaných na podstupňové desce nebo na terénu půdorysně přímočarých odstranění</t>
  </si>
  <si>
    <t>950049948</t>
  </si>
  <si>
    <t>https://podminky.urs.cz/item/CS_URS_2022_02/434351142</t>
  </si>
  <si>
    <t>Komunikace pozemní</t>
  </si>
  <si>
    <t>564760001</t>
  </si>
  <si>
    <t>Podklad nebo kryt z kameniva hrubého drceného vel. 8-16 mm s rozprostřením a zhutněním plochy jednotlivě do 100 m2, po zhutnění tl. 200 mm</t>
  </si>
  <si>
    <t>433122331</t>
  </si>
  <si>
    <t>https://podminky.urs.cz/item/CS_URS_2022_02/564760001</t>
  </si>
  <si>
    <t>1 "pod zpětné položení původní zámkové dlažby vybrané v prostoru schodiště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</si>
  <si>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</si>
  <si>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</si>
  <si>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-1139450665</t>
  </si>
  <si>
    <t>https://podminky.urs.cz/item/CS_URS_2022_02/596211110</t>
  </si>
  <si>
    <t>1 "zpětné doložení původní zámkové dlažby vybrané v prostoru schodiště</t>
  </si>
  <si>
    <t>59245015</t>
  </si>
  <si>
    <t>dlažba zámková tvaru I 200x165x60mm přírodní</t>
  </si>
  <si>
    <t>816963684</t>
  </si>
  <si>
    <t>1*1,1 'Přepočtené koeficientem množství</t>
  </si>
  <si>
    <t>Úpravy povrchů, podlahy a osazování výplní</t>
  </si>
  <si>
    <t>612131121</t>
  </si>
  <si>
    <t>Podkladní a spojovací vrstva vnitřních omítaných ploch penetrace disperzní nanášená ručně stěn</t>
  </si>
  <si>
    <t>1964756911</t>
  </si>
  <si>
    <t>https://podminky.urs.cz/item/CS_URS_2022_02/612131121</t>
  </si>
  <si>
    <t>(9,3+20,22+0,68+3,2+7,75)*3,8*2 "vnitřní stěna mezi chodbou a učebnami</t>
  </si>
  <si>
    <t>(3,15+3,15)*3,8 "vstupní stěna na WC</t>
  </si>
  <si>
    <t>2,6*17,9+25*2 "stěny únikové schodiště</t>
  </si>
  <si>
    <t>1,8*3,8*2 "u vystupu z únikového schodiště ve 4.NP</t>
  </si>
  <si>
    <t>(6+2,61+6)*15,1 "po otlučeni vnější omítku prortoru budoucího únikového schodiště</t>
  </si>
  <si>
    <t>612321141</t>
  </si>
  <si>
    <t>Omítka vápenocementová vnitřních ploch nanášená ručně dvouvrstvá, tloušťky jádrové omítky do 10 mm a tloušťky štuku do 3 mm štuková svislých konstrukcí stěn</t>
  </si>
  <si>
    <t>2036474811</t>
  </si>
  <si>
    <t>https://podminky.urs.cz/item/CS_URS_2022_02/612321141</t>
  </si>
  <si>
    <t>612325302</t>
  </si>
  <si>
    <t>Vápenocementová omítka ostění nebo nadpraží štuková</t>
  </si>
  <si>
    <t>-715350832</t>
  </si>
  <si>
    <t>https://podminky.urs.cz/item/CS_URS_2022_02/612325302</t>
  </si>
  <si>
    <t>(1,85+1,35*2)*(0,3+0,3) "okno v 4.NP štítová stěna</t>
  </si>
  <si>
    <t>612325419</t>
  </si>
  <si>
    <t>Oprava vápenocementové omítky vnitřních ploch hladké, tloušťky do 20 mm, s celoplošným přeštukováním, tloušťky štuku 3 mm stěn, v rozsahu opravované plochy přes 30 do 50%</t>
  </si>
  <si>
    <t>1376443737</t>
  </si>
  <si>
    <t>https://podminky.urs.cz/item/CS_URS_2022_02/612325419</t>
  </si>
  <si>
    <t>(6,9+2+2+3,5+6,5+6,4)*3,8+(4,51+9,3+5,9)*1,5 "oprava stávajících stěn</t>
  </si>
  <si>
    <t>619996117</t>
  </si>
  <si>
    <t>Ochrana stavebních konstrukcí a samostatných prvků včetně pozdějšího odstranění obedněním z OSB desek podlahy</t>
  </si>
  <si>
    <t>-1007061115</t>
  </si>
  <si>
    <t>https://podminky.urs.cz/item/CS_URS_2022_02/619996117</t>
  </si>
  <si>
    <t>590 "ochrana podlahy 3.NP</t>
  </si>
  <si>
    <t>619996145</t>
  </si>
  <si>
    <t>Ochrana stavebních konstrukcí a samostatných prvků včetně pozdějšího odstranění obalením geotextilií samostatných konstrukcí a prvků</t>
  </si>
  <si>
    <t>-816736085</t>
  </si>
  <si>
    <t>https://podminky.urs.cz/item/CS_URS_2022_02/619996145</t>
  </si>
  <si>
    <t>621211012</t>
  </si>
  <si>
    <t>Montáž kontaktního zateplení lepením a mechanickým kotvením z polystyrenových desek na vnější podhledy, na podklad z pórobetonu, tloušťky desek přes 40 do 80 mm</t>
  </si>
  <si>
    <t>2094206980</t>
  </si>
  <si>
    <t>https://podminky.urs.cz/item/CS_URS_2022_02/621211012</t>
  </si>
  <si>
    <t>1,5 "skladba R3</t>
  </si>
  <si>
    <t>28376442</t>
  </si>
  <si>
    <t>deska XPS hrana rovná a strukturovaný povrch 300kPa tl 80mm</t>
  </si>
  <si>
    <t>-916455519</t>
  </si>
  <si>
    <t>1,5*1,1 'Přepočtené koeficientem množství</t>
  </si>
  <si>
    <t>622131121</t>
  </si>
  <si>
    <t>Podkladní a spojovací vrstva vnějších omítaných ploch penetrace nanášená ručně stěn</t>
  </si>
  <si>
    <t>825279477</t>
  </si>
  <si>
    <t>https://podminky.urs.cz/item/CS_URS_2022_02/622131121</t>
  </si>
  <si>
    <t>622142001</t>
  </si>
  <si>
    <t>Potažení vnějších ploch pletivem v ploše nebo pruzích, na plném podkladu sklovláknitým vtlačením do tmelu stěn</t>
  </si>
  <si>
    <t>-1334795828</t>
  </si>
  <si>
    <t>https://podminky.urs.cz/item/CS_URS_2022_02/622142001</t>
  </si>
  <si>
    <t>((1,2+2,4*2)*3+(1,2+2,1*2))*0,3 "ostění únikové schodiště</t>
  </si>
  <si>
    <t>1,2*3*0,3 "parapet únikové schodiště</t>
  </si>
  <si>
    <t>622151011</t>
  </si>
  <si>
    <t>Penetrační nátěr vnějších pastovitých tenkovrstvých omítek silikátový paropropustný stěn</t>
  </si>
  <si>
    <t>1584211964</t>
  </si>
  <si>
    <t>https://podminky.urs.cz/item/CS_URS_2022_02/622151011</t>
  </si>
  <si>
    <t>622221021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</si>
  <si>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80 do 120 mm</t>
  </si>
  <si>
    <t>856507813</t>
  </si>
  <si>
    <t>https://podminky.urs.cz/item/CS_URS_2022_02/622221021</t>
  </si>
  <si>
    <t>63152264</t>
  </si>
  <si>
    <t>deska tepelně izolační minerální kontaktních fasád podélné vlákno λ=0,034 tl 120mm</t>
  </si>
  <si>
    <t>-1169164652</t>
  </si>
  <si>
    <t>85,38*1,05 'Přepočtené koeficientem množství</t>
  </si>
  <si>
    <t>622212051</t>
  </si>
  <si>
    <t>Montáž kontaktního zateplení vnějšího ostění, nadpraží nebo parapetu lepením z polystyrenových desek hloubky špalet přes 200 do 400 mm, tloušťky desek do 40 mm</t>
  </si>
  <si>
    <t>-1554358689</t>
  </si>
  <si>
    <t>https://podminky.urs.cz/item/CS_URS_2022_02/622212051</t>
  </si>
  <si>
    <t>(1,2+2,4*2)*3+(1,2+2,1*2) "ostění únikové schodiště</t>
  </si>
  <si>
    <t>1,2*3 "parapet únikové schodiště</t>
  </si>
  <si>
    <t>28375932</t>
  </si>
  <si>
    <t>deska EPS 70 fasádní λ=0,039 tl 40mm</t>
  </si>
  <si>
    <t>-2124590950</t>
  </si>
  <si>
    <t>7,02*1,1 'Přepočtené koeficientem množství</t>
  </si>
  <si>
    <t>28376439</t>
  </si>
  <si>
    <t>deska XPS hrana rovná a strukturovaný povrch 250kPa tl 40mm</t>
  </si>
  <si>
    <t>2063725904</t>
  </si>
  <si>
    <t>1,08*1,1 'Přepočtené koeficientem množství</t>
  </si>
  <si>
    <t>622252001</t>
  </si>
  <si>
    <t>Montáž profilů kontaktního zateplení zakládacích soklových připevněných hmoždinkami</t>
  </si>
  <si>
    <t>-350565556</t>
  </si>
  <si>
    <t>https://podminky.urs.cz/item/CS_URS_2022_02/622252001</t>
  </si>
  <si>
    <t>2,6-1,2+10+10</t>
  </si>
  <si>
    <t>59051649</t>
  </si>
  <si>
    <t>profil zakládací Al tl 0,7mm pro ETICS pro izolant tl 120mm</t>
  </si>
  <si>
    <t>1841433325</t>
  </si>
  <si>
    <t>21,4*1,05 'Přepočtené koeficientem množství</t>
  </si>
  <si>
    <t>622252002</t>
  </si>
  <si>
    <t>Montáž profilů kontaktního zateplení ostatních stěnových, dilatačních apod. lepených do tmelu</t>
  </si>
  <si>
    <t>251737411</t>
  </si>
  <si>
    <t>https://podminky.urs.cz/item/CS_URS_2022_02/622252002</t>
  </si>
  <si>
    <t>18,3+18,3+(1,2+2,4*2)*3+(1,2+2,1*2) "rohové lišty</t>
  </si>
  <si>
    <t>(1,2+2,4*2)*3+(1,2+2,1*2) "APU lišty</t>
  </si>
  <si>
    <t>59051486</t>
  </si>
  <si>
    <t>profil rohový PVC 15x15mm s výztužnou tkaninou š 100mm pro ETICS</t>
  </si>
  <si>
    <t>-1333986968</t>
  </si>
  <si>
    <t>60*1,05 'Přepočtené koeficientem množství</t>
  </si>
  <si>
    <t>59051476</t>
  </si>
  <si>
    <t>profil začišťovací PVC 9mm s výztužnou tkaninou pro ostění ETICS</t>
  </si>
  <si>
    <t>1745263839</t>
  </si>
  <si>
    <t>23,4*1,05 'Přepočtené koeficientem množství</t>
  </si>
  <si>
    <t>622326359</t>
  </si>
  <si>
    <t>Oprava vápenocementové omítky s celoplošným přeštukováním vnějších ploch stupně členitosti 2, v rozsahu opravované plochy přes 80 do 100%</t>
  </si>
  <si>
    <t>-1766876389</t>
  </si>
  <si>
    <t>https://podminky.urs.cz/item/CS_URS_2022_02/622326359</t>
  </si>
  <si>
    <t>622521012</t>
  </si>
  <si>
    <t>Omítka tenkovrstvá silikátová vnějších ploch probarvená bez penetrace zatíraná (škrábaná ), zrnitost 1,5 mm stěn</t>
  </si>
  <si>
    <t>2060394790</t>
  </si>
  <si>
    <t>https://podminky.urs.cz/item/CS_URS_2022_02/622521012</t>
  </si>
  <si>
    <t>629991011</t>
  </si>
  <si>
    <t>Zakrytí vnějších ploch před znečištěním včetně pozdějšího odkrytí výplní otvorů a svislých ploch fólií přilepenou lepící páskou</t>
  </si>
  <si>
    <t>354398133</t>
  </si>
  <si>
    <t>https://podminky.urs.cz/item/CS_URS_2022_02/629991011</t>
  </si>
  <si>
    <t>1,2*2,4*3+1,2*2,1 "okna schodišťová stěna</t>
  </si>
  <si>
    <t>631311113</t>
  </si>
  <si>
    <t>Mazanina z betonu prostého bez zvýšených nároků na prostředí tl. přes 50 do 80 mm tř. C 12/15</t>
  </si>
  <si>
    <t>-950844504</t>
  </si>
  <si>
    <t>https://podminky.urs.cz/item/CS_URS_2022_02/631311113</t>
  </si>
  <si>
    <t>(2,6*1,3*3+2,6*1,5*3)*0,08 "skladba P2a</t>
  </si>
  <si>
    <t>631311114</t>
  </si>
  <si>
    <t>Mazanina z betonu prostého bez zvýšených nároků na prostředí tl. přes 50 do 80 mm tř. C 16/20</t>
  </si>
  <si>
    <t>1378634149</t>
  </si>
  <si>
    <t>https://podminky.urs.cz/item/CS_URS_2022_02/631311114</t>
  </si>
  <si>
    <t>6*2,608*0,05 "skladba P2b</t>
  </si>
  <si>
    <t>631319011</t>
  </si>
  <si>
    <t>Příplatek k cenám mazanin za úpravu povrchu mazaniny přehlazením, mazanina tl. přes 50 do 80 mm</t>
  </si>
  <si>
    <t>115774492</t>
  </si>
  <si>
    <t>https://podminky.urs.cz/item/CS_URS_2022_02/631319011</t>
  </si>
  <si>
    <t>631319171</t>
  </si>
  <si>
    <t>Příplatek k cenám mazanin za stržení povrchu spodní vrstvy mazaniny latí před vložením výztuže nebo pletiva pro tl. obou vrstev mazaniny přes 50 do 80 mm</t>
  </si>
  <si>
    <t>-1708487518</t>
  </si>
  <si>
    <t>https://podminky.urs.cz/item/CS_URS_2022_02/631319171</t>
  </si>
  <si>
    <t>631362021</t>
  </si>
  <si>
    <t>Výztuž mazanin ze svařovaných sítí z drátů typu KARI</t>
  </si>
  <si>
    <t>2117990082</t>
  </si>
  <si>
    <t>https://podminky.urs.cz/item/CS_URS_2022_02/631362021</t>
  </si>
  <si>
    <t>6*2,608*0,05*90/1000 "skladba P2b</t>
  </si>
  <si>
    <t>(2,6*1,3*3+2,6*1,5*3)*0,08*90/1000 "skladba P2a</t>
  </si>
  <si>
    <t>634112113</t>
  </si>
  <si>
    <t>Obvodová dilatace mezi stěnou a mazaninou nebo potěrem podlahovým páskem z pěnového PE tl. do 10 mm, výšky 80 mm</t>
  </si>
  <si>
    <t>-1148224805</t>
  </si>
  <si>
    <t>https://podminky.urs.cz/item/CS_URS_2022_02/634112113</t>
  </si>
  <si>
    <t>6*2+2,608*2 "skladba P2b</t>
  </si>
  <si>
    <t>(2,6+1,3*2)*3+(2,6+1,5*2)*3 "skladba P2a</t>
  </si>
  <si>
    <t>642945111</t>
  </si>
  <si>
    <t>Osazování ocelových zárubní protipožárních nebo protiplynových dveří do vynechaného otvoru, s obetonováním, dveří jednokřídlových do 2,5 m2</t>
  </si>
  <si>
    <t>-124751126</t>
  </si>
  <si>
    <t>https://podminky.urs.cz/item/CS_URS_2022_02/642945111</t>
  </si>
  <si>
    <t>10 "900/1970</t>
  </si>
  <si>
    <t>1 "1000/1970</t>
  </si>
  <si>
    <t>55331443</t>
  </si>
  <si>
    <t>zárubeň jednokřídlá ocelová pro dodatečnou montáž tl stěny 160-200mm rozměru 900/1970, 2100mm</t>
  </si>
  <si>
    <t>-432554921</t>
  </si>
  <si>
    <t>4 "900/1970</t>
  </si>
  <si>
    <t>55331433</t>
  </si>
  <si>
    <t>zárubeň jednokřídlá ocelová pro dodatečnou montáž tl stěny 75-100mm rozměru 900/1970, 2100mm</t>
  </si>
  <si>
    <t>-659293143</t>
  </si>
  <si>
    <t>55331453</t>
  </si>
  <si>
    <t>zárubeň jednokřídlá ocelová pro dodatečnou montáž tl stěny 260-300mm rozměru 900/1970, 2100mm</t>
  </si>
  <si>
    <t>349990041</t>
  </si>
  <si>
    <t>2 "900/1970</t>
  </si>
  <si>
    <t>5533145x</t>
  </si>
  <si>
    <t>zárubeň jednokřídlá ocelová pro dodatečnou montáž tl stěny 260-300mm rozměru 1000/1970, 2100mm</t>
  </si>
  <si>
    <t>258827028</t>
  </si>
  <si>
    <t>941211111</t>
  </si>
  <si>
    <t>Montáž lešení řadového rámového lehkého pracovního s podlahami s provozním zatížením tř. 3 do 200 kg/m2 šířky tř. SW06 od 0,6 do 0,9 m, výšky do 10 m</t>
  </si>
  <si>
    <t>-1022570153</t>
  </si>
  <si>
    <t>https://podminky.urs.cz/item/CS_URS_2022_02/941211111</t>
  </si>
  <si>
    <t>(12+20+40+22+12+15+6+6)*2 "po obvodu objektu</t>
  </si>
  <si>
    <t>941211112</t>
  </si>
  <si>
    <t>Montáž lešení řadového rámového lehkého pracovního s podlahami s provozním zatížením tř. 3 do 200 kg/m2 šířky tř. SW06 od 0,6 do 0,9 m, výšky přes 10 do 25 m</t>
  </si>
  <si>
    <t>-1481609071</t>
  </si>
  <si>
    <t>https://podminky.urs.cz/item/CS_URS_2022_02/941211112</t>
  </si>
  <si>
    <t>4*20+10*2 "stěna schodiště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</si>
  <si>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</si>
  <si>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</si>
  <si>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-1800288325</t>
  </si>
  <si>
    <t>https://podminky.urs.cz/item/CS_URS_2022_02/941211211</t>
  </si>
  <si>
    <t>(4*20+10*2)*60 "stěna schodiště</t>
  </si>
  <si>
    <t>(12+20+40+22+12+15+6+6)*2*150 "po obvodu objektu</t>
  </si>
  <si>
    <t>941211811</t>
  </si>
  <si>
    <t>Demontáž lešení řadového rámového lehkého pracovního s provozním zatížením tř. 3 do 200 kg/m2 šířky tř. SW06 od 0,6 do 0,9 m, výšky do 10 m</t>
  </si>
  <si>
    <t>-854458262</t>
  </si>
  <si>
    <t>https://podminky.urs.cz/item/CS_URS_2022_02/941211811</t>
  </si>
  <si>
    <t>941211812</t>
  </si>
  <si>
    <t>Demontáž lešení řadového rámového lehkého pracovního s provozním zatížením tř. 3 do 200 kg/m2 šířky tř. SW06 od 0,6 do 0,9 m, výšky přes 10 do 25 m</t>
  </si>
  <si>
    <t>-1925732689</t>
  </si>
  <si>
    <t>https://podminky.urs.cz/item/CS_URS_2022_02/941211812</t>
  </si>
  <si>
    <t>942322111</t>
  </si>
  <si>
    <t>Montáž konzol pro založení lešení osazených na stěně lehkých s jednou úrovní pracovní podlahy šířky tř. SW06 přes 0,6 do 0,9 m s možností přitížení lešením výšky do 10 m</t>
  </si>
  <si>
    <t>-850488164</t>
  </si>
  <si>
    <t>https://podminky.urs.cz/item/CS_URS_2022_02/942322111</t>
  </si>
  <si>
    <t>12+20+40+22+12+15+6+6 "po obvodu objektu</t>
  </si>
  <si>
    <t>942322211</t>
  </si>
  <si>
    <t>Montáž konzol pro založení lešení Příplatek za první a každý další den použití lešení k ceně -2111</t>
  </si>
  <si>
    <t>-1821315336</t>
  </si>
  <si>
    <t>https://podminky.urs.cz/item/CS_URS_2022_02/942322211</t>
  </si>
  <si>
    <t>133*150 'Přepočtené koeficientem množství</t>
  </si>
  <si>
    <t>942322811</t>
  </si>
  <si>
    <t>Demontáž konzol pro založení lešení osazených na stěně lehkých s jednou úrovní pracovní podlahy šířky tř. SW06 přes 0,6 do 0,9 m s možností přitížení lešením výšky do 10 m</t>
  </si>
  <si>
    <t>1231908790</t>
  </si>
  <si>
    <t>https://podminky.urs.cz/item/CS_URS_2022_02/942322811</t>
  </si>
  <si>
    <t>945421112</t>
  </si>
  <si>
    <t>Hydraulická zvedací plošina včetně obsluhy instalovaná na automobilovém podvozku, výšky zdvihu do 34 m</t>
  </si>
  <si>
    <t>hod</t>
  </si>
  <si>
    <t>-1553092647</t>
  </si>
  <si>
    <t>https://podminky.urs.cz/item/CS_URS_2022_02/945421112</t>
  </si>
  <si>
    <t>150 "pro opravné práce na fasádě a při montáži okapové hrany střechy</t>
  </si>
  <si>
    <t>79</t>
  </si>
  <si>
    <t>949101112</t>
  </si>
  <si>
    <t>Lešení pomocné pracovní pro objekty pozemních staveb pro zatížení do 150 kg/m2, o výšce lešeňové podlahy přes 1,9 do 3,5 m</t>
  </si>
  <si>
    <t>1742905609</t>
  </si>
  <si>
    <t>https://podminky.urs.cz/item/CS_URS_2022_02/949101112</t>
  </si>
  <si>
    <t>92+8,98+9,14+4,14+1,62+19,95+17,25+54,42+55,34+59,42+43,34+65,08+30,83+14,87+4,87 "plocha 4.NP</t>
  </si>
  <si>
    <t>80</t>
  </si>
  <si>
    <t>952901111</t>
  </si>
  <si>
    <t>Vyčištění budov nebo objektů před předáním do užívání budov bytové nebo občanské výstavby, světlé výšky podlaží do 4 m</t>
  </si>
  <si>
    <t>-1549422170</t>
  </si>
  <si>
    <t>https://podminky.urs.cz/item/CS_URS_2022_02/952901111</t>
  </si>
  <si>
    <t>81</t>
  </si>
  <si>
    <t>953961114</t>
  </si>
  <si>
    <t>Kotvy chemické s vyvrtáním otvoru do betonu, železobetonu nebo tvrdého kamene tmel, velikost M 16, hloubka 125 mm</t>
  </si>
  <si>
    <t>-1717254958</t>
  </si>
  <si>
    <t>https://podminky.urs.cz/item/CS_URS_2022_02/953961114</t>
  </si>
  <si>
    <t>25*2 "patky ocelové konstrukce</t>
  </si>
  <si>
    <t>82</t>
  </si>
  <si>
    <t>953965133</t>
  </si>
  <si>
    <t>Kotvy chemické s vyvrtáním otvoru kotevní šrouby pro chemické kotvy, velikost M 16, délka 300 mm</t>
  </si>
  <si>
    <t>-1649899472</t>
  </si>
  <si>
    <t>https://podminky.urs.cz/item/CS_URS_2022_02/953965133</t>
  </si>
  <si>
    <t>83</t>
  </si>
  <si>
    <t>973031325</t>
  </si>
  <si>
    <t>Vysekání výklenků nebo kapes ve zdivu z cihel na maltu vápennou nebo vápenocementovou kapes, plochy do 0,10 m2, hl. do 300 mm</t>
  </si>
  <si>
    <t>1342912891</t>
  </si>
  <si>
    <t>https://podminky.urs.cz/item/CS_URS_2022_02/973031325</t>
  </si>
  <si>
    <t>11*4+10*4+22*4+14*4+22*4+11*2+10*4 "pro vložení STEICO příložek</t>
  </si>
  <si>
    <t>84</t>
  </si>
  <si>
    <t>9-spec.01</t>
  </si>
  <si>
    <t>Ochranná konstrukce nad hlavním vstupem do objektu po dobu stavebních prací vč. demontáže</t>
  </si>
  <si>
    <t>936107364</t>
  </si>
  <si>
    <t>85</t>
  </si>
  <si>
    <t>284254817</t>
  </si>
  <si>
    <t>86</t>
  </si>
  <si>
    <t>-2009726248</t>
  </si>
  <si>
    <t>87</t>
  </si>
  <si>
    <t>1679363224</t>
  </si>
  <si>
    <t>24,698*19 'Přepočtené koeficientem množství</t>
  </si>
  <si>
    <t>88</t>
  </si>
  <si>
    <t>-1006231082</t>
  </si>
  <si>
    <t>998</t>
  </si>
  <si>
    <t>Přesun hmot</t>
  </si>
  <si>
    <t>89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</si>
  <si>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</si>
  <si>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</si>
  <si>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-1118900591</t>
  </si>
  <si>
    <t>https://podminky.urs.cz/item/CS_URS_2022_02/998017003</t>
  </si>
  <si>
    <t>711</t>
  </si>
  <si>
    <t>Izolace proti vodě, vlhkosti a plynům</t>
  </si>
  <si>
    <t>90</t>
  </si>
  <si>
    <t>711111002</t>
  </si>
  <si>
    <t>Provedení izolace proti zemní vlhkosti natěradly a tmely za studena na ploše vodorovné V nátěrem lakem asfaltovým</t>
  </si>
  <si>
    <t>-592600599</t>
  </si>
  <si>
    <t>https://podminky.urs.cz/item/CS_URS_2022_02/711111002</t>
  </si>
  <si>
    <t>91</t>
  </si>
  <si>
    <t>11163152</t>
  </si>
  <si>
    <t>lak hydroizolační asfaltový</t>
  </si>
  <si>
    <t>-342685560</t>
  </si>
  <si>
    <t>15,648*0,00039 'Přepočtené koeficientem množství</t>
  </si>
  <si>
    <t>92</t>
  </si>
  <si>
    <t>711141559</t>
  </si>
  <si>
    <t>Provedení izolace proti zemní vlhkosti pásy přitavením NAIP na ploše vodorovné V</t>
  </si>
  <si>
    <t>167342497</t>
  </si>
  <si>
    <t>https://podminky.urs.cz/item/CS_URS_2022_02/711141559</t>
  </si>
  <si>
    <t>93</t>
  </si>
  <si>
    <t>62853004</t>
  </si>
  <si>
    <t>pás asfaltový natavitelný modifikovaný SBS tl 4,0mm s vložkou ze skleněné tkaniny a spalitelnou PE fólií nebo jemnozrnným minerálním posypem na horním povrchu</t>
  </si>
  <si>
    <t>-764122183</t>
  </si>
  <si>
    <t>15,648*1,1655 'Přepočtené koeficientem množství</t>
  </si>
  <si>
    <t>94</t>
  </si>
  <si>
    <t>998711203</t>
  </si>
  <si>
    <t>Přesun hmot pro izolace proti vodě, vlhkosti a plynům stanovený procentní sazbou (%) z ceny vodorovná dopravní vzdálenost do 50 m v objektech výšky přes 12 do 60 m</t>
  </si>
  <si>
    <t>-1948502682</t>
  </si>
  <si>
    <t>https://podminky.urs.cz/item/CS_URS_2022_02/998711203</t>
  </si>
  <si>
    <t>713</t>
  </si>
  <si>
    <t>Izolace tepelné</t>
  </si>
  <si>
    <t>95</t>
  </si>
  <si>
    <t>713121111</t>
  </si>
  <si>
    <t>Montáž tepelné izolace podlah rohožemi, pásy, deskami, dílci, bloky (izolační materiál ve specifikaci) kladenými volně jednovrstvá</t>
  </si>
  <si>
    <t>-1831978910</t>
  </si>
  <si>
    <t>https://podminky.urs.cz/item/CS_URS_2022_02/713121111</t>
  </si>
  <si>
    <t>96</t>
  </si>
  <si>
    <t>28376463</t>
  </si>
  <si>
    <t>deska XPS hrana polodrážková a hladký povrch 700kPa tl 80mm</t>
  </si>
  <si>
    <t>580494806</t>
  </si>
  <si>
    <t>15,648*1,05 'Přepočtené koeficientem množství</t>
  </si>
  <si>
    <t>97</t>
  </si>
  <si>
    <t>713121121</t>
  </si>
  <si>
    <t>Montáž tepelné izolace podlah rohožemi, pásy, deskami, dílci, bloky (izolační materiál ve specifikaci) kladenými volně dvouvrstvá</t>
  </si>
  <si>
    <t>-300155903</t>
  </si>
  <si>
    <t>https://podminky.urs.cz/item/CS_URS_2022_02/713121121</t>
  </si>
  <si>
    <t>543,4 "podlaha 4.NP</t>
  </si>
  <si>
    <t>98</t>
  </si>
  <si>
    <t>28372303</t>
  </si>
  <si>
    <t>deska EPS 100 pro konstrukce s běžným zatížením λ=0,037 tl 40mm</t>
  </si>
  <si>
    <t>-1252179268</t>
  </si>
  <si>
    <t>543,4*1,1 'Přepočtené koeficientem množství</t>
  </si>
  <si>
    <t>99</t>
  </si>
  <si>
    <t>28376558</t>
  </si>
  <si>
    <t>deska polystyrénová pro snížení kročejového hluku (max. zatížení 6,5 kN/m2) tl 40mm</t>
  </si>
  <si>
    <t>-285853533</t>
  </si>
  <si>
    <t>100</t>
  </si>
  <si>
    <t>713121122</t>
  </si>
  <si>
    <t>Montáž tepelné izolace podlah rohožemi, pásy, deskami, dílci, bloky (izolační materiál ve specifikaci) kladenými volně dvouvrstvá mezi trámy nebo rošt</t>
  </si>
  <si>
    <t>-1488987465</t>
  </si>
  <si>
    <t>https://podminky.urs.cz/item/CS_URS_2022_02/713121122</t>
  </si>
  <si>
    <t>101</t>
  </si>
  <si>
    <t>63153706</t>
  </si>
  <si>
    <t>deska tepelně izolační minerální univerzální λ=0,036-0,037 tl 100mm</t>
  </si>
  <si>
    <t>720051215</t>
  </si>
  <si>
    <t>543,4*2,1 'Přepočtené koeficientem množství</t>
  </si>
  <si>
    <t>102</t>
  </si>
  <si>
    <t>713131141</t>
  </si>
  <si>
    <t>Montáž tepelné izolace stěn rohožemi, pásy, deskami, dílci, bloky (izolační materiál ve specifikaci) lepením celoplošně</t>
  </si>
  <si>
    <t>706725976</t>
  </si>
  <si>
    <t>https://podminky.urs.cz/item/CS_URS_2022_02/713131141</t>
  </si>
  <si>
    <t>2,6*1,8 "základy</t>
  </si>
  <si>
    <t>103</t>
  </si>
  <si>
    <t>28376441</t>
  </si>
  <si>
    <t>deska XPS hrana rovná a strukturovaný povrch 300kPa tl 60mm</t>
  </si>
  <si>
    <t>724928405</t>
  </si>
  <si>
    <t>4,68*1,1 'Přepočtené koeficientem množství</t>
  </si>
  <si>
    <t>104</t>
  </si>
  <si>
    <t>713151111</t>
  </si>
  <si>
    <t>Montáž tepelné izolace střech šikmých rohožemi, pásy, deskami (izolační materiál ve specifikaci) kladenými volně mezi krokve</t>
  </si>
  <si>
    <t>-1488999933</t>
  </si>
  <si>
    <t>https://podminky.urs.cz/item/CS_URS_2022_02/713151111</t>
  </si>
  <si>
    <t>790 "skladba S1 - isover tl. 160 mm mezi dřevěné trámy</t>
  </si>
  <si>
    <t>790 "skladba S1 - isover tl. 160 mm mezi ocelové rámy</t>
  </si>
  <si>
    <t>790 "skladba S1 - isover tl. 180 mm mezi ocelové rámy</t>
  </si>
  <si>
    <t>47 "skladba S2 - isover tl. 160 mm</t>
  </si>
  <si>
    <t>47 "skladba S2 - isover tl. 180 mm</t>
  </si>
  <si>
    <t>29 "skladba S3 - isover tl. 160 mm</t>
  </si>
  <si>
    <t>29 "skladba S3 - isover tl. 180 mm</t>
  </si>
  <si>
    <t>105</t>
  </si>
  <si>
    <t>63152104</t>
  </si>
  <si>
    <t>pás tepelně izolační univerzální λ=0,032-0,033 tl 160mm</t>
  </si>
  <si>
    <t>-2066137925</t>
  </si>
  <si>
    <t>1656*1,1 'Přepočtené koeficientem množství</t>
  </si>
  <si>
    <t>106</t>
  </si>
  <si>
    <t>63152106</t>
  </si>
  <si>
    <t>pás tepelně izolační univerzální λ=0,032-0,033 tl 180mm</t>
  </si>
  <si>
    <t>99586031</t>
  </si>
  <si>
    <t>866*1,1 'Přepočtené koeficientem množství</t>
  </si>
  <si>
    <t>107</t>
  </si>
  <si>
    <t>713191132</t>
  </si>
  <si>
    <t>Montáž tepelné izolace stavebních konstrukcí - doplňky a konstrukční součásti podlah, stropů vrchem nebo střech překrytím fólií separační z PE</t>
  </si>
  <si>
    <t>-424692183</t>
  </si>
  <si>
    <t>https://podminky.urs.cz/item/CS_URS_2022_02/713191132</t>
  </si>
  <si>
    <t>543,4*2 "podhala 4.NP</t>
  </si>
  <si>
    <t>108</t>
  </si>
  <si>
    <t>28329041</t>
  </si>
  <si>
    <t>fólie PE separační či ochranná tl 0,1mm</t>
  </si>
  <si>
    <t>-1198206908</t>
  </si>
  <si>
    <t>1102,448*1,1655 'Přepočtené koeficientem množství</t>
  </si>
  <si>
    <t>109</t>
  </si>
  <si>
    <t>998713203</t>
  </si>
  <si>
    <t>Přesun hmot pro izolace tepelné stanovený procentní sazbou (%) z ceny vodorovná dopravní vzdálenost do 50 m v objektech výšky přes 12 do 24 m</t>
  </si>
  <si>
    <t>1548401668</t>
  </si>
  <si>
    <t>https://podminky.urs.cz/item/CS_URS_2022_02/998713203</t>
  </si>
  <si>
    <t>110</t>
  </si>
  <si>
    <t>Zdravotechnika (viz.samostatný rozpočet)</t>
  </si>
  <si>
    <t>77632684</t>
  </si>
  <si>
    <t>111</t>
  </si>
  <si>
    <t>720-spec.02</t>
  </si>
  <si>
    <t>Plyn (viz.samostatný rozpočet)</t>
  </si>
  <si>
    <t>1412520362</t>
  </si>
  <si>
    <t>112</t>
  </si>
  <si>
    <t>720-spec.03</t>
  </si>
  <si>
    <t>Stavební přípomoce a koordinace</t>
  </si>
  <si>
    <t>26212182</t>
  </si>
  <si>
    <t>113</t>
  </si>
  <si>
    <t>Ústřední vytápění (viz.samostatný rozpočet)</t>
  </si>
  <si>
    <t>-707019527</t>
  </si>
  <si>
    <t>114</t>
  </si>
  <si>
    <t>730-spec.02</t>
  </si>
  <si>
    <t>822558949</t>
  </si>
  <si>
    <t>Elektroinstalace</t>
  </si>
  <si>
    <t>115</t>
  </si>
  <si>
    <t>Elektroinstalace - silnoproud (viz.samostatný rozpočet)</t>
  </si>
  <si>
    <t>-1899900922</t>
  </si>
  <si>
    <t>116</t>
  </si>
  <si>
    <t>Elektroinstalace - slaboproud</t>
  </si>
  <si>
    <t>681467552</t>
  </si>
  <si>
    <t>117</t>
  </si>
  <si>
    <t>741-spec.03</t>
  </si>
  <si>
    <t>-594022364</t>
  </si>
  <si>
    <t>118</t>
  </si>
  <si>
    <t>751-spec.01</t>
  </si>
  <si>
    <t>Vzduchotechnika (viz.samostatný rozpočet)</t>
  </si>
  <si>
    <t>1372378410</t>
  </si>
  <si>
    <t>119</t>
  </si>
  <si>
    <t>751-spec.02</t>
  </si>
  <si>
    <t>48414005</t>
  </si>
  <si>
    <t>120</t>
  </si>
  <si>
    <t>762081150</t>
  </si>
  <si>
    <t>Hoblování hraněného řeziva přímo na staveništi ve staveništní dílně</t>
  </si>
  <si>
    <t>1383860218</t>
  </si>
  <si>
    <t>https://podminky.urs.cz/item/CS_URS_2022_02/762081150</t>
  </si>
  <si>
    <t>924,2*0,12*0,16 "krokve A - H rozměr 120/160</t>
  </si>
  <si>
    <t>246*0,14*0,14 "pozednice a mezilehla vaznice rozměr 140/160</t>
  </si>
  <si>
    <t>54,4*0,16*0,16 "vrcholová vaznice 160/160</t>
  </si>
  <si>
    <t>128,4*0,2*0,16 "nárožní krokve a úžlabí rozměr 200/160</t>
  </si>
  <si>
    <t>121</t>
  </si>
  <si>
    <t>762083121</t>
  </si>
  <si>
    <t>Impregnace řeziva máčením proti dřevokaznému hmyzu, houbám a plísním, třída ohrožení 1 a 2 (dřevo v interiéru)</t>
  </si>
  <si>
    <t>-1110122906</t>
  </si>
  <si>
    <t>https://podminky.urs.cz/item/CS_URS_2022_02/762083121</t>
  </si>
  <si>
    <t>740*0,04*0,14 "KVH hranol rozměr 40/140</t>
  </si>
  <si>
    <t>122</t>
  </si>
  <si>
    <t>762332542</t>
  </si>
  <si>
    <t>Montáž vázaných konstrukcí krovů střech pultových, sedlových, valbových, stanových čtvercového nebo obdélníkového půdorysu z řeziva hoblovaného s použitím ocelových spojek (spojky ve specifikaci) průřezové plochy přes 120 do 224 cm2</t>
  </si>
  <si>
    <t>-991861846</t>
  </si>
  <si>
    <t>https://podminky.urs.cz/item/CS_URS_2022_02/762332542</t>
  </si>
  <si>
    <t>924,2 "krokve A - H rozměr 120/160</t>
  </si>
  <si>
    <t>246 "pozednice a mezilehla vaznice rozměr 140/160</t>
  </si>
  <si>
    <t>123</t>
  </si>
  <si>
    <t>60512131</t>
  </si>
  <si>
    <t>hranol stavební řezivo průřezu do 224cm2 dl 6-8m</t>
  </si>
  <si>
    <t>657552596</t>
  </si>
  <si>
    <t>22,567*1,1 'Přepočtené koeficientem množství</t>
  </si>
  <si>
    <t>124</t>
  </si>
  <si>
    <t>762332543</t>
  </si>
  <si>
    <t>Montáž vázaných konstrukcí krovů střech pultových, sedlových, valbových, stanových čtvercového nebo obdélníkového půdorysu z řeziva hoblovaného s použitím ocelových spojek (spojky ve specifikaci) průřezové plochy přes 224 do 288 cm2</t>
  </si>
  <si>
    <t>1682561346</t>
  </si>
  <si>
    <t>https://podminky.urs.cz/item/CS_URS_2022_02/762332543</t>
  </si>
  <si>
    <t>54,4 "vrcholová vaznice 160/160</t>
  </si>
  <si>
    <t>125</t>
  </si>
  <si>
    <t>60512137</t>
  </si>
  <si>
    <t>hranol stavební řezivo průřezu do 288cm2 přes dl 8m</t>
  </si>
  <si>
    <t>1539015522</t>
  </si>
  <si>
    <t>1,393*1,1 'Přepočtené koeficientem množství</t>
  </si>
  <si>
    <t>126</t>
  </si>
  <si>
    <t>762332544</t>
  </si>
  <si>
    <t>Montáž vázaných konstrukcí krovů střech pultových, sedlových, valbových, stanových čtvercového nebo obdélníkového půdorysu z řeziva hoblovaného s použitím ocelových spojek (spojky ve specifikaci) průřezové plochy přes 288 do 450 cm2</t>
  </si>
  <si>
    <t>-194486373</t>
  </si>
  <si>
    <t>https://podminky.urs.cz/item/CS_URS_2022_02/762332544</t>
  </si>
  <si>
    <t>128,4 "nárožní krokve a úžlabí rozměr 200/160</t>
  </si>
  <si>
    <t>127</t>
  </si>
  <si>
    <t>60512142</t>
  </si>
  <si>
    <t>hranol stavební řezivo průřezu do 450cm2 přes dl 8m</t>
  </si>
  <si>
    <t>-1870348715</t>
  </si>
  <si>
    <t>4,109*1,1 'Přepočtené koeficientem množství</t>
  </si>
  <si>
    <t>128</t>
  </si>
  <si>
    <t>762332641</t>
  </si>
  <si>
    <t>Montáž vázaných konstrukcí krovů střech pultových, sedlových, valbových, stanových čtvercového nebo obdélníkového půdorysu z lepených hranolů s použitím ocelových spojek (spojky ve specifikaci) průřezové plochy do 120 cm2</t>
  </si>
  <si>
    <t>219802778</t>
  </si>
  <si>
    <t>https://podminky.urs.cz/item/CS_URS_2022_02/762332641</t>
  </si>
  <si>
    <t>740 "KVH hranol rozměr 40/140</t>
  </si>
  <si>
    <t>129</t>
  </si>
  <si>
    <t>61223267</t>
  </si>
  <si>
    <t>hranol konstrukční KVH lepený průřezu 40x80-280mm pohledový</t>
  </si>
  <si>
    <t>469950326</t>
  </si>
  <si>
    <t>4,144*1,1 'Přepočtené koeficientem množství</t>
  </si>
  <si>
    <t>130</t>
  </si>
  <si>
    <t>762332645</t>
  </si>
  <si>
    <t>Montáž vázaných konstrukcí krovů střech pultových, sedlových, valbových, stanových čtvercového nebo obdélníkového půdorysu z lepených hranolů s použitím ocelových spojek (spojky ve specifikaci) průřezové plochy přes 450 cm2</t>
  </si>
  <si>
    <t>1365809895</t>
  </si>
  <si>
    <t>https://podminky.urs.cz/item/CS_URS_2022_02/762332645</t>
  </si>
  <si>
    <t>650 "pomocná konstrukce do skladby S1</t>
  </si>
  <si>
    <t>131</t>
  </si>
  <si>
    <t>61223260</t>
  </si>
  <si>
    <t>hranol konstrukční KVH lepený průřezu 40x60-280mm nepohledový</t>
  </si>
  <si>
    <t>871907013</t>
  </si>
  <si>
    <t>650*0,04*0,14 "pomocná konstrukce do skladby S1</t>
  </si>
  <si>
    <t>3,64*1,1 'Přepočtené koeficientem množství</t>
  </si>
  <si>
    <t>132</t>
  </si>
  <si>
    <t>762341042</t>
  </si>
  <si>
    <t>Bednění střech střech rovných sklonu do 60° s vyřezáním otvorů z dřevoštěpkových desek OSB šroubovaných na rošt na pero a drážku, tloušťky desky 12 mm</t>
  </si>
  <si>
    <t>1762997896</t>
  </si>
  <si>
    <t>https://podminky.urs.cz/item/CS_URS_2022_02/762341042</t>
  </si>
  <si>
    <t>(12+30+12+12)*(2,2*2) "skladba S4</t>
  </si>
  <si>
    <t>133</t>
  </si>
  <si>
    <t>762341270</t>
  </si>
  <si>
    <t>Montáž bednění střech rovných a šikmých sklonu do 60° s vyřezáním otvorů z desek dřevotřískových nebo dřevoštěpkových na sraz</t>
  </si>
  <si>
    <t>-602411518</t>
  </si>
  <si>
    <t>https://podminky.urs.cz/item/CS_URS_2022_02/762341270</t>
  </si>
  <si>
    <t>47 "skladba S2</t>
  </si>
  <si>
    <t>29 "skladba S3</t>
  </si>
  <si>
    <t>134</t>
  </si>
  <si>
    <t>60621149</t>
  </si>
  <si>
    <t>překližka vodovzdorná hladká/hladká bříza tl 21mm</t>
  </si>
  <si>
    <t>1113082264</t>
  </si>
  <si>
    <t>76*1,1 'Přepočtené koeficientem množství</t>
  </si>
  <si>
    <t>135</t>
  </si>
  <si>
    <t>762342214</t>
  </si>
  <si>
    <t>Montáž laťování střech jednoduchých sklonu do 60° při osové vzdálenosti latí přes 150 do 360 mm</t>
  </si>
  <si>
    <t>468727954</t>
  </si>
  <si>
    <t>https://podminky.urs.cz/item/CS_URS_2022_02/762342214</t>
  </si>
  <si>
    <t>790 "skladba S1</t>
  </si>
  <si>
    <t>136</t>
  </si>
  <si>
    <t>60514114</t>
  </si>
  <si>
    <t>řezivo jehličnaté lať impregnovaná dl 4 m</t>
  </si>
  <si>
    <t>-692855078</t>
  </si>
  <si>
    <t>790*4*0,04*0,06 "skladba S1</t>
  </si>
  <si>
    <t>7,584*1,1 'Přepočtené koeficientem množství</t>
  </si>
  <si>
    <t>137</t>
  </si>
  <si>
    <t>762342511</t>
  </si>
  <si>
    <t>Montáž laťování montáž kontralatí na podklad bez tepelné izolace</t>
  </si>
  <si>
    <t>-128059221</t>
  </si>
  <si>
    <t>https://podminky.urs.cz/item/CS_URS_2022_02/762342511</t>
  </si>
  <si>
    <t>138</t>
  </si>
  <si>
    <t>859064936</t>
  </si>
  <si>
    <t>924,2*0,04*0,06 "kontralatě</t>
  </si>
  <si>
    <t>2,218*1,1 'Přepočtené koeficientem množství</t>
  </si>
  <si>
    <t>139</t>
  </si>
  <si>
    <t>762395000</t>
  </si>
  <si>
    <t>Spojovací prostředky krovů, bednění a laťování, nadstřešních konstrukcí svory, prkna, hřebíky, pásová ocel, vruty</t>
  </si>
  <si>
    <t>769335287</t>
  </si>
  <si>
    <t>https://podminky.urs.cz/item/CS_URS_2022_02/762395000</t>
  </si>
  <si>
    <t>790*4*0,04*0,06 "skladba S1 latě</t>
  </si>
  <si>
    <t>47*0,021 "skladba S2</t>
  </si>
  <si>
    <t>29*0,021 "skladba S3</t>
  </si>
  <si>
    <t>(12+30+12+12)*(2,2*2)*0,012 "skladba S4</t>
  </si>
  <si>
    <t>140</t>
  </si>
  <si>
    <t>762511145</t>
  </si>
  <si>
    <t>Podlahové konstrukce podkladové z cementotřískových desek jednovrstvých šroubovaných na sraz 20 mm</t>
  </si>
  <si>
    <t>1227050799</t>
  </si>
  <si>
    <t>https://podminky.urs.cz/item/CS_URS_2022_02/762511145</t>
  </si>
  <si>
    <t>141</t>
  </si>
  <si>
    <t>762511277</t>
  </si>
  <si>
    <t>Podlahové konstrukce podkladové z dřevoštěpkových desek OSB jednovrstvých šroubovaných na pero a drážku broušených, tloušťky desky 25 mm</t>
  </si>
  <si>
    <t>1869113936</t>
  </si>
  <si>
    <t>https://podminky.urs.cz/item/CS_URS_2022_02/762511277</t>
  </si>
  <si>
    <t>142</t>
  </si>
  <si>
    <t>762511264</t>
  </si>
  <si>
    <t>Podlahové konstrukce podkladové z dřevoštěpkových desek OSB jednovrstvých šroubovaných na pero a drážku nebroušených, tloušťky desky 18 mm</t>
  </si>
  <si>
    <t>225593888</t>
  </si>
  <si>
    <t>https://podminky.urs.cz/item/CS_URS_2022_02/762511264</t>
  </si>
  <si>
    <t>(12+30+12+12)*2,7 "skladba P3</t>
  </si>
  <si>
    <t>143</t>
  </si>
  <si>
    <t>762512261</t>
  </si>
  <si>
    <t>Podlahové konstrukce podkladové montáž roštu podkladového</t>
  </si>
  <si>
    <t>470210621</t>
  </si>
  <si>
    <t>https://podminky.urs.cz/item/CS_URS_2022_02/762512261</t>
  </si>
  <si>
    <t>543,4/0,625 "podhala 4.NP</t>
  </si>
  <si>
    <t>(12+30+12+12)*2,7*3 "skladba P3</t>
  </si>
  <si>
    <t>144</t>
  </si>
  <si>
    <t>60512126</t>
  </si>
  <si>
    <t>hranol stavební řezivo průřezu do 120cm2 dl 6-8m</t>
  </si>
  <si>
    <t>-1323061691</t>
  </si>
  <si>
    <t>543,4/0,625*0,08*0,08 "podhala 4.NP</t>
  </si>
  <si>
    <t>5,564*1,1 'Přepočtené koeficientem množství</t>
  </si>
  <si>
    <t>145</t>
  </si>
  <si>
    <t>-1364960134</t>
  </si>
  <si>
    <t>(12+30+12+12)*2,7*3*0,14*0,04 "skladba P3</t>
  </si>
  <si>
    <t>2,994*1,2 'Přepočtené koeficientem množství</t>
  </si>
  <si>
    <t>146</t>
  </si>
  <si>
    <t>762595001</t>
  </si>
  <si>
    <t>Spojovací prostředky podlah a podkladových konstrukcí hřebíky, vruty</t>
  </si>
  <si>
    <t>1229382576</t>
  </si>
  <si>
    <t>https://podminky.urs.cz/item/CS_URS_2022_02/762595001</t>
  </si>
  <si>
    <t>543,4*2 "podlaha 4.NP</t>
  </si>
  <si>
    <t>147</t>
  </si>
  <si>
    <t>998762203</t>
  </si>
  <si>
    <t>Přesun hmot pro konstrukce tesařské stanovený procentní sazbou (%) z ceny vodorovná dopravní vzdálenost do 50 m v objektech výšky přes 12 do 24 m</t>
  </si>
  <si>
    <t>820882804</t>
  </si>
  <si>
    <t>https://podminky.urs.cz/item/CS_URS_2022_02/998762203</t>
  </si>
  <si>
    <t>763</t>
  </si>
  <si>
    <t>Konstrukce suché výstavby</t>
  </si>
  <si>
    <t>148</t>
  </si>
  <si>
    <t>763111314</t>
  </si>
  <si>
    <t>Příčka ze sádrokartonových desek s nosnou konstrukcí z jednoduchých ocelových profilů UW, CW jednoduše opláštěná deskou standardní A tl. 12,5 mm, příčka tl. 100 mm, profil 75, s izolací, EI 30, Rw do 45 dB</t>
  </si>
  <si>
    <t>1273825246</t>
  </si>
  <si>
    <t>https://podminky.urs.cz/item/CS_URS_2022_02/763111314</t>
  </si>
  <si>
    <t>10,21*3,6+20,63*2+(7+7,2+2,8+0,8+4+1,1+3,9+2,8+2)*3,6 "stěny v 4.NP</t>
  </si>
  <si>
    <t>149</t>
  </si>
  <si>
    <t>763111333</t>
  </si>
  <si>
    <t>Příčka ze sádrokartonových desek s nosnou konstrukcí z jednoduchých ocelových profilů UW, CW jednoduše opláštěná deskou impregnovanou H2 tl. 12,5 mm, příčka tl. 100 mm, profil 75, s izolací, EI 30, Rw do 45 dB</t>
  </si>
  <si>
    <t>-1250820898</t>
  </si>
  <si>
    <t>https://podminky.urs.cz/item/CS_URS_2022_02/763111333</t>
  </si>
  <si>
    <t>(4,8+1,2+1+1+3+1+4,8+1,2+1+1+1+3)*3 "stěny ve 4.NP WC</t>
  </si>
  <si>
    <t>150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</si>
  <si>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</si>
  <si>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</si>
  <si>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163936125</t>
  </si>
  <si>
    <t>https://podminky.urs.cz/item/CS_URS_2022_02/763121411</t>
  </si>
  <si>
    <t>(6,96+9,22+17,37+15,14+0,15+0,15+5,55+8+2,5+4,5+7,79+3,57)*1,2+2,56*3,3 "předstěna v 4.NP §1</t>
  </si>
  <si>
    <t>151</t>
  </si>
  <si>
    <t>763121415</t>
  </si>
  <si>
    <t>Stěna předsazená ze sádrokartonových desek s nosnou konstrukcí z ocelových profilů CW, UW jednoduše opláštěná deskou standardní A tl. 12,5 mm bez izolace, EI 15, stěna tl. 112,5 mm, profil 100</t>
  </si>
  <si>
    <t>-979913160</t>
  </si>
  <si>
    <t>https://podminky.urs.cz/item/CS_URS_2022_02/763121415</t>
  </si>
  <si>
    <t>(1,83+1+1,2+1,85+1+1+1,95)*1,6</t>
  </si>
  <si>
    <t>152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</si>
  <si>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</si>
  <si>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</si>
  <si>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2128562441</t>
  </si>
  <si>
    <t>https://podminky.urs.cz/item/CS_URS_2022_02/763121422</t>
  </si>
  <si>
    <t>1,5*1,5*6 "předstěna pro umyvadla v učebnách</t>
  </si>
  <si>
    <t>153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</si>
  <si>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</si>
  <si>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</si>
  <si>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-764973167</t>
  </si>
  <si>
    <t>https://podminky.urs.cz/item/CS_URS_2022_02/763131431</t>
  </si>
  <si>
    <t>1,3*2,6*(3+4) "skladba P2a</t>
  </si>
  <si>
    <t>4*1,3*7 "skladba P2c</t>
  </si>
  <si>
    <t>154</t>
  </si>
  <si>
    <t>763131751</t>
  </si>
  <si>
    <t>Podhled ze sádrokartonových desek ostatní práce a konstrukce na podhledech ze sádrokartonových desek montáž parotěsné zábrany</t>
  </si>
  <si>
    <t>-145957304</t>
  </si>
  <si>
    <t>https://podminky.urs.cz/item/CS_URS_2022_02/763131751</t>
  </si>
  <si>
    <t>650 "podhled podkroví</t>
  </si>
  <si>
    <t>155</t>
  </si>
  <si>
    <t>28329233</t>
  </si>
  <si>
    <t>fólie univerzální pro parotěsnou vrstvu s proměnlivou difúzní tloušťkou a UV stabilizací</t>
  </si>
  <si>
    <t>-307826485</t>
  </si>
  <si>
    <t>650*1,1235 'Přepočtené koeficientem množství</t>
  </si>
  <si>
    <t>156</t>
  </si>
  <si>
    <t>763132121</t>
  </si>
  <si>
    <t>Podhled ze sádrokartonových desek – samostatný požární předěl dvouvrstvá nosná konstrukce z ocelových profilů CD, UD s oboustrannou požární odolností celoplošná izolace a CD profily vyplněny izolací o objemové hmotnosti 40 kg/m3 dvojitě opláštěná deskami protipožárními 2 x DF tl. 2 x 12,5 mm, TI tl. 40 mm 40 kg/m3, EI Z/S 45/60</t>
  </si>
  <si>
    <t>278666009</t>
  </si>
  <si>
    <t>https://podminky.urs.cz/item/CS_URS_2022_02/763132121</t>
  </si>
  <si>
    <t>543,4 "strop 3.NP</t>
  </si>
  <si>
    <t>157</t>
  </si>
  <si>
    <t>763158115</t>
  </si>
  <si>
    <t>SDK podlaha suchý podsyp tl. 10 mm</t>
  </si>
  <si>
    <t>-683981057</t>
  </si>
  <si>
    <t>https://podminky.urs.cz/item/CS_URS_2022_02/763158115</t>
  </si>
  <si>
    <t>158</t>
  </si>
  <si>
    <t>763158118</t>
  </si>
  <si>
    <t>Příplatek k SDK podlaze za každých další 10 mm tloušťky suchého podsypu</t>
  </si>
  <si>
    <t>-1718572901</t>
  </si>
  <si>
    <t>https://podminky.urs.cz/item/CS_URS_2022_02/763158118</t>
  </si>
  <si>
    <t>159</t>
  </si>
  <si>
    <t>763161751</t>
  </si>
  <si>
    <t>Podkroví ze sádrokartonových desek dvouvrstvá spodní konstrukce z ocelových profilů CD, UD na krokvových závěsech dvojitě opláštěná deskami standardními A, tl. 2 x 12,5 mm, TI tl. 200 mm 15 kg/m3, REI 30</t>
  </si>
  <si>
    <t>-869032307</t>
  </si>
  <si>
    <t>https://podminky.urs.cz/item/CS_URS_2022_02/763161751</t>
  </si>
  <si>
    <t>160</t>
  </si>
  <si>
    <t>763181311</t>
  </si>
  <si>
    <t>Výplně otvorů konstrukcí ze sádrokartonových desek montáž zárubně kovové s konstrukcí jednokřídlové</t>
  </si>
  <si>
    <t>1517148571</t>
  </si>
  <si>
    <t>https://podminky.urs.cz/item/CS_URS_2022_02/763181311</t>
  </si>
  <si>
    <t>6 "700/1970</t>
  </si>
  <si>
    <t>161</t>
  </si>
  <si>
    <t>55331589</t>
  </si>
  <si>
    <t>zárubeň jednokřídlá ocelová pro sádrokartonové příčky tl stěny 75-100mm rozměru 700/1970, 2100mm</t>
  </si>
  <si>
    <t>1041996772</t>
  </si>
  <si>
    <t>162</t>
  </si>
  <si>
    <t>55331591</t>
  </si>
  <si>
    <t>zárubeň jednokřídlá ocelová pro sádrokartonové příčky tl stěny 75-100mm rozměru 900/1970, 2100mm</t>
  </si>
  <si>
    <t>484365477</t>
  </si>
  <si>
    <t>163</t>
  </si>
  <si>
    <t>763182411</t>
  </si>
  <si>
    <t>Výplně otvorů konstrukcí ze sádrokartonových desek opláštění obvodu (špalety) střešního okna z desek včetně Al rohu hloubky do 0,5 m</t>
  </si>
  <si>
    <t>1756901882</t>
  </si>
  <si>
    <t>https://podminky.urs.cz/item/CS_URS_2022_02/763182411</t>
  </si>
  <si>
    <t>(0,78*2+1,6*2)*2+(1,14*2+1,6*2)*22+(0,78*2+0,98*2)*2 "kolem střešních oken</t>
  </si>
  <si>
    <t>(0,5*4)*5 "kolem střešních výlezů</t>
  </si>
  <si>
    <t>164</t>
  </si>
  <si>
    <t>763264542</t>
  </si>
  <si>
    <t>Obklad ocelových nosníků sádrovláknitými deskami bez spodní konstrukce uzavřeného tvaru rozvinuté šíře přes 0,5 m do 0,75 m, opláštění deskou protipožární tl. 2x12,5 mm</t>
  </si>
  <si>
    <t>-540152972</t>
  </si>
  <si>
    <t>https://podminky.urs.cz/item/CS_URS_2022_02/763264542</t>
  </si>
  <si>
    <t>3*3,5 "pozarni obklad dřevěnýcjh sloupu v kotelně a O2</t>
  </si>
  <si>
    <t>165</t>
  </si>
  <si>
    <t>763782213</t>
  </si>
  <si>
    <t>Montáž stropní konstrukce z plnostěnných nosníků (např. trámů, průvlaků, překladů) konstrukční délky do 15 m, průřezové plochy přes 150 do 500 cm2</t>
  </si>
  <si>
    <t>2116807010</t>
  </si>
  <si>
    <t>https://podminky.urs.cz/item/CS_URS_2022_02/763782213</t>
  </si>
  <si>
    <t>7,15*11+7*10+7,1*22+2,75*22+3,55*7+3,12*7+7,2*2+6,999*8+7,1*11 "příložka LVL-R 75/360</t>
  </si>
  <si>
    <t>7,15*11+7*10+7,1*22+2,75*22+3,55*7+3,12*7+7,2*2+6,999*8+7,1*11 "příložka LVL-R 45/360</t>
  </si>
  <si>
    <t>166</t>
  </si>
  <si>
    <t>6122327x</t>
  </si>
  <si>
    <t>hranol konstrukční LVL-R 75/360 a LVL-R 45/360</t>
  </si>
  <si>
    <t>-145075504</t>
  </si>
  <si>
    <t>(7,15*11+7*10+7,1*22+2,75*22+3,55*7+3,12*7+7,2*2+6,999*8+7,1*11)*0,075*0,36 "příložka LVL-R 75/360</t>
  </si>
  <si>
    <t>(7,15*11+7*10+7,1*22+2,75*22+3,55*7+3,12*7+7,2*2+6,999*8+7,1*11)*0,045*0,36 "příložka LVL-R 45/360</t>
  </si>
  <si>
    <t>24,215*1,1 'Přepočtené koeficientem množství</t>
  </si>
  <si>
    <t>167</t>
  </si>
  <si>
    <t>763-spec.01</t>
  </si>
  <si>
    <t>Příplatek za úpravu podhledu v místě klimatizačních jednotek</t>
  </si>
  <si>
    <t>-862397016</t>
  </si>
  <si>
    <t>168</t>
  </si>
  <si>
    <t>998763403</t>
  </si>
  <si>
    <t>Přesun hmot pro konstrukce montované z desek stanovený procentní sazbou (%) z ceny vodorovná dopravní vzdálenost do 50 m v objektech výšky přes 12 do 24 m</t>
  </si>
  <si>
    <t>-543580381</t>
  </si>
  <si>
    <t>https://podminky.urs.cz/item/CS_URS_2022_02/998763403</t>
  </si>
  <si>
    <t>169</t>
  </si>
  <si>
    <t>764002414</t>
  </si>
  <si>
    <t>Montáž strukturované oddělovací rohože jakékoli rš</t>
  </si>
  <si>
    <t>-1477891999</t>
  </si>
  <si>
    <t>https://podminky.urs.cz/item/CS_URS_2022_02/764002414</t>
  </si>
  <si>
    <t>170</t>
  </si>
  <si>
    <t>28329223</t>
  </si>
  <si>
    <t>fólie difuzně propustné s nakašírovanou strukturovanou rohoží pod hladkou plechovou krytinu</t>
  </si>
  <si>
    <t>-967091547</t>
  </si>
  <si>
    <t>76*1,15 'Přepočtené koeficientem množství</t>
  </si>
  <si>
    <t>171</t>
  </si>
  <si>
    <t>764131403</t>
  </si>
  <si>
    <t>Krytina ze svitků nebo tabulí z měděného plechu s úpravou u okapů, prostupů a výčnělků střechy rovné drážkováním ze svitků rš 500 mm, sklon střechy přes 30 do 60°</t>
  </si>
  <si>
    <t>500555451</t>
  </si>
  <si>
    <t>https://podminky.urs.cz/item/CS_URS_2022_02/764131403</t>
  </si>
  <si>
    <t>172</t>
  </si>
  <si>
    <t>764131491</t>
  </si>
  <si>
    <t>Krytina ze svitků nebo tabulí z měděného plechu s úpravou u okapů, prostupů a výčnělků Příplatek k cenám za těsnění drážek ve sklonu do 10°</t>
  </si>
  <si>
    <t>-1101651264</t>
  </si>
  <si>
    <t>https://podminky.urs.cz/item/CS_URS_2022_02/764131491</t>
  </si>
  <si>
    <t>173</t>
  </si>
  <si>
    <t>764231467</t>
  </si>
  <si>
    <t>Oplechování střešních prvků z měděného plechu úžlabí rš 670 mm</t>
  </si>
  <si>
    <t>-565733386</t>
  </si>
  <si>
    <t>https://podminky.urs.cz/item/CS_URS_2022_02/764231467</t>
  </si>
  <si>
    <t>8,5*6+5,2+4,2+4,5+3,3+13+13</t>
  </si>
  <si>
    <t>174</t>
  </si>
  <si>
    <t>764232437</t>
  </si>
  <si>
    <t>Oplechování střešních prvků z měděného plechu okapu okapovým plechem střechy rovné rš 670 mm</t>
  </si>
  <si>
    <t>-232443724</t>
  </si>
  <si>
    <t>https://podminky.urs.cz/item/CS_URS_2022_02/764232437</t>
  </si>
  <si>
    <t>38+19+19+11+11+1,1+11,4+3,7+5 "nástřešní žlab</t>
  </si>
  <si>
    <t>175</t>
  </si>
  <si>
    <t>764235408</t>
  </si>
  <si>
    <t>Oplechování horních ploch zdí a nadezdívek (atik) z měděného plechu celoplošně lepených rš 750 mm</t>
  </si>
  <si>
    <t>225488256</t>
  </si>
  <si>
    <t>https://podminky.urs.cz/item/CS_URS_2022_02/764235408</t>
  </si>
  <si>
    <t>7+7 "oplechování horní zdi štítové stěny</t>
  </si>
  <si>
    <t>176</t>
  </si>
  <si>
    <t>764235411</t>
  </si>
  <si>
    <t>Oplechování horních ploch zdí a nadezdívek (atik) z měděného plechu celoplošně lepených přes rš 800 mm</t>
  </si>
  <si>
    <t>1821866624</t>
  </si>
  <si>
    <t>https://podminky.urs.cz/item/CS_URS_2022_02/764235411</t>
  </si>
  <si>
    <t>1,5 "oplechování hlavy komínu</t>
  </si>
  <si>
    <t>177</t>
  </si>
  <si>
    <t>764236444</t>
  </si>
  <si>
    <t>Oplechování parapetů z měděného plechu rovných celoplošně lepených, bez rohů rš 330 mm</t>
  </si>
  <si>
    <t>-668293913</t>
  </si>
  <si>
    <t>https://podminky.urs.cz/item/CS_URS_2022_02/764236444</t>
  </si>
  <si>
    <t>1,2*3+1,85</t>
  </si>
  <si>
    <t>178</t>
  </si>
  <si>
    <t>764331415</t>
  </si>
  <si>
    <t>Lemování zdí z měděného plechu boční nebo horní rovných, střech s krytinou skládanou mimo prejzovou rš 400 mm</t>
  </si>
  <si>
    <t>-1394324317</t>
  </si>
  <si>
    <t>https://podminky.urs.cz/item/CS_URS_2022_02/764331415</t>
  </si>
  <si>
    <t>8,3 "kolem komínu</t>
  </si>
  <si>
    <t>179</t>
  </si>
  <si>
    <t>764331416</t>
  </si>
  <si>
    <t>Lemování zdí z měděného plechu boční nebo horní rovných, střech s krytinou skládanou mimo prejzovou rš 500 mm</t>
  </si>
  <si>
    <t>632663031</t>
  </si>
  <si>
    <t>https://podminky.urs.cz/item/CS_URS_2022_02/764331416</t>
  </si>
  <si>
    <t>10,9 "u štítové stěny</t>
  </si>
  <si>
    <t>180</t>
  </si>
  <si>
    <t>764531404</t>
  </si>
  <si>
    <t>Žlab podokapní z měděného plechu včetně háků a čel půlkruhový rš 330 mm</t>
  </si>
  <si>
    <t>22387488</t>
  </si>
  <si>
    <t>https://podminky.urs.cz/item/CS_URS_2022_02/764531404</t>
  </si>
  <si>
    <t>4,2+5,2 "podokapní žlab na pultových střechách</t>
  </si>
  <si>
    <t>181</t>
  </si>
  <si>
    <t>764531445</t>
  </si>
  <si>
    <t>Kotlík oválný (trychtýřový) pro podokapní žlaby z Cu plechu 400/120 mm</t>
  </si>
  <si>
    <t>1293412879</t>
  </si>
  <si>
    <t>https://podminky.urs.cz/item/CS_URS_2022_02/764531445</t>
  </si>
  <si>
    <t>2 "podokapní žlab na pultových střechách</t>
  </si>
  <si>
    <t>8 "po obvodu objektu</t>
  </si>
  <si>
    <t>182</t>
  </si>
  <si>
    <t>764533412</t>
  </si>
  <si>
    <t>Žlab nadokapní (nástřešní) z měděného plechu oblého tvaru, včetně háků, čel a hrdel rš 1000 mm</t>
  </si>
  <si>
    <t>1661922348</t>
  </si>
  <si>
    <t>https://podminky.urs.cz/item/CS_URS_2022_02/764533412</t>
  </si>
  <si>
    <t>183</t>
  </si>
  <si>
    <t>764538423</t>
  </si>
  <si>
    <t>Svod z měděného plechu včetně objímek, kolen a odskoků kruhový, průměru 120 mm</t>
  </si>
  <si>
    <t>1315533107</t>
  </si>
  <si>
    <t>https://podminky.urs.cz/item/CS_URS_2022_02/764538423</t>
  </si>
  <si>
    <t>20 "u nové vytvořeného schodiště</t>
  </si>
  <si>
    <t>6*20 "nové svody v původních pozicích</t>
  </si>
  <si>
    <t>184</t>
  </si>
  <si>
    <t>998764203</t>
  </si>
  <si>
    <t>Přesun hmot pro konstrukce klempířské stanovený procentní sazbou (%) z ceny vodorovná dopravní vzdálenost do 50 m v objektech výšky přes 12 do 24 m</t>
  </si>
  <si>
    <t>964953415</t>
  </si>
  <si>
    <t>https://podminky.urs.cz/item/CS_URS_2022_02/998764203</t>
  </si>
  <si>
    <t>185</t>
  </si>
  <si>
    <t>765111015</t>
  </si>
  <si>
    <t>Montáž krytiny keramické sklonu do 30° drážkové na sucho, počet kusů přes 11 do 12 ks/m2</t>
  </si>
  <si>
    <t>-1185658429</t>
  </si>
  <si>
    <t>https://podminky.urs.cz/item/CS_URS_2022_02/765111015</t>
  </si>
  <si>
    <t>186</t>
  </si>
  <si>
    <t>59660400</t>
  </si>
  <si>
    <t>taška ražená drážková režná velkoformátová (do 12 ks/m2) základní</t>
  </si>
  <si>
    <t>-1137572680</t>
  </si>
  <si>
    <t>790*12 'Přepočtené koeficientem množství</t>
  </si>
  <si>
    <t>187</t>
  </si>
  <si>
    <t>59660431</t>
  </si>
  <si>
    <t>taška ražená drážková režná velkoformátová (do 12 ks/m2) poloviční</t>
  </si>
  <si>
    <t>-1030688397</t>
  </si>
  <si>
    <t>790*1,2 'Přepočtené koeficientem množství</t>
  </si>
  <si>
    <t>188</t>
  </si>
  <si>
    <t>59660403</t>
  </si>
  <si>
    <t>taška ražená drážková režná velkoformátová (do 12 ks/m2) krajová levá</t>
  </si>
  <si>
    <t>1910488354</t>
  </si>
  <si>
    <t>790*0,6 'Přepočtené koeficientem množství</t>
  </si>
  <si>
    <t>189</t>
  </si>
  <si>
    <t>59660402</t>
  </si>
  <si>
    <t>taška ražená drážková režná velkoformátová (do 12 ks/m2) krajová pravá</t>
  </si>
  <si>
    <t>-740761779</t>
  </si>
  <si>
    <t>190</t>
  </si>
  <si>
    <t>59660401</t>
  </si>
  <si>
    <t>taška ražená drážková režná velkoformátová (do 12 ks/m2) větrací</t>
  </si>
  <si>
    <t>-2119593637</t>
  </si>
  <si>
    <t>191</t>
  </si>
  <si>
    <t>59660408</t>
  </si>
  <si>
    <t>taška ražená drážková režná velkoformátová (do 12 ks/m2) větrací pro připojení hřebene</t>
  </si>
  <si>
    <t>1470722045</t>
  </si>
  <si>
    <t>192</t>
  </si>
  <si>
    <t>59660411</t>
  </si>
  <si>
    <t>taška ražená drážková režná velkoformátová (do 12 ks/m2) prostupová s anténním nástavcem</t>
  </si>
  <si>
    <t>1725659853</t>
  </si>
  <si>
    <t>193</t>
  </si>
  <si>
    <t>765111201</t>
  </si>
  <si>
    <t>Montáž krytiny keramické okapové hrany s okapním větracím pásem</t>
  </si>
  <si>
    <t>1781626262</t>
  </si>
  <si>
    <t>https://podminky.urs.cz/item/CS_URS_2022_02/765111201</t>
  </si>
  <si>
    <t>124,05-2,7-1,7-11 "skladba S1</t>
  </si>
  <si>
    <t>194</t>
  </si>
  <si>
    <t>59660022</t>
  </si>
  <si>
    <t>pás ochranný větrací okapní plastový š 100mm</t>
  </si>
  <si>
    <t>677056929</t>
  </si>
  <si>
    <t>108,65*1,1 'Přepočtené koeficientem množství</t>
  </si>
  <si>
    <t>195</t>
  </si>
  <si>
    <t>765111253</t>
  </si>
  <si>
    <t>Montáž krytiny keramické hřebene větraného na sucho bez pásu (s podhřebenovou větrací taškou)</t>
  </si>
  <si>
    <t>23924081</t>
  </si>
  <si>
    <t>https://podminky.urs.cz/item/CS_URS_2022_02/765111253</t>
  </si>
  <si>
    <t>8+26,8+7,8+5,6</t>
  </si>
  <si>
    <t>196</t>
  </si>
  <si>
    <t>59660030</t>
  </si>
  <si>
    <t>hřebenáč drážkový keramický š 210mm režný</t>
  </si>
  <si>
    <t>1396304455</t>
  </si>
  <si>
    <t>48,2*3,09 'Přepočtené koeficientem množství</t>
  </si>
  <si>
    <t>197</t>
  </si>
  <si>
    <t>765111403</t>
  </si>
  <si>
    <t>Montáž krytiny keramické opracování krytiny v místě prostupu plochy prostupu jednotlivě přes 0,5 do 1 m2</t>
  </si>
  <si>
    <t>1914738388</t>
  </si>
  <si>
    <t>https://podminky.urs.cz/item/CS_URS_2022_02/765111403</t>
  </si>
  <si>
    <t>5 "střešní výlez</t>
  </si>
  <si>
    <t>198</t>
  </si>
  <si>
    <t>765111404</t>
  </si>
  <si>
    <t>Montáž krytiny keramické opracování krytiny v místě prostupu plochy prostupu jednotlivě přes 1 m2</t>
  </si>
  <si>
    <t>-751543714</t>
  </si>
  <si>
    <t>https://podminky.urs.cz/item/CS_URS_2022_02/765111404</t>
  </si>
  <si>
    <t>(0,78*2+1,6*2)*2+(1,14*1,6)*22 "kolem střešních oken</t>
  </si>
  <si>
    <t>199</t>
  </si>
  <si>
    <t>765111503</t>
  </si>
  <si>
    <t>Montáž krytiny keramické Příplatek k cenám včetně připevňovacích prostředků za sklon přes 30 do 40°</t>
  </si>
  <si>
    <t>-973304358</t>
  </si>
  <si>
    <t>https://podminky.urs.cz/item/CS_URS_2022_02/765111503</t>
  </si>
  <si>
    <t>200</t>
  </si>
  <si>
    <t>765115302</t>
  </si>
  <si>
    <t>Montáž střešních doplňků krytiny keramické střešního výlezu plochy jednotlivě přes 0,25 m2</t>
  </si>
  <si>
    <t>1563777316</t>
  </si>
  <si>
    <t>https://podminky.urs.cz/item/CS_URS_2022_02/765115302</t>
  </si>
  <si>
    <t>201</t>
  </si>
  <si>
    <t>61140606</t>
  </si>
  <si>
    <t>výlez střešní pro sklon střechy 20-65° 46x61cm</t>
  </si>
  <si>
    <t>-89156552</t>
  </si>
  <si>
    <t>202</t>
  </si>
  <si>
    <t>765115351</t>
  </si>
  <si>
    <t>Montáž střešních doplňků krytiny keramické stoupací plošiny délky do 400 mm</t>
  </si>
  <si>
    <t>-613730913</t>
  </si>
  <si>
    <t>https://podminky.urs.cz/item/CS_URS_2022_02/765115351</t>
  </si>
  <si>
    <t>1 "K2</t>
  </si>
  <si>
    <t>203</t>
  </si>
  <si>
    <t>59660034</t>
  </si>
  <si>
    <t>stoupací komplet rovný pro keramickou krytinu rošt š 250mm d 400mm</t>
  </si>
  <si>
    <t>sada</t>
  </si>
  <si>
    <t>-59734348</t>
  </si>
  <si>
    <t>204</t>
  </si>
  <si>
    <t>765115352</t>
  </si>
  <si>
    <t>Montáž střešních doplňků krytiny keramické stoupací plošiny délky přes 400 do 800 mm</t>
  </si>
  <si>
    <t>-498279360</t>
  </si>
  <si>
    <t>https://podminky.urs.cz/item/CS_URS_2022_02/765115352</t>
  </si>
  <si>
    <t>4 "K1</t>
  </si>
  <si>
    <t>205</t>
  </si>
  <si>
    <t>59660036</t>
  </si>
  <si>
    <t>stoupací komplet profilovaný pro keramickou krytinu rošt š 250mm d 800mm</t>
  </si>
  <si>
    <t>-2040206913</t>
  </si>
  <si>
    <t>206</t>
  </si>
  <si>
    <t>765115401</t>
  </si>
  <si>
    <t>Montáž střešních doplňků krytiny keramické protisněhové zábrany háku</t>
  </si>
  <si>
    <t>871566051</t>
  </si>
  <si>
    <t>https://podminky.urs.cz/item/CS_URS_2022_02/765115401</t>
  </si>
  <si>
    <t>790*1,4 "skladba S1</t>
  </si>
  <si>
    <t>207</t>
  </si>
  <si>
    <t>59660249</t>
  </si>
  <si>
    <t>hák protisněhový keramické drážkové velkoformátové krytiny</t>
  </si>
  <si>
    <t>1067656031</t>
  </si>
  <si>
    <t>1106*1,1 'Přepočtené koeficientem množství</t>
  </si>
  <si>
    <t>208</t>
  </si>
  <si>
    <t>765115421</t>
  </si>
  <si>
    <t>Montáž střešních doplňků krytiny keramické bezpečnostního háku</t>
  </si>
  <si>
    <t>-1919725210</t>
  </si>
  <si>
    <t>https://podminky.urs.cz/item/CS_URS_2022_02/765115421</t>
  </si>
  <si>
    <t>209</t>
  </si>
  <si>
    <t>59660887</t>
  </si>
  <si>
    <t>hák Pz bezpečnostní střešní d 220mm</t>
  </si>
  <si>
    <t>-1289846741</t>
  </si>
  <si>
    <t>210</t>
  </si>
  <si>
    <t>765191001</t>
  </si>
  <si>
    <t>Montáž pojistné hydroizolační nebo parotěsné fólie kladené ve sklonu do 20° lepením (vodotěsné podstřeší) na bednění nebo tepelnou izolaci</t>
  </si>
  <si>
    <t>45596160</t>
  </si>
  <si>
    <t>https://podminky.urs.cz/item/CS_URS_2022_02/765191001</t>
  </si>
  <si>
    <t>211</t>
  </si>
  <si>
    <t>-1625191222</t>
  </si>
  <si>
    <t>29*1,15 'Přepočtené koeficientem množství</t>
  </si>
  <si>
    <t>212</t>
  </si>
  <si>
    <t>765191021</t>
  </si>
  <si>
    <t>Montáž pojistné hydroizolační nebo parotěsné fólie kladené ve sklonu přes 20° s lepenými přesahy na krokve</t>
  </si>
  <si>
    <t>-1059078700</t>
  </si>
  <si>
    <t>https://podminky.urs.cz/item/CS_URS_2022_02/765191021</t>
  </si>
  <si>
    <t>213</t>
  </si>
  <si>
    <t>63150818</t>
  </si>
  <si>
    <t>fólie kontaktní difuzně propustná pro doplňkovou hydroizolační vrstvu, jednovrstvá mikrovláknitá s reflexní a funkční vrstvou tl 175μm</t>
  </si>
  <si>
    <t>-1487850326</t>
  </si>
  <si>
    <t>866*1,15 'Přepočtené koeficientem množství</t>
  </si>
  <si>
    <t>214</t>
  </si>
  <si>
    <t>765191045</t>
  </si>
  <si>
    <t>Montáž pojistné hydroizolační nebo parotěsné fólie v místech střešních prostupů plochy jednotlivě přes 1 m2</t>
  </si>
  <si>
    <t>1592830331</t>
  </si>
  <si>
    <t>https://podminky.urs.cz/item/CS_URS_2022_02/765191045</t>
  </si>
  <si>
    <t>24 "kolem střešních oken</t>
  </si>
  <si>
    <t>215</t>
  </si>
  <si>
    <t>765191051</t>
  </si>
  <si>
    <t>Montáž pojistné hydroizolační nebo parotěsné fólie hřebene nebo nároží, střechy větrané</t>
  </si>
  <si>
    <t>1312836516</t>
  </si>
  <si>
    <t>https://podminky.urs.cz/item/CS_URS_2022_02/765191051</t>
  </si>
  <si>
    <t>(8+26,8+7,8+5,6)*2</t>
  </si>
  <si>
    <t>216</t>
  </si>
  <si>
    <t>765191071</t>
  </si>
  <si>
    <t>Montáž pojistné hydroizolační nebo parotěsné fólie okapu přesahem na okapnici</t>
  </si>
  <si>
    <t>1017670370</t>
  </si>
  <si>
    <t>https://podminky.urs.cz/item/CS_URS_2022_02/765191071</t>
  </si>
  <si>
    <t>217</t>
  </si>
  <si>
    <t>765191091</t>
  </si>
  <si>
    <t>Montáž pojistné hydroizolační nebo parotěsné fólie Příplatek k cenám montáže na bednění nebo tepelnou izolaci za sklon přes 30°</t>
  </si>
  <si>
    <t>1305039551</t>
  </si>
  <si>
    <t>https://podminky.urs.cz/item/CS_URS_2022_02/765191091</t>
  </si>
  <si>
    <t>218</t>
  </si>
  <si>
    <t>998765203</t>
  </si>
  <si>
    <t>Přesun hmot pro krytiny skládané stanovený procentní sazbou (%) z ceny vodorovná dopravní vzdálenost do 50 m v objektech výšky přes 12 do 24 m</t>
  </si>
  <si>
    <t>1313889628</t>
  </si>
  <si>
    <t>https://podminky.urs.cz/item/CS_URS_2022_02/998765203</t>
  </si>
  <si>
    <t>219</t>
  </si>
  <si>
    <t>766231113</t>
  </si>
  <si>
    <t>Montáž sklápěcích schodů na půdu s vyřezáním otvoru a kompletizací</t>
  </si>
  <si>
    <t>-2023636502</t>
  </si>
  <si>
    <t>https://podminky.urs.cz/item/CS_URS_2022_02/766231113</t>
  </si>
  <si>
    <t>2 "výlez na půdu</t>
  </si>
  <si>
    <t>220</t>
  </si>
  <si>
    <t>55347584</t>
  </si>
  <si>
    <t>schody skládací protipožární,mech. z Al profilů, El 30, pro výšku max. 320cm, 13 schodnic 130x70cm</t>
  </si>
  <si>
    <t>2004365029</t>
  </si>
  <si>
    <t>221</t>
  </si>
  <si>
    <t>766660001</t>
  </si>
  <si>
    <t>Montáž dveřních křídel dřevěných nebo plastových otevíravých do ocelové zárubně povrchově upravených jednokřídlových, šířky do 800 mm</t>
  </si>
  <si>
    <t>196587206</t>
  </si>
  <si>
    <t>https://podminky.urs.cz/item/CS_URS_2022_02/766660001</t>
  </si>
  <si>
    <t>222</t>
  </si>
  <si>
    <t>61162085</t>
  </si>
  <si>
    <t>dveře jednokřídlé dřevotřískové povrch laminátový plné 700x1970-2100mm</t>
  </si>
  <si>
    <t>-1660341396</t>
  </si>
  <si>
    <t>223</t>
  </si>
  <si>
    <t>766660002</t>
  </si>
  <si>
    <t>Montáž dveřních křídel dřevěných nebo plastových otevíravých do ocelové zárubně povrchově upravených jednokřídlových, šířky přes 800 mm</t>
  </si>
  <si>
    <t>-1165340889</t>
  </si>
  <si>
    <t>https://podminky.urs.cz/item/CS_URS_2022_02/766660002</t>
  </si>
  <si>
    <t>1 "900/1970</t>
  </si>
  <si>
    <t>224</t>
  </si>
  <si>
    <t>61162087</t>
  </si>
  <si>
    <t>dveře jednokřídlé dřevotřískové povrch laminátový plné 900x1970-2100mm</t>
  </si>
  <si>
    <t>-650170582</t>
  </si>
  <si>
    <t>225</t>
  </si>
  <si>
    <t>766660022</t>
  </si>
  <si>
    <t>Montáž dveřních křídel dřevěných nebo plastových otevíravých do ocelové zárubně protipožárních jednokřídlových, šířky přes 800 mm</t>
  </si>
  <si>
    <t>-212894720</t>
  </si>
  <si>
    <t>https://podminky.urs.cz/item/CS_URS_2022_02/766660022</t>
  </si>
  <si>
    <t>226</t>
  </si>
  <si>
    <t>61165340</t>
  </si>
  <si>
    <t>dveře jednokřídlé dřevotřískové protipožární EI (EW) 30 D3 povrch lakovaný plné 900x1970-2100mm</t>
  </si>
  <si>
    <t>553610550</t>
  </si>
  <si>
    <t>227</t>
  </si>
  <si>
    <t>61161028</t>
  </si>
  <si>
    <t>dveře jednokřídlé dřevotřískové protipožární EI (EW) 30 D3 povrch lakovaný plné 1000x1970-2100mm</t>
  </si>
  <si>
    <t>67575339</t>
  </si>
  <si>
    <t>228</t>
  </si>
  <si>
    <t>766660717</t>
  </si>
  <si>
    <t>Montáž dveřních doplňků samozavírače na zárubeň ocelovou</t>
  </si>
  <si>
    <t>717791434</t>
  </si>
  <si>
    <t>https://podminky.urs.cz/item/CS_URS_2022_02/766660717</t>
  </si>
  <si>
    <t>229</t>
  </si>
  <si>
    <t>54917250</t>
  </si>
  <si>
    <t>samozavírač dveří hydraulický</t>
  </si>
  <si>
    <t>-1357892510</t>
  </si>
  <si>
    <t>230</t>
  </si>
  <si>
    <t>766660729</t>
  </si>
  <si>
    <t>Montáž dveřních doplňků dveřního kování interiérového štítku s klikou</t>
  </si>
  <si>
    <t>684151535</t>
  </si>
  <si>
    <t>https://podminky.urs.cz/item/CS_URS_2022_02/766660729</t>
  </si>
  <si>
    <t>231</t>
  </si>
  <si>
    <t>54914123</t>
  </si>
  <si>
    <t>kování rozetové klika/klika</t>
  </si>
  <si>
    <t>267156764</t>
  </si>
  <si>
    <t>232</t>
  </si>
  <si>
    <t>766660734</t>
  </si>
  <si>
    <t>Montáž dveřních doplňků dveřního kování bezpečnostního panikového kování</t>
  </si>
  <si>
    <t>830020556</t>
  </si>
  <si>
    <t>https://podminky.urs.cz/item/CS_URS_2022_02/766660734</t>
  </si>
  <si>
    <t>233</t>
  </si>
  <si>
    <t>54914135</t>
  </si>
  <si>
    <t>kování panikové klika/klika</t>
  </si>
  <si>
    <t>1744704779</t>
  </si>
  <si>
    <t>234</t>
  </si>
  <si>
    <t>766671023</t>
  </si>
  <si>
    <t>Montáž střešních oken dřevěných nebo plastových kyvných, výklopných/kyvných s okenním rámem a lemováním, s plisovaným límcem, s napojením na krytinu do krytiny tvarované, rozměru 78 x 98 cm</t>
  </si>
  <si>
    <t>-561571888</t>
  </si>
  <si>
    <t>https://podminky.urs.cz/item/CS_URS_2022_02/766671023</t>
  </si>
  <si>
    <t>2 "okno O6</t>
  </si>
  <si>
    <t>235</t>
  </si>
  <si>
    <t>61124828</t>
  </si>
  <si>
    <t>okno střešní dřevěné bílé PU povrch výklopně-kyvné, izolační trojsklo 78x98cm, Uw=1,1W/m2K Al oplechování</t>
  </si>
  <si>
    <t>63619479</t>
  </si>
  <si>
    <t>236</t>
  </si>
  <si>
    <t>61124152</t>
  </si>
  <si>
    <t>lemování střešních oken na profilované krytiny 78x98cm</t>
  </si>
  <si>
    <t>-442517571</t>
  </si>
  <si>
    <t>237</t>
  </si>
  <si>
    <t>61124232</t>
  </si>
  <si>
    <t>manžeta z parotěsné fólie pro střešní okno 78x98cm</t>
  </si>
  <si>
    <t>1886928806</t>
  </si>
  <si>
    <t>238</t>
  </si>
  <si>
    <t>61124049</t>
  </si>
  <si>
    <t>zateplovací sada střešních oken rám 78x98cm</t>
  </si>
  <si>
    <t>-1478411592</t>
  </si>
  <si>
    <t>239</t>
  </si>
  <si>
    <t>766671026</t>
  </si>
  <si>
    <t>Montáž střešních oken dřevěných nebo plastových kyvných, výklopných/kyvných s okenním rámem a lemováním, s plisovaným límcem, s napojením na krytinu do krytiny tvarované, rozměru 78 x 160 cm</t>
  </si>
  <si>
    <t>398089789</t>
  </si>
  <si>
    <t>https://podminky.urs.cz/item/CS_URS_2022_02/766671026</t>
  </si>
  <si>
    <t>2 "pozice O5</t>
  </si>
  <si>
    <t>240</t>
  </si>
  <si>
    <t>61124829</t>
  </si>
  <si>
    <t>okno střešní dřevěné bílé PU povrch výklopně-kyvné, izolační trojsklo 78x160cm, Uw=1,1W/m2K Al oplechování</t>
  </si>
  <si>
    <t>-1034359624</t>
  </si>
  <si>
    <t>241</t>
  </si>
  <si>
    <t>61124155</t>
  </si>
  <si>
    <t>lemování střešních oken na profilované krytiny 78x160cm</t>
  </si>
  <si>
    <t>257493337</t>
  </si>
  <si>
    <t>242</t>
  </si>
  <si>
    <t>61124235</t>
  </si>
  <si>
    <t>manžeta z parotěsné fólie pro střešní okno 78x160cm</t>
  </si>
  <si>
    <t>1530033757</t>
  </si>
  <si>
    <t>243</t>
  </si>
  <si>
    <t>61124062</t>
  </si>
  <si>
    <t>zateplovací sada střešních oken rám 78x160cm</t>
  </si>
  <si>
    <t>-1164330565</t>
  </si>
  <si>
    <t>244</t>
  </si>
  <si>
    <t>76667103x</t>
  </si>
  <si>
    <t>Montáž střešních oken dřevěných nebo plastových kyvných, výklopných/kyvných s okenním rámem a lemováním, s plisovaným límcem, s napojením na krytinu do krytiny tvarované, rozměru 114 x 160 cm</t>
  </si>
  <si>
    <t>1353927984</t>
  </si>
  <si>
    <t>22 "pozice O1</t>
  </si>
  <si>
    <t>245</t>
  </si>
  <si>
    <t>61124835</t>
  </si>
  <si>
    <t>okno střešní dřevěné bílé PU povrch výklopně-kyvné, izolační trojsklo 114x160cm, Uw=1,1W/m2K Al oplechování</t>
  </si>
  <si>
    <t>686051278</t>
  </si>
  <si>
    <t>246</t>
  </si>
  <si>
    <t>6112415x</t>
  </si>
  <si>
    <t>lemování střešních oken na profilované krytiny 114x160cm</t>
  </si>
  <si>
    <t>-119302721</t>
  </si>
  <si>
    <t>247</t>
  </si>
  <si>
    <t>6112423x</t>
  </si>
  <si>
    <t>manžeta z parotěsné fólie pro střešní okno 114x160cm</t>
  </si>
  <si>
    <t>-1237366930</t>
  </si>
  <si>
    <t>248</t>
  </si>
  <si>
    <t>6112406x</t>
  </si>
  <si>
    <t>zateplovací sada střešních oken rám 114x160cm</t>
  </si>
  <si>
    <t>824213445</t>
  </si>
  <si>
    <t>249</t>
  </si>
  <si>
    <t>766694112</t>
  </si>
  <si>
    <t>Montáž ostatních truhlářských konstrukcí parapetních desek dřevěných nebo plastových šířky do 300 mm, délky přes 1000 do 1600 mm</t>
  </si>
  <si>
    <t>1131802924</t>
  </si>
  <si>
    <t>https://podminky.urs.cz/item/CS_URS_2022_02/766694112</t>
  </si>
  <si>
    <t>3 "okno na schodišti</t>
  </si>
  <si>
    <t>250</t>
  </si>
  <si>
    <t>60794102</t>
  </si>
  <si>
    <t>parapet dřevotřískový vnitřní povrch laminátový š 260mm</t>
  </si>
  <si>
    <t>-524044125</t>
  </si>
  <si>
    <t>3*1,2 "okno na schodišti</t>
  </si>
  <si>
    <t>251</t>
  </si>
  <si>
    <t>60794003</t>
  </si>
  <si>
    <t>parapet dřevotřískový vnitřní povrch laminátový zažehlené hrany</t>
  </si>
  <si>
    <t>444093473</t>
  </si>
  <si>
    <t>252</t>
  </si>
  <si>
    <t>766694113</t>
  </si>
  <si>
    <t>Montáž ostatních truhlářských konstrukcí parapetních desek dřevěných nebo plastových šířky do 300 mm, délky přes 1600 do 2600 mm</t>
  </si>
  <si>
    <t>-1482105163</t>
  </si>
  <si>
    <t>https://podminky.urs.cz/item/CS_URS_2022_02/766694113</t>
  </si>
  <si>
    <t>1 "okno v 4.NP štítová stěna</t>
  </si>
  <si>
    <t>253</t>
  </si>
  <si>
    <t>-1549387864</t>
  </si>
  <si>
    <t>254</t>
  </si>
  <si>
    <t>71164051</t>
  </si>
  <si>
    <t>255</t>
  </si>
  <si>
    <t>766-spec.01</t>
  </si>
  <si>
    <t>Příplatek ovládání okna elektronicky</t>
  </si>
  <si>
    <t>749237417</t>
  </si>
  <si>
    <t>2 "§2 dle výkresu 4.NP nový stav</t>
  </si>
  <si>
    <t>256</t>
  </si>
  <si>
    <t>766-spec.02</t>
  </si>
  <si>
    <t>Z/01 Dřevěné madlo na ocelové konstrukci dl. 3380 mm</t>
  </si>
  <si>
    <t>-1891514163</t>
  </si>
  <si>
    <t>257</t>
  </si>
  <si>
    <t>766-spec.03</t>
  </si>
  <si>
    <t>Z/05 Dřevěné madlo na ocelové konstrukci dl. 3690 mm</t>
  </si>
  <si>
    <t>-1315788940</t>
  </si>
  <si>
    <t>258</t>
  </si>
  <si>
    <t>766-spec.04</t>
  </si>
  <si>
    <t>Repase stávajících madel na hl.schodišti v horní části 4.NP</t>
  </si>
  <si>
    <t>-663415849</t>
  </si>
  <si>
    <t>259</t>
  </si>
  <si>
    <t>998766203</t>
  </si>
  <si>
    <t>Přesun hmot pro konstrukce truhlářské stanovený procentní sazbou (%) z ceny vodorovná dopravní vzdálenost do 50 m v objektech výšky přes 12 do 24 m</t>
  </si>
  <si>
    <t>2140423945</t>
  </si>
  <si>
    <t>https://podminky.urs.cz/item/CS_URS_2022_02/998766203</t>
  </si>
  <si>
    <t>767</t>
  </si>
  <si>
    <t>Konstrukce zámečnické</t>
  </si>
  <si>
    <t>260</t>
  </si>
  <si>
    <t>767610127</t>
  </si>
  <si>
    <t>Montáž oken jednoduchých z hliníkových nebo ocelových profilů na polyuretanovou pěnu otevíravých do zdiva, plochy přes 1,5 do 2,5 m2</t>
  </si>
  <si>
    <t>1543897962</t>
  </si>
  <si>
    <t>https://podminky.urs.cz/item/CS_URS_2022_02/767610127</t>
  </si>
  <si>
    <t>1,85*1,65 "okno v 4.NP štítová stěna</t>
  </si>
  <si>
    <t>261</t>
  </si>
  <si>
    <t>55341013</t>
  </si>
  <si>
    <t>okno Al otevíravé/sklopné trojsklo přes plochu 1m2 v 1,5-2,5m</t>
  </si>
  <si>
    <t>-998995063</t>
  </si>
  <si>
    <t>262</t>
  </si>
  <si>
    <t>767610128</t>
  </si>
  <si>
    <t>Montáž oken jednoduchých z hliníkových nebo ocelových profilů na polyuretanovou pěnu otevíravých do zdiva, plochy přes 2,5 m2</t>
  </si>
  <si>
    <t>-1306492447</t>
  </si>
  <si>
    <t>https://podminky.urs.cz/item/CS_URS_2022_02/767610128</t>
  </si>
  <si>
    <t>1,2*2,4*3 "okno na schodišti</t>
  </si>
  <si>
    <t>263</t>
  </si>
  <si>
    <t>1813209835</t>
  </si>
  <si>
    <t>264</t>
  </si>
  <si>
    <t>767627306</t>
  </si>
  <si>
    <t>Montáž oken zdvojených Příplatek k cenám za připojovací spáru mezi ostěním a rámem vnitřní parotěsnou páskou</t>
  </si>
  <si>
    <t>-1171600024</t>
  </si>
  <si>
    <t>https://podminky.urs.cz/item/CS_URS_2022_02/767627306</t>
  </si>
  <si>
    <t>(1,85*2+1,65*2) "okno v 4.NP štítová stěna</t>
  </si>
  <si>
    <t>(1,2*2+2,4*2)*3 "okno na schodišti</t>
  </si>
  <si>
    <t>(1,2*2+2,1*2) "vstupní dveře na schodiště</t>
  </si>
  <si>
    <t>265</t>
  </si>
  <si>
    <t>767627307</t>
  </si>
  <si>
    <t>Montáž oken zdvojených Příplatek k cenám za připojovací spáru mezi ostěním a rámem venkovní paropropustnou páskou</t>
  </si>
  <si>
    <t>-1942884006</t>
  </si>
  <si>
    <t>https://podminky.urs.cz/item/CS_URS_2022_02/767627307</t>
  </si>
  <si>
    <t>266</t>
  </si>
  <si>
    <t>767640111</t>
  </si>
  <si>
    <t>Montáž dveří ocelových nebo hliníkových vchodových jednokřídlových bez nadsvětlíku</t>
  </si>
  <si>
    <t>937688654</t>
  </si>
  <si>
    <t>https://podminky.urs.cz/item/CS_URS_2022_02/767640111</t>
  </si>
  <si>
    <t>1 "na schodiště</t>
  </si>
  <si>
    <t>267</t>
  </si>
  <si>
    <t>55341330</t>
  </si>
  <si>
    <t>dveře jednokřídlé Al plné max rozměru otvoru 2,42m2 bezpečnostní třídy RC2</t>
  </si>
  <si>
    <t>771342611</t>
  </si>
  <si>
    <t>1,2*2,1 "vstupní dveře na schodiště</t>
  </si>
  <si>
    <t>268</t>
  </si>
  <si>
    <t>54914136</t>
  </si>
  <si>
    <t>kování panikové madlo/klika</t>
  </si>
  <si>
    <t>1865505940</t>
  </si>
  <si>
    <t>269</t>
  </si>
  <si>
    <t>767649191</t>
  </si>
  <si>
    <t>Montáž dveří ocelových nebo hliníkových doplňků dveří samozavírače hydraulického</t>
  </si>
  <si>
    <t>570595668</t>
  </si>
  <si>
    <t>https://podminky.urs.cz/item/CS_URS_2022_02/767649191</t>
  </si>
  <si>
    <t>270</t>
  </si>
  <si>
    <t>-1400687250</t>
  </si>
  <si>
    <t>271</t>
  </si>
  <si>
    <t>767995113</t>
  </si>
  <si>
    <t>Montáž ostatních atypických zámečnických konstrukcí hmotnosti přes 10 do 20 kg</t>
  </si>
  <si>
    <t>kg</t>
  </si>
  <si>
    <t>-168629871</t>
  </si>
  <si>
    <t>https://podminky.urs.cz/item/CS_URS_2022_02/767995113</t>
  </si>
  <si>
    <t>14*3*21,9 "nosník vnitřního schodiště I180</t>
  </si>
  <si>
    <t>(10*3,5+2*3+2*3,65)*18,8 "nosník vnitřního schodiště U160</t>
  </si>
  <si>
    <t>272</t>
  </si>
  <si>
    <t>13010720</t>
  </si>
  <si>
    <t>ocel profilová jakost S235JR (11 375) průřez I (IPN) 180</t>
  </si>
  <si>
    <t>-486048789</t>
  </si>
  <si>
    <t>14*3*21,9/1000 "nosník vnitřního schodiště I180</t>
  </si>
  <si>
    <t>0,92*1,1 'Přepočtené koeficientem množství</t>
  </si>
  <si>
    <t>273</t>
  </si>
  <si>
    <t>13010822</t>
  </si>
  <si>
    <t>ocel profilová jakost S235JR (11 375) průřez U (UPN) 160</t>
  </si>
  <si>
    <t>-1778230284</t>
  </si>
  <si>
    <t>(10*3,5+2*3+2*3,65)*18,8/1000 "nosník vnitřního schodiště U160</t>
  </si>
  <si>
    <t>0,908*1,1 'Přepočtené koeficientem množství</t>
  </si>
  <si>
    <t>274</t>
  </si>
  <si>
    <t>767995114</t>
  </si>
  <si>
    <t>Montáž ostatních atypických zámečnických konstrukcí hmotnosti přes 20 do 50 kg</t>
  </si>
  <si>
    <t>265911988</t>
  </si>
  <si>
    <t>https://podminky.urs.cz/item/CS_URS_2022_02/767995114</t>
  </si>
  <si>
    <t>31465 "ocelová konstrukce krovu</t>
  </si>
  <si>
    <t>275</t>
  </si>
  <si>
    <t>-957232254</t>
  </si>
  <si>
    <t>1316/1000 "pozice 1</t>
  </si>
  <si>
    <t>676,8/1000 "pozice 12</t>
  </si>
  <si>
    <t>676,8/1000 "pozice 21</t>
  </si>
  <si>
    <t>372,24/1000 "pozice 22</t>
  </si>
  <si>
    <t>251,92 /1000 "pozice 23</t>
  </si>
  <si>
    <t>432,4/1000 "pozice 24</t>
  </si>
  <si>
    <t>3,726*1,1 'Přepočtené koeficientem množství</t>
  </si>
  <si>
    <t>276</t>
  </si>
  <si>
    <t>13010826</t>
  </si>
  <si>
    <t>ocel profilová jakost S235JR (11 375) průřez U (UPN) 200</t>
  </si>
  <si>
    <t>-1668061879</t>
  </si>
  <si>
    <t>2605,9/1000 "pozice 27</t>
  </si>
  <si>
    <t>2,606*1,1 'Přepočtené koeficientem množství</t>
  </si>
  <si>
    <t>277</t>
  </si>
  <si>
    <t>13010830</t>
  </si>
  <si>
    <t>ocel profilová jakost S235JR (11 375) průřez U (UPN) 240</t>
  </si>
  <si>
    <t>-1005543798</t>
  </si>
  <si>
    <t>166/1000 "pozice 2</t>
  </si>
  <si>
    <t>2704 /1000 "pozice 3</t>
  </si>
  <si>
    <t>2704/1000 "pozice 4</t>
  </si>
  <si>
    <t>916/1000 "pozice 5</t>
  </si>
  <si>
    <t>916/1000 "pozice 6</t>
  </si>
  <si>
    <t>916/1000 "pozice 7</t>
  </si>
  <si>
    <t>1003/1000 "pozice 8</t>
  </si>
  <si>
    <t>1096/1000 "pozice 10</t>
  </si>
  <si>
    <t>1096/1000 "pozice 11</t>
  </si>
  <si>
    <t>863/1000 "pozice 13</t>
  </si>
  <si>
    <t>863/1000 "pozice 14</t>
  </si>
  <si>
    <t>1135/1000 "pozice 15</t>
  </si>
  <si>
    <t>1135/1000 "pozice 16</t>
  </si>
  <si>
    <t>863/1000 "pozice 17</t>
  </si>
  <si>
    <t>863/1000 "pozice 18</t>
  </si>
  <si>
    <t>903/1000 "pozice 19</t>
  </si>
  <si>
    <t>903/1000 "pozice 20</t>
  </si>
  <si>
    <t>19,045*1,1 'Přepočtené koeficientem množství</t>
  </si>
  <si>
    <t>278</t>
  </si>
  <si>
    <t>14550301</t>
  </si>
  <si>
    <t>profil ocelový svařovaný jakost S235 průřez čtvercový 100x100x5mm</t>
  </si>
  <si>
    <t>-1522801746</t>
  </si>
  <si>
    <t>117,6/1000 "pozice 9</t>
  </si>
  <si>
    <t>0,118*1,1 'Přepočtené koeficientem množství</t>
  </si>
  <si>
    <t>279</t>
  </si>
  <si>
    <t>13611228</t>
  </si>
  <si>
    <t>plech ocelový hladký jakost S235JR tl 10mm tabule</t>
  </si>
  <si>
    <t>1791899404</t>
  </si>
  <si>
    <t>128,79/1000 "pozice 25</t>
  </si>
  <si>
    <t>572,4/1000 "pozice 30</t>
  </si>
  <si>
    <t>0,701*1,1 'Přepočtené koeficientem množství</t>
  </si>
  <si>
    <t>280</t>
  </si>
  <si>
    <t>13611248</t>
  </si>
  <si>
    <t>plech ocelový hladký jakost S235JR tl 20mm tabule</t>
  </si>
  <si>
    <t>-1806756717</t>
  </si>
  <si>
    <t>1188/1000 "pozice 26</t>
  </si>
  <si>
    <t>1,188*1,1 'Přepočtené koeficientem množství</t>
  </si>
  <si>
    <t>281</t>
  </si>
  <si>
    <t>13011059</t>
  </si>
  <si>
    <t>úhelník ocelový nerovnostranný jakost S235JR (11 375) 150x100x12mm</t>
  </si>
  <si>
    <t>302378374</t>
  </si>
  <si>
    <t>115/1000 "pozice 28</t>
  </si>
  <si>
    <t>2668/1000 "pozice 31</t>
  </si>
  <si>
    <t>2,783*1,1 'Přepočtené koeficientem množství</t>
  </si>
  <si>
    <t>282</t>
  </si>
  <si>
    <t>13010017</t>
  </si>
  <si>
    <t>tyč ocelová kruhová jakost S235JR (11 375) D 24mm</t>
  </si>
  <si>
    <t>-1542034806</t>
  </si>
  <si>
    <t>1296/1000 "pozice 29</t>
  </si>
  <si>
    <t>1,296*1,1 'Přepočtené koeficientem množství</t>
  </si>
  <si>
    <t>283</t>
  </si>
  <si>
    <t>767-spec.02</t>
  </si>
  <si>
    <t>Z/02 Ocelové zábradlí s dřevěným madlem dl. 200 mm</t>
  </si>
  <si>
    <t>-2077645333</t>
  </si>
  <si>
    <t>284</t>
  </si>
  <si>
    <t>767-spec.03</t>
  </si>
  <si>
    <t>Z/03 Ocelové zábradlí s dřevěným madlem dl. 1350 mm</t>
  </si>
  <si>
    <t>602813772</t>
  </si>
  <si>
    <t>285</t>
  </si>
  <si>
    <t>767-spec.04</t>
  </si>
  <si>
    <t>Z//04 Ocelové zábradlí s dřevěným madlem dl. 3380 mm</t>
  </si>
  <si>
    <t>-1928740860</t>
  </si>
  <si>
    <t>286</t>
  </si>
  <si>
    <t>767-spec.05</t>
  </si>
  <si>
    <t>Z/05 Ocelové zábradlí s dřevěným madlem dl. 3690 mm</t>
  </si>
  <si>
    <t>1066659216</t>
  </si>
  <si>
    <t>287</t>
  </si>
  <si>
    <t>767-spec.06</t>
  </si>
  <si>
    <t>Ocelová konstrukce na atrese pro VZT</t>
  </si>
  <si>
    <t>1954117140</t>
  </si>
  <si>
    <t>288</t>
  </si>
  <si>
    <t>998767203</t>
  </si>
  <si>
    <t>Přesun hmot pro zámečnické konstrukce stanovený procentní sazbou (%) z ceny vodorovná dopravní vzdálenost do 50 m v objektech výšky přes 12 do 24 m</t>
  </si>
  <si>
    <t>1979085392</t>
  </si>
  <si>
    <t>https://podminky.urs.cz/item/CS_URS_2022_02/998767203</t>
  </si>
  <si>
    <t>289</t>
  </si>
  <si>
    <t>771111011</t>
  </si>
  <si>
    <t>Příprava podkladu před provedením dlažby vysátí podlah</t>
  </si>
  <si>
    <t>235167633</t>
  </si>
  <si>
    <t>https://podminky.urs.cz/item/CS_URS_2022_02/771111011</t>
  </si>
  <si>
    <t>2,6*1,3*3+2,6*1,5*3 "skladba P2a</t>
  </si>
  <si>
    <t>8,98+9,14+4,14 "skladba P1b</t>
  </si>
  <si>
    <t>290</t>
  </si>
  <si>
    <t>771111012</t>
  </si>
  <si>
    <t>Příprava podkladu před provedením dlažby vysátí schodišť</t>
  </si>
  <si>
    <t>-994961697</t>
  </si>
  <si>
    <t>https://podminky.urs.cz/item/CS_URS_2022_02/771111012</t>
  </si>
  <si>
    <t>1,3*10+1,3*11*5+1,3*12 "vnitřní schodiště</t>
  </si>
  <si>
    <t>291</t>
  </si>
  <si>
    <t>771121011</t>
  </si>
  <si>
    <t>Příprava podkladu před provedením dlažby nátěr penetrační na podlahu</t>
  </si>
  <si>
    <t>1244956568</t>
  </si>
  <si>
    <t>https://podminky.urs.cz/item/CS_URS_2022_02/771121011</t>
  </si>
  <si>
    <t>0,275*1,3*10+0,275*1,3*11*5+0,275*1,3*12 "vnitřní schodiště</t>
  </si>
  <si>
    <t>292</t>
  </si>
  <si>
    <t>771151012</t>
  </si>
  <si>
    <t>Příprava podkladu před provedením dlažby samonivelační stěrka min.pevnosti 20 MPa, tloušťky přes 3 do 5 mm</t>
  </si>
  <si>
    <t>-1174288066</t>
  </si>
  <si>
    <t>https://podminky.urs.cz/item/CS_URS_2022_02/771151012</t>
  </si>
  <si>
    <t>293</t>
  </si>
  <si>
    <t>771161022</t>
  </si>
  <si>
    <t>Příprava podkladu před provedením dlažby montáž profilu ukončujícího profilu pro schodové hrany a ukončení dlažby</t>
  </si>
  <si>
    <t>-353303166</t>
  </si>
  <si>
    <t>https://podminky.urs.cz/item/CS_URS_2022_02/771161022</t>
  </si>
  <si>
    <t>294</t>
  </si>
  <si>
    <t>59054143</t>
  </si>
  <si>
    <t>profil schodový protiskluzový ušlechtilá ocel V2A R10 V6 8x1000mm</t>
  </si>
  <si>
    <t>1399823418</t>
  </si>
  <si>
    <t>100,1*1,1 'Přepočtené koeficientem množství</t>
  </si>
  <si>
    <t>295</t>
  </si>
  <si>
    <t>771274123</t>
  </si>
  <si>
    <t>Montáž obkladů schodišť z dlaždic keramických lepených flexibilním lepidlem stupnic protiskluzných nebo reliéfních, šířky přes 250 do 300 mm</t>
  </si>
  <si>
    <t>997277458</t>
  </si>
  <si>
    <t>https://podminky.urs.cz/item/CS_URS_2022_02/771274123</t>
  </si>
  <si>
    <t>296</t>
  </si>
  <si>
    <t>59761409</t>
  </si>
  <si>
    <t>dlažba keramická slinutá protiskluzná do interiéru i exteriéru pro vysoké mechanické namáhání přes 9 do 12ks/m2</t>
  </si>
  <si>
    <t>-2139772679</t>
  </si>
  <si>
    <t>27,528*1,2 'Přepočtené koeficientem množství</t>
  </si>
  <si>
    <t>297</t>
  </si>
  <si>
    <t>771274232</t>
  </si>
  <si>
    <t>Montáž obkladů schodišť z dlaždic keramických lepených flexibilním lepidlem podstupnic hladkých, výšky přes 150 do 200 mm</t>
  </si>
  <si>
    <t>-2104652742</t>
  </si>
  <si>
    <t>https://podminky.urs.cz/item/CS_URS_2022_02/771274232</t>
  </si>
  <si>
    <t>298</t>
  </si>
  <si>
    <t>1620867285</t>
  </si>
  <si>
    <t>18,619*1,1 'Přepočtené koeficientem množství</t>
  </si>
  <si>
    <t>299</t>
  </si>
  <si>
    <t>771474113</t>
  </si>
  <si>
    <t>Montáž soklů z dlaždic keramických lepených flexibilním lepidlem rovných, výšky přes 90 do 120 mm</t>
  </si>
  <si>
    <t>-434374279</t>
  </si>
  <si>
    <t>https://podminky.urs.cz/item/CS_URS_2022_02/771474113</t>
  </si>
  <si>
    <t>300</t>
  </si>
  <si>
    <t>-925286196</t>
  </si>
  <si>
    <t>49,616*0,144 'Přepočtené koeficientem množství</t>
  </si>
  <si>
    <t>301</t>
  </si>
  <si>
    <t>771474133</t>
  </si>
  <si>
    <t>Montáž soklů z dlaždic keramických lepených flexibilním lepidlem schodišťových stupňovitých, výšky přes 90 do 120 mm</t>
  </si>
  <si>
    <t>801971419</t>
  </si>
  <si>
    <t>https://podminky.urs.cz/item/CS_URS_2022_02/771474133</t>
  </si>
  <si>
    <t>(0,275+0,186+0,12)*10+(0,275+0,186+0,12)*11*5+(0,275+0,186+0,12)*12 "vnitřní schodiště</t>
  </si>
  <si>
    <t>302</t>
  </si>
  <si>
    <t>-1609338621</t>
  </si>
  <si>
    <t>44,737*0,144 'Přepočtené koeficientem množství</t>
  </si>
  <si>
    <t>303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</si>
  <si>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</si>
  <si>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</si>
  <si>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-1031528773</t>
  </si>
  <si>
    <t>https://podminky.urs.cz/item/CS_URS_2022_02/771574263</t>
  </si>
  <si>
    <t>304</t>
  </si>
  <si>
    <t>224212721</t>
  </si>
  <si>
    <t>59,748*1,1 'Přepočtené koeficientem množství</t>
  </si>
  <si>
    <t>305</t>
  </si>
  <si>
    <t>771591112</t>
  </si>
  <si>
    <t>Izolace podlahy pod dlažbu nátěrem nebo stěrkou ve dvou vrstvách</t>
  </si>
  <si>
    <t>1301023037</t>
  </si>
  <si>
    <t>https://podminky.urs.cz/item/CS_URS_2022_02/771591112</t>
  </si>
  <si>
    <t>(18,4-1+0,3+0,3+24,52-1+0,3+0,3)*0,12 "skladba P1b vytaženi na stěnu 12 cm</t>
  </si>
  <si>
    <t>306</t>
  </si>
  <si>
    <t>771591115</t>
  </si>
  <si>
    <t>Podlahy - dokončovací práce spárování silikonem</t>
  </si>
  <si>
    <t>1962312347</t>
  </si>
  <si>
    <t>https://podminky.urs.cz/item/CS_URS_2022_02/771591115</t>
  </si>
  <si>
    <t>6*2+2,608*2 "skladba P2b styk dlažba sokl</t>
  </si>
  <si>
    <t>1,3*10+1,3*11*5+1,3*12 "vnitřní schodiště styk stupen podstupen</t>
  </si>
  <si>
    <t>(0,275+0,186+0,12)*10+(0,275+0,186+0,12)*11*5+(0,275+0,186+0,12)*12 "vnitřní schodiště styk podlaha stěna</t>
  </si>
  <si>
    <t>(2,6+1,3*2)*3+(2,6+1,5*2)*3 "skladba P2a styk dlažba sokl</t>
  </si>
  <si>
    <t>18,4-1+0,3+0,3+24,52-1+0,3+0,3 "skladba P1b styk dlažba obklad</t>
  </si>
  <si>
    <t>307</t>
  </si>
  <si>
    <t>771591117</t>
  </si>
  <si>
    <t>Podlahy - dokončovací práce spárování akrylem</t>
  </si>
  <si>
    <t>751041024</t>
  </si>
  <si>
    <t>https://podminky.urs.cz/item/CS_URS_2022_02/771591117</t>
  </si>
  <si>
    <t>6*2+2,608*2 "skladba P2b horní hrana soklu</t>
  </si>
  <si>
    <t>(0,275+0,186+0,12)*10+(0,275+0,186+0,12)*11*5+(0,275+0,186+0,12)*12 "vnitřní schodiště horni hrana sokklu</t>
  </si>
  <si>
    <t>(2,6+1,3*2)*3+(2,6+1,5*2)*3 "skladba P2a horní hrana soklu</t>
  </si>
  <si>
    <t>308</t>
  </si>
  <si>
    <t>771591241</t>
  </si>
  <si>
    <t>Izolace podlahy pod dlažbu těsnícími izolačními pásy vnitřní kout</t>
  </si>
  <si>
    <t>66278890</t>
  </si>
  <si>
    <t>https://podminky.urs.cz/item/CS_URS_2022_02/771591241</t>
  </si>
  <si>
    <t>13+17 "skladba P1b</t>
  </si>
  <si>
    <t>309</t>
  </si>
  <si>
    <t>771591242</t>
  </si>
  <si>
    <t>Izolace podlahy pod dlažbu těsnícími izolačními pásy vnější roh</t>
  </si>
  <si>
    <t>-1086841967</t>
  </si>
  <si>
    <t>https://podminky.urs.cz/item/CS_URS_2022_02/771591242</t>
  </si>
  <si>
    <t>2 "skladba P1b</t>
  </si>
  <si>
    <t>310</t>
  </si>
  <si>
    <t>771591264</t>
  </si>
  <si>
    <t>Izolace podlahy pod dlažbu těsnícími izolačními pásy mezi podlahou a stěnu</t>
  </si>
  <si>
    <t>-722507993</t>
  </si>
  <si>
    <t>https://podminky.urs.cz/item/CS_URS_2022_02/771591264</t>
  </si>
  <si>
    <t>18,4-1+0,3+0,3+24,52-1+0,3+0,3 "skladba P1b</t>
  </si>
  <si>
    <t>311</t>
  </si>
  <si>
    <t>771592011</t>
  </si>
  <si>
    <t>Čištění vnitřních ploch po položení dlažby podlah nebo schodišť chemickými prostředky</t>
  </si>
  <si>
    <t>-1406529086</t>
  </si>
  <si>
    <t>https://podminky.urs.cz/item/CS_URS_2022_02/771592011</t>
  </si>
  <si>
    <t>(1,3*10+1,3*11*5+1,3*12)*(0,186+0,275) "vnitřní schodiště</t>
  </si>
  <si>
    <t>312</t>
  </si>
  <si>
    <t>998771203</t>
  </si>
  <si>
    <t>Přesun hmot pro podlahy z dlaždic stanovený procentní sazbou (%) z ceny vodorovná dopravní vzdálenost do 50 m v objektech výšky přes 12 do 24 m</t>
  </si>
  <si>
    <t>423704300</t>
  </si>
  <si>
    <t>https://podminky.urs.cz/item/CS_URS_2022_02/998771203</t>
  </si>
  <si>
    <t>776</t>
  </si>
  <si>
    <t>Podlahy povlakové</t>
  </si>
  <si>
    <t>313</t>
  </si>
  <si>
    <t>776111311</t>
  </si>
  <si>
    <t>Příprava podkladu vysátí podlah</t>
  </si>
  <si>
    <t>886264617</t>
  </si>
  <si>
    <t>https://podminky.urs.cz/item/CS_URS_2022_02/776111311</t>
  </si>
  <si>
    <t>92+17,25+54,42+55,34+59,42+43,34+60,25+65,08+30,63 "skladba P1a</t>
  </si>
  <si>
    <t>314</t>
  </si>
  <si>
    <t>776121112</t>
  </si>
  <si>
    <t>Příprava podkladu penetrace vodou ředitelná podlah</t>
  </si>
  <si>
    <t>-4611770</t>
  </si>
  <si>
    <t>https://podminky.urs.cz/item/CS_URS_2022_02/776121112</t>
  </si>
  <si>
    <t>315</t>
  </si>
  <si>
    <t>776141113</t>
  </si>
  <si>
    <t>Příprava podkladu vyrovnání samonivelační stěrkou podlah min.pevnosti 20 MPa, tloušťky přes 5 do 8 mm</t>
  </si>
  <si>
    <t>-2005406986</t>
  </si>
  <si>
    <t>https://podminky.urs.cz/item/CS_URS_2022_02/776141113</t>
  </si>
  <si>
    <t>316</t>
  </si>
  <si>
    <t>776221111</t>
  </si>
  <si>
    <t>Montáž podlahovin z PVC lepením standardním lepidlem z pásů standardních</t>
  </si>
  <si>
    <t>-2067721376</t>
  </si>
  <si>
    <t>https://podminky.urs.cz/item/CS_URS_2022_02/776221111</t>
  </si>
  <si>
    <t>317</t>
  </si>
  <si>
    <t>28412245</t>
  </si>
  <si>
    <t>krytina podlahová heterogenní š 1,5m tl 2mm</t>
  </si>
  <si>
    <t>-777937382</t>
  </si>
  <si>
    <t>477,73*1,1 'Přepočtené koeficientem množství</t>
  </si>
  <si>
    <t>318</t>
  </si>
  <si>
    <t>776411111</t>
  </si>
  <si>
    <t>Montáž soklíků lepením obvodových, výšky do 80 mm</t>
  </si>
  <si>
    <t>-896709426</t>
  </si>
  <si>
    <t>https://podminky.urs.cz/item/CS_URS_2022_02/776411111</t>
  </si>
  <si>
    <t>55,43-0,9*11-1-1,55-3,5+17,7-0,9*2+30,2-0,9+29,5-0,9+31,15-0,9+30,94-0,9+26,35-0,9+32,2-0,9+32,46-0,9 "skladba P1a</t>
  </si>
  <si>
    <t>319</t>
  </si>
  <si>
    <t>28411008</t>
  </si>
  <si>
    <t>lišta soklová PVC 16x60mm</t>
  </si>
  <si>
    <t>-416941622</t>
  </si>
  <si>
    <t>261,88*1,1 'Přepočtené koeficientem množství</t>
  </si>
  <si>
    <t>320</t>
  </si>
  <si>
    <t>776991121</t>
  </si>
  <si>
    <t>Ostatní práce údržba nových podlahovin po pokládce čištění základní</t>
  </si>
  <si>
    <t>-284538019</t>
  </si>
  <si>
    <t>https://podminky.urs.cz/item/CS_URS_2022_02/776991121</t>
  </si>
  <si>
    <t>321</t>
  </si>
  <si>
    <t>998776203</t>
  </si>
  <si>
    <t>Přesun hmot pro podlahy povlakové stanovený procentní sazbou (%) z ceny vodorovná dopravní vzdálenost do 50 m v objektech výšky přes 12 do 24 m</t>
  </si>
  <si>
    <t>174589465</t>
  </si>
  <si>
    <t>https://podminky.urs.cz/item/CS_URS_2022_02/998776203</t>
  </si>
  <si>
    <t>777</t>
  </si>
  <si>
    <t>Podlahy lité</t>
  </si>
  <si>
    <t>322</t>
  </si>
  <si>
    <t>777111111</t>
  </si>
  <si>
    <t>Příprava podkladu před provedením litých podlah vysátí</t>
  </si>
  <si>
    <t>-1507332618</t>
  </si>
  <si>
    <t>https://podminky.urs.cz/item/CS_URS_2022_02/777111111</t>
  </si>
  <si>
    <t>1,62+19,95+4,87 "skladba P1c</t>
  </si>
  <si>
    <t>323</t>
  </si>
  <si>
    <t>777131101</t>
  </si>
  <si>
    <t>Penetrační nátěr podlahy epoxidový na podklad suchý a vyzrálý</t>
  </si>
  <si>
    <t>-829734009</t>
  </si>
  <si>
    <t>https://podminky.urs.cz/item/CS_URS_2022_02/777131101</t>
  </si>
  <si>
    <t>324</t>
  </si>
  <si>
    <t>777511103</t>
  </si>
  <si>
    <t>Krycí stěrka dekorativní epoxidová, tloušťky přes 1 do 2 mm</t>
  </si>
  <si>
    <t>-1797646177</t>
  </si>
  <si>
    <t>https://podminky.urs.cz/item/CS_URS_2022_02/777511103</t>
  </si>
  <si>
    <t>325</t>
  </si>
  <si>
    <t>777611101</t>
  </si>
  <si>
    <t>Krycí nátěr podlahy dekorativní epoxidový</t>
  </si>
  <si>
    <t>-1152754939</t>
  </si>
  <si>
    <t>https://podminky.urs.cz/item/CS_URS_2022_02/777611101</t>
  </si>
  <si>
    <t>326</t>
  </si>
  <si>
    <t>777911113</t>
  </si>
  <si>
    <t>Napojení na stěnu nebo sokl fabionem z epoxidové stěrky plněné pískem a výplňovým spárovým profilem s trvale pružným tmelem pohyblivé</t>
  </si>
  <si>
    <t>-90565434</t>
  </si>
  <si>
    <t>https://podminky.urs.cz/item/CS_URS_2022_02/777911113</t>
  </si>
  <si>
    <t>5,02-0,9-0,7-1+19,92-1+8,9-0,7 "skladba P1c</t>
  </si>
  <si>
    <t>327</t>
  </si>
  <si>
    <t>998777203</t>
  </si>
  <si>
    <t>Přesun hmot pro podlahy lité stanovený procentní sazbou (%) z ceny vodorovná dopravní vzdálenost do 50 m v objektech výšky přes 12 do 24 m</t>
  </si>
  <si>
    <t>-1295274945</t>
  </si>
  <si>
    <t>https://podminky.urs.cz/item/CS_URS_2022_02/998777203</t>
  </si>
  <si>
    <t>781</t>
  </si>
  <si>
    <t>Dokončovací práce - obklady</t>
  </si>
  <si>
    <t>328</t>
  </si>
  <si>
    <t>781111011</t>
  </si>
  <si>
    <t>Příprava podkladu před provedením obkladu oprášení (ometení) stěny</t>
  </si>
  <si>
    <t>-431304578</t>
  </si>
  <si>
    <t>https://podminky.urs.cz/item/CS_URS_2022_02/781111011</t>
  </si>
  <si>
    <t>(10,09+6+5,25+10,09+6+5,3+8,33)*2,1-(0,7*1,97*3*2)-0,9*1,97-(0,7*1,97*2*2)-0,9*1,97 "obklady WC</t>
  </si>
  <si>
    <t>329</t>
  </si>
  <si>
    <t>781121011</t>
  </si>
  <si>
    <t>Příprava podkladu před provedením obkladu nátěr penetrační na stěnu</t>
  </si>
  <si>
    <t>-12986261</t>
  </si>
  <si>
    <t>https://podminky.urs.cz/item/CS_URS_2022_02/781121011</t>
  </si>
  <si>
    <t>330</t>
  </si>
  <si>
    <t>781474112</t>
  </si>
  <si>
    <t>Montáž obkladů vnitřních stěn z dlaždic keramických lepených flexibilním lepidlem maloformátových hladkých přes 9 do 12 ks/m2</t>
  </si>
  <si>
    <t>1315292406</t>
  </si>
  <si>
    <t>https://podminky.urs.cz/item/CS_URS_2022_02/781474112</t>
  </si>
  <si>
    <t>331</t>
  </si>
  <si>
    <t>59761026</t>
  </si>
  <si>
    <t>obklad keramický hladký do 12ks/m2</t>
  </si>
  <si>
    <t>-1362702345</t>
  </si>
  <si>
    <t>103,39*1,1 'Přepočtené koeficientem množství</t>
  </si>
  <si>
    <t>332</t>
  </si>
  <si>
    <t>781477111</t>
  </si>
  <si>
    <t>Montáž obkladů vnitřních stěn z dlaždic keramických Příplatek k cenám za plochu do 10 m2 jednotlivě</t>
  </si>
  <si>
    <t>878892668</t>
  </si>
  <si>
    <t>https://podminky.urs.cz/item/CS_URS_2022_02/781477111</t>
  </si>
  <si>
    <t>333</t>
  </si>
  <si>
    <t>781494111</t>
  </si>
  <si>
    <t>Obklad - dokončující práce profily ukončovací lepené flexibilním lepidlem rohové</t>
  </si>
  <si>
    <t>-714933397</t>
  </si>
  <si>
    <t>https://podminky.urs.cz/item/CS_URS_2022_02/781494111</t>
  </si>
  <si>
    <t>2*2,1+1,9+1,9+1,95 "WC</t>
  </si>
  <si>
    <t>1,5*3*6 "předstěna pro umyvadla v učebnách</t>
  </si>
  <si>
    <t>334</t>
  </si>
  <si>
    <t>781495115</t>
  </si>
  <si>
    <t>Obklad - dokončující práce ostatní práce spárování silikonem</t>
  </si>
  <si>
    <t>1847463977</t>
  </si>
  <si>
    <t>https://podminky.urs.cz/item/CS_URS_2022_02/781495115</t>
  </si>
  <si>
    <t>(13+17)*2,1 "WC vnitřní kout</t>
  </si>
  <si>
    <t>335</t>
  </si>
  <si>
    <t>781495211</t>
  </si>
  <si>
    <t>Čištění vnitřních ploch po provedení obkladu stěn chemickými prostředky</t>
  </si>
  <si>
    <t>-672277464</t>
  </si>
  <si>
    <t>https://podminky.urs.cz/item/CS_URS_2022_02/781495211</t>
  </si>
  <si>
    <t>336</t>
  </si>
  <si>
    <t>998781203</t>
  </si>
  <si>
    <t>Přesun hmot pro obklady keramické stanovený procentní sazbou (%) z ceny vodorovná dopravní vzdálenost do 50 m v objektech výšky přes 12 do 24 m</t>
  </si>
  <si>
    <t>-1010865114</t>
  </si>
  <si>
    <t>https://podminky.urs.cz/item/CS_URS_2022_02/998781203</t>
  </si>
  <si>
    <t>782</t>
  </si>
  <si>
    <t>Dokončovací práce - obklady z kamene</t>
  </si>
  <si>
    <t>337</t>
  </si>
  <si>
    <t>782132412</t>
  </si>
  <si>
    <t>Montáž obkladů stěn z tvrdých kamenů kladených do lepidla ze zlomků desek s upravením stran na místě přisekáním tl. přes 25 do 30 mm</t>
  </si>
  <si>
    <t>-851451919</t>
  </si>
  <si>
    <t>https://podminky.urs.cz/item/CS_URS_2022_02/782132412</t>
  </si>
  <si>
    <t>338</t>
  </si>
  <si>
    <t>58384673</t>
  </si>
  <si>
    <t>kámen nepravidelný pískovec pískový obklad/dlažba D 100-500mm tl 20-40mm</t>
  </si>
  <si>
    <t>855711595</t>
  </si>
  <si>
    <t>1,5*1,5 'Přepočtené koeficientem množství</t>
  </si>
  <si>
    <t>339</t>
  </si>
  <si>
    <t>998782201</t>
  </si>
  <si>
    <t>Přesun hmot pro obklady kamenné stanovený procentní sazbou (%) z ceny vodorovná dopravní vzdálenost do 50 m v objektech výšky do 6 m</t>
  </si>
  <si>
    <t>611521068</t>
  </si>
  <si>
    <t>https://podminky.urs.cz/item/CS_URS_2022_02/998782201</t>
  </si>
  <si>
    <t>783</t>
  </si>
  <si>
    <t>Dokončovací práce - nátěry</t>
  </si>
  <si>
    <t>340</t>
  </si>
  <si>
    <t>783301313</t>
  </si>
  <si>
    <t>Příprava podkladu zámečnických konstrukcí před provedením nátěru odmaštění odmašťovačem ředidlovým</t>
  </si>
  <si>
    <t>1286278819</t>
  </si>
  <si>
    <t>https://podminky.urs.cz/item/CS_URS_2022_02/783301313</t>
  </si>
  <si>
    <t>(2*35+2*18+2*18+2*9,9+2*6,7+2*11,5)*0,546 "U160</t>
  </si>
  <si>
    <t>103*0,661 "U200</t>
  </si>
  <si>
    <t>(2*2,5+2*40,73*2+2*13,8*3+2*15,1+2*16,5*2+2*18+2*13*2+2*17,1*2+2*13*2+2*13,6*2)*0,775 "U240</t>
  </si>
  <si>
    <t>0,4*8 "JA 100/100</t>
  </si>
  <si>
    <t>0,1*0,2*2*(81+240) "PL100/10</t>
  </si>
  <si>
    <t>0,55*0,5*2*27 "plech tl. 20 mm</t>
  </si>
  <si>
    <t>(0,16*2+0,1*2)*(5+116) "L160/100</t>
  </si>
  <si>
    <t>360*0,075398 "kulatina 24</t>
  </si>
  <si>
    <t>14*3*0,64 "nosník vnitřního schodiště I180</t>
  </si>
  <si>
    <t>(10*3,5+2*3+2*3,65)*0,546 "nosník vnitřního schodiště U160</t>
  </si>
  <si>
    <t>341</t>
  </si>
  <si>
    <t>783301401</t>
  </si>
  <si>
    <t>Příprava podkladu zámečnických konstrukcí před provedením nátěru ometení</t>
  </si>
  <si>
    <t>955435619</t>
  </si>
  <si>
    <t>https://podminky.urs.cz/item/CS_URS_2022_02/783301401</t>
  </si>
  <si>
    <t>342</t>
  </si>
  <si>
    <t>783314203</t>
  </si>
  <si>
    <t>Základní antikorozní nátěr zámečnických konstrukcí jednonásobný syntetický samozákladující</t>
  </si>
  <si>
    <t>2066112553</t>
  </si>
  <si>
    <t>https://podminky.urs.cz/item/CS_URS_2022_02/783314203</t>
  </si>
  <si>
    <t>784</t>
  </si>
  <si>
    <t>Dokončovací práce - malby a tapety</t>
  </si>
  <si>
    <t>343</t>
  </si>
  <si>
    <t>784111001</t>
  </si>
  <si>
    <t>Oprášení (ometení) podkladu v místnostech výšky do 3,80 m</t>
  </si>
  <si>
    <t>1556390695</t>
  </si>
  <si>
    <t>https://podminky.urs.cz/item/CS_URS_2022_02/784111001</t>
  </si>
  <si>
    <t>10,21*3,6+20,63*2+(7+7,2+2,8+0,8+4+1,1+3,9+2,8+2)*3,6*2 "stěny v 4.NP</t>
  </si>
  <si>
    <t>(4,8+1,2+1+1+3+1+4,8+1,2+1+1+1+3)*3*2 "stěny ve 4.NP WC</t>
  </si>
  <si>
    <t>-103,39 "odpočet obklad</t>
  </si>
  <si>
    <t>344</t>
  </si>
  <si>
    <t>784181101</t>
  </si>
  <si>
    <t>Penetrace podkladu jednonásobná základní akrylátová bezbarvá v místnostech výšky do 3,80 m</t>
  </si>
  <si>
    <t>-1597647843</t>
  </si>
  <si>
    <t>https://podminky.urs.cz/item/CS_URS_2022_02/784181101</t>
  </si>
  <si>
    <t>345</t>
  </si>
  <si>
    <t>784211101</t>
  </si>
  <si>
    <t>Malby z malířských směsí oděruvzdorných za mokra dvojnásobné, bílé za mokra oděruvzdorné výborně v místnostech výšky do 3,80 m</t>
  </si>
  <si>
    <t>1372326501</t>
  </si>
  <si>
    <t>https://podminky.urs.cz/item/CS_URS_2022_02/784211101</t>
  </si>
  <si>
    <t>786</t>
  </si>
  <si>
    <t>Dokončovací práce - čalounické úpravy</t>
  </si>
  <si>
    <t>346</t>
  </si>
  <si>
    <t>786623111</t>
  </si>
  <si>
    <t>Montáž zastiňujících žaluzií lamelových vnitřních manuálně ovládaných, do oken střešních</t>
  </si>
  <si>
    <t>-1209652865</t>
  </si>
  <si>
    <t>https://podminky.urs.cz/item/CS_URS_2022_02/786623111</t>
  </si>
  <si>
    <t>347</t>
  </si>
  <si>
    <t>61124044</t>
  </si>
  <si>
    <t>roleta vnitřní střešních oken rozměru do 78x160cm</t>
  </si>
  <si>
    <t>-1861626797</t>
  </si>
  <si>
    <t>348</t>
  </si>
  <si>
    <t>6112418x</t>
  </si>
  <si>
    <t>roleta vnitřní střešních oken rozměru do 114x160cm</t>
  </si>
  <si>
    <t>187165495</t>
  </si>
  <si>
    <t>349</t>
  </si>
  <si>
    <t>786626121</t>
  </si>
  <si>
    <t>Montáž zastiňujících žaluzií lamelových vnitřních nebo do oken dvojitých kovových</t>
  </si>
  <si>
    <t>1234827232</t>
  </si>
  <si>
    <t>https://podminky.urs.cz/item/CS_URS_2022_02/786626121</t>
  </si>
  <si>
    <t>1,85*1,35 "štítové okno</t>
  </si>
  <si>
    <t>350</t>
  </si>
  <si>
    <t>55346200</t>
  </si>
  <si>
    <t>žaluzie horizontální interiérové</t>
  </si>
  <si>
    <t>826388505</t>
  </si>
  <si>
    <t>351</t>
  </si>
  <si>
    <t>998786203</t>
  </si>
  <si>
    <t>Přesun hmot pro stínění a čalounické úpravy stanovený procentní sazbou (%) z ceny vodorovná dopravní vzdálenost do 50 m v objektech výšky přes 12 do 24 m</t>
  </si>
  <si>
    <t>418925082</t>
  </si>
  <si>
    <t>https://podminky.urs.cz/item/CS_URS_2022_02/998786203</t>
  </si>
  <si>
    <t>HZS</t>
  </si>
  <si>
    <t>Hodinové zúčtovací sazby</t>
  </si>
  <si>
    <t>352</t>
  </si>
  <si>
    <t>HZS1442</t>
  </si>
  <si>
    <t>Hodinové zúčtovací sazby profesí HSV provádění konstrukcí inženýrských a dopravních staveb svářeč kvalifikovaný</t>
  </si>
  <si>
    <t>512</t>
  </si>
  <si>
    <t>1765942767</t>
  </si>
  <si>
    <t>https://podminky.urs.cz/item/CS_URS_2022_02/HZS1442</t>
  </si>
  <si>
    <t>300 "ocelová konstrukce krovu</t>
  </si>
  <si>
    <t>OST</t>
  </si>
  <si>
    <t>Ostatní</t>
  </si>
  <si>
    <t>353</t>
  </si>
  <si>
    <t>OST-spec.01</t>
  </si>
  <si>
    <t>Úprava výtahu a výtahových dveří</t>
  </si>
  <si>
    <t>1816465899</t>
  </si>
  <si>
    <t>354</t>
  </si>
  <si>
    <t>OST-spec.02</t>
  </si>
  <si>
    <t>Záchytný systém na střechu</t>
  </si>
  <si>
    <t>-576123624</t>
  </si>
  <si>
    <t>355</t>
  </si>
  <si>
    <t>OST-spec.03</t>
  </si>
  <si>
    <t>Požární ucpávky dle PBŘ</t>
  </si>
  <si>
    <t>1294657073</t>
  </si>
  <si>
    <t>356</t>
  </si>
  <si>
    <t>OST-spec.04</t>
  </si>
  <si>
    <t>Požární značení uníkových cest dle PBŘ</t>
  </si>
  <si>
    <t>120317895</t>
  </si>
  <si>
    <t>03 -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</si>
  <si>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</si>
  <si>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</si>
  <si>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</si>
  <si>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</si>
  <si>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</si>
  <si>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>VRN1</t>
  </si>
  <si>
    <t>Průzkumné, geodetické a projektové práce</t>
  </si>
  <si>
    <t>011434000</t>
  </si>
  <si>
    <t>Akustické měření</t>
  </si>
  <si>
    <t>1606870696</t>
  </si>
  <si>
    <t>https://podminky.urs.cz/item/CS_URS_2022_02/011434000</t>
  </si>
  <si>
    <t>P</t>
  </si>
  <si>
    <t>Poznámka k položce:
Zhotovitel zajistí a do své ceny zahrne studii zvukové pohltivosti prostoru všech učeben (doba dozvuku)</t>
  </si>
  <si>
    <t>011503000</t>
  </si>
  <si>
    <t>Stavební průzkum bez rozlišení (mykologický průzkum)</t>
  </si>
  <si>
    <t>1261746096</t>
  </si>
  <si>
    <t>https://podminky.urs.cz/item/CS_URS_2022_02/011503000</t>
  </si>
  <si>
    <t>013124000</t>
  </si>
  <si>
    <t>Hluková studie</t>
  </si>
  <si>
    <t>1095162144</t>
  </si>
  <si>
    <t>https://podminky.urs.cz/item/CS_URS_2022_02/013124000</t>
  </si>
  <si>
    <t>013194000</t>
  </si>
  <si>
    <t>Ostatní záměry a studie (posouuzení denního osvětlení)</t>
  </si>
  <si>
    <t>1549145560</t>
  </si>
  <si>
    <t>https://podminky.urs.cz/item/CS_URS_2022_02/013194000</t>
  </si>
  <si>
    <t>013244000</t>
  </si>
  <si>
    <t>Dokumentace pro provádění stavby (výrobní)</t>
  </si>
  <si>
    <t>2040815821</t>
  </si>
  <si>
    <t>https://podminky.urs.cz/item/CS_URS_2022_02/013244000</t>
  </si>
  <si>
    <t>013244000a</t>
  </si>
  <si>
    <t>Dokumentace pro provádění stavby (návrh záchytného systému)</t>
  </si>
  <si>
    <t>-201719329</t>
  </si>
  <si>
    <t>013254000</t>
  </si>
  <si>
    <t>Dokumentace skutečného provedení stavby</t>
  </si>
  <si>
    <t>1650223167</t>
  </si>
  <si>
    <t>https://podminky.urs.cz/item/CS_URS_2022_02/013254000</t>
  </si>
  <si>
    <t>Poznámka k položce:
Výkresovou část ve formátu dwg, textovou část ve formátu doc a kopie dokladové části ve formátu pdf, vše 1 x na CD a ve trojím vyhotovení v tištěné podobě</t>
  </si>
  <si>
    <t>013274000</t>
  </si>
  <si>
    <t>Pasportizace objektu před započetím prací</t>
  </si>
  <si>
    <t>2131170638</t>
  </si>
  <si>
    <t>https://podminky.urs.cz/item/CS_URS_2022_02/013274000</t>
  </si>
  <si>
    <t>013284000</t>
  </si>
  <si>
    <t>Pasportizace objektu po provedení prací</t>
  </si>
  <si>
    <t>98748650</t>
  </si>
  <si>
    <t>https://podminky.urs.cz/item/CS_URS_2022_02/013284000</t>
  </si>
  <si>
    <t>013294000</t>
  </si>
  <si>
    <t>Ostatní dokumentace</t>
  </si>
  <si>
    <t>890083152</t>
  </si>
  <si>
    <t>https://podminky.urs.cz/item/CS_URS_2022_02/013294000</t>
  </si>
  <si>
    <t>Poznámka k položce:
- zpracování návrhů provozních řádů, návodů a pokynů pro důležitá zařízení
- jemné provozní zaregulování a oživení systémů „technických a technologických zařízení“, což je možné až v provozních podmínkách po uvedení stavby do provozu
- vypracování softwarového zajištění systému MaR
- spolupráci na dokumentaci zdolávání požáru
- na zkušební provoz</t>
  </si>
  <si>
    <t>VRN3</t>
  </si>
  <si>
    <t>Zařízení staveniště</t>
  </si>
  <si>
    <t>030001000</t>
  </si>
  <si>
    <t>-891390618</t>
  </si>
  <si>
    <t>https://podminky.urs.cz/item/CS_URS_2022_02/030001000</t>
  </si>
  <si>
    <t>033002000</t>
  </si>
  <si>
    <t>Připojení staveniště na inženýrské sítě vč. spotřeby energií</t>
  </si>
  <si>
    <t>-1654011412</t>
  </si>
  <si>
    <t>https://podminky.urs.cz/item/CS_URS_2022_02/033002000</t>
  </si>
  <si>
    <t>035002000</t>
  </si>
  <si>
    <t>Pronájmy ploch, objektů</t>
  </si>
  <si>
    <t>1709301380</t>
  </si>
  <si>
    <t>https://podminky.urs.cz/item/CS_URS_2022_02/035002000</t>
  </si>
  <si>
    <t>VRN4</t>
  </si>
  <si>
    <t>Inženýrská činnost</t>
  </si>
  <si>
    <t>041403000</t>
  </si>
  <si>
    <t>Koordinátor BOZP na staveništi</t>
  </si>
  <si>
    <t>69952879</t>
  </si>
  <si>
    <t>https://podminky.urs.cz/item/CS_URS_2022_02/041403000</t>
  </si>
  <si>
    <t>VRN5</t>
  </si>
  <si>
    <t>Finanční náklady</t>
  </si>
  <si>
    <t>052103000</t>
  </si>
  <si>
    <t>Rezerva investora</t>
  </si>
  <si>
    <t>573312215</t>
  </si>
  <si>
    <t>https://podminky.urs.cz/item/CS_URS_2022_02/052103000</t>
  </si>
  <si>
    <t>052203000</t>
  </si>
  <si>
    <t>Rezerva dodavatele (na případné akustické opatření)</t>
  </si>
  <si>
    <t>1817139731</t>
  </si>
  <si>
    <t>https://podminky.urs.cz/item/CS_URS_2022_02/052203000</t>
  </si>
  <si>
    <t>VRN6</t>
  </si>
  <si>
    <t>Územní vlivy</t>
  </si>
  <si>
    <t>065002000</t>
  </si>
  <si>
    <t>Mimostaveništní doprava materiálů</t>
  </si>
  <si>
    <t>-305588826</t>
  </si>
  <si>
    <t>https://podminky.urs.cz/item/CS_URS_2022_02/065002000</t>
  </si>
  <si>
    <t>094104000</t>
  </si>
  <si>
    <t>Náklady na opatření BOZP</t>
  </si>
  <si>
    <t>-1030814264</t>
  </si>
  <si>
    <t>https://podminky.urs.cz/item/CS_URS_2022_02/094104000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</si>
  <si>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</si>
  <si>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</si>
  <si>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</si>
  <si>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</si>
  <si>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</si>
  <si>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</si>
  <si>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</si>
  <si>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</si>
  <si>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</si>
  <si>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</si>
  <si>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</si>
  <si>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</si>
  <si>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</si>
  <si>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</si>
  <si>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</si>
  <si>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</si>
  <si>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</si>
  <si>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</si>
  <si>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</si>
  <si>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</si>
  <si>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</si>
  <si>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</si>
  <si>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</si>
  <si>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</si>
  <si>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</si>
  <si>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</si>
  <si>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</si>
  <si>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</si>
  <si>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</si>
  <si>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</si>
  <si>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</si>
  <si>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</si>
  <si>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</si>
  <si>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</si>
  <si>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</si>
  <si>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</si>
  <si>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</si>
  <si>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</si>
  <si>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</si>
  <si>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</si>
  <si>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</si>
  <si>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</si>
  <si>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</si>
  <si>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</si>
  <si>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</si>
  <si>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</si>
  <si>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</si>
  <si>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</si>
  <si>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</si>
  <si>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</si>
  <si>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</si>
  <si>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</si>
  <si>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</si>
  <si>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</si>
  <si>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</si>
  <si>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</si>
  <si>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</si>
  <si>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</si>
  <si>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</si>
  <si>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</si>
  <si>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</si>
  <si>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</si>
  <si>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</si>
  <si>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</si>
  <si>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</si>
  <si>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</si>
  <si>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</si>
  <si>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</si>
  <si>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</si>
  <si>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</si>
  <si>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</si>
  <si>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</si>
  <si>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</si>
  <si>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</si>
  <si>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</si>
  <si>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</si>
  <si>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</si>
  <si>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</si>
  <si>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</si>
  <si>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</si>
  <si>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</si>
  <si>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</si>
  <si>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</si>
  <si>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</si>
  <si>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</si>
  <si>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</si>
  <si>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</si>
  <si>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</si>
  <si>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</si>
  <si>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</si>
  <si>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</si>
  <si>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</si>
  <si>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</si>
  <si>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</si>
  <si>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</si>
  <si>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</si>
  <si>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</si>
  <si>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</si>
  <si>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</si>
  <si>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</si>
  <si>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</si>
  <si>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</si>
  <si>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</si>
  <si>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</si>
  <si>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</si>
  <si>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</si>
  <si>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</si>
  <si>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</si>
  <si>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</si>
  <si>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</si>
  <si>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</si>
  <si>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</si>
  <si>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</si>
  <si>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</si>
  <si>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</si>
  <si>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</si>
  <si>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</si>
  <si>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</si>
  <si>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</si>
  <si>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</si>
  <si>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</si>
  <si>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</si>
  <si>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</si>
  <si>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</si>
  <si>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</si>
  <si>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</si>
  <si>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</si>
  <si>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</si>
  <si>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</si>
  <si>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</si>
  <si>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</si>
  <si>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</si>
  <si>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</si>
  <si>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</si>
  <si>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</si>
  <si>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</si>
  <si>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</si>
  <si>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</si>
  <si>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</si>
  <si>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</si>
  <si>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</si>
  <si>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</si>
  <si>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</si>
  <si>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</si>
  <si>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</si>
  <si>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</si>
  <si>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</si>
  <si>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</si>
  <si>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</si>
  <si>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</si>
  <si>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</si>
  <si>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</si>
  <si>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</si>
  <si>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</si>
  <si>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</si>
  <si>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</si>
  <si>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</si>
  <si>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</si>
  <si>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</si>
  <si>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</si>
  <si>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</si>
  <si>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</si>
  <si>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</si>
  <si>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</si>
  <si>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</si>
  <si>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</si>
  <si>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</si>
  <si>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</si>
  <si>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</si>
  <si>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</si>
  <si>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</si>
  <si>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</si>
  <si>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</si>
  <si>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</si>
  <si>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</si>
  <si>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</si>
  <si>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</si>
  <si>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</si>
  <si>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</si>
  <si>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</si>
  <si>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</si>
  <si>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</si>
  <si>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</si>
  <si>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SPECIFIKACE - elektromontáže</t>
  </si>
  <si>
    <t>specifikace je zpracována na základě rozsahu známých skutečností,</t>
  </si>
  <si>
    <t>uvedených v dokumentaci, ve specifikaci není uveden pomocný</t>
  </si>
  <si>
    <t>konstrukční materiál</t>
  </si>
  <si>
    <t>Výrobky zde uvedené jsou referenčními standardy, mohou být</t>
  </si>
  <si>
    <t>nahrazeny pouze výrobky s vlastnostmi stejnými nebo lepšími</t>
  </si>
  <si>
    <t>množství</t>
  </si>
  <si>
    <t>jedn.cena</t>
  </si>
  <si>
    <t>celkem</t>
  </si>
  <si>
    <t>Spínače, tlačítka, zásuvky</t>
  </si>
  <si>
    <t>spínač 01 pod omítku, IP 20, 230V, ABB SWING, bílý</t>
  </si>
  <si>
    <t>ks</t>
  </si>
  <si>
    <t>spínač 05 pod omítku, IP 20, 230V, ABB SWING, bílý</t>
  </si>
  <si>
    <t>spínač 06 pod omítku, IP 20, 230V, ABB SWING, bílý</t>
  </si>
  <si>
    <t>spínač 1/0 pod omítku, IP 20, 230V, ABB SWING, bílý</t>
  </si>
  <si>
    <t>zásuvka 230V, pod omítku, IP20, 230V, ABB SWING, bílá</t>
  </si>
  <si>
    <t>55,00</t>
  </si>
  <si>
    <t>zásuvka 230V, pod omítku, IP20, 230V, ABB SWING, bílá, vč. D</t>
  </si>
  <si>
    <t>9,00</t>
  </si>
  <si>
    <t>Vodiče, kabely</t>
  </si>
  <si>
    <t>60,00</t>
  </si>
  <si>
    <t xml:space="preserve">Svítidla </t>
  </si>
  <si>
    <t>7651 LW19 65-840ET L225 01</t>
  </si>
  <si>
    <t>13,00</t>
  </si>
  <si>
    <t>7651 LW19 45-840ET L150 01</t>
  </si>
  <si>
    <t>7651 LW19 40-840ET L150 01</t>
  </si>
  <si>
    <t>18,00</t>
  </si>
  <si>
    <t>7651 LW19 20-840ET L75 01</t>
  </si>
  <si>
    <t>4,00</t>
  </si>
  <si>
    <t>7651 LAN 100-840ET L225 01</t>
  </si>
  <si>
    <t>6,00</t>
  </si>
  <si>
    <t>7651 LVW 60-840ET L225 01</t>
  </si>
  <si>
    <t>5,00</t>
  </si>
  <si>
    <t>7651 LVW 55-840ET L150 01</t>
  </si>
  <si>
    <t>2,00</t>
  </si>
  <si>
    <t>07650 L450 7LV 37 01</t>
  </si>
  <si>
    <t>17,00</t>
  </si>
  <si>
    <t>07650 L225 7LV E 37 01</t>
  </si>
  <si>
    <t>7,00</t>
  </si>
  <si>
    <t>07650 L150 7LV E 37 01</t>
  </si>
  <si>
    <t>12,00</t>
  </si>
  <si>
    <t>07650 L75 7LV E 37 01</t>
  </si>
  <si>
    <t>07650 Ks 01</t>
  </si>
  <si>
    <t>54,00</t>
  </si>
  <si>
    <t>A01DSXOE/1500</t>
  </si>
  <si>
    <t>102,00</t>
  </si>
  <si>
    <t>07650 BL L225 01</t>
  </si>
  <si>
    <t>07650 BL L75 01</t>
  </si>
  <si>
    <t>10,00</t>
  </si>
  <si>
    <t>07650 BL L37 01</t>
  </si>
  <si>
    <t>OleveonF 15 B 4000-840 ET</t>
  </si>
  <si>
    <t>1,00</t>
  </si>
  <si>
    <t>OleveonF 15 B 6000-840 ET</t>
  </si>
  <si>
    <t>Mondia G2 WD3 LED2800-840 ET</t>
  </si>
  <si>
    <t>TM-OR.M5ATM1O0N0WTEC R M5 105 M AT W</t>
  </si>
  <si>
    <t>TM-OR.C2ATM10O0nWtec R C2 105 M AT W</t>
  </si>
  <si>
    <t>TM-OE.EP.AT001TM ONTEC E E1P 101 M AT W</t>
  </si>
  <si>
    <t>8,00</t>
  </si>
  <si>
    <t>recyklace sk.4</t>
  </si>
  <si>
    <t>recyklace sk.5</t>
  </si>
  <si>
    <t>Rozvaděče:</t>
  </si>
  <si>
    <t>rozváděč RS51 vč. úpravy návrhu zařízení 2011</t>
  </si>
  <si>
    <t>kpl</t>
  </si>
  <si>
    <t>Ostatní materiál</t>
  </si>
  <si>
    <t>SVORKOVNICE KABICOVÁ 3x1-2,5mm2</t>
  </si>
  <si>
    <t>EKVIPOTENCIONÁLNÍ SVORKOVNICE s krytem</t>
  </si>
  <si>
    <t>DETEKTOR ZEMNÍHO PLYNU S DVOUST. SIGNALIZACÍ - ústř.</t>
  </si>
  <si>
    <t>DETEKTOR ZVÝŠENÉ TEPLOTY PRO KOTELNY pro ústřednu</t>
  </si>
  <si>
    <t>HOUKAČKA pro ústřednu</t>
  </si>
  <si>
    <t>Ochrana před bleskem</t>
  </si>
  <si>
    <t>OCELOVÝ DRÁT POZINKOVANÝ</t>
  </si>
  <si>
    <t>FeZn-D8 (0,4kg/m), pevně</t>
  </si>
  <si>
    <t>OCELOVÝ PÁSEK POZINKOVANÝ</t>
  </si>
  <si>
    <t>FeZn30x4 (0,95 kg/m), pevně</t>
  </si>
  <si>
    <t>JÍMACÍ TYČ</t>
  </si>
  <si>
    <t>JR3,0 3m</t>
  </si>
  <si>
    <t xml:space="preserve">DRŽÁK JÍMACÍ TYČE </t>
  </si>
  <si>
    <t>DJD D20mm,na dřev.konstr.</t>
  </si>
  <si>
    <t xml:space="preserve">PODPĚRA VEDENÍ </t>
  </si>
  <si>
    <t>PV15a na hřebenáče</t>
  </si>
  <si>
    <t>PV21c na ploch.střechy-plastová</t>
  </si>
  <si>
    <t>PV22a pod tašky, šindele i eternit</t>
  </si>
  <si>
    <t>SVORKA HROMOSVODNÍ,UZEMŇOVACÍ</t>
  </si>
  <si>
    <t>SJ1 k jímací tyči,D=20</t>
  </si>
  <si>
    <t>SU univerzální</t>
  </si>
  <si>
    <t>SR 3b spoj pásek-drát</t>
  </si>
  <si>
    <t>SZa zkušební</t>
  </si>
  <si>
    <t>ST na okap D80-120</t>
  </si>
  <si>
    <t>ZEMNIČE FeZn</t>
  </si>
  <si>
    <t>ZT 1,5 tyč 1500x26mm</t>
  </si>
  <si>
    <t>OCHRANNÝ ÚHELNÍK A DRŽÁK</t>
  </si>
  <si>
    <t>OU1,7 ochranný úhelník 1700mm</t>
  </si>
  <si>
    <t>DUZ držák úhel.do zdi</t>
  </si>
  <si>
    <t>Montáže zařízení k položkám 1-6</t>
  </si>
  <si>
    <t>HODINOVE ZUCTOVACI SAZBY a REVIZE ZAŘÍZENÍ</t>
  </si>
  <si>
    <t xml:space="preserve"> Napojeni na stavajici zarizeni</t>
  </si>
  <si>
    <t>PROVEDENI REVIZNICH ZKOUSEK</t>
  </si>
  <si>
    <t>DLE CSN 331500</t>
  </si>
  <si>
    <t xml:space="preserve"> Revizni technik</t>
  </si>
  <si>
    <t xml:space="preserve"> Spoluprace s reviz.technikem</t>
  </si>
  <si>
    <t>Podružný, drobný a spojovací materiál</t>
  </si>
  <si>
    <t>Elektromontáže - celkem</t>
  </si>
  <si>
    <t>Zemní práce ochrana před bleskem</t>
  </si>
  <si>
    <t>HLOUBENÍ KABELOVÉ RÝHY</t>
  </si>
  <si>
    <t xml:space="preserve"> Zemina třídy 3, šíře 300mm,hloubka 650mm</t>
  </si>
  <si>
    <t>ZÁHOZ KABELOVÉ RÝHY</t>
  </si>
  <si>
    <t xml:space="preserve"> Zemina třídy 3, šíře 300mm,hloubka 450mm</t>
  </si>
  <si>
    <t xml:space="preserve"> Zatravnění dotčené plochy-travní semeno-vysetí</t>
  </si>
  <si>
    <t>Elektromontáže vč.zemních prací - celkem</t>
  </si>
  <si>
    <r>
      <t>CYKY-O 3x1,5mm</t>
    </r>
    <r>
      <rPr>
        <vertAlign val="superscript"/>
        <sz val="9"/>
        <rFont val="Verdana"/>
        <family val="2"/>
      </rPr>
      <t>2</t>
    </r>
  </si>
  <si>
    <r>
      <t>CYKY-J 3x1,5mm</t>
    </r>
    <r>
      <rPr>
        <vertAlign val="superscript"/>
        <sz val="9"/>
        <rFont val="Verdana"/>
        <family val="2"/>
      </rPr>
      <t>2</t>
    </r>
  </si>
  <si>
    <r>
      <t>CYKY-J 3x2,5mm</t>
    </r>
    <r>
      <rPr>
        <vertAlign val="superscript"/>
        <sz val="9"/>
        <rFont val="Verdana"/>
        <family val="2"/>
      </rPr>
      <t>2</t>
    </r>
  </si>
  <si>
    <r>
      <t>CYKY-J 5x2,5mm</t>
    </r>
    <r>
      <rPr>
        <vertAlign val="superscript"/>
        <sz val="9"/>
        <rFont val="Verdana"/>
        <family val="2"/>
      </rPr>
      <t>2</t>
    </r>
  </si>
  <si>
    <r>
      <t>CYY 6mm</t>
    </r>
    <r>
      <rPr>
        <vertAlign val="superscript"/>
        <sz val="9"/>
        <rFont val="Verdana"/>
        <family val="2"/>
      </rPr>
      <t>2</t>
    </r>
  </si>
  <si>
    <t>08 - D.1.4.2 - plynovod</t>
  </si>
  <si>
    <t>Gymnázium Hostivice</t>
  </si>
  <si>
    <t>Uchazeč:</t>
  </si>
  <si>
    <t>723</t>
  </si>
  <si>
    <t>Zdravotechnika - vnitřní plynovod</t>
  </si>
  <si>
    <t>723111203</t>
  </si>
  <si>
    <t>Potrubí ocelové závitové černé bezešvé svařované běžné DN 20</t>
  </si>
  <si>
    <t>723111205</t>
  </si>
  <si>
    <t>Potrubí ocelové závitové černé bezešvé svařované běžné DN 32</t>
  </si>
  <si>
    <t>723150366</t>
  </si>
  <si>
    <t>Chránička D 22,5x2,6 mm</t>
  </si>
  <si>
    <t>723231163</t>
  </si>
  <si>
    <t>Kohout kulový přímý G 3/4 PN 42 do 185°C plnoprůtokový vnitřní závit těžká řada</t>
  </si>
  <si>
    <t>723261914</t>
  </si>
  <si>
    <t>Montáž potrubí - napojení v kotelně, úprava potrubí v kotelně</t>
  </si>
  <si>
    <t>Montáž potrubí - napojení v učebně na  laboratorní pracoviště</t>
  </si>
  <si>
    <t>998723203</t>
  </si>
  <si>
    <t>Přesun hmot procentní pro vnitřní plynovod v objektech v do 36 m</t>
  </si>
  <si>
    <t>783614551</t>
  </si>
  <si>
    <t>Základní jednonásobný syntetický nátěr potrubí DN do 50 mm</t>
  </si>
  <si>
    <t>783617611</t>
  </si>
  <si>
    <t>Krycí dvojnásobný syntetický nátěr potrubí DN do 50 mm</t>
  </si>
  <si>
    <t>HZS2491</t>
  </si>
  <si>
    <t>Hodinová zúčtovací sazba dělník zednických výpomocí vč.kotvení potrubí</t>
  </si>
  <si>
    <t>043114R04</t>
  </si>
  <si>
    <t>Zkoušky tlakové, revize plynovodu</t>
  </si>
  <si>
    <t>soubor</t>
  </si>
  <si>
    <t>Stavební rozpočet+ ZTI</t>
  </si>
  <si>
    <t>Název stavby:</t>
  </si>
  <si>
    <t>gymnázium Hostivice</t>
  </si>
  <si>
    <t>Doba výstavby:</t>
  </si>
  <si>
    <t>Objednatel:</t>
  </si>
  <si>
    <t>Druh stavby:</t>
  </si>
  <si>
    <t>rekonstrukce</t>
  </si>
  <si>
    <t>Začátek výstavby:</t>
  </si>
  <si>
    <t>Lokalita:</t>
  </si>
  <si>
    <t>Konec výstavby:</t>
  </si>
  <si>
    <t>JKSO:</t>
  </si>
  <si>
    <t>Zpracováno dne:</t>
  </si>
  <si>
    <t>Zpracoval:</t>
  </si>
  <si>
    <t>Jednot.</t>
  </si>
  <si>
    <t>Náklady (Kč)</t>
  </si>
  <si>
    <t>Hmotnost (t)</t>
  </si>
  <si>
    <t>Č</t>
  </si>
  <si>
    <t>Zkrácený popis</t>
  </si>
  <si>
    <t>M.j.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</si>
  <si>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</si>
  <si>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</si>
  <si>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</si>
  <si>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</si>
  <si>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</si>
  <si>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</si>
  <si>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</si>
  <si>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</si>
  <si>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</si>
  <si>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</si>
  <si>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</si>
  <si>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</si>
  <si>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</si>
  <si>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721</t>
  </si>
  <si>
    <t>Vnitřní kanalizace</t>
  </si>
  <si>
    <t>PS</t>
  </si>
  <si>
    <t>SO 02</t>
  </si>
  <si>
    <t>721176102R00</t>
  </si>
  <si>
    <t xml:space="preserve">Potrubí HTEM připojovací DN 40 </t>
  </si>
  <si>
    <t>721176103R00</t>
  </si>
  <si>
    <t>Potrubí HTEM připojovací DN 50</t>
  </si>
  <si>
    <t>721176104R00</t>
  </si>
  <si>
    <t xml:space="preserve">Potrubí HTEM připojovací DN 75 </t>
  </si>
  <si>
    <t>721176105R00</t>
  </si>
  <si>
    <t xml:space="preserve">Potrubí HTEM připojovací DN 100 </t>
  </si>
  <si>
    <t>721176115R00</t>
  </si>
  <si>
    <t xml:space="preserve">Potrubí HTEM odpadní svislé DN 100 </t>
  </si>
  <si>
    <t>721176116R00</t>
  </si>
  <si>
    <t>Potrubí HTEM odpadní svislé DN 125</t>
  </si>
  <si>
    <t>17-4111</t>
  </si>
  <si>
    <t>montáž čistící tvarovky ČK do DN75</t>
  </si>
  <si>
    <t>17-4112</t>
  </si>
  <si>
    <t>montáž čistící tvarovky ČK DN100</t>
  </si>
  <si>
    <t>17-4113</t>
  </si>
  <si>
    <t>montáž čistící tvarovky ČK do DN200</t>
  </si>
  <si>
    <t>ostatní tvarovky plastového zvukověizol.potrubí</t>
  </si>
  <si>
    <t>tj.kolena a odbočky D+M</t>
  </si>
  <si>
    <t>17-107</t>
  </si>
  <si>
    <t>(dle obvyklé praxe navýšení základní ceny potrubí</t>
  </si>
  <si>
    <t>viz.položka 76102 - 76116) kolena,odbočky všech úhlů a profilů</t>
  </si>
  <si>
    <t>čistící tvarovky a redukce zvukověizol.potrubí</t>
  </si>
  <si>
    <t>17-302</t>
  </si>
  <si>
    <t>NG-RE 75</t>
  </si>
  <si>
    <t>17-303</t>
  </si>
  <si>
    <t>NG-RE 100</t>
  </si>
  <si>
    <t>17-304</t>
  </si>
  <si>
    <t>NG-RE 125</t>
  </si>
  <si>
    <t>17-402</t>
  </si>
  <si>
    <t>NGR 50/100</t>
  </si>
  <si>
    <t>17-403</t>
  </si>
  <si>
    <t>NGR 75/100</t>
  </si>
  <si>
    <t>17-404</t>
  </si>
  <si>
    <t>NGR 100/125</t>
  </si>
  <si>
    <t>Specifikace trubních zvukověizol.úchytek</t>
  </si>
  <si>
    <t>viz.položka 76102 - 76116)</t>
  </si>
  <si>
    <t>17-700</t>
  </si>
  <si>
    <t>objímky pro uchycení potrubí</t>
  </si>
  <si>
    <t>Specifikace kanalizace 721 17</t>
  </si>
  <si>
    <t>Protipožární manžeta určená k zatěsnění</t>
  </si>
  <si>
    <t>plastového potrubí, do stěny nebo stropu,</t>
  </si>
  <si>
    <t>velikost manžety 30 mm</t>
  </si>
  <si>
    <t>17-804</t>
  </si>
  <si>
    <t>RS 10/110/030 pro potrubí vnějšího průměru 110 mm</t>
  </si>
  <si>
    <t>17-805</t>
  </si>
  <si>
    <t>RS 10/125/030 pro potrubí vnějšího průměru 125 mm</t>
  </si>
  <si>
    <t xml:space="preserve">722 18 - Ochrana potrubí </t>
  </si>
  <si>
    <t>18-1114</t>
  </si>
  <si>
    <t>DN 40 (jednou vrstvou plstěnými pásy)</t>
  </si>
  <si>
    <t>18-1116</t>
  </si>
  <si>
    <t>DN 50 a DN 65 (jednou vrstvou plstěnými pásy)</t>
  </si>
  <si>
    <t>18-1117</t>
  </si>
  <si>
    <t>DN 80 (jednou vrstvou plstěnými pásy)</t>
  </si>
  <si>
    <t>18-1118</t>
  </si>
  <si>
    <t>DN 100 a DN 125 (jednou vrstvou plstěnými pásy)</t>
  </si>
  <si>
    <t>721 19 - Zřízení přípojek na potrubí</t>
  </si>
  <si>
    <t>19-4104</t>
  </si>
  <si>
    <t>vyvedení odpadních výpustek 110x2,7mm</t>
  </si>
  <si>
    <t>721 22 - Zápachové uzávěrky</t>
  </si>
  <si>
    <t>22-1201</t>
  </si>
  <si>
    <t>uzávěrka zápachová  DN 40 (montáž)</t>
  </si>
  <si>
    <t>Specifikace 721 22</t>
  </si>
  <si>
    <t>22-001</t>
  </si>
  <si>
    <t xml:space="preserve">HL 21/32 plastový vtok se zápach.uzávěrkou </t>
  </si>
  <si>
    <t>22-002</t>
  </si>
  <si>
    <t xml:space="preserve">HL 136N (plastový kondenzační sifon DN40) </t>
  </si>
  <si>
    <t>22-003</t>
  </si>
  <si>
    <t>HL 138 (plastový kondenzační sifon DN40) podomítkový</t>
  </si>
  <si>
    <t>22-004</t>
  </si>
  <si>
    <t>HL 20 (plastový kalich s kuličkou pro úkapy,odvodnění kotlů)</t>
  </si>
  <si>
    <t>721 24 - Lapače střešních splavenin</t>
  </si>
  <si>
    <t>24-2115</t>
  </si>
  <si>
    <t>litinový lapač střešních splavenin DN 125</t>
  </si>
  <si>
    <t>721 27 - Ventilační hlavice</t>
  </si>
  <si>
    <t>27-3149</t>
  </si>
  <si>
    <t>plastová větrací hlavice HL 810/100</t>
  </si>
  <si>
    <t>722 17 - Plastové polypropylenové potrubí</t>
  </si>
  <si>
    <t>typové řady PP-R3 (provedení Standard) PN16</t>
  </si>
  <si>
    <t>(pro odvod kondenzátu)</t>
  </si>
  <si>
    <t>17-1438</t>
  </si>
  <si>
    <t>PPR 32</t>
  </si>
  <si>
    <t xml:space="preserve">m </t>
  </si>
  <si>
    <t>722 17 - Pevné body plast.potr., upevnění potrubí</t>
  </si>
  <si>
    <t>17-1484</t>
  </si>
  <si>
    <t>upevnění plast. potrubí PPR 32 (tepl.média 60°C)</t>
  </si>
  <si>
    <t>722 18 - Ochrana potrubí</t>
  </si>
  <si>
    <t>Termoizolačními pásy bez samolepícího uzávěru</t>
  </si>
  <si>
    <t>montáž do DN 25</t>
  </si>
  <si>
    <t>Specifikace 722 18</t>
  </si>
  <si>
    <t>Termoizolační pásy tl. stěny 6 mm</t>
  </si>
  <si>
    <t>18-x003</t>
  </si>
  <si>
    <t>hadice 35/6 mm</t>
  </si>
  <si>
    <t>721 29 - Ostatní</t>
  </si>
  <si>
    <t>721290112R00</t>
  </si>
  <si>
    <t>Zkouška těsnosti kanalizace vodou DN 200</t>
  </si>
  <si>
    <t>721300912R00</t>
  </si>
  <si>
    <t>Pročištění svislých odpadů, jedno podl., do DN 200</t>
  </si>
  <si>
    <t>29-0234</t>
  </si>
  <si>
    <t>proplach potrubí do DN 80</t>
  </si>
  <si>
    <t>Vyhledání stávající dešť,kanalizace a její přeložka (schodiště)</t>
  </si>
  <si>
    <t>stavební přípomoce-kanalizace</t>
  </si>
  <si>
    <t>998721102R00</t>
  </si>
  <si>
    <t>Přesun hmot pro vnitřní kanalizaci, výšky do 36 m</t>
  </si>
  <si>
    <t>722</t>
  </si>
  <si>
    <t>Vnitřní vodovod</t>
  </si>
  <si>
    <t>722172311R00</t>
  </si>
  <si>
    <t>Potrubí z PP-RCT EkoPlastik, studená, D 20/2,8 mm PN20</t>
  </si>
  <si>
    <t>722172312R00</t>
  </si>
  <si>
    <t>Potrubí z PPR Instaplast, studená, D 25/3,5 mm</t>
  </si>
  <si>
    <t>722172313R00</t>
  </si>
  <si>
    <t>Potrubí z PPR Instaplast, studená, D 32/4,4 mm</t>
  </si>
  <si>
    <t>722172314R00</t>
  </si>
  <si>
    <t>Potrubí z PPR Instaplast, studená, D 40/5,5 mm</t>
  </si>
  <si>
    <t>Potrubí z PP-RCT, studená, D 32/4,4 mm PN20</t>
  </si>
  <si>
    <t>Potrubí z PP-RCT, studená, D 40/5,5 mm PN20</t>
  </si>
  <si>
    <t>722172330R00</t>
  </si>
  <si>
    <t>Potrubí  EkoPlastik, teplá, D 20/2,8 mm PN28</t>
  </si>
  <si>
    <t>722172330R01</t>
  </si>
  <si>
    <t>Potrubí z PPR Instaplast, teplá, D 20/3,4 mm</t>
  </si>
  <si>
    <t>722172330R02</t>
  </si>
  <si>
    <t>Potrubí z PPR Instaplast, teplá, D 25/4,2 mm</t>
  </si>
  <si>
    <t>722172330R03</t>
  </si>
  <si>
    <t>Potrubí z PPR Instaplast, teplá, D 32/5,4 mm</t>
  </si>
  <si>
    <t>Potrubí  EkoPlastik, teplá, D 32x4,4 mm PN28</t>
  </si>
  <si>
    <t>Potrubí  EkoPlastik, teplá, D 40x5,5 mm PN28</t>
  </si>
  <si>
    <t>Potrubí  EkoPlastik, cirkulační, D 20/2,8 mm PN28</t>
  </si>
  <si>
    <t>Potrubí  EkoPlastik, cirkulační, D 32x5,4 mm PN28</t>
  </si>
  <si>
    <t>722172330R05</t>
  </si>
  <si>
    <t>Koleno EkoPlastik 90°, D 20 mm</t>
  </si>
  <si>
    <t>Koleno EkoPlastik  90°, D 25 mm</t>
  </si>
  <si>
    <t>Koleno EkoPlastik 90°, D 32 mm</t>
  </si>
  <si>
    <t>Koleno EkoPlastik 90°, D 40 mm</t>
  </si>
  <si>
    <t>722172330R06</t>
  </si>
  <si>
    <t>Redukce EkoPlastik, D 25/20mm</t>
  </si>
  <si>
    <t>Redukce EkoPlastik, D 32/20mm</t>
  </si>
  <si>
    <t>Redukce EkoPlastik, D 40/20mm</t>
  </si>
  <si>
    <t>722172330R07</t>
  </si>
  <si>
    <t>Koleno EkoPlastik 90° s vnitřním závitem, D 20 mm</t>
  </si>
  <si>
    <t>18-1134</t>
  </si>
  <si>
    <t>montáž do DN 50</t>
  </si>
  <si>
    <t>Termoizolační pásy tl.stěny 15 mm</t>
  </si>
  <si>
    <t>18-002</t>
  </si>
  <si>
    <t>hadice 22/15 mm</t>
  </si>
  <si>
    <t>18-003</t>
  </si>
  <si>
    <t>hadice 35/15 mm</t>
  </si>
  <si>
    <t>18-004</t>
  </si>
  <si>
    <t>hadice 42/15 mm</t>
  </si>
  <si>
    <t>Termoizolační pásy tl.stěny 20 mm (vč.stoupací potr.)</t>
  </si>
  <si>
    <t>18-202</t>
  </si>
  <si>
    <t>hadice 22/20 mm</t>
  </si>
  <si>
    <t>18-203</t>
  </si>
  <si>
    <t>hadice 35/20 mm</t>
  </si>
  <si>
    <t>18-204</t>
  </si>
  <si>
    <t>hadice 42/20 mm</t>
  </si>
  <si>
    <t>proplach a desinfekce potrubí do DN 80</t>
  </si>
  <si>
    <t>722290229R00</t>
  </si>
  <si>
    <t xml:space="preserve">Zkouška tlaku potrubí </t>
  </si>
  <si>
    <t>998722102R00</t>
  </si>
  <si>
    <t>Přesun hmot pro vnitřní vodovod, výšky do 36 m</t>
  </si>
  <si>
    <t>725</t>
  </si>
  <si>
    <t>Zařizovací předměty LAUFEN</t>
  </si>
  <si>
    <t>55145000</t>
  </si>
  <si>
    <t>Baterie umyvadlová stojánková SV, s výpusí</t>
  </si>
  <si>
    <t>55145001</t>
  </si>
  <si>
    <t>Baterie umyvadlová mísící stojánková s TV, s výpustí</t>
  </si>
  <si>
    <t>725013141R00</t>
  </si>
  <si>
    <t>Klozet závěsný vč.sedátka., nádrž do předstěny SDK s armaturou</t>
  </si>
  <si>
    <t>725014141R00</t>
  </si>
  <si>
    <t>Pisoár s radarovým senzorem,antivandal,napájecí zdroj 24V</t>
  </si>
  <si>
    <t>725015141R00</t>
  </si>
  <si>
    <t>Bidet závěsný kpl.se sifonem a roháčky a baterií, nádrž do SDK</t>
  </si>
  <si>
    <t>725016141R00</t>
  </si>
  <si>
    <t>Sklopné nerezové madlo typu "U" dl.60cm, kotvení do stěny</t>
  </si>
  <si>
    <t>725017142R00</t>
  </si>
  <si>
    <t>Umyvadlo na šrouby, 55 cm, bílé</t>
  </si>
  <si>
    <t>725017149R00</t>
  </si>
  <si>
    <t>Kryt sifonu umyvadel</t>
  </si>
  <si>
    <t>725210821R00</t>
  </si>
  <si>
    <t>Demontáž umyvadel bez výtokových armatur</t>
  </si>
  <si>
    <t>725810811R00</t>
  </si>
  <si>
    <t>Demontáž ventilu výtokového nástěnného</t>
  </si>
  <si>
    <t>725819201R00</t>
  </si>
  <si>
    <t>Schell COMFORT ventil rohový 1/2" x 1/2" se sítkem</t>
  </si>
  <si>
    <t>725820802R00</t>
  </si>
  <si>
    <t>Demontáž baterie stojánkové do 1otvoru</t>
  </si>
  <si>
    <t>725829301R00</t>
  </si>
  <si>
    <t>Baterie dřezová stojánkové</t>
  </si>
  <si>
    <t>725860213R00</t>
  </si>
  <si>
    <t>Sifon umyvadlový HL132, DN 30, 40,50</t>
  </si>
  <si>
    <t>725860213R01</t>
  </si>
  <si>
    <t>Kuch.skříňka s dřezem pro učebnu VV, š.60cm, imitace dub</t>
  </si>
  <si>
    <t>725860213R02</t>
  </si>
  <si>
    <t>Úpravy vedení TV a SV v kotelně, drobný materiál</t>
  </si>
  <si>
    <t>725532101</t>
  </si>
  <si>
    <t>Elektrický ohřívač zásobníkový akumulační závěsný svislý 10 l / 2 kW</t>
  </si>
  <si>
    <t>725532102</t>
  </si>
  <si>
    <t>Elektrický osoušeč rukou Jet Dryer BUTTON stříbrný</t>
  </si>
  <si>
    <t>725532103</t>
  </si>
  <si>
    <t>EL.cirkulační čerpadlo teplé vody s armaturou pro doplnění 4.NP</t>
  </si>
  <si>
    <t>Wilo STAR-Z NOVA (4132760)</t>
  </si>
  <si>
    <t>725 98 - Dvířka</t>
  </si>
  <si>
    <t>98-x001</t>
  </si>
  <si>
    <t>dvířka kovová vanová nerez rozm. 30/30 cm-V1,V2</t>
  </si>
  <si>
    <t>speciální zákrytová dvířka s možností povrchové úpravy</t>
  </si>
  <si>
    <t xml:space="preserve"> keram.obkladem rozm. 30/30 cm (magnetická),S12-S15,S2</t>
  </si>
  <si>
    <t>soub</t>
  </si>
  <si>
    <t>998725102R00</t>
  </si>
  <si>
    <t>Přesun hmot pro zařizovací předměty, výšky do 36 m</t>
  </si>
  <si>
    <t>Celkem:</t>
  </si>
  <si>
    <t>STAVBA:</t>
  </si>
  <si>
    <t>GYMNÁZIUM HOSTIVICE REKONSTRUKCE GYMNZIA II.ETAPA</t>
  </si>
  <si>
    <t>PROFESE:</t>
  </si>
  <si>
    <t>Technika prostředí staveb - Vytápění</t>
  </si>
  <si>
    <t>KOD ČÁSTI:</t>
  </si>
  <si>
    <t>D.1.4</t>
  </si>
  <si>
    <t>č.</t>
  </si>
  <si>
    <t>Výrobek</t>
  </si>
  <si>
    <t>Jednotka</t>
  </si>
  <si>
    <t>Jedn.
cena</t>
  </si>
  <si>
    <t>Celková
cena</t>
  </si>
  <si>
    <t>1.</t>
  </si>
  <si>
    <t>KOTELNA</t>
  </si>
  <si>
    <t>Plynový nástěnný kondenzační kotel VAILLANT VU656/5-5 ecoTEC plus o výkonu 12,2 - 63,5 kW (50/30°C) pro provoz nezávislý na vzduchu z místnosti</t>
  </si>
  <si>
    <t>E-bus Sběrnicový modul VAILLANT VR 32 (k ekvitermní regulaci VAILLANT Calormatic 630)</t>
  </si>
  <si>
    <t>VR32</t>
  </si>
  <si>
    <t>Čidlo teploty topné vody VR10</t>
  </si>
  <si>
    <t>2.</t>
  </si>
  <si>
    <t>ODKOUŘENÍ PLYNOVÉHO KOTLE (koaxiální systém 80/125)</t>
  </si>
  <si>
    <t>Připojovací adaptér Ø 80/125 mm, pro kotle ecoTEC pure/pro/plus/exclusive (7-2 / 5-3 / 5-5 / 5-7 / ioniDetect), ecoCOMPACT VSC ../4, VCC ../4 a auroCOMPACT VSC D ../4</t>
  </si>
  <si>
    <t>Připojení na komín, šachtu Ø 80/125 mm</t>
  </si>
  <si>
    <t>Trubka s revizním otvorem, 0,25 m, Ø 80/125 mm</t>
  </si>
  <si>
    <t>Koleno 2x 45°, Ø 80/125 mm (2ks=1sada)</t>
  </si>
  <si>
    <t>Prodlužovací kus odkouření 0,5 m, Ø 80/125 mm</t>
  </si>
  <si>
    <t>Prodlužovací kus odkouření 1,0 m, Ø 80/125 mm</t>
  </si>
  <si>
    <t>Prodlužovací kus odkouření 2,0 m, Ø 80/125 mm</t>
  </si>
  <si>
    <t>Oddělovací prvek Ø 80/125 mm</t>
  </si>
  <si>
    <t>Trubkový upevňovací třmen Ø 80/125 mm (5 ks=1sada)</t>
  </si>
  <si>
    <t>Kryt komína, šachty</t>
  </si>
  <si>
    <t>Držák odstupu v šachtě (7 ks=1 sada) Ø 80/125 mm</t>
  </si>
  <si>
    <t>3.</t>
  </si>
  <si>
    <t>ROZVODY A IZOLACE - KOTELNA</t>
  </si>
  <si>
    <t>Trubka ocel DN25 (33,7x2,6)</t>
  </si>
  <si>
    <t>Trubka ocel DN32 (42,4x2,6)</t>
  </si>
  <si>
    <t>Trubka ocel DN100 (108x4)</t>
  </si>
  <si>
    <t xml:space="preserve">Ocel tvarovky </t>
  </si>
  <si>
    <t>Svařovací a montážní materiál</t>
  </si>
  <si>
    <t>Kotvící materiál (konzole, objímky apod)</t>
  </si>
  <si>
    <r>
      <t>PE tepelná izolace d = 35mm, tl.20mm (</t>
    </r>
    <r>
      <rPr>
        <sz val="11"/>
        <rFont val="Calibri"/>
        <family val="2"/>
      </rPr>
      <t>λ</t>
    </r>
    <r>
      <rPr>
        <vertAlign val="subscript"/>
        <sz val="11"/>
        <rFont val="Calibri"/>
        <family val="2"/>
      </rPr>
      <t>max</t>
    </r>
    <r>
      <rPr>
        <sz val="11"/>
        <rFont val="Calibri"/>
        <family val="2"/>
      </rPr>
      <t>=0,04W/m2K)</t>
    </r>
  </si>
  <si>
    <r>
      <t>PE tepelná izolace d = 42mm, tl.20mm (</t>
    </r>
    <r>
      <rPr>
        <sz val="11"/>
        <rFont val="Calibri"/>
        <family val="2"/>
      </rPr>
      <t>λ</t>
    </r>
    <r>
      <rPr>
        <vertAlign val="subscript"/>
        <sz val="11"/>
        <rFont val="Calibri"/>
        <family val="2"/>
      </rPr>
      <t>max</t>
    </r>
    <r>
      <rPr>
        <sz val="11"/>
        <rFont val="Calibri"/>
        <family val="2"/>
      </rPr>
      <t>=0,04W/m2K)</t>
    </r>
  </si>
  <si>
    <r>
      <t>PE tepelná izolace d = 114mm, tl.30mm (</t>
    </r>
    <r>
      <rPr>
        <sz val="11"/>
        <rFont val="Calibri"/>
        <family val="2"/>
      </rPr>
      <t>λ</t>
    </r>
    <r>
      <rPr>
        <vertAlign val="subscript"/>
        <sz val="11"/>
        <rFont val="Calibri"/>
        <family val="2"/>
      </rPr>
      <t>max</t>
    </r>
    <r>
      <rPr>
        <sz val="11"/>
        <rFont val="Calibri"/>
        <family val="2"/>
      </rPr>
      <t>=0,04W/m2K)</t>
    </r>
  </si>
  <si>
    <t>4.</t>
  </si>
  <si>
    <t>OSTATNÍ MATERIÁL - KOTELNA</t>
  </si>
  <si>
    <t>Pojistný ventil MEIBES DUCO 1/2"x3/4"KD 2,5bar pro topnou vodu</t>
  </si>
  <si>
    <t>PV</t>
  </si>
  <si>
    <t>Filterball 5/4"</t>
  </si>
  <si>
    <t>BALL</t>
  </si>
  <si>
    <t>Kulový kohout 5/4"</t>
  </si>
  <si>
    <t>KK</t>
  </si>
  <si>
    <t>Zpětný ventil 5/4"</t>
  </si>
  <si>
    <t>ZV</t>
  </si>
  <si>
    <t>Teploměr 0-120°C včetně jímky</t>
  </si>
  <si>
    <t>T</t>
  </si>
  <si>
    <t xml:space="preserve">Manometr 0-400kPa </t>
  </si>
  <si>
    <t>Manometrická zpětná klapka</t>
  </si>
  <si>
    <t>k P</t>
  </si>
  <si>
    <t>Servisní armatura k expanzním nádobám REFLEX MK 1" se zajištěním a vypouštěním</t>
  </si>
  <si>
    <t>MK</t>
  </si>
  <si>
    <t>Redukce, šroubení, těsnící materiál atd.</t>
  </si>
  <si>
    <t>Automatický odvzdušňovací ventil</t>
  </si>
  <si>
    <t>TOPNÝ SYSTÉM</t>
  </si>
  <si>
    <t>5.</t>
  </si>
  <si>
    <t xml:space="preserve">OTOPNÁ TĚLESA +PŘÍSLUŠENSTVÍ - TOPNÝ SYSTÉM </t>
  </si>
  <si>
    <t>11060050-S0-0010 10</t>
  </si>
  <si>
    <t>RADIK 11 VKM8  600/500 (White RAL 9016)</t>
  </si>
  <si>
    <t>20060080-S0-0010 10</t>
  </si>
  <si>
    <t>RADIK 20 VKM8  600/800 (White RAL 9016)</t>
  </si>
  <si>
    <t>20060090-S0-0010 10</t>
  </si>
  <si>
    <t>RADIK 20 VKM8  600/900 (White RAL 9016)</t>
  </si>
  <si>
    <t>21060050-S0-0010 10</t>
  </si>
  <si>
    <t>RADIK 21 VKM8  600/500 (White RAL 9016)</t>
  </si>
  <si>
    <t>21060110-S0-0010 10</t>
  </si>
  <si>
    <t>RADIK 21 VKM8  600/1100 (White RAL 9016)</t>
  </si>
  <si>
    <t>21060120-S0-0010 10</t>
  </si>
  <si>
    <t>RADIK 21 VKM8  600/1200 (White RAL 9016)</t>
  </si>
  <si>
    <t>22060090-S0-0010 10</t>
  </si>
  <si>
    <t>RADIK 22 VKM8  600/900 (White RAL 9016)</t>
  </si>
  <si>
    <t>22060100-S0-0010 10</t>
  </si>
  <si>
    <t>RADIK 22 VKM8  600/1000 (White RAL 9016)</t>
  </si>
  <si>
    <t>22060110-S0-0010 10</t>
  </si>
  <si>
    <t>RADIK 22 VKM8  600/1100 (White RAL 9016)</t>
  </si>
  <si>
    <t>22060180-S0-0010 10</t>
  </si>
  <si>
    <t>RADIK 22 VKM8  600/1800 (White RAL 9016)</t>
  </si>
  <si>
    <t>33040110-S0-0010 10</t>
  </si>
  <si>
    <t>RADIK 33 VKM8  400/1100 (White RAL 9016)</t>
  </si>
  <si>
    <t>33060080-S0-0010 10</t>
  </si>
  <si>
    <t>RADIK 33 VKM8  600/800 (White RAL 9016)</t>
  </si>
  <si>
    <t>33060160-S0-0010 10</t>
  </si>
  <si>
    <t>RADIK 33 VKM8  600/1600 (White RAL 9016)</t>
  </si>
  <si>
    <t>rohová VK armatura IVAR.DS346 (3/4"x3/4"EK)</t>
  </si>
  <si>
    <t>adaptér IVAR.AVK01 (1/2"x3/4")</t>
  </si>
  <si>
    <t>Svěrné šroubení IVAR.TR4430 (EK-15x1,0)</t>
  </si>
  <si>
    <t>krycí růžice pro dvojitý vývod IVAR.AGE06 v bílé barvě</t>
  </si>
  <si>
    <t>Termostatická hlavice IVAR.T1500 (6,5 až 28°C, M30x1,5)</t>
  </si>
  <si>
    <t>6.</t>
  </si>
  <si>
    <t xml:space="preserve">ROZVODY A IZOLACE - TOPNÝ SYSTÉM </t>
  </si>
  <si>
    <t>Svařovací materiál a ocelové tvarovky</t>
  </si>
  <si>
    <t>Trubka měď 15x1,0</t>
  </si>
  <si>
    <t>Trubka měď 18x1,0</t>
  </si>
  <si>
    <t>Trubka měď 22x1,0</t>
  </si>
  <si>
    <t>Trubka měď 28x1,0</t>
  </si>
  <si>
    <t>Trubka měď 35x1,5</t>
  </si>
  <si>
    <t>Trubka měď 64x2,0</t>
  </si>
  <si>
    <t>Trubka měď 76,1x2,0</t>
  </si>
  <si>
    <t>Měděné tvarovky</t>
  </si>
  <si>
    <t>PE tep.izolace 15/10  (λmax=0,04W/m2K)</t>
  </si>
  <si>
    <t>PE tep.izolace 18/15  (λmax=0,04W/m2K)</t>
  </si>
  <si>
    <t>PE tep.izolace 22/15  (λmax=0,04W/m2K)</t>
  </si>
  <si>
    <t>PE tep.izolace 28/20  (λmax=0,04W/m2K)</t>
  </si>
  <si>
    <t>PE tep.izolace 35/20  (λmax=0,04W/m2K)</t>
  </si>
  <si>
    <t>PE tep.izolace 64/30  (λmax=0,04W/m2K)</t>
  </si>
  <si>
    <t>PE tep.izolace 76/30  (λmax=0,04W/m2K)</t>
  </si>
  <si>
    <r>
      <t>PE tepelná izolace 114/30 (</t>
    </r>
    <r>
      <rPr>
        <sz val="11"/>
        <rFont val="Calibri"/>
        <family val="2"/>
      </rPr>
      <t>λ</t>
    </r>
    <r>
      <rPr>
        <vertAlign val="subscript"/>
        <sz val="11"/>
        <rFont val="Calibri"/>
        <family val="2"/>
      </rPr>
      <t>max</t>
    </r>
    <r>
      <rPr>
        <sz val="11"/>
        <rFont val="Calibri"/>
        <family val="2"/>
      </rPr>
      <t>=0,04W/m2K)</t>
    </r>
  </si>
  <si>
    <t>7.</t>
  </si>
  <si>
    <t xml:space="preserve">OSTATNÍ ARMATURY A ZAŘÍZENÍ - TOPNÝ SYSTÉM </t>
  </si>
  <si>
    <t>Mezipřírubová uzavíratelná klapka DN100 PN6</t>
  </si>
  <si>
    <t>Elektronické ob.čerpadlo (Δp=36,3kPa, 1,63m3/h, DN32, PN6, 230V, 50Hz)</t>
  </si>
  <si>
    <t>Č3</t>
  </si>
  <si>
    <t>Elektronické ob.čerpadlo (Δp=41kPa, 4,8m3/h, DN50 PN6, 230V, 50Hz)</t>
  </si>
  <si>
    <t>Č4</t>
  </si>
  <si>
    <t>Teploměr 0-120°C včetně teploměrné jímky</t>
  </si>
  <si>
    <t>Termomanometr 0-120°C, 0-4bar</t>
  </si>
  <si>
    <t>TP</t>
  </si>
  <si>
    <t>Trojcestný směšovací ventil ESBE VRG131 (DN25, Kvs=6,3m3/h)</t>
  </si>
  <si>
    <t>TV3</t>
  </si>
  <si>
    <t>Pohon ESBE 95 (230V, 50Hz, 15Nm, 60s,  3-bod.regulace)</t>
  </si>
  <si>
    <t>k TV3</t>
  </si>
  <si>
    <t xml:space="preserve">montážní sada ESBE VRG801 pro ventily ESBE VRG </t>
  </si>
  <si>
    <t>Redukce, šroubení, pájecí materiál atd.</t>
  </si>
  <si>
    <t>OV</t>
  </si>
  <si>
    <t>Čidlo teploty teplé vody VR10</t>
  </si>
  <si>
    <t>SUMA MATERIÁL:</t>
  </si>
  <si>
    <t>8.</t>
  </si>
  <si>
    <t>MONTÁŽNÍ PRÁCE</t>
  </si>
  <si>
    <t>Montáž topného systému včetně přesunu stávajícího trubkového rozdělovače a sběrače a zásobníku TV, osazení otopných těles a instalace potrubí a tep.izolace a dopravy</t>
  </si>
  <si>
    <t>Provedení zkoušky těsnosti a provozních zkoušek topného systému</t>
  </si>
  <si>
    <t>nastavení a zaregulování armatur a zařízení topného systému</t>
  </si>
  <si>
    <t>montáž plyn.kotelny vč.odkouření a dopravy</t>
  </si>
  <si>
    <t>zkouška těsnosti a provozní zkoušky plyn.kotelny</t>
  </si>
  <si>
    <t>uvedení do provozu, zaškolení obsluhy, nastavení  regulace kaskády plyn.kotlů + ostatní práce v plynové kotelně</t>
  </si>
  <si>
    <t>SUMA MONTÁŽNÍ PRÁCE</t>
  </si>
  <si>
    <t>Cena celkem bez DPH</t>
  </si>
  <si>
    <t>Gymnázium Hostivice - rekonstrukce gymnázia II. etapa</t>
  </si>
  <si>
    <t>Rozpočet KLIMATIZACE</t>
  </si>
  <si>
    <t>Zař./Poz.</t>
  </si>
  <si>
    <t>Ceník</t>
  </si>
  <si>
    <t>Položka</t>
  </si>
  <si>
    <t>Počet</t>
  </si>
  <si>
    <t>Cena j.m.</t>
  </si>
  <si>
    <t>Klimatizace učeben 4.NP</t>
  </si>
  <si>
    <t>Mitsubishi Electric</t>
  </si>
  <si>
    <t>Venkovní klimatizační jednotka PUHY-EP300YNW (chladící/topný výkon 33,5/37 kW)</t>
  </si>
  <si>
    <t>Vnitřní jednocestná kazetová jednotka PMFY-M20VBM-E (chlacící/topný výkon 2,2/2,5 kW)</t>
  </si>
  <si>
    <t>Vnitřní čtyřcestná kazetová klimatizační jednotka PLFY-M40VEM-E (chladící/topný výkon 4,5/5,0kW)</t>
  </si>
  <si>
    <t>Vnitřní čtyřcestná kazetová klimatizační jednotka PLFY-M50VEM-E (chladící/topný výkon 5,6/6,3kW)</t>
  </si>
  <si>
    <t>Vnitřní čtyřcestná kazetová klimatizační jednotka PLFY-M63VEM-E (chladící/topný výkon 7,1/8,0kW)</t>
  </si>
  <si>
    <t>Nástěnný kabelový ovladač PAR-41MAA</t>
  </si>
  <si>
    <t>Vedení chladiva R 410 A, tepelná izolace, komunikační vedení</t>
  </si>
  <si>
    <t>bm</t>
  </si>
  <si>
    <t>Chladivo R410A - doplnění</t>
  </si>
  <si>
    <t>Stojanová konzole pod venkovní jednotku s nastavitelnými nohami</t>
  </si>
  <si>
    <t>Spojovací a montážní materiál</t>
  </si>
  <si>
    <t>CELKEM</t>
  </si>
  <si>
    <t>Centrální ovladač klimatizace a VZT jednotek</t>
  </si>
  <si>
    <t>Centrální řídící jednotka  EW-50E včetně zdroje software: web monitor, plánovač,hlášení poruch mailem</t>
  </si>
  <si>
    <t xml:space="preserve">komunikační kabel JYTY 2x1 </t>
  </si>
  <si>
    <t xml:space="preserve">Programování systému, zprovoznění </t>
  </si>
  <si>
    <t>Chlazení serverovny</t>
  </si>
  <si>
    <t>Venkovní klimatizační jednotka MUY-TP50VF (chladící výkon 3,5 kW)</t>
  </si>
  <si>
    <t>Vnitřní jnástěnná klimatizační jednotka MSY-TP50VF</t>
  </si>
  <si>
    <t>Interface MAC-334 IF-E - napojení kabelového ovladače napojení na cetrální ovladač</t>
  </si>
  <si>
    <t>Cenová rekapitulace:</t>
  </si>
  <si>
    <t>Jeřábnické práce</t>
  </si>
  <si>
    <t xml:space="preserve">Doprava </t>
  </si>
  <si>
    <t xml:space="preserve">Cena celkem bez DPH </t>
  </si>
  <si>
    <t xml:space="preserve">V ceně není zahrnuto: </t>
  </si>
  <si>
    <t>přívod el. proudu ke klimatrizačním jednotkám</t>
  </si>
  <si>
    <t>potrubí odvodu kondnezátu od vnitřních klimatizačních jednotek</t>
  </si>
  <si>
    <t>sifóny se zápachovou uzávěrou pro napojení potrubí odvodu kondnezátu do kanalizace</t>
  </si>
  <si>
    <t>uchycení ocelové konstrukce pod klimatizační jednotky ke střeše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</si>
</sst>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%"/>
    <numFmt numFmtId="165" formatCode="dd\.mm\.yyyy"/>
    <numFmt numFmtId="166" formatCode="#,##0.00000"/>
    <numFmt numFmtId="167" formatCode="#,##0.000"/>
    <numFmt numFmtId="168" formatCode="#,##0.00_ &quot;Kč&quot;"/>
    <numFmt numFmtId="169" formatCode="#,##0.00\ &quot;Kč&quot;"/>
    <numFmt numFmtId="170" formatCode="#,##0\ &quot;Kč&quot;"/>
  </numFmts>
  <fonts count="74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i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vertAlign val="superscript"/>
      <sz val="9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 CE"/>
      <family val="2"/>
    </font>
    <font>
      <b/>
      <i/>
      <u val="single"/>
      <sz val="10"/>
      <name val="Arial CE"/>
      <family val="2"/>
    </font>
    <font>
      <sz val="10"/>
      <color indexed="12"/>
      <name val="Arial CE"/>
      <family val="2"/>
    </font>
    <font>
      <b/>
      <i/>
      <sz val="10"/>
      <name val="Arial CE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3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b/>
      <sz val="11"/>
      <color theme="1"/>
      <name val="Arial"/>
      <family val="2"/>
    </font>
    <font>
      <i/>
      <sz val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C0C0C0"/>
      </left>
      <right style="medium">
        <color rgb="FFC0C0C0"/>
      </right>
      <top/>
      <bottom style="medium">
        <color rgb="FFC0C0C0"/>
      </bottom>
    </border>
    <border>
      <left style="medium"/>
      <right style="medium">
        <color rgb="FFC0C0C0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medium"/>
      <bottom style="hair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ont="0" applyFill="0" applyBorder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5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10" fillId="0" borderId="3" xfId="0" applyFont="1" applyBorder="1"/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10" fillId="0" borderId="18" xfId="0" applyFont="1" applyBorder="1"/>
    <xf numFmtId="166" fontId="10" fillId="0" borderId="0" xfId="0" applyNumberFormat="1" applyFont="1"/>
    <xf numFmtId="166" fontId="10" fillId="0" borderId="12" xfId="0" applyNumberFormat="1" applyFont="1" applyBorder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0" fillId="0" borderId="18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/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49" fillId="0" borderId="26" xfId="21" applyNumberFormat="1" applyFont="1" applyFill="1" applyBorder="1" applyAlignment="1" applyProtection="1">
      <alignment horizontal="left"/>
      <protection/>
    </xf>
    <xf numFmtId="0" fontId="49" fillId="0" borderId="28" xfId="21" applyNumberFormat="1" applyFont="1" applyFill="1" applyBorder="1" applyAlignment="1" applyProtection="1">
      <alignment horizontal="left"/>
      <protection/>
    </xf>
    <xf numFmtId="0" fontId="49" fillId="0" borderId="0" xfId="21" applyNumberFormat="1" applyFont="1" applyFill="1" applyBorder="1" applyAlignment="1" applyProtection="1">
      <alignment horizontal="left"/>
      <protection/>
    </xf>
    <xf numFmtId="0" fontId="49" fillId="0" borderId="28" xfId="21" applyNumberFormat="1" applyFont="1" applyFill="1" applyBorder="1" applyAlignment="1" applyProtection="1">
      <alignment vertical="top"/>
      <protection/>
    </xf>
    <xf numFmtId="0" fontId="52" fillId="0" borderId="0" xfId="21" applyNumberFormat="1" applyFont="1" applyFill="1" applyBorder="1" applyAlignment="1" applyProtection="1">
      <alignment vertical="top"/>
      <protection/>
    </xf>
    <xf numFmtId="0" fontId="49" fillId="0" borderId="0" xfId="21" applyNumberFormat="1" applyFont="1" applyFill="1" applyBorder="1" applyAlignment="1" applyProtection="1">
      <alignment vertical="top"/>
      <protection/>
    </xf>
    <xf numFmtId="0" fontId="53" fillId="0" borderId="0" xfId="21" applyNumberFormat="1" applyFont="1" applyFill="1" applyBorder="1" applyAlignment="1" applyProtection="1">
      <alignment vertical="top"/>
      <protection/>
    </xf>
    <xf numFmtId="0" fontId="49" fillId="0" borderId="31" xfId="21" applyNumberFormat="1" applyFont="1" applyFill="1" applyBorder="1" applyAlignment="1" applyProtection="1">
      <alignment vertical="top"/>
      <protection/>
    </xf>
    <xf numFmtId="0" fontId="49" fillId="0" borderId="32" xfId="21" applyNumberFormat="1" applyFont="1" applyFill="1" applyBorder="1" applyAlignment="1" applyProtection="1">
      <alignment vertical="top"/>
      <protection/>
    </xf>
    <xf numFmtId="0" fontId="54" fillId="4" borderId="23" xfId="21" applyNumberFormat="1" applyFont="1" applyFill="1" applyBorder="1" applyAlignment="1" applyProtection="1">
      <alignment vertical="top"/>
      <protection/>
    </xf>
    <xf numFmtId="0" fontId="49" fillId="4" borderId="24" xfId="21" applyNumberFormat="1" applyFont="1" applyFill="1" applyBorder="1" applyAlignment="1" applyProtection="1">
      <alignment vertical="top"/>
      <protection/>
    </xf>
    <xf numFmtId="4" fontId="54" fillId="4" borderId="25" xfId="21" applyNumberFormat="1" applyFont="1" applyFill="1" applyBorder="1" applyAlignment="1" applyProtection="1">
      <alignment vertical="top"/>
      <protection/>
    </xf>
    <xf numFmtId="0" fontId="49" fillId="0" borderId="26" xfId="21" applyNumberFormat="1" applyFont="1" applyFill="1" applyBorder="1" applyAlignment="1" applyProtection="1">
      <alignment vertical="top"/>
      <protection/>
    </xf>
    <xf numFmtId="4" fontId="49" fillId="0" borderId="0" xfId="21" applyNumberFormat="1" applyFont="1" applyFill="1" applyBorder="1" applyAlignment="1" applyProtection="1">
      <alignment horizontal="center"/>
      <protection/>
    </xf>
    <xf numFmtId="4" fontId="49" fillId="0" borderId="27" xfId="21" applyNumberFormat="1" applyFont="1" applyFill="1" applyBorder="1" applyAlignment="1" applyProtection="1">
      <alignment vertical="top"/>
      <protection/>
    </xf>
    <xf numFmtId="0" fontId="49" fillId="0" borderId="29" xfId="21" applyNumberFormat="1" applyFont="1" applyFill="1" applyBorder="1" applyAlignment="1" applyProtection="1">
      <alignment vertical="top"/>
      <protection/>
    </xf>
    <xf numFmtId="0" fontId="49" fillId="0" borderId="29" xfId="21" applyNumberFormat="1" applyFont="1" applyFill="1" applyBorder="1" applyAlignment="1" applyProtection="1">
      <alignment horizontal="left"/>
      <protection/>
    </xf>
    <xf numFmtId="4" fontId="49" fillId="0" borderId="29" xfId="21" applyNumberFormat="1" applyFont="1" applyFill="1" applyBorder="1" applyAlignment="1" applyProtection="1">
      <alignment horizontal="center"/>
      <protection/>
    </xf>
    <xf numFmtId="4" fontId="49" fillId="0" borderId="30" xfId="21" applyNumberFormat="1" applyFont="1" applyFill="1" applyBorder="1" applyAlignment="1" applyProtection="1">
      <alignment vertical="top"/>
      <protection/>
    </xf>
    <xf numFmtId="0" fontId="49" fillId="4" borderId="24" xfId="21" applyNumberFormat="1" applyFont="1" applyFill="1" applyBorder="1" applyAlignment="1" applyProtection="1">
      <alignment horizontal="left" indent="15"/>
      <protection/>
    </xf>
    <xf numFmtId="0" fontId="49" fillId="4" borderId="24" xfId="21" applyNumberFormat="1" applyFont="1" applyFill="1" applyBorder="1" applyAlignment="1" applyProtection="1">
      <alignment horizontal="left"/>
      <protection/>
    </xf>
    <xf numFmtId="0" fontId="49" fillId="0" borderId="26" xfId="21" applyNumberFormat="1" applyFont="1" applyFill="1" applyBorder="1" applyAlignment="1" applyProtection="1">
      <alignment horizontal="left" vertical="top" wrapText="1"/>
      <protection/>
    </xf>
    <xf numFmtId="0" fontId="49" fillId="0" borderId="0" xfId="21" applyNumberFormat="1" applyFont="1" applyFill="1" applyBorder="1" applyAlignment="1" applyProtection="1">
      <alignment horizontal="left" indent="15"/>
      <protection/>
    </xf>
    <xf numFmtId="4" fontId="49" fillId="0" borderId="27" xfId="21" applyNumberFormat="1" applyFont="1" applyFill="1" applyBorder="1" applyAlignment="1" applyProtection="1">
      <alignment horizontal="right"/>
      <protection/>
    </xf>
    <xf numFmtId="0" fontId="49" fillId="0" borderId="29" xfId="21" applyNumberFormat="1" applyFont="1" applyFill="1" applyBorder="1" applyAlignment="1" applyProtection="1">
      <alignment horizontal="left" indent="15"/>
      <protection/>
    </xf>
    <xf numFmtId="4" fontId="49" fillId="0" borderId="30" xfId="21" applyNumberFormat="1" applyFont="1" applyFill="1" applyBorder="1" applyAlignment="1" applyProtection="1">
      <alignment horizontal="right"/>
      <protection/>
    </xf>
    <xf numFmtId="0" fontId="49" fillId="0" borderId="0" xfId="21" applyNumberFormat="1" applyFont="1" applyFill="1" applyBorder="1" applyAlignment="1" applyProtection="1">
      <alignment horizontal="center"/>
      <protection/>
    </xf>
    <xf numFmtId="0" fontId="54" fillId="4" borderId="23" xfId="21" applyNumberFormat="1" applyFont="1" applyFill="1" applyBorder="1" applyAlignment="1" applyProtection="1">
      <alignment horizontal="left"/>
      <protection/>
    </xf>
    <xf numFmtId="0" fontId="49" fillId="4" borderId="24" xfId="21" applyNumberFormat="1" applyFont="1" applyFill="1" applyBorder="1" applyAlignment="1" applyProtection="1">
      <alignment horizontal="center"/>
      <protection/>
    </xf>
    <xf numFmtId="0" fontId="49" fillId="0" borderId="0" xfId="21" applyNumberFormat="1" applyFont="1" applyFill="1" applyBorder="1" applyAlignment="1" applyProtection="1">
      <alignment horizontal="left" indent="13"/>
      <protection/>
    </xf>
    <xf numFmtId="0" fontId="49" fillId="0" borderId="0" xfId="21" applyNumberFormat="1" applyFont="1" applyFill="1" applyBorder="1" applyAlignment="1" applyProtection="1">
      <alignment horizontal="left" vertical="top"/>
      <protection/>
    </xf>
    <xf numFmtId="4" fontId="49" fillId="0" borderId="29" xfId="21" applyNumberFormat="1" applyFont="1" applyFill="1" applyBorder="1" applyAlignment="1" applyProtection="1">
      <alignment horizontal="center" vertical="top"/>
      <protection/>
    </xf>
    <xf numFmtId="4" fontId="49" fillId="0" borderId="0" xfId="21" applyNumberFormat="1" applyFont="1" applyFill="1" applyBorder="1" applyAlignment="1" applyProtection="1">
      <alignment horizontal="center" vertical="top"/>
      <protection/>
    </xf>
    <xf numFmtId="4" fontId="49" fillId="0" borderId="0" xfId="21" applyNumberFormat="1" applyFont="1" applyFill="1" applyBorder="1" applyAlignment="1" applyProtection="1">
      <alignment vertical="top"/>
      <protection/>
    </xf>
    <xf numFmtId="0" fontId="52" fillId="0" borderId="0" xfId="21" applyNumberFormat="1" applyFont="1" applyFill="1" applyBorder="1" applyAlignment="1" applyProtection="1">
      <alignment horizontal="left" vertical="top"/>
      <protection/>
    </xf>
    <xf numFmtId="0" fontId="49" fillId="4" borderId="24" xfId="21" applyNumberFormat="1" applyFont="1" applyFill="1" applyBorder="1" applyAlignment="1" applyProtection="1">
      <alignment horizontal="justify"/>
      <protection/>
    </xf>
    <xf numFmtId="0" fontId="49" fillId="0" borderId="29" xfId="21" applyNumberFormat="1" applyFont="1" applyFill="1" applyBorder="1" applyAlignment="1" applyProtection="1">
      <alignment horizontal="left" vertical="top" indent="15"/>
      <protection/>
    </xf>
    <xf numFmtId="0" fontId="49" fillId="0" borderId="0" xfId="21" applyNumberFormat="1" applyFont="1" applyFill="1" applyBorder="1" applyAlignment="1" applyProtection="1">
      <alignment horizontal="left" vertical="top" indent="15"/>
      <protection/>
    </xf>
    <xf numFmtId="0" fontId="49" fillId="0" borderId="0" xfId="21" applyNumberFormat="1" applyFont="1" applyFill="1" applyBorder="1" applyAlignment="1" applyProtection="1">
      <alignment horizontal="left" vertical="top" indent="2"/>
      <protection/>
    </xf>
    <xf numFmtId="0" fontId="49" fillId="4" borderId="24" xfId="21" applyNumberFormat="1" applyFont="1" applyFill="1" applyBorder="1" applyAlignment="1" applyProtection="1">
      <alignment horizontal="left" vertical="top" indent="15"/>
      <protection/>
    </xf>
    <xf numFmtId="0" fontId="49" fillId="4" borderId="24" xfId="21" applyNumberFormat="1" applyFont="1" applyFill="1" applyBorder="1" applyAlignment="1" applyProtection="1">
      <alignment horizontal="left" vertical="top" indent="2"/>
      <protection/>
    </xf>
    <xf numFmtId="4" fontId="49" fillId="0" borderId="0" xfId="21" applyNumberFormat="1" applyFont="1" applyFill="1" applyBorder="1" applyAlignment="1" applyProtection="1">
      <alignment horizontal="right"/>
      <protection/>
    </xf>
    <xf numFmtId="4" fontId="49" fillId="4" borderId="24" xfId="21" applyNumberFormat="1" applyFont="1" applyFill="1" applyBorder="1" applyAlignment="1" applyProtection="1">
      <alignment horizontal="right"/>
      <protection/>
    </xf>
    <xf numFmtId="4" fontId="56" fillId="5" borderId="0" xfId="21" applyNumberFormat="1" applyFont="1" applyFill="1" applyBorder="1" applyAlignment="1">
      <alignment horizontal="right" vertical="center"/>
    </xf>
    <xf numFmtId="0" fontId="56" fillId="5" borderId="0" xfId="21" applyFont="1" applyFill="1" applyBorder="1" applyAlignment="1">
      <alignment vertical="center"/>
    </xf>
    <xf numFmtId="0" fontId="51" fillId="6" borderId="33" xfId="21" applyFont="1" applyFill="1" applyBorder="1" applyAlignment="1">
      <alignment vertical="center"/>
    </xf>
    <xf numFmtId="0" fontId="49" fillId="6" borderId="0" xfId="21" applyNumberFormat="1" applyFont="1" applyFill="1" applyBorder="1" applyAlignment="1" applyProtection="1">
      <alignment vertical="top"/>
      <protection/>
    </xf>
    <xf numFmtId="4" fontId="54" fillId="6" borderId="0" xfId="21" applyNumberFormat="1" applyFont="1" applyFill="1" applyBorder="1" applyAlignment="1" applyProtection="1">
      <alignment vertical="top"/>
      <protection/>
    </xf>
    <xf numFmtId="0" fontId="51" fillId="6" borderId="34" xfId="21" applyFont="1" applyFill="1" applyBorder="1" applyAlignment="1">
      <alignment vertical="center"/>
    </xf>
    <xf numFmtId="0" fontId="49" fillId="6" borderId="35" xfId="21" applyNumberFormat="1" applyFont="1" applyFill="1" applyBorder="1" applyAlignment="1" applyProtection="1">
      <alignment vertical="top"/>
      <protection/>
    </xf>
    <xf numFmtId="4" fontId="54" fillId="6" borderId="36" xfId="21" applyNumberFormat="1" applyFont="1" applyFill="1" applyBorder="1" applyAlignment="1" applyProtection="1">
      <alignment horizontal="center" vertical="center"/>
      <protection/>
    </xf>
    <xf numFmtId="4" fontId="49" fillId="0" borderId="32" xfId="21" applyNumberFormat="1" applyFont="1" applyFill="1" applyBorder="1" applyAlignment="1" applyProtection="1">
      <alignment horizontal="left" vertical="top" indent="1"/>
      <protection/>
    </xf>
    <xf numFmtId="4" fontId="49" fillId="0" borderId="37" xfId="21" applyNumberFormat="1" applyFont="1" applyFill="1" applyBorder="1" applyAlignment="1" applyProtection="1">
      <alignment horizontal="right" vertical="top" indent="1"/>
      <protection/>
    </xf>
    <xf numFmtId="4" fontId="49" fillId="4" borderId="24" xfId="21" applyNumberFormat="1" applyFont="1" applyFill="1" applyBorder="1" applyAlignment="1" applyProtection="1">
      <alignment vertical="top"/>
      <protection/>
    </xf>
    <xf numFmtId="4" fontId="49" fillId="4" borderId="24" xfId="21" applyNumberFormat="1" applyFont="1" applyFill="1" applyBorder="1" applyAlignment="1" applyProtection="1">
      <alignment horizontal="center" vertical="top"/>
      <protection/>
    </xf>
    <xf numFmtId="4" fontId="49" fillId="4" borderId="24" xfId="21" applyNumberFormat="1" applyFont="1" applyFill="1" applyBorder="1" applyAlignment="1" applyProtection="1">
      <alignment horizontal="center"/>
      <protection/>
    </xf>
    <xf numFmtId="4" fontId="56" fillId="0" borderId="0" xfId="21" applyNumberFormat="1" applyFont="1" applyFill="1" applyBorder="1" applyAlignment="1" applyProtection="1">
      <alignment horizontal="center" vertical="top"/>
      <protection/>
    </xf>
    <xf numFmtId="4" fontId="49" fillId="6" borderId="0" xfId="21" applyNumberFormat="1" applyFont="1" applyFill="1" applyBorder="1" applyAlignment="1" applyProtection="1">
      <alignment vertical="top"/>
      <protection/>
    </xf>
    <xf numFmtId="4" fontId="49" fillId="6" borderId="35" xfId="21" applyNumberFormat="1" applyFont="1" applyFill="1" applyBorder="1" applyAlignment="1" applyProtection="1">
      <alignment vertical="top"/>
      <protection/>
    </xf>
    <xf numFmtId="4" fontId="49" fillId="0" borderId="29" xfId="21" applyNumberFormat="1" applyFont="1" applyFill="1" applyBorder="1" applyAlignment="1" applyProtection="1">
      <alignment horizontal="right"/>
      <protection/>
    </xf>
    <xf numFmtId="0" fontId="56" fillId="5" borderId="26" xfId="21" applyFont="1" applyFill="1" applyBorder="1" applyAlignment="1">
      <alignment vertical="center"/>
    </xf>
    <xf numFmtId="4" fontId="56" fillId="5" borderId="0" xfId="21" applyNumberFormat="1" applyFont="1" applyFill="1" applyBorder="1" applyAlignment="1">
      <alignment horizontal="center" vertical="center"/>
    </xf>
    <xf numFmtId="0" fontId="56" fillId="5" borderId="28" xfId="21" applyFont="1" applyFill="1" applyBorder="1" applyAlignment="1">
      <alignment vertical="center"/>
    </xf>
    <xf numFmtId="0" fontId="56" fillId="5" borderId="29" xfId="21" applyFont="1" applyFill="1" applyBorder="1" applyAlignment="1">
      <alignment vertical="center"/>
    </xf>
    <xf numFmtId="4" fontId="56" fillId="5" borderId="29" xfId="21" applyNumberFormat="1" applyFont="1" applyFill="1" applyBorder="1" applyAlignment="1">
      <alignment horizontal="center" vertical="center"/>
    </xf>
    <xf numFmtId="4" fontId="49" fillId="0" borderId="32" xfId="21" applyNumberFormat="1" applyFont="1" applyFill="1" applyBorder="1" applyAlignment="1" applyProtection="1">
      <alignment horizontal="right"/>
      <protection/>
    </xf>
    <xf numFmtId="0" fontId="51" fillId="0" borderId="31" xfId="21" applyFont="1" applyFill="1" applyBorder="1" applyAlignment="1">
      <alignment vertical="center"/>
    </xf>
    <xf numFmtId="0" fontId="56" fillId="0" borderId="32" xfId="21" applyFont="1" applyFill="1" applyBorder="1" applyAlignment="1">
      <alignment vertical="center"/>
    </xf>
    <xf numFmtId="4" fontId="56" fillId="0" borderId="32" xfId="21" applyNumberFormat="1" applyFont="1" applyFill="1" applyBorder="1" applyAlignment="1">
      <alignment horizontal="center" vertical="center"/>
    </xf>
    <xf numFmtId="4" fontId="54" fillId="0" borderId="37" xfId="21" applyNumberFormat="1" applyFont="1" applyFill="1" applyBorder="1" applyAlignment="1" applyProtection="1">
      <alignment vertical="top"/>
      <protection/>
    </xf>
    <xf numFmtId="0" fontId="50" fillId="0" borderId="26" xfId="21" applyFont="1" applyFill="1" applyBorder="1" applyAlignment="1">
      <alignment vertical="center"/>
    </xf>
    <xf numFmtId="0" fontId="50" fillId="0" borderId="0" xfId="21" applyFont="1" applyFill="1" applyBorder="1" applyAlignment="1">
      <alignment vertical="center"/>
    </xf>
    <xf numFmtId="4" fontId="50" fillId="0" borderId="0" xfId="21" applyNumberFormat="1" applyFont="1" applyFill="1" applyBorder="1" applyAlignment="1">
      <alignment horizontal="center" vertical="center"/>
    </xf>
    <xf numFmtId="4" fontId="56" fillId="0" borderId="0" xfId="21" applyNumberFormat="1" applyFont="1" applyFill="1" applyBorder="1" applyAlignment="1">
      <alignment horizontal="right" vertical="center"/>
    </xf>
    <xf numFmtId="0" fontId="56" fillId="0" borderId="26" xfId="21" applyFont="1" applyFill="1" applyBorder="1" applyAlignment="1">
      <alignment vertical="center"/>
    </xf>
    <xf numFmtId="0" fontId="56" fillId="0" borderId="0" xfId="21" applyFont="1" applyFill="1" applyBorder="1" applyAlignment="1">
      <alignment vertical="center"/>
    </xf>
    <xf numFmtId="4" fontId="56" fillId="0" borderId="0" xfId="21" applyNumberFormat="1" applyFont="1" applyFill="1" applyBorder="1" applyAlignment="1">
      <alignment horizontal="center" vertical="center"/>
    </xf>
    <xf numFmtId="0" fontId="51" fillId="4" borderId="23" xfId="21" applyFont="1" applyFill="1" applyBorder="1" applyAlignment="1">
      <alignment vertical="center"/>
    </xf>
    <xf numFmtId="0" fontId="50" fillId="4" borderId="24" xfId="21" applyFont="1" applyFill="1" applyBorder="1" applyAlignment="1">
      <alignment vertical="center"/>
    </xf>
    <xf numFmtId="4" fontId="50" fillId="4" borderId="24" xfId="21" applyNumberFormat="1" applyFont="1" applyFill="1" applyBorder="1" applyAlignment="1">
      <alignment horizontal="right" vertical="center"/>
    </xf>
    <xf numFmtId="4" fontId="50" fillId="0" borderId="0" xfId="21" applyNumberFormat="1" applyFont="1" applyFill="1" applyBorder="1" applyAlignment="1">
      <alignment horizontal="right" vertical="center"/>
    </xf>
    <xf numFmtId="4" fontId="56" fillId="5" borderId="29" xfId="21" applyNumberFormat="1" applyFont="1" applyFill="1" applyBorder="1" applyAlignment="1">
      <alignment horizontal="right" vertical="center"/>
    </xf>
    <xf numFmtId="0" fontId="57" fillId="4" borderId="24" xfId="21" applyFont="1" applyFill="1" applyBorder="1" applyAlignment="1">
      <alignment vertical="center"/>
    </xf>
    <xf numFmtId="4" fontId="57" fillId="4" borderId="24" xfId="21" applyNumberFormat="1" applyFont="1" applyFill="1" applyBorder="1" applyAlignment="1">
      <alignment horizontal="right" vertical="center"/>
    </xf>
    <xf numFmtId="4" fontId="56" fillId="4" borderId="24" xfId="21" applyNumberFormat="1" applyFont="1" applyFill="1" applyBorder="1" applyAlignment="1">
      <alignment horizontal="right" vertical="center"/>
    </xf>
    <xf numFmtId="0" fontId="56" fillId="0" borderId="29" xfId="21" applyFont="1" applyFill="1" applyBorder="1" applyAlignment="1">
      <alignment vertical="center"/>
    </xf>
    <xf numFmtId="4" fontId="56" fillId="0" borderId="29" xfId="21" applyNumberFormat="1" applyFont="1" applyFill="1" applyBorder="1" applyAlignment="1">
      <alignment horizontal="right" vertical="center"/>
    </xf>
    <xf numFmtId="0" fontId="2" fillId="0" borderId="0" xfId="22" applyAlignment="1">
      <alignment horizontal="left"/>
      <protection/>
    </xf>
    <xf numFmtId="0" fontId="2" fillId="0" borderId="0" xfId="22">
      <alignment/>
      <protection/>
    </xf>
    <xf numFmtId="4" fontId="2" fillId="0" borderId="0" xfId="22" applyNumberFormat="1">
      <alignment/>
      <protection/>
    </xf>
    <xf numFmtId="0" fontId="48" fillId="4" borderId="0" xfId="22" applyFont="1" applyFill="1" applyAlignment="1">
      <alignment horizontal="left"/>
      <protection/>
    </xf>
    <xf numFmtId="0" fontId="2" fillId="4" borderId="0" xfId="22" applyFill="1">
      <alignment/>
      <protection/>
    </xf>
    <xf numFmtId="4" fontId="2" fillId="4" borderId="0" xfId="22" applyNumberFormat="1" applyFill="1">
      <alignment/>
      <protection/>
    </xf>
    <xf numFmtId="4" fontId="48" fillId="4" borderId="0" xfId="22" applyNumberFormat="1" applyFont="1" applyFill="1">
      <alignment/>
      <protection/>
    </xf>
    <xf numFmtId="0" fontId="48" fillId="0" borderId="0" xfId="22" applyFont="1">
      <alignment/>
      <protection/>
    </xf>
    <xf numFmtId="4" fontId="48" fillId="0" borderId="0" xfId="22" applyNumberFormat="1" applyFont="1">
      <alignment/>
      <protection/>
    </xf>
    <xf numFmtId="0" fontId="48" fillId="0" borderId="0" xfId="22" applyFont="1" applyAlignment="1">
      <alignment horizontal="left"/>
      <protection/>
    </xf>
    <xf numFmtId="0" fontId="59" fillId="0" borderId="0" xfId="23" applyFont="1" applyAlignment="1">
      <alignment vertical="center"/>
      <protection/>
    </xf>
    <xf numFmtId="0" fontId="59" fillId="0" borderId="26" xfId="23" applyFont="1" applyBorder="1" applyAlignment="1">
      <alignment vertical="center"/>
      <protection/>
    </xf>
    <xf numFmtId="49" fontId="59" fillId="0" borderId="38" xfId="23" applyNumberFormat="1" applyFont="1" applyBorder="1" applyAlignment="1">
      <alignment horizontal="left" vertical="center"/>
      <protection/>
    </xf>
    <xf numFmtId="49" fontId="59" fillId="0" borderId="39" xfId="23" applyNumberFormat="1" applyFont="1" applyBorder="1" applyAlignment="1">
      <alignment horizontal="left" vertical="center"/>
      <protection/>
    </xf>
    <xf numFmtId="49" fontId="60" fillId="0" borderId="40" xfId="23" applyNumberFormat="1" applyFont="1" applyBorder="1" applyAlignment="1">
      <alignment horizontal="center" vertical="center"/>
      <protection/>
    </xf>
    <xf numFmtId="0" fontId="59" fillId="0" borderId="41" xfId="23" applyFont="1" applyBorder="1" applyAlignment="1">
      <alignment vertical="center"/>
      <protection/>
    </xf>
    <xf numFmtId="49" fontId="60" fillId="0" borderId="42" xfId="23" applyNumberFormat="1" applyFont="1" applyBorder="1" applyAlignment="1">
      <alignment horizontal="left" vertical="center"/>
      <protection/>
    </xf>
    <xf numFmtId="49" fontId="60" fillId="0" borderId="43" xfId="23" applyNumberFormat="1" applyFont="1" applyBorder="1" applyAlignment="1">
      <alignment horizontal="left" vertical="center"/>
      <protection/>
    </xf>
    <xf numFmtId="49" fontId="60" fillId="0" borderId="43" xfId="23" applyNumberFormat="1" applyFont="1" applyBorder="1" applyAlignment="1">
      <alignment horizontal="center" vertical="center"/>
      <protection/>
    </xf>
    <xf numFmtId="49" fontId="60" fillId="0" borderId="44" xfId="23" applyNumberFormat="1" applyFont="1" applyBorder="1" applyAlignment="1">
      <alignment horizontal="right" vertical="center"/>
      <protection/>
    </xf>
    <xf numFmtId="49" fontId="60" fillId="0" borderId="45" xfId="23" applyNumberFormat="1" applyFont="1" applyBorder="1" applyAlignment="1">
      <alignment horizontal="center" vertical="center"/>
      <protection/>
    </xf>
    <xf numFmtId="49" fontId="60" fillId="0" borderId="46" xfId="23" applyNumberFormat="1" applyFont="1" applyBorder="1" applyAlignment="1">
      <alignment horizontal="center" vertical="center"/>
      <protection/>
    </xf>
    <xf numFmtId="49" fontId="60" fillId="0" borderId="47" xfId="23" applyNumberFormat="1" applyFont="1" applyBorder="1" applyAlignment="1">
      <alignment horizontal="center" vertical="center"/>
      <protection/>
    </xf>
    <xf numFmtId="49" fontId="60" fillId="7" borderId="0" xfId="23" applyNumberFormat="1" applyFont="1" applyFill="1" applyAlignment="1">
      <alignment horizontal="right" vertical="center"/>
      <protection/>
    </xf>
    <xf numFmtId="49" fontId="59" fillId="7" borderId="0" xfId="23" applyNumberFormat="1" applyFont="1" applyFill="1" applyAlignment="1">
      <alignment horizontal="left" vertical="center"/>
      <protection/>
    </xf>
    <xf numFmtId="49" fontId="60" fillId="7" borderId="0" xfId="23" applyNumberFormat="1" applyFont="1" applyFill="1" applyAlignment="1">
      <alignment horizontal="left" vertical="center"/>
      <protection/>
    </xf>
    <xf numFmtId="49" fontId="60" fillId="7" borderId="0" xfId="23" applyNumberFormat="1" applyFont="1" applyFill="1" applyAlignment="1">
      <alignment vertical="center"/>
      <protection/>
    </xf>
    <xf numFmtId="0" fontId="60" fillId="7" borderId="0" xfId="23" applyFont="1" applyFill="1" applyAlignment="1">
      <alignment vertical="center"/>
      <protection/>
    </xf>
    <xf numFmtId="4" fontId="60" fillId="7" borderId="0" xfId="23" applyNumberFormat="1" applyFont="1" applyFill="1" applyAlignment="1">
      <alignment vertical="center"/>
      <protection/>
    </xf>
    <xf numFmtId="4" fontId="60" fillId="7" borderId="0" xfId="23" applyNumberFormat="1" applyFont="1" applyFill="1" applyAlignment="1">
      <alignment horizontal="right" vertical="center"/>
      <protection/>
    </xf>
    <xf numFmtId="49" fontId="59" fillId="0" borderId="0" xfId="23" applyNumberFormat="1" applyFont="1" applyAlignment="1">
      <alignment horizontal="left" vertical="center"/>
      <protection/>
    </xf>
    <xf numFmtId="49" fontId="59" fillId="0" borderId="0" xfId="23" applyNumberFormat="1" applyFont="1" applyAlignment="1">
      <alignment horizontal="center" vertical="center"/>
      <protection/>
    </xf>
    <xf numFmtId="4" fontId="59" fillId="0" borderId="0" xfId="23" applyNumberFormat="1" applyFont="1" applyAlignment="1">
      <alignment horizontal="right" vertical="center"/>
      <protection/>
    </xf>
    <xf numFmtId="49" fontId="59" fillId="0" borderId="0" xfId="23" applyNumberFormat="1" applyFont="1" applyAlignment="1">
      <alignment horizontal="right" vertical="center"/>
      <protection/>
    </xf>
    <xf numFmtId="0" fontId="4" fillId="0" borderId="0" xfId="23" applyFont="1">
      <alignment/>
      <protection/>
    </xf>
    <xf numFmtId="0" fontId="1" fillId="0" borderId="0" xfId="23" applyAlignment="1">
      <alignment wrapText="1"/>
      <protection/>
    </xf>
    <xf numFmtId="0" fontId="1" fillId="0" borderId="0" xfId="23" applyAlignment="1">
      <alignment horizontal="center"/>
      <protection/>
    </xf>
    <xf numFmtId="0" fontId="17" fillId="0" borderId="0" xfId="23" applyFont="1" applyAlignment="1">
      <alignment wrapText="1"/>
      <protection/>
    </xf>
    <xf numFmtId="0" fontId="61" fillId="0" borderId="0" xfId="23" applyFont="1">
      <alignment/>
      <protection/>
    </xf>
    <xf numFmtId="0" fontId="4" fillId="0" borderId="0" xfId="23" applyFont="1" applyAlignment="1">
      <alignment wrapText="1"/>
      <protection/>
    </xf>
    <xf numFmtId="0" fontId="62" fillId="0" borderId="0" xfId="23" applyFont="1" applyAlignment="1">
      <alignment wrapText="1"/>
      <protection/>
    </xf>
    <xf numFmtId="0" fontId="63" fillId="0" borderId="0" xfId="23" applyFont="1">
      <alignment/>
      <protection/>
    </xf>
    <xf numFmtId="0" fontId="64" fillId="0" borderId="0" xfId="23" applyFont="1" applyAlignment="1">
      <alignment wrapText="1"/>
      <protection/>
    </xf>
    <xf numFmtId="4" fontId="4" fillId="0" borderId="0" xfId="23" applyNumberFormat="1" applyFont="1">
      <alignment/>
      <protection/>
    </xf>
    <xf numFmtId="0" fontId="4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59" fillId="0" borderId="0" xfId="23" applyFont="1" applyAlignment="1">
      <alignment horizontal="center" vertical="center"/>
      <protection/>
    </xf>
    <xf numFmtId="0" fontId="1" fillId="0" borderId="0" xfId="23" applyAlignment="1">
      <alignment horizontal="right"/>
      <protection/>
    </xf>
    <xf numFmtId="0" fontId="59" fillId="8" borderId="0" xfId="23" applyFont="1" applyFill="1" applyAlignment="1">
      <alignment vertical="center"/>
      <protection/>
    </xf>
    <xf numFmtId="49" fontId="21" fillId="0" borderId="48" xfId="23" applyNumberFormat="1" applyFont="1" applyBorder="1" applyAlignment="1">
      <alignment horizontal="left" vertical="center" wrapText="1"/>
      <protection/>
    </xf>
    <xf numFmtId="0" fontId="21" fillId="0" borderId="48" xfId="23" applyFont="1" applyBorder="1" applyAlignment="1">
      <alignment horizontal="left" vertical="center" wrapText="1"/>
      <protection/>
    </xf>
    <xf numFmtId="0" fontId="1" fillId="0" borderId="0" xfId="23" applyAlignment="1">
      <alignment horizontal="left"/>
      <protection/>
    </xf>
    <xf numFmtId="2" fontId="1" fillId="0" borderId="0" xfId="23" applyNumberFormat="1">
      <alignment/>
      <protection/>
    </xf>
    <xf numFmtId="49" fontId="21" fillId="0" borderId="0" xfId="23" applyNumberFormat="1" applyFont="1" applyAlignment="1">
      <alignment horizontal="left" vertical="center" wrapText="1"/>
      <protection/>
    </xf>
    <xf numFmtId="0" fontId="21" fillId="0" borderId="0" xfId="23" applyFont="1" applyAlignment="1">
      <alignment horizontal="left" vertical="center" wrapText="1"/>
      <protection/>
    </xf>
    <xf numFmtId="0" fontId="59" fillId="0" borderId="24" xfId="23" applyFont="1" applyBorder="1" applyAlignment="1">
      <alignment vertical="center"/>
      <protection/>
    </xf>
    <xf numFmtId="4" fontId="60" fillId="0" borderId="24" xfId="23" applyNumberFormat="1" applyFont="1" applyBorder="1" applyAlignment="1">
      <alignment horizontal="right" vertical="center"/>
      <protection/>
    </xf>
    <xf numFmtId="4" fontId="60" fillId="0" borderId="0" xfId="23" applyNumberFormat="1" applyFont="1" applyAlignment="1">
      <alignment horizontal="right" vertical="center"/>
      <protection/>
    </xf>
    <xf numFmtId="0" fontId="65" fillId="0" borderId="0" xfId="24" applyFont="1" applyAlignment="1">
      <alignment horizontal="right" vertical="top"/>
      <protection/>
    </xf>
    <xf numFmtId="0" fontId="65" fillId="0" borderId="0" xfId="24" applyFont="1" applyAlignment="1">
      <alignment horizontal="left" vertical="top"/>
      <protection/>
    </xf>
    <xf numFmtId="0" fontId="66" fillId="0" borderId="0" xfId="24" applyFont="1" applyAlignment="1">
      <alignment vertical="top"/>
      <protection/>
    </xf>
    <xf numFmtId="0" fontId="67" fillId="0" borderId="0" xfId="24" applyFont="1" applyAlignment="1">
      <alignment vertical="top"/>
      <protection/>
    </xf>
    <xf numFmtId="0" fontId="65" fillId="0" borderId="0" xfId="24" applyFont="1" applyAlignment="1">
      <alignment vertical="top"/>
      <protection/>
    </xf>
    <xf numFmtId="168" fontId="65" fillId="0" borderId="0" xfId="24" applyNumberFormat="1" applyFont="1" applyAlignment="1">
      <alignment vertical="top"/>
      <protection/>
    </xf>
    <xf numFmtId="0" fontId="66" fillId="0" borderId="0" xfId="24" applyFont="1" applyAlignment="1">
      <alignment horizontal="right" vertical="top"/>
      <protection/>
    </xf>
    <xf numFmtId="0" fontId="67" fillId="0" borderId="32" xfId="24" applyFont="1" applyBorder="1" applyAlignment="1">
      <alignment vertical="top"/>
      <protection/>
    </xf>
    <xf numFmtId="0" fontId="67" fillId="0" borderId="32" xfId="24" applyFont="1" applyBorder="1" applyAlignment="1">
      <alignment horizontal="right" vertical="top" wrapText="1"/>
      <protection/>
    </xf>
    <xf numFmtId="0" fontId="67" fillId="0" borderId="32" xfId="24" applyFont="1" applyBorder="1" applyAlignment="1">
      <alignment vertical="top" wrapText="1"/>
      <protection/>
    </xf>
    <xf numFmtId="0" fontId="67" fillId="0" borderId="37" xfId="24" applyFont="1" applyBorder="1" applyAlignment="1">
      <alignment vertical="top"/>
      <protection/>
    </xf>
    <xf numFmtId="168" fontId="67" fillId="0" borderId="32" xfId="24" applyNumberFormat="1" applyFont="1" applyBorder="1" applyAlignment="1">
      <alignment vertical="top" wrapText="1"/>
      <protection/>
    </xf>
    <xf numFmtId="168" fontId="67" fillId="0" borderId="37" xfId="24" applyNumberFormat="1" applyFont="1" applyBorder="1" applyAlignment="1">
      <alignment vertical="top" wrapText="1"/>
      <protection/>
    </xf>
    <xf numFmtId="0" fontId="68" fillId="0" borderId="0" xfId="24" applyFont="1" applyAlignment="1">
      <alignment vertical="top"/>
      <protection/>
    </xf>
    <xf numFmtId="0" fontId="68" fillId="0" borderId="0" xfId="24" applyFont="1" applyAlignment="1">
      <alignment horizontal="right" vertical="top"/>
      <protection/>
    </xf>
    <xf numFmtId="168" fontId="68" fillId="0" borderId="0" xfId="24" applyNumberFormat="1" applyFont="1" applyAlignment="1">
      <alignment vertical="top"/>
      <protection/>
    </xf>
    <xf numFmtId="0" fontId="67" fillId="0" borderId="0" xfId="24" applyFont="1" applyAlignment="1">
      <alignment horizontal="left" vertical="top"/>
      <protection/>
    </xf>
    <xf numFmtId="168" fontId="65" fillId="0" borderId="0" xfId="24" applyNumberFormat="1" applyFont="1" applyAlignment="1">
      <alignment horizontal="left" vertical="top"/>
      <protection/>
    </xf>
    <xf numFmtId="0" fontId="65" fillId="0" borderId="0" xfId="24" applyFont="1" applyAlignment="1">
      <alignment horizontal="right" vertical="top" wrapText="1"/>
      <protection/>
    </xf>
    <xf numFmtId="0" fontId="65" fillId="0" borderId="0" xfId="24" applyFont="1" applyAlignment="1">
      <alignment horizontal="left" vertical="top" wrapText="1"/>
      <protection/>
    </xf>
    <xf numFmtId="168" fontId="65" fillId="0" borderId="0" xfId="24" applyNumberFormat="1" applyFont="1" applyAlignment="1" applyProtection="1">
      <alignment vertical="top" wrapText="1"/>
      <protection locked="0"/>
    </xf>
    <xf numFmtId="168" fontId="65" fillId="0" borderId="0" xfId="24" applyNumberFormat="1" applyFont="1" applyAlignment="1">
      <alignment vertical="top" wrapText="1"/>
      <protection/>
    </xf>
    <xf numFmtId="0" fontId="65" fillId="0" borderId="0" xfId="24" applyFont="1" applyAlignment="1">
      <alignment vertical="top" wrapText="1"/>
      <protection/>
    </xf>
    <xf numFmtId="0" fontId="69" fillId="0" borderId="0" xfId="24" applyFont="1" applyAlignment="1">
      <alignment horizontal="right" vertical="top"/>
      <protection/>
    </xf>
    <xf numFmtId="0" fontId="69" fillId="0" borderId="0" xfId="24" applyFont="1" applyAlignment="1">
      <alignment horizontal="left" vertical="top"/>
      <protection/>
    </xf>
    <xf numFmtId="0" fontId="69" fillId="0" borderId="0" xfId="24" applyFont="1" applyAlignment="1">
      <alignment vertical="top" wrapText="1"/>
      <protection/>
    </xf>
    <xf numFmtId="0" fontId="69" fillId="0" borderId="0" xfId="24" applyFont="1" applyAlignment="1">
      <alignment vertical="top"/>
      <protection/>
    </xf>
    <xf numFmtId="168" fontId="69" fillId="0" borderId="0" xfId="24" applyNumberFormat="1" applyFont="1" applyAlignment="1">
      <alignment vertical="top"/>
      <protection/>
    </xf>
    <xf numFmtId="0" fontId="67" fillId="0" borderId="0" xfId="24" applyFont="1" applyAlignment="1">
      <alignment horizontal="right" vertical="top"/>
      <protection/>
    </xf>
    <xf numFmtId="168" fontId="67" fillId="0" borderId="0" xfId="24" applyNumberFormat="1" applyFont="1" applyAlignment="1">
      <alignment horizontal="left" vertical="top"/>
      <protection/>
    </xf>
    <xf numFmtId="168" fontId="67" fillId="0" borderId="0" xfId="24" applyNumberFormat="1" applyFont="1" applyAlignment="1">
      <alignment vertical="top"/>
      <protection/>
    </xf>
    <xf numFmtId="0" fontId="66" fillId="0" borderId="0" xfId="24" applyFont="1" applyAlignment="1">
      <alignment horizontal="left" vertical="top" wrapText="1"/>
      <protection/>
    </xf>
    <xf numFmtId="0" fontId="66" fillId="0" borderId="0" xfId="24" applyFont="1" applyAlignment="1">
      <alignment horizontal="right" vertical="top" wrapText="1"/>
      <protection/>
    </xf>
    <xf numFmtId="168" fontId="66" fillId="0" borderId="0" xfId="24" applyNumberFormat="1" applyFont="1" applyAlignment="1">
      <alignment vertical="top" wrapText="1"/>
      <protection/>
    </xf>
    <xf numFmtId="0" fontId="66" fillId="0" borderId="0" xfId="24" applyFont="1" applyAlignment="1">
      <alignment vertical="top" wrapText="1"/>
      <protection/>
    </xf>
    <xf numFmtId="0" fontId="66" fillId="0" borderId="0" xfId="24" applyFont="1" applyAlignment="1">
      <alignment horizontal="left" vertical="top"/>
      <protection/>
    </xf>
    <xf numFmtId="168" fontId="66" fillId="0" borderId="0" xfId="24" applyNumberFormat="1" applyFont="1" applyAlignment="1">
      <alignment horizontal="left" vertical="top"/>
      <protection/>
    </xf>
    <xf numFmtId="168" fontId="66" fillId="0" borderId="0" xfId="24" applyNumberFormat="1" applyFont="1" applyAlignment="1">
      <alignment vertical="top"/>
      <protection/>
    </xf>
    <xf numFmtId="168" fontId="65" fillId="0" borderId="0" xfId="24" applyNumberFormat="1" applyFont="1" applyAlignment="1">
      <alignment horizontal="left" vertical="top" wrapText="1"/>
      <protection/>
    </xf>
    <xf numFmtId="0" fontId="67" fillId="0" borderId="0" xfId="24" applyFont="1" applyAlignment="1">
      <alignment vertical="top" wrapText="1"/>
      <protection/>
    </xf>
    <xf numFmtId="168" fontId="66" fillId="0" borderId="0" xfId="24" applyNumberFormat="1" applyFont="1" applyAlignment="1">
      <alignment horizontal="left" vertical="top" wrapText="1"/>
      <protection/>
    </xf>
    <xf numFmtId="168" fontId="72" fillId="0" borderId="0" xfId="24" applyNumberFormat="1" applyFont="1" applyAlignment="1">
      <alignment vertical="top"/>
      <protection/>
    </xf>
    <xf numFmtId="168" fontId="66" fillId="0" borderId="0" xfId="24" applyNumberFormat="1" applyFont="1" applyAlignment="1" applyProtection="1">
      <alignment vertical="top"/>
      <protection locked="0"/>
    </xf>
    <xf numFmtId="0" fontId="72" fillId="0" borderId="0" xfId="24" applyFont="1" applyAlignment="1">
      <alignment vertical="top"/>
      <protection/>
    </xf>
    <xf numFmtId="0" fontId="72" fillId="0" borderId="0" xfId="24" applyFont="1" applyAlignment="1">
      <alignment horizontal="right" vertical="top"/>
      <protection/>
    </xf>
    <xf numFmtId="169" fontId="72" fillId="0" borderId="0" xfId="24" applyNumberFormat="1" applyFont="1" applyAlignment="1">
      <alignment vertical="top"/>
      <protection/>
    </xf>
    <xf numFmtId="0" fontId="17" fillId="0" borderId="0" xfId="25" applyFont="1">
      <alignment/>
      <protection/>
    </xf>
    <xf numFmtId="0" fontId="4" fillId="0" borderId="0" xfId="25">
      <alignment/>
      <protection/>
    </xf>
    <xf numFmtId="0" fontId="6" fillId="0" borderId="49" xfId="25" applyFont="1" applyBorder="1">
      <alignment/>
      <protection/>
    </xf>
    <xf numFmtId="0" fontId="17" fillId="0" borderId="49" xfId="25" applyFont="1" applyBorder="1">
      <alignment/>
      <protection/>
    </xf>
    <xf numFmtId="0" fontId="4" fillId="0" borderId="49" xfId="25" applyBorder="1">
      <alignment/>
      <protection/>
    </xf>
    <xf numFmtId="4" fontId="17" fillId="0" borderId="49" xfId="25" applyNumberFormat="1" applyFont="1" applyBorder="1">
      <alignment/>
      <protection/>
    </xf>
    <xf numFmtId="4" fontId="17" fillId="0" borderId="0" xfId="25" applyNumberFormat="1" applyFont="1">
      <alignment/>
      <protection/>
    </xf>
    <xf numFmtId="0" fontId="64" fillId="0" borderId="49" xfId="25" applyFont="1" applyBorder="1">
      <alignment/>
      <protection/>
    </xf>
    <xf numFmtId="1" fontId="4" fillId="0" borderId="0" xfId="25" applyNumberFormat="1">
      <alignment/>
      <protection/>
    </xf>
    <xf numFmtId="0" fontId="16" fillId="0" borderId="49" xfId="25" applyFont="1" applyBorder="1">
      <alignment/>
      <protection/>
    </xf>
    <xf numFmtId="1" fontId="4" fillId="0" borderId="49" xfId="25" applyNumberFormat="1" applyBorder="1" applyAlignment="1">
      <alignment wrapText="1"/>
      <protection/>
    </xf>
    <xf numFmtId="0" fontId="4" fillId="0" borderId="49" xfId="25" applyBorder="1" applyAlignment="1">
      <alignment wrapText="1"/>
      <protection/>
    </xf>
    <xf numFmtId="0" fontId="4" fillId="0" borderId="50" xfId="25" applyBorder="1">
      <alignment/>
      <protection/>
    </xf>
    <xf numFmtId="0" fontId="4" fillId="0" borderId="50" xfId="25" applyBorder="1" applyAlignment="1">
      <alignment wrapText="1"/>
      <protection/>
    </xf>
    <xf numFmtId="0" fontId="73" fillId="0" borderId="50" xfId="25" applyFont="1" applyBorder="1">
      <alignment/>
      <protection/>
    </xf>
    <xf numFmtId="0" fontId="17" fillId="0" borderId="51" xfId="25" applyFont="1" applyBorder="1">
      <alignment/>
      <protection/>
    </xf>
    <xf numFmtId="0" fontId="64" fillId="0" borderId="51" xfId="25" applyFont="1" applyBorder="1">
      <alignment/>
      <protection/>
    </xf>
    <xf numFmtId="0" fontId="4" fillId="0" borderId="51" xfId="25" applyBorder="1">
      <alignment/>
      <protection/>
    </xf>
    <xf numFmtId="1" fontId="17" fillId="0" borderId="51" xfId="25" applyNumberFormat="1" applyFont="1" applyBorder="1">
      <alignment/>
      <protection/>
    </xf>
    <xf numFmtId="1" fontId="4" fillId="0" borderId="49" xfId="25" applyNumberFormat="1" applyBorder="1">
      <alignment/>
      <protection/>
    </xf>
    <xf numFmtId="0" fontId="4" fillId="0" borderId="0" xfId="25" applyAlignment="1">
      <alignment wrapText="1"/>
      <protection/>
    </xf>
    <xf numFmtId="0" fontId="24" fillId="0" borderId="49" xfId="25" applyFont="1" applyBorder="1">
      <alignment/>
      <protection/>
    </xf>
    <xf numFmtId="170" fontId="24" fillId="0" borderId="49" xfId="25" applyNumberFormat="1" applyFont="1" applyBorder="1">
      <alignment/>
      <protection/>
    </xf>
    <xf numFmtId="0" fontId="24" fillId="0" borderId="50" xfId="25" applyFont="1" applyBorder="1">
      <alignment/>
      <protection/>
    </xf>
    <xf numFmtId="170" fontId="24" fillId="0" borderId="50" xfId="25" applyNumberFormat="1" applyFont="1" applyBorder="1">
      <alignment/>
      <protection/>
    </xf>
    <xf numFmtId="0" fontId="6" fillId="0" borderId="51" xfId="25" applyFont="1" applyBorder="1">
      <alignment/>
      <protection/>
    </xf>
    <xf numFmtId="170" fontId="6" fillId="0" borderId="51" xfId="25" applyNumberFormat="1" applyFont="1" applyBorder="1">
      <alignment/>
      <protection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2" xfId="22" applyBorder="1" applyAlignment="1" applyProtection="1">
      <alignment horizontal="left" vertical="center" wrapText="1"/>
      <protection locked="0"/>
    </xf>
    <xf numFmtId="49" fontId="59" fillId="0" borderId="0" xfId="23" applyNumberFormat="1" applyFont="1" applyAlignment="1">
      <alignment horizontal="left" vertical="center"/>
      <protection/>
    </xf>
    <xf numFmtId="0" fontId="59" fillId="0" borderId="0" xfId="23" applyFont="1" applyAlignment="1">
      <alignment horizontal="left" vertical="center"/>
      <protection/>
    </xf>
    <xf numFmtId="0" fontId="59" fillId="0" borderId="27" xfId="23" applyFont="1" applyBorder="1" applyAlignment="1">
      <alignment horizontal="left" vertical="center"/>
      <protection/>
    </xf>
    <xf numFmtId="49" fontId="58" fillId="0" borderId="29" xfId="23" applyNumberFormat="1" applyFont="1" applyBorder="1" applyAlignment="1">
      <alignment horizontal="center" vertical="center"/>
      <protection/>
    </xf>
    <xf numFmtId="0" fontId="58" fillId="0" borderId="29" xfId="23" applyFont="1" applyBorder="1" applyAlignment="1">
      <alignment horizontal="center" vertical="center"/>
      <protection/>
    </xf>
    <xf numFmtId="49" fontId="59" fillId="0" borderId="23" xfId="23" applyNumberFormat="1" applyFont="1" applyBorder="1" applyAlignment="1">
      <alignment horizontal="left" vertical="center"/>
      <protection/>
    </xf>
    <xf numFmtId="0" fontId="59" fillId="0" borderId="24" xfId="23" applyFont="1" applyBorder="1" applyAlignment="1">
      <alignment horizontal="left" vertical="center"/>
      <protection/>
    </xf>
    <xf numFmtId="0" fontId="59" fillId="0" borderId="26" xfId="23" applyFont="1" applyBorder="1" applyAlignment="1">
      <alignment horizontal="left" vertical="center"/>
      <protection/>
    </xf>
    <xf numFmtId="49" fontId="60" fillId="0" borderId="24" xfId="23" applyNumberFormat="1" applyFont="1" applyBorder="1" applyAlignment="1">
      <alignment horizontal="left" vertical="center"/>
      <protection/>
    </xf>
    <xf numFmtId="0" fontId="60" fillId="0" borderId="0" xfId="23" applyFont="1" applyAlignment="1">
      <alignment horizontal="left" vertical="center"/>
      <protection/>
    </xf>
    <xf numFmtId="49" fontId="59" fillId="0" borderId="24" xfId="23" applyNumberFormat="1" applyFont="1" applyBorder="1" applyAlignment="1">
      <alignment horizontal="left" vertical="center"/>
      <protection/>
    </xf>
    <xf numFmtId="0" fontId="59" fillId="0" borderId="25" xfId="23" applyFont="1" applyBorder="1" applyAlignment="1">
      <alignment horizontal="left" vertical="center"/>
      <protection/>
    </xf>
    <xf numFmtId="49" fontId="59" fillId="0" borderId="26" xfId="23" applyNumberFormat="1" applyFont="1" applyBorder="1" applyAlignment="1">
      <alignment horizontal="left" vertical="center"/>
      <protection/>
    </xf>
    <xf numFmtId="14" fontId="59" fillId="0" borderId="0" xfId="23" applyNumberFormat="1" applyFont="1" applyAlignment="1">
      <alignment horizontal="left" vertical="center"/>
      <protection/>
    </xf>
    <xf numFmtId="0" fontId="59" fillId="0" borderId="52" xfId="23" applyFont="1" applyBorder="1" applyAlignment="1">
      <alignment horizontal="left" vertical="center"/>
      <protection/>
    </xf>
    <xf numFmtId="0" fontId="59" fillId="0" borderId="53" xfId="23" applyFont="1" applyBorder="1" applyAlignment="1">
      <alignment horizontal="left" vertical="center"/>
      <protection/>
    </xf>
    <xf numFmtId="0" fontId="60" fillId="0" borderId="24" xfId="23" applyFont="1" applyBorder="1" applyAlignment="1">
      <alignment horizontal="left" vertical="center"/>
      <protection/>
    </xf>
    <xf numFmtId="0" fontId="59" fillId="0" borderId="54" xfId="23" applyFont="1" applyBorder="1" applyAlignment="1">
      <alignment horizontal="left" vertical="center"/>
      <protection/>
    </xf>
    <xf numFmtId="49" fontId="60" fillId="0" borderId="55" xfId="23" applyNumberFormat="1" applyFont="1" applyBorder="1" applyAlignment="1">
      <alignment horizontal="center" vertical="center"/>
      <protection/>
    </xf>
    <xf numFmtId="0" fontId="60" fillId="0" borderId="56" xfId="23" applyFont="1" applyBorder="1" applyAlignment="1">
      <alignment horizontal="center" vertical="center"/>
      <protection/>
    </xf>
    <xf numFmtId="0" fontId="60" fillId="0" borderId="57" xfId="23" applyFont="1" applyBorder="1" applyAlignment="1">
      <alignment horizontal="center" vertical="center"/>
      <protection/>
    </xf>
    <xf numFmtId="49" fontId="60" fillId="7" borderId="0" xfId="23" applyNumberFormat="1" applyFont="1" applyFill="1" applyAlignment="1">
      <alignment horizontal="left" vertical="center"/>
      <protection/>
    </xf>
    <xf numFmtId="0" fontId="60" fillId="7" borderId="0" xfId="23" applyFont="1" applyFill="1" applyAlignment="1">
      <alignment horizontal="left" vertical="center"/>
      <protection/>
    </xf>
    <xf numFmtId="0" fontId="67" fillId="0" borderId="31" xfId="24" applyFont="1" applyBorder="1" applyAlignment="1">
      <alignment vertical="top"/>
      <protection/>
    </xf>
    <xf numFmtId="0" fontId="65" fillId="0" borderId="32" xfId="24" applyFont="1" applyBorder="1" applyAlignment="1">
      <alignment vertical="top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 3" xfId="22"/>
    <cellStyle name="Normální 4" xfId="23"/>
    <cellStyle name="Normální 5" xfId="24"/>
    <cellStyle name="Normální 6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6123" TargetMode="External" /><Relationship Id="rId2" Type="http://schemas.openxmlformats.org/officeDocument/2006/relationships/hyperlink" Target="https://podminky.urs.cz/item/CS_URS_2022_02/113107123" TargetMode="External" /><Relationship Id="rId3" Type="http://schemas.openxmlformats.org/officeDocument/2006/relationships/hyperlink" Target="https://podminky.urs.cz/item/CS_URS_2022_02/132212131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67111101" TargetMode="External" /><Relationship Id="rId7" Type="http://schemas.openxmlformats.org/officeDocument/2006/relationships/hyperlink" Target="https://podminky.urs.cz/item/CS_URS_2022_02/17120122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943211112" TargetMode="External" /><Relationship Id="rId10" Type="http://schemas.openxmlformats.org/officeDocument/2006/relationships/hyperlink" Target="https://podminky.urs.cz/item/CS_URS_2022_02/943211212" TargetMode="External" /><Relationship Id="rId11" Type="http://schemas.openxmlformats.org/officeDocument/2006/relationships/hyperlink" Target="https://podminky.urs.cz/item/CS_URS_2022_02/943211812" TargetMode="External" /><Relationship Id="rId12" Type="http://schemas.openxmlformats.org/officeDocument/2006/relationships/hyperlink" Target="https://podminky.urs.cz/item/CS_URS_2022_02/962031133" TargetMode="External" /><Relationship Id="rId13" Type="http://schemas.openxmlformats.org/officeDocument/2006/relationships/hyperlink" Target="https://podminky.urs.cz/item/CS_URS_2022_02/962032230" TargetMode="External" /><Relationship Id="rId14" Type="http://schemas.openxmlformats.org/officeDocument/2006/relationships/hyperlink" Target="https://podminky.urs.cz/item/CS_URS_2022_02/962032631" TargetMode="External" /><Relationship Id="rId15" Type="http://schemas.openxmlformats.org/officeDocument/2006/relationships/hyperlink" Target="https://podminky.urs.cz/item/CS_URS_2022_02/964011221" TargetMode="External" /><Relationship Id="rId16" Type="http://schemas.openxmlformats.org/officeDocument/2006/relationships/hyperlink" Target="https://podminky.urs.cz/item/CS_URS_2022_02/965041341" TargetMode="External" /><Relationship Id="rId17" Type="http://schemas.openxmlformats.org/officeDocument/2006/relationships/hyperlink" Target="https://podminky.urs.cz/item/CS_URS_2022_02/965081113" TargetMode="External" /><Relationship Id="rId18" Type="http://schemas.openxmlformats.org/officeDocument/2006/relationships/hyperlink" Target="https://podminky.urs.cz/item/CS_URS_2022_02/965082923" TargetMode="External" /><Relationship Id="rId19" Type="http://schemas.openxmlformats.org/officeDocument/2006/relationships/hyperlink" Target="https://podminky.urs.cz/item/CS_URS_2022_02/966031313" TargetMode="External" /><Relationship Id="rId20" Type="http://schemas.openxmlformats.org/officeDocument/2006/relationships/hyperlink" Target="https://podminky.urs.cz/item/CS_URS_2022_02/966031314" TargetMode="External" /><Relationship Id="rId21" Type="http://schemas.openxmlformats.org/officeDocument/2006/relationships/hyperlink" Target="https://podminky.urs.cz/item/CS_URS_2022_02/967042712" TargetMode="External" /><Relationship Id="rId22" Type="http://schemas.openxmlformats.org/officeDocument/2006/relationships/hyperlink" Target="https://podminky.urs.cz/item/CS_URS_2022_02/968062246" TargetMode="External" /><Relationship Id="rId23" Type="http://schemas.openxmlformats.org/officeDocument/2006/relationships/hyperlink" Target="https://podminky.urs.cz/item/CS_URS_2022_02/968072455" TargetMode="External" /><Relationship Id="rId24" Type="http://schemas.openxmlformats.org/officeDocument/2006/relationships/hyperlink" Target="https://podminky.urs.cz/item/CS_URS_2022_02/968072456" TargetMode="External" /><Relationship Id="rId25" Type="http://schemas.openxmlformats.org/officeDocument/2006/relationships/hyperlink" Target="https://podminky.urs.cz/item/CS_URS_2022_02/973031151" TargetMode="External" /><Relationship Id="rId26" Type="http://schemas.openxmlformats.org/officeDocument/2006/relationships/hyperlink" Target="https://podminky.urs.cz/item/CS_URS_2022_02/973031335" TargetMode="External" /><Relationship Id="rId27" Type="http://schemas.openxmlformats.org/officeDocument/2006/relationships/hyperlink" Target="https://podminky.urs.cz/item/CS_URS_2022_02/975121321" TargetMode="External" /><Relationship Id="rId28" Type="http://schemas.openxmlformats.org/officeDocument/2006/relationships/hyperlink" Target="https://podminky.urs.cz/item/CS_URS_2022_02/975121322" TargetMode="External" /><Relationship Id="rId29" Type="http://schemas.openxmlformats.org/officeDocument/2006/relationships/hyperlink" Target="https://podminky.urs.cz/item/CS_URS_2022_02/975121323" TargetMode="External" /><Relationship Id="rId30" Type="http://schemas.openxmlformats.org/officeDocument/2006/relationships/hyperlink" Target="https://podminky.urs.cz/item/CS_URS_2022_02/975121421" TargetMode="External" /><Relationship Id="rId31" Type="http://schemas.openxmlformats.org/officeDocument/2006/relationships/hyperlink" Target="https://podminky.urs.cz/item/CS_URS_2022_02/975121422" TargetMode="External" /><Relationship Id="rId32" Type="http://schemas.openxmlformats.org/officeDocument/2006/relationships/hyperlink" Target="https://podminky.urs.cz/item/CS_URS_2022_02/975121423" TargetMode="External" /><Relationship Id="rId33" Type="http://schemas.openxmlformats.org/officeDocument/2006/relationships/hyperlink" Target="https://podminky.urs.cz/item/CS_URS_2022_02/978012191" TargetMode="External" /><Relationship Id="rId34" Type="http://schemas.openxmlformats.org/officeDocument/2006/relationships/hyperlink" Target="https://podminky.urs.cz/item/CS_URS_2022_02/978013191" TargetMode="External" /><Relationship Id="rId35" Type="http://schemas.openxmlformats.org/officeDocument/2006/relationships/hyperlink" Target="https://podminky.urs.cz/item/CS_URS_2022_02/978015391" TargetMode="External" /><Relationship Id="rId36" Type="http://schemas.openxmlformats.org/officeDocument/2006/relationships/hyperlink" Target="https://podminky.urs.cz/item/CS_URS_2022_02/997013154" TargetMode="External" /><Relationship Id="rId37" Type="http://schemas.openxmlformats.org/officeDocument/2006/relationships/hyperlink" Target="https://podminky.urs.cz/item/CS_URS_2022_02/997013312" TargetMode="External" /><Relationship Id="rId38" Type="http://schemas.openxmlformats.org/officeDocument/2006/relationships/hyperlink" Target="https://podminky.urs.cz/item/CS_URS_2022_02/997013322" TargetMode="External" /><Relationship Id="rId39" Type="http://schemas.openxmlformats.org/officeDocument/2006/relationships/hyperlink" Target="https://podminky.urs.cz/item/CS_URS_2022_02/997013501" TargetMode="External" /><Relationship Id="rId40" Type="http://schemas.openxmlformats.org/officeDocument/2006/relationships/hyperlink" Target="https://podminky.urs.cz/item/CS_URS_2022_02/997013509" TargetMode="External" /><Relationship Id="rId41" Type="http://schemas.openxmlformats.org/officeDocument/2006/relationships/hyperlink" Target="https://podminky.urs.cz/item/CS_URS_2022_02/997013631" TargetMode="External" /><Relationship Id="rId42" Type="http://schemas.openxmlformats.org/officeDocument/2006/relationships/hyperlink" Target="https://podminky.urs.cz/item/CS_URS_2022_02/712340833" TargetMode="External" /><Relationship Id="rId43" Type="http://schemas.openxmlformats.org/officeDocument/2006/relationships/hyperlink" Target="https://podminky.urs.cz/item/CS_URS_2022_02/712341659" TargetMode="External" /><Relationship Id="rId44" Type="http://schemas.openxmlformats.org/officeDocument/2006/relationships/hyperlink" Target="https://podminky.urs.cz/item/CS_URS_2022_02/998712203" TargetMode="External" /><Relationship Id="rId45" Type="http://schemas.openxmlformats.org/officeDocument/2006/relationships/hyperlink" Target="https://podminky.urs.cz/item/CS_URS_2022_02/762331813" TargetMode="External" /><Relationship Id="rId46" Type="http://schemas.openxmlformats.org/officeDocument/2006/relationships/hyperlink" Target="https://podminky.urs.cz/item/CS_URS_2022_02/762331814" TargetMode="External" /><Relationship Id="rId47" Type="http://schemas.openxmlformats.org/officeDocument/2006/relationships/hyperlink" Target="https://podminky.urs.cz/item/CS_URS_2022_02/762341832" TargetMode="External" /><Relationship Id="rId48" Type="http://schemas.openxmlformats.org/officeDocument/2006/relationships/hyperlink" Target="https://podminky.urs.cz/item/CS_URS_2022_02/762342812" TargetMode="External" /><Relationship Id="rId49" Type="http://schemas.openxmlformats.org/officeDocument/2006/relationships/hyperlink" Target="https://podminky.urs.cz/item/CS_URS_2022_02/762521811" TargetMode="External" /><Relationship Id="rId50" Type="http://schemas.openxmlformats.org/officeDocument/2006/relationships/hyperlink" Target="https://podminky.urs.cz/item/CS_URS_2022_02/762841811" TargetMode="External" /><Relationship Id="rId51" Type="http://schemas.openxmlformats.org/officeDocument/2006/relationships/hyperlink" Target="https://podminky.urs.cz/item/CS_URS_2022_02/762841812" TargetMode="External" /><Relationship Id="rId52" Type="http://schemas.openxmlformats.org/officeDocument/2006/relationships/hyperlink" Target="https://podminky.urs.cz/item/CS_URS_2022_02/764001891" TargetMode="External" /><Relationship Id="rId53" Type="http://schemas.openxmlformats.org/officeDocument/2006/relationships/hyperlink" Target="https://podminky.urs.cz/item/CS_URS_2022_02/764002841" TargetMode="External" /><Relationship Id="rId54" Type="http://schemas.openxmlformats.org/officeDocument/2006/relationships/hyperlink" Target="https://podminky.urs.cz/item/CS_URS_2022_02/764002851" TargetMode="External" /><Relationship Id="rId55" Type="http://schemas.openxmlformats.org/officeDocument/2006/relationships/hyperlink" Target="https://podminky.urs.cz/item/CS_URS_2022_02/764002861" TargetMode="External" /><Relationship Id="rId56" Type="http://schemas.openxmlformats.org/officeDocument/2006/relationships/hyperlink" Target="https://podminky.urs.cz/item/CS_URS_2022_02/764002871" TargetMode="External" /><Relationship Id="rId57" Type="http://schemas.openxmlformats.org/officeDocument/2006/relationships/hyperlink" Target="https://podminky.urs.cz/item/CS_URS_2022_02/764004801" TargetMode="External" /><Relationship Id="rId58" Type="http://schemas.openxmlformats.org/officeDocument/2006/relationships/hyperlink" Target="https://podminky.urs.cz/item/CS_URS_2022_02/764004861" TargetMode="External" /><Relationship Id="rId59" Type="http://schemas.openxmlformats.org/officeDocument/2006/relationships/hyperlink" Target="https://podminky.urs.cz/item/CS_URS_2022_02/764004863" TargetMode="External" /><Relationship Id="rId60" Type="http://schemas.openxmlformats.org/officeDocument/2006/relationships/hyperlink" Target="https://podminky.urs.cz/item/CS_URS_2022_02/764508131" TargetMode="External" /><Relationship Id="rId61" Type="http://schemas.openxmlformats.org/officeDocument/2006/relationships/hyperlink" Target="https://podminky.urs.cz/item/CS_URS_2022_02/765111801" TargetMode="External" /><Relationship Id="rId62" Type="http://schemas.openxmlformats.org/officeDocument/2006/relationships/hyperlink" Target="https://podminky.urs.cz/item/CS_URS_2022_02/765111811" TargetMode="External" /><Relationship Id="rId63" Type="http://schemas.openxmlformats.org/officeDocument/2006/relationships/hyperlink" Target="https://podminky.urs.cz/item/CS_URS_2022_02/765111861" TargetMode="External" /><Relationship Id="rId64" Type="http://schemas.openxmlformats.org/officeDocument/2006/relationships/hyperlink" Target="https://podminky.urs.cz/item/CS_URS_2022_02/765111881" TargetMode="External" /><Relationship Id="rId65" Type="http://schemas.openxmlformats.org/officeDocument/2006/relationships/hyperlink" Target="https://podminky.urs.cz/item/CS_URS_2022_02/765192001" TargetMode="External" /><Relationship Id="rId66" Type="http://schemas.openxmlformats.org/officeDocument/2006/relationships/hyperlink" Target="https://podminky.urs.cz/item/CS_URS_2022_02/766441812" TargetMode="External" /><Relationship Id="rId67" Type="http://schemas.openxmlformats.org/officeDocument/2006/relationships/hyperlink" Target="https://podminky.urs.cz/item/CS_URS_2022_02/766441822" TargetMode="External" /><Relationship Id="rId68" Type="http://schemas.openxmlformats.org/officeDocument/2006/relationships/hyperlink" Target="https://podminky.urs.cz/item/CS_URS_2022_02/766674811" TargetMode="External" /><Relationship Id="rId69" Type="http://schemas.openxmlformats.org/officeDocument/2006/relationships/hyperlink" Target="https://podminky.urs.cz/item/CS_URS_2022_02/771573810" TargetMode="External" /><Relationship Id="rId70" Type="http://schemas.openxmlformats.org/officeDocument/2006/relationships/hyperlink" Target="https://podminky.urs.cz/item/CS_URS_2022_02/094103000" TargetMode="External" /><Relationship Id="rId7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81912112" TargetMode="External" /><Relationship Id="rId2" Type="http://schemas.openxmlformats.org/officeDocument/2006/relationships/hyperlink" Target="https://podminky.urs.cz/item/CS_URS_2022_02/273321511" TargetMode="External" /><Relationship Id="rId3" Type="http://schemas.openxmlformats.org/officeDocument/2006/relationships/hyperlink" Target="https://podminky.urs.cz/item/CS_URS_2022_02/273351121" TargetMode="External" /><Relationship Id="rId4" Type="http://schemas.openxmlformats.org/officeDocument/2006/relationships/hyperlink" Target="https://podminky.urs.cz/item/CS_URS_2022_02/273351122" TargetMode="External" /><Relationship Id="rId5" Type="http://schemas.openxmlformats.org/officeDocument/2006/relationships/hyperlink" Target="https://podminky.urs.cz/item/CS_URS_2022_02/273362021" TargetMode="External" /><Relationship Id="rId6" Type="http://schemas.openxmlformats.org/officeDocument/2006/relationships/hyperlink" Target="https://podminky.urs.cz/item/CS_URS_2022_02/274321411" TargetMode="External" /><Relationship Id="rId7" Type="http://schemas.openxmlformats.org/officeDocument/2006/relationships/hyperlink" Target="https://podminky.urs.cz/item/CS_URS_2022_02/274351121" TargetMode="External" /><Relationship Id="rId8" Type="http://schemas.openxmlformats.org/officeDocument/2006/relationships/hyperlink" Target="https://podminky.urs.cz/item/CS_URS_2022_02/274351122" TargetMode="External" /><Relationship Id="rId9" Type="http://schemas.openxmlformats.org/officeDocument/2006/relationships/hyperlink" Target="https://podminky.urs.cz/item/CS_URS_2022_02/274361821" TargetMode="External" /><Relationship Id="rId10" Type="http://schemas.openxmlformats.org/officeDocument/2006/relationships/hyperlink" Target="https://podminky.urs.cz/item/CS_URS_2022_02/311234051" TargetMode="External" /><Relationship Id="rId11" Type="http://schemas.openxmlformats.org/officeDocument/2006/relationships/hyperlink" Target="https://podminky.urs.cz/item/CS_URS_2022_02/311234111" TargetMode="External" /><Relationship Id="rId12" Type="http://schemas.openxmlformats.org/officeDocument/2006/relationships/hyperlink" Target="https://podminky.urs.cz/item/CS_URS_2022_02/311236101" TargetMode="External" /><Relationship Id="rId13" Type="http://schemas.openxmlformats.org/officeDocument/2006/relationships/hyperlink" Target="https://podminky.urs.cz/item/CS_URS_2022_02/311238803" TargetMode="External" /><Relationship Id="rId14" Type="http://schemas.openxmlformats.org/officeDocument/2006/relationships/hyperlink" Target="https://podminky.urs.cz/item/CS_URS_2022_02/317168052" TargetMode="External" /><Relationship Id="rId15" Type="http://schemas.openxmlformats.org/officeDocument/2006/relationships/hyperlink" Target="https://podminky.urs.cz/item/CS_URS_2022_02/317168053" TargetMode="External" /><Relationship Id="rId16" Type="http://schemas.openxmlformats.org/officeDocument/2006/relationships/hyperlink" Target="https://podminky.urs.cz/item/CS_URS_2022_02/317168056" TargetMode="External" /><Relationship Id="rId17" Type="http://schemas.openxmlformats.org/officeDocument/2006/relationships/hyperlink" Target="https://podminky.urs.cz/item/CS_URS_2022_02/317234410" TargetMode="External" /><Relationship Id="rId18" Type="http://schemas.openxmlformats.org/officeDocument/2006/relationships/hyperlink" Target="https://podminky.urs.cz/item/CS_URS_2022_02/317998143" TargetMode="External" /><Relationship Id="rId19" Type="http://schemas.openxmlformats.org/officeDocument/2006/relationships/hyperlink" Target="https://podminky.urs.cz/item/CS_URS_2022_02/411121232" TargetMode="External" /><Relationship Id="rId20" Type="http://schemas.openxmlformats.org/officeDocument/2006/relationships/hyperlink" Target="https://podminky.urs.cz/item/CS_URS_2022_02/417321515" TargetMode="External" /><Relationship Id="rId21" Type="http://schemas.openxmlformats.org/officeDocument/2006/relationships/hyperlink" Target="https://podminky.urs.cz/item/CS_URS_2022_02/417351115" TargetMode="External" /><Relationship Id="rId22" Type="http://schemas.openxmlformats.org/officeDocument/2006/relationships/hyperlink" Target="https://podminky.urs.cz/item/CS_URS_2022_02/417351116" TargetMode="External" /><Relationship Id="rId23" Type="http://schemas.openxmlformats.org/officeDocument/2006/relationships/hyperlink" Target="https://podminky.urs.cz/item/CS_URS_2022_02/417361821" TargetMode="External" /><Relationship Id="rId24" Type="http://schemas.openxmlformats.org/officeDocument/2006/relationships/hyperlink" Target="https://podminky.urs.cz/item/CS_URS_2022_02/430321212" TargetMode="External" /><Relationship Id="rId25" Type="http://schemas.openxmlformats.org/officeDocument/2006/relationships/hyperlink" Target="https://podminky.urs.cz/item/CS_URS_2022_02/430361821" TargetMode="External" /><Relationship Id="rId26" Type="http://schemas.openxmlformats.org/officeDocument/2006/relationships/hyperlink" Target="https://podminky.urs.cz/item/CS_URS_2022_02/434351141" TargetMode="External" /><Relationship Id="rId27" Type="http://schemas.openxmlformats.org/officeDocument/2006/relationships/hyperlink" Target="https://podminky.urs.cz/item/CS_URS_2022_02/434351142" TargetMode="External" /><Relationship Id="rId28" Type="http://schemas.openxmlformats.org/officeDocument/2006/relationships/hyperlink" Target="https://podminky.urs.cz/item/CS_URS_2022_02/564760001" TargetMode="External" /><Relationship Id="rId29" Type="http://schemas.openxmlformats.org/officeDocument/2006/relationships/hyperlink" Target="https://podminky.urs.cz/item/CS_URS_2022_02/596211110" TargetMode="External" /><Relationship Id="rId30" Type="http://schemas.openxmlformats.org/officeDocument/2006/relationships/hyperlink" Target="https://podminky.urs.cz/item/CS_URS_2022_02/612131121" TargetMode="External" /><Relationship Id="rId31" Type="http://schemas.openxmlformats.org/officeDocument/2006/relationships/hyperlink" Target="https://podminky.urs.cz/item/CS_URS_2022_02/612321141" TargetMode="External" /><Relationship Id="rId32" Type="http://schemas.openxmlformats.org/officeDocument/2006/relationships/hyperlink" Target="https://podminky.urs.cz/item/CS_URS_2022_02/612325302" TargetMode="External" /><Relationship Id="rId33" Type="http://schemas.openxmlformats.org/officeDocument/2006/relationships/hyperlink" Target="https://podminky.urs.cz/item/CS_URS_2022_02/612325419" TargetMode="External" /><Relationship Id="rId34" Type="http://schemas.openxmlformats.org/officeDocument/2006/relationships/hyperlink" Target="https://podminky.urs.cz/item/CS_URS_2022_02/619996117" TargetMode="External" /><Relationship Id="rId35" Type="http://schemas.openxmlformats.org/officeDocument/2006/relationships/hyperlink" Target="https://podminky.urs.cz/item/CS_URS_2022_02/619996145" TargetMode="External" /><Relationship Id="rId36" Type="http://schemas.openxmlformats.org/officeDocument/2006/relationships/hyperlink" Target="https://podminky.urs.cz/item/CS_URS_2022_02/621211012" TargetMode="External" /><Relationship Id="rId37" Type="http://schemas.openxmlformats.org/officeDocument/2006/relationships/hyperlink" Target="https://podminky.urs.cz/item/CS_URS_2022_02/622131121" TargetMode="External" /><Relationship Id="rId38" Type="http://schemas.openxmlformats.org/officeDocument/2006/relationships/hyperlink" Target="https://podminky.urs.cz/item/CS_URS_2022_02/622142001" TargetMode="External" /><Relationship Id="rId39" Type="http://schemas.openxmlformats.org/officeDocument/2006/relationships/hyperlink" Target="https://podminky.urs.cz/item/CS_URS_2022_02/622151011" TargetMode="External" /><Relationship Id="rId40" Type="http://schemas.openxmlformats.org/officeDocument/2006/relationships/hyperlink" Target="https://podminky.urs.cz/item/CS_URS_2022_02/622221021" TargetMode="External" /><Relationship Id="rId41" Type="http://schemas.openxmlformats.org/officeDocument/2006/relationships/hyperlink" Target="https://podminky.urs.cz/item/CS_URS_2022_02/622212051" TargetMode="External" /><Relationship Id="rId42" Type="http://schemas.openxmlformats.org/officeDocument/2006/relationships/hyperlink" Target="https://podminky.urs.cz/item/CS_URS_2022_02/622252001" TargetMode="External" /><Relationship Id="rId43" Type="http://schemas.openxmlformats.org/officeDocument/2006/relationships/hyperlink" Target="https://podminky.urs.cz/item/CS_URS_2022_02/622252002" TargetMode="External" /><Relationship Id="rId44" Type="http://schemas.openxmlformats.org/officeDocument/2006/relationships/hyperlink" Target="https://podminky.urs.cz/item/CS_URS_2022_02/622326359" TargetMode="External" /><Relationship Id="rId45" Type="http://schemas.openxmlformats.org/officeDocument/2006/relationships/hyperlink" Target="https://podminky.urs.cz/item/CS_URS_2022_02/622521012" TargetMode="External" /><Relationship Id="rId46" Type="http://schemas.openxmlformats.org/officeDocument/2006/relationships/hyperlink" Target="https://podminky.urs.cz/item/CS_URS_2022_02/629991011" TargetMode="External" /><Relationship Id="rId47" Type="http://schemas.openxmlformats.org/officeDocument/2006/relationships/hyperlink" Target="https://podminky.urs.cz/item/CS_URS_2022_02/631311113" TargetMode="External" /><Relationship Id="rId48" Type="http://schemas.openxmlformats.org/officeDocument/2006/relationships/hyperlink" Target="https://podminky.urs.cz/item/CS_URS_2022_02/631311114" TargetMode="External" /><Relationship Id="rId49" Type="http://schemas.openxmlformats.org/officeDocument/2006/relationships/hyperlink" Target="https://podminky.urs.cz/item/CS_URS_2022_02/631319011" TargetMode="External" /><Relationship Id="rId50" Type="http://schemas.openxmlformats.org/officeDocument/2006/relationships/hyperlink" Target="https://podminky.urs.cz/item/CS_URS_2022_02/631319171" TargetMode="External" /><Relationship Id="rId51" Type="http://schemas.openxmlformats.org/officeDocument/2006/relationships/hyperlink" Target="https://podminky.urs.cz/item/CS_URS_2022_02/631362021" TargetMode="External" /><Relationship Id="rId52" Type="http://schemas.openxmlformats.org/officeDocument/2006/relationships/hyperlink" Target="https://podminky.urs.cz/item/CS_URS_2022_02/634112113" TargetMode="External" /><Relationship Id="rId53" Type="http://schemas.openxmlformats.org/officeDocument/2006/relationships/hyperlink" Target="https://podminky.urs.cz/item/CS_URS_2022_02/642945111" TargetMode="External" /><Relationship Id="rId54" Type="http://schemas.openxmlformats.org/officeDocument/2006/relationships/hyperlink" Target="https://podminky.urs.cz/item/CS_URS_2022_02/941211111" TargetMode="External" /><Relationship Id="rId55" Type="http://schemas.openxmlformats.org/officeDocument/2006/relationships/hyperlink" Target="https://podminky.urs.cz/item/CS_URS_2022_02/941211112" TargetMode="External" /><Relationship Id="rId56" Type="http://schemas.openxmlformats.org/officeDocument/2006/relationships/hyperlink" Target="https://podminky.urs.cz/item/CS_URS_2022_02/941211211" TargetMode="External" /><Relationship Id="rId57" Type="http://schemas.openxmlformats.org/officeDocument/2006/relationships/hyperlink" Target="https://podminky.urs.cz/item/CS_URS_2022_02/941211811" TargetMode="External" /><Relationship Id="rId58" Type="http://schemas.openxmlformats.org/officeDocument/2006/relationships/hyperlink" Target="https://podminky.urs.cz/item/CS_URS_2022_02/941211812" TargetMode="External" /><Relationship Id="rId59" Type="http://schemas.openxmlformats.org/officeDocument/2006/relationships/hyperlink" Target="https://podminky.urs.cz/item/CS_URS_2022_02/942322111" TargetMode="External" /><Relationship Id="rId60" Type="http://schemas.openxmlformats.org/officeDocument/2006/relationships/hyperlink" Target="https://podminky.urs.cz/item/CS_URS_2022_02/942322211" TargetMode="External" /><Relationship Id="rId61" Type="http://schemas.openxmlformats.org/officeDocument/2006/relationships/hyperlink" Target="https://podminky.urs.cz/item/CS_URS_2022_02/942322811" TargetMode="External" /><Relationship Id="rId62" Type="http://schemas.openxmlformats.org/officeDocument/2006/relationships/hyperlink" Target="https://podminky.urs.cz/item/CS_URS_2022_02/945421112" TargetMode="External" /><Relationship Id="rId63" Type="http://schemas.openxmlformats.org/officeDocument/2006/relationships/hyperlink" Target="https://podminky.urs.cz/item/CS_URS_2022_02/949101112" TargetMode="External" /><Relationship Id="rId64" Type="http://schemas.openxmlformats.org/officeDocument/2006/relationships/hyperlink" Target="https://podminky.urs.cz/item/CS_URS_2022_02/952901111" TargetMode="External" /><Relationship Id="rId65" Type="http://schemas.openxmlformats.org/officeDocument/2006/relationships/hyperlink" Target="https://podminky.urs.cz/item/CS_URS_2022_02/953961114" TargetMode="External" /><Relationship Id="rId66" Type="http://schemas.openxmlformats.org/officeDocument/2006/relationships/hyperlink" Target="https://podminky.urs.cz/item/CS_URS_2022_02/953965133" TargetMode="External" /><Relationship Id="rId67" Type="http://schemas.openxmlformats.org/officeDocument/2006/relationships/hyperlink" Target="https://podminky.urs.cz/item/CS_URS_2022_02/973031325" TargetMode="External" /><Relationship Id="rId68" Type="http://schemas.openxmlformats.org/officeDocument/2006/relationships/hyperlink" Target="https://podminky.urs.cz/item/CS_URS_2022_02/997013154" TargetMode="External" /><Relationship Id="rId69" Type="http://schemas.openxmlformats.org/officeDocument/2006/relationships/hyperlink" Target="https://podminky.urs.cz/item/CS_URS_2022_02/997013501" TargetMode="External" /><Relationship Id="rId70" Type="http://schemas.openxmlformats.org/officeDocument/2006/relationships/hyperlink" Target="https://podminky.urs.cz/item/CS_URS_2022_02/997013509" TargetMode="External" /><Relationship Id="rId71" Type="http://schemas.openxmlformats.org/officeDocument/2006/relationships/hyperlink" Target="https://podminky.urs.cz/item/CS_URS_2022_02/997013631" TargetMode="External" /><Relationship Id="rId72" Type="http://schemas.openxmlformats.org/officeDocument/2006/relationships/hyperlink" Target="https://podminky.urs.cz/item/CS_URS_2022_02/998017003" TargetMode="External" /><Relationship Id="rId73" Type="http://schemas.openxmlformats.org/officeDocument/2006/relationships/hyperlink" Target="https://podminky.urs.cz/item/CS_URS_2022_02/711111002" TargetMode="External" /><Relationship Id="rId74" Type="http://schemas.openxmlformats.org/officeDocument/2006/relationships/hyperlink" Target="https://podminky.urs.cz/item/CS_URS_2022_02/711141559" TargetMode="External" /><Relationship Id="rId75" Type="http://schemas.openxmlformats.org/officeDocument/2006/relationships/hyperlink" Target="https://podminky.urs.cz/item/CS_URS_2022_02/998711203" TargetMode="External" /><Relationship Id="rId76" Type="http://schemas.openxmlformats.org/officeDocument/2006/relationships/hyperlink" Target="https://podminky.urs.cz/item/CS_URS_2022_02/713121111" TargetMode="External" /><Relationship Id="rId77" Type="http://schemas.openxmlformats.org/officeDocument/2006/relationships/hyperlink" Target="https://podminky.urs.cz/item/CS_URS_2022_02/713121121" TargetMode="External" /><Relationship Id="rId78" Type="http://schemas.openxmlformats.org/officeDocument/2006/relationships/hyperlink" Target="https://podminky.urs.cz/item/CS_URS_2022_02/713121122" TargetMode="External" /><Relationship Id="rId79" Type="http://schemas.openxmlformats.org/officeDocument/2006/relationships/hyperlink" Target="https://podminky.urs.cz/item/CS_URS_2022_02/713131141" TargetMode="External" /><Relationship Id="rId80" Type="http://schemas.openxmlformats.org/officeDocument/2006/relationships/hyperlink" Target="https://podminky.urs.cz/item/CS_URS_2022_02/713151111" TargetMode="External" /><Relationship Id="rId81" Type="http://schemas.openxmlformats.org/officeDocument/2006/relationships/hyperlink" Target="https://podminky.urs.cz/item/CS_URS_2022_02/713191132" TargetMode="External" /><Relationship Id="rId82" Type="http://schemas.openxmlformats.org/officeDocument/2006/relationships/hyperlink" Target="https://podminky.urs.cz/item/CS_URS_2022_02/998713203" TargetMode="External" /><Relationship Id="rId83" Type="http://schemas.openxmlformats.org/officeDocument/2006/relationships/hyperlink" Target="https://podminky.urs.cz/item/CS_URS_2022_02/762081150" TargetMode="External" /><Relationship Id="rId84" Type="http://schemas.openxmlformats.org/officeDocument/2006/relationships/hyperlink" Target="https://podminky.urs.cz/item/CS_URS_2022_02/762083121" TargetMode="External" /><Relationship Id="rId85" Type="http://schemas.openxmlformats.org/officeDocument/2006/relationships/hyperlink" Target="https://podminky.urs.cz/item/CS_URS_2022_02/762332542" TargetMode="External" /><Relationship Id="rId86" Type="http://schemas.openxmlformats.org/officeDocument/2006/relationships/hyperlink" Target="https://podminky.urs.cz/item/CS_URS_2022_02/762332543" TargetMode="External" /><Relationship Id="rId87" Type="http://schemas.openxmlformats.org/officeDocument/2006/relationships/hyperlink" Target="https://podminky.urs.cz/item/CS_URS_2022_02/762332544" TargetMode="External" /><Relationship Id="rId88" Type="http://schemas.openxmlformats.org/officeDocument/2006/relationships/hyperlink" Target="https://podminky.urs.cz/item/CS_URS_2022_02/762332641" TargetMode="External" /><Relationship Id="rId89" Type="http://schemas.openxmlformats.org/officeDocument/2006/relationships/hyperlink" Target="https://podminky.urs.cz/item/CS_URS_2022_02/762332645" TargetMode="External" /><Relationship Id="rId90" Type="http://schemas.openxmlformats.org/officeDocument/2006/relationships/hyperlink" Target="https://podminky.urs.cz/item/CS_URS_2022_02/762341042" TargetMode="External" /><Relationship Id="rId91" Type="http://schemas.openxmlformats.org/officeDocument/2006/relationships/hyperlink" Target="https://podminky.urs.cz/item/CS_URS_2022_02/762341270" TargetMode="External" /><Relationship Id="rId92" Type="http://schemas.openxmlformats.org/officeDocument/2006/relationships/hyperlink" Target="https://podminky.urs.cz/item/CS_URS_2022_02/762342214" TargetMode="External" /><Relationship Id="rId93" Type="http://schemas.openxmlformats.org/officeDocument/2006/relationships/hyperlink" Target="https://podminky.urs.cz/item/CS_URS_2022_02/762342511" TargetMode="External" /><Relationship Id="rId94" Type="http://schemas.openxmlformats.org/officeDocument/2006/relationships/hyperlink" Target="https://podminky.urs.cz/item/CS_URS_2022_02/762395000" TargetMode="External" /><Relationship Id="rId95" Type="http://schemas.openxmlformats.org/officeDocument/2006/relationships/hyperlink" Target="https://podminky.urs.cz/item/CS_URS_2022_02/762511145" TargetMode="External" /><Relationship Id="rId96" Type="http://schemas.openxmlformats.org/officeDocument/2006/relationships/hyperlink" Target="https://podminky.urs.cz/item/CS_URS_2022_02/762511277" TargetMode="External" /><Relationship Id="rId97" Type="http://schemas.openxmlformats.org/officeDocument/2006/relationships/hyperlink" Target="https://podminky.urs.cz/item/CS_URS_2022_02/762511264" TargetMode="External" /><Relationship Id="rId98" Type="http://schemas.openxmlformats.org/officeDocument/2006/relationships/hyperlink" Target="https://podminky.urs.cz/item/CS_URS_2022_02/762512261" TargetMode="External" /><Relationship Id="rId99" Type="http://schemas.openxmlformats.org/officeDocument/2006/relationships/hyperlink" Target="https://podminky.urs.cz/item/CS_URS_2022_02/762595001" TargetMode="External" /><Relationship Id="rId100" Type="http://schemas.openxmlformats.org/officeDocument/2006/relationships/hyperlink" Target="https://podminky.urs.cz/item/CS_URS_2022_02/998762203" TargetMode="External" /><Relationship Id="rId101" Type="http://schemas.openxmlformats.org/officeDocument/2006/relationships/hyperlink" Target="https://podminky.urs.cz/item/CS_URS_2022_02/763111314" TargetMode="External" /><Relationship Id="rId102" Type="http://schemas.openxmlformats.org/officeDocument/2006/relationships/hyperlink" Target="https://podminky.urs.cz/item/CS_URS_2022_02/763111333" TargetMode="External" /><Relationship Id="rId103" Type="http://schemas.openxmlformats.org/officeDocument/2006/relationships/hyperlink" Target="https://podminky.urs.cz/item/CS_URS_2022_02/763121411" TargetMode="External" /><Relationship Id="rId104" Type="http://schemas.openxmlformats.org/officeDocument/2006/relationships/hyperlink" Target="https://podminky.urs.cz/item/CS_URS_2022_02/763121415" TargetMode="External" /><Relationship Id="rId105" Type="http://schemas.openxmlformats.org/officeDocument/2006/relationships/hyperlink" Target="https://podminky.urs.cz/item/CS_URS_2022_02/763121422" TargetMode="External" /><Relationship Id="rId106" Type="http://schemas.openxmlformats.org/officeDocument/2006/relationships/hyperlink" Target="https://podminky.urs.cz/item/CS_URS_2022_02/763131431" TargetMode="External" /><Relationship Id="rId107" Type="http://schemas.openxmlformats.org/officeDocument/2006/relationships/hyperlink" Target="https://podminky.urs.cz/item/CS_URS_2022_02/763131751" TargetMode="External" /><Relationship Id="rId108" Type="http://schemas.openxmlformats.org/officeDocument/2006/relationships/hyperlink" Target="https://podminky.urs.cz/item/CS_URS_2022_02/763132121" TargetMode="External" /><Relationship Id="rId109" Type="http://schemas.openxmlformats.org/officeDocument/2006/relationships/hyperlink" Target="https://podminky.urs.cz/item/CS_URS_2022_02/763158115" TargetMode="External" /><Relationship Id="rId110" Type="http://schemas.openxmlformats.org/officeDocument/2006/relationships/hyperlink" Target="https://podminky.urs.cz/item/CS_URS_2022_02/763158118" TargetMode="External" /><Relationship Id="rId111" Type="http://schemas.openxmlformats.org/officeDocument/2006/relationships/hyperlink" Target="https://podminky.urs.cz/item/CS_URS_2022_02/763161751" TargetMode="External" /><Relationship Id="rId112" Type="http://schemas.openxmlformats.org/officeDocument/2006/relationships/hyperlink" Target="https://podminky.urs.cz/item/CS_URS_2022_02/763181311" TargetMode="External" /><Relationship Id="rId113" Type="http://schemas.openxmlformats.org/officeDocument/2006/relationships/hyperlink" Target="https://podminky.urs.cz/item/CS_URS_2022_02/763182411" TargetMode="External" /><Relationship Id="rId114" Type="http://schemas.openxmlformats.org/officeDocument/2006/relationships/hyperlink" Target="https://podminky.urs.cz/item/CS_URS_2022_02/763264542" TargetMode="External" /><Relationship Id="rId115" Type="http://schemas.openxmlformats.org/officeDocument/2006/relationships/hyperlink" Target="https://podminky.urs.cz/item/CS_URS_2022_02/763782213" TargetMode="External" /><Relationship Id="rId116" Type="http://schemas.openxmlformats.org/officeDocument/2006/relationships/hyperlink" Target="https://podminky.urs.cz/item/CS_URS_2022_02/998763403" TargetMode="External" /><Relationship Id="rId117" Type="http://schemas.openxmlformats.org/officeDocument/2006/relationships/hyperlink" Target="https://podminky.urs.cz/item/CS_URS_2022_02/764002414" TargetMode="External" /><Relationship Id="rId118" Type="http://schemas.openxmlformats.org/officeDocument/2006/relationships/hyperlink" Target="https://podminky.urs.cz/item/CS_URS_2022_02/764131403" TargetMode="External" /><Relationship Id="rId119" Type="http://schemas.openxmlformats.org/officeDocument/2006/relationships/hyperlink" Target="https://podminky.urs.cz/item/CS_URS_2022_02/764131491" TargetMode="External" /><Relationship Id="rId120" Type="http://schemas.openxmlformats.org/officeDocument/2006/relationships/hyperlink" Target="https://podminky.urs.cz/item/CS_URS_2022_02/764231467" TargetMode="External" /><Relationship Id="rId121" Type="http://schemas.openxmlformats.org/officeDocument/2006/relationships/hyperlink" Target="https://podminky.urs.cz/item/CS_URS_2022_02/764232437" TargetMode="External" /><Relationship Id="rId122" Type="http://schemas.openxmlformats.org/officeDocument/2006/relationships/hyperlink" Target="https://podminky.urs.cz/item/CS_URS_2022_02/764235408" TargetMode="External" /><Relationship Id="rId123" Type="http://schemas.openxmlformats.org/officeDocument/2006/relationships/hyperlink" Target="https://podminky.urs.cz/item/CS_URS_2022_02/764235411" TargetMode="External" /><Relationship Id="rId124" Type="http://schemas.openxmlformats.org/officeDocument/2006/relationships/hyperlink" Target="https://podminky.urs.cz/item/CS_URS_2022_02/764236444" TargetMode="External" /><Relationship Id="rId125" Type="http://schemas.openxmlformats.org/officeDocument/2006/relationships/hyperlink" Target="https://podminky.urs.cz/item/CS_URS_2022_02/764331415" TargetMode="External" /><Relationship Id="rId126" Type="http://schemas.openxmlformats.org/officeDocument/2006/relationships/hyperlink" Target="https://podminky.urs.cz/item/CS_URS_2022_02/764331416" TargetMode="External" /><Relationship Id="rId127" Type="http://schemas.openxmlformats.org/officeDocument/2006/relationships/hyperlink" Target="https://podminky.urs.cz/item/CS_URS_2022_02/764531404" TargetMode="External" /><Relationship Id="rId128" Type="http://schemas.openxmlformats.org/officeDocument/2006/relationships/hyperlink" Target="https://podminky.urs.cz/item/CS_URS_2022_02/764531445" TargetMode="External" /><Relationship Id="rId129" Type="http://schemas.openxmlformats.org/officeDocument/2006/relationships/hyperlink" Target="https://podminky.urs.cz/item/CS_URS_2022_02/764533412" TargetMode="External" /><Relationship Id="rId130" Type="http://schemas.openxmlformats.org/officeDocument/2006/relationships/hyperlink" Target="https://podminky.urs.cz/item/CS_URS_2022_02/764538423" TargetMode="External" /><Relationship Id="rId131" Type="http://schemas.openxmlformats.org/officeDocument/2006/relationships/hyperlink" Target="https://podminky.urs.cz/item/CS_URS_2022_02/998764203" TargetMode="External" /><Relationship Id="rId132" Type="http://schemas.openxmlformats.org/officeDocument/2006/relationships/hyperlink" Target="https://podminky.urs.cz/item/CS_URS_2022_02/765111015" TargetMode="External" /><Relationship Id="rId133" Type="http://schemas.openxmlformats.org/officeDocument/2006/relationships/hyperlink" Target="https://podminky.urs.cz/item/CS_URS_2022_02/765111201" TargetMode="External" /><Relationship Id="rId134" Type="http://schemas.openxmlformats.org/officeDocument/2006/relationships/hyperlink" Target="https://podminky.urs.cz/item/CS_URS_2022_02/765111253" TargetMode="External" /><Relationship Id="rId135" Type="http://schemas.openxmlformats.org/officeDocument/2006/relationships/hyperlink" Target="https://podminky.urs.cz/item/CS_URS_2022_02/765111403" TargetMode="External" /><Relationship Id="rId136" Type="http://schemas.openxmlformats.org/officeDocument/2006/relationships/hyperlink" Target="https://podminky.urs.cz/item/CS_URS_2022_02/765111404" TargetMode="External" /><Relationship Id="rId137" Type="http://schemas.openxmlformats.org/officeDocument/2006/relationships/hyperlink" Target="https://podminky.urs.cz/item/CS_URS_2022_02/765111503" TargetMode="External" /><Relationship Id="rId138" Type="http://schemas.openxmlformats.org/officeDocument/2006/relationships/hyperlink" Target="https://podminky.urs.cz/item/CS_URS_2022_02/765115302" TargetMode="External" /><Relationship Id="rId139" Type="http://schemas.openxmlformats.org/officeDocument/2006/relationships/hyperlink" Target="https://podminky.urs.cz/item/CS_URS_2022_02/765115351" TargetMode="External" /><Relationship Id="rId140" Type="http://schemas.openxmlformats.org/officeDocument/2006/relationships/hyperlink" Target="https://podminky.urs.cz/item/CS_URS_2022_02/765115352" TargetMode="External" /><Relationship Id="rId141" Type="http://schemas.openxmlformats.org/officeDocument/2006/relationships/hyperlink" Target="https://podminky.urs.cz/item/CS_URS_2022_02/765115401" TargetMode="External" /><Relationship Id="rId142" Type="http://schemas.openxmlformats.org/officeDocument/2006/relationships/hyperlink" Target="https://podminky.urs.cz/item/CS_URS_2022_02/765115421" TargetMode="External" /><Relationship Id="rId143" Type="http://schemas.openxmlformats.org/officeDocument/2006/relationships/hyperlink" Target="https://podminky.urs.cz/item/CS_URS_2022_02/765191001" TargetMode="External" /><Relationship Id="rId144" Type="http://schemas.openxmlformats.org/officeDocument/2006/relationships/hyperlink" Target="https://podminky.urs.cz/item/CS_URS_2022_02/765191021" TargetMode="External" /><Relationship Id="rId145" Type="http://schemas.openxmlformats.org/officeDocument/2006/relationships/hyperlink" Target="https://podminky.urs.cz/item/CS_URS_2022_02/765191045" TargetMode="External" /><Relationship Id="rId146" Type="http://schemas.openxmlformats.org/officeDocument/2006/relationships/hyperlink" Target="https://podminky.urs.cz/item/CS_URS_2022_02/765191051" TargetMode="External" /><Relationship Id="rId147" Type="http://schemas.openxmlformats.org/officeDocument/2006/relationships/hyperlink" Target="https://podminky.urs.cz/item/CS_URS_2022_02/765191071" TargetMode="External" /><Relationship Id="rId148" Type="http://schemas.openxmlformats.org/officeDocument/2006/relationships/hyperlink" Target="https://podminky.urs.cz/item/CS_URS_2022_02/765191091" TargetMode="External" /><Relationship Id="rId149" Type="http://schemas.openxmlformats.org/officeDocument/2006/relationships/hyperlink" Target="https://podminky.urs.cz/item/CS_URS_2022_02/998765203" TargetMode="External" /><Relationship Id="rId150" Type="http://schemas.openxmlformats.org/officeDocument/2006/relationships/hyperlink" Target="https://podminky.urs.cz/item/CS_URS_2022_02/766231113" TargetMode="External" /><Relationship Id="rId151" Type="http://schemas.openxmlformats.org/officeDocument/2006/relationships/hyperlink" Target="https://podminky.urs.cz/item/CS_URS_2022_02/766660001" TargetMode="External" /><Relationship Id="rId152" Type="http://schemas.openxmlformats.org/officeDocument/2006/relationships/hyperlink" Target="https://podminky.urs.cz/item/CS_URS_2022_02/766660002" TargetMode="External" /><Relationship Id="rId153" Type="http://schemas.openxmlformats.org/officeDocument/2006/relationships/hyperlink" Target="https://podminky.urs.cz/item/CS_URS_2022_02/766660022" TargetMode="External" /><Relationship Id="rId154" Type="http://schemas.openxmlformats.org/officeDocument/2006/relationships/hyperlink" Target="https://podminky.urs.cz/item/CS_URS_2022_02/766660717" TargetMode="External" /><Relationship Id="rId155" Type="http://schemas.openxmlformats.org/officeDocument/2006/relationships/hyperlink" Target="https://podminky.urs.cz/item/CS_URS_2022_02/766660729" TargetMode="External" /><Relationship Id="rId156" Type="http://schemas.openxmlformats.org/officeDocument/2006/relationships/hyperlink" Target="https://podminky.urs.cz/item/CS_URS_2022_02/766660734" TargetMode="External" /><Relationship Id="rId157" Type="http://schemas.openxmlformats.org/officeDocument/2006/relationships/hyperlink" Target="https://podminky.urs.cz/item/CS_URS_2022_02/766671023" TargetMode="External" /><Relationship Id="rId158" Type="http://schemas.openxmlformats.org/officeDocument/2006/relationships/hyperlink" Target="https://podminky.urs.cz/item/CS_URS_2022_02/766671026" TargetMode="External" /><Relationship Id="rId159" Type="http://schemas.openxmlformats.org/officeDocument/2006/relationships/hyperlink" Target="https://podminky.urs.cz/item/CS_URS_2022_02/766694112" TargetMode="External" /><Relationship Id="rId160" Type="http://schemas.openxmlformats.org/officeDocument/2006/relationships/hyperlink" Target="https://podminky.urs.cz/item/CS_URS_2022_02/766694113" TargetMode="External" /><Relationship Id="rId161" Type="http://schemas.openxmlformats.org/officeDocument/2006/relationships/hyperlink" Target="https://podminky.urs.cz/item/CS_URS_2022_02/998766203" TargetMode="External" /><Relationship Id="rId162" Type="http://schemas.openxmlformats.org/officeDocument/2006/relationships/hyperlink" Target="https://podminky.urs.cz/item/CS_URS_2022_02/767610127" TargetMode="External" /><Relationship Id="rId163" Type="http://schemas.openxmlformats.org/officeDocument/2006/relationships/hyperlink" Target="https://podminky.urs.cz/item/CS_URS_2022_02/767610128" TargetMode="External" /><Relationship Id="rId164" Type="http://schemas.openxmlformats.org/officeDocument/2006/relationships/hyperlink" Target="https://podminky.urs.cz/item/CS_URS_2022_02/767627306" TargetMode="External" /><Relationship Id="rId165" Type="http://schemas.openxmlformats.org/officeDocument/2006/relationships/hyperlink" Target="https://podminky.urs.cz/item/CS_URS_2022_02/767627307" TargetMode="External" /><Relationship Id="rId166" Type="http://schemas.openxmlformats.org/officeDocument/2006/relationships/hyperlink" Target="https://podminky.urs.cz/item/CS_URS_2022_02/767640111" TargetMode="External" /><Relationship Id="rId167" Type="http://schemas.openxmlformats.org/officeDocument/2006/relationships/hyperlink" Target="https://podminky.urs.cz/item/CS_URS_2022_02/767649191" TargetMode="External" /><Relationship Id="rId168" Type="http://schemas.openxmlformats.org/officeDocument/2006/relationships/hyperlink" Target="https://podminky.urs.cz/item/CS_URS_2022_02/767995113" TargetMode="External" /><Relationship Id="rId169" Type="http://schemas.openxmlformats.org/officeDocument/2006/relationships/hyperlink" Target="https://podminky.urs.cz/item/CS_URS_2022_02/767995114" TargetMode="External" /><Relationship Id="rId170" Type="http://schemas.openxmlformats.org/officeDocument/2006/relationships/hyperlink" Target="https://podminky.urs.cz/item/CS_URS_2022_02/998767203" TargetMode="External" /><Relationship Id="rId171" Type="http://schemas.openxmlformats.org/officeDocument/2006/relationships/hyperlink" Target="https://podminky.urs.cz/item/CS_URS_2022_02/771111011" TargetMode="External" /><Relationship Id="rId172" Type="http://schemas.openxmlformats.org/officeDocument/2006/relationships/hyperlink" Target="https://podminky.urs.cz/item/CS_URS_2022_02/771111012" TargetMode="External" /><Relationship Id="rId173" Type="http://schemas.openxmlformats.org/officeDocument/2006/relationships/hyperlink" Target="https://podminky.urs.cz/item/CS_URS_2022_02/771121011" TargetMode="External" /><Relationship Id="rId174" Type="http://schemas.openxmlformats.org/officeDocument/2006/relationships/hyperlink" Target="https://podminky.urs.cz/item/CS_URS_2022_02/771151012" TargetMode="External" /><Relationship Id="rId175" Type="http://schemas.openxmlformats.org/officeDocument/2006/relationships/hyperlink" Target="https://podminky.urs.cz/item/CS_URS_2022_02/771161022" TargetMode="External" /><Relationship Id="rId176" Type="http://schemas.openxmlformats.org/officeDocument/2006/relationships/hyperlink" Target="https://podminky.urs.cz/item/CS_URS_2022_02/771274123" TargetMode="External" /><Relationship Id="rId177" Type="http://schemas.openxmlformats.org/officeDocument/2006/relationships/hyperlink" Target="https://podminky.urs.cz/item/CS_URS_2022_02/771274232" TargetMode="External" /><Relationship Id="rId178" Type="http://schemas.openxmlformats.org/officeDocument/2006/relationships/hyperlink" Target="https://podminky.urs.cz/item/CS_URS_2022_02/771474113" TargetMode="External" /><Relationship Id="rId179" Type="http://schemas.openxmlformats.org/officeDocument/2006/relationships/hyperlink" Target="https://podminky.urs.cz/item/CS_URS_2022_02/771474133" TargetMode="External" /><Relationship Id="rId180" Type="http://schemas.openxmlformats.org/officeDocument/2006/relationships/hyperlink" Target="https://podminky.urs.cz/item/CS_URS_2022_02/771574263" TargetMode="External" /><Relationship Id="rId181" Type="http://schemas.openxmlformats.org/officeDocument/2006/relationships/hyperlink" Target="https://podminky.urs.cz/item/CS_URS_2022_02/771591112" TargetMode="External" /><Relationship Id="rId182" Type="http://schemas.openxmlformats.org/officeDocument/2006/relationships/hyperlink" Target="https://podminky.urs.cz/item/CS_URS_2022_02/771591115" TargetMode="External" /><Relationship Id="rId183" Type="http://schemas.openxmlformats.org/officeDocument/2006/relationships/hyperlink" Target="https://podminky.urs.cz/item/CS_URS_2022_02/771591117" TargetMode="External" /><Relationship Id="rId184" Type="http://schemas.openxmlformats.org/officeDocument/2006/relationships/hyperlink" Target="https://podminky.urs.cz/item/CS_URS_2022_02/771591241" TargetMode="External" /><Relationship Id="rId185" Type="http://schemas.openxmlformats.org/officeDocument/2006/relationships/hyperlink" Target="https://podminky.urs.cz/item/CS_URS_2022_02/771591242" TargetMode="External" /><Relationship Id="rId186" Type="http://schemas.openxmlformats.org/officeDocument/2006/relationships/hyperlink" Target="https://podminky.urs.cz/item/CS_URS_2022_02/771591264" TargetMode="External" /><Relationship Id="rId187" Type="http://schemas.openxmlformats.org/officeDocument/2006/relationships/hyperlink" Target="https://podminky.urs.cz/item/CS_URS_2022_02/771592011" TargetMode="External" /><Relationship Id="rId188" Type="http://schemas.openxmlformats.org/officeDocument/2006/relationships/hyperlink" Target="https://podminky.urs.cz/item/CS_URS_2022_02/998771203" TargetMode="External" /><Relationship Id="rId189" Type="http://schemas.openxmlformats.org/officeDocument/2006/relationships/hyperlink" Target="https://podminky.urs.cz/item/CS_URS_2022_02/776111311" TargetMode="External" /><Relationship Id="rId190" Type="http://schemas.openxmlformats.org/officeDocument/2006/relationships/hyperlink" Target="https://podminky.urs.cz/item/CS_URS_2022_02/776121112" TargetMode="External" /><Relationship Id="rId191" Type="http://schemas.openxmlformats.org/officeDocument/2006/relationships/hyperlink" Target="https://podminky.urs.cz/item/CS_URS_2022_02/776141113" TargetMode="External" /><Relationship Id="rId192" Type="http://schemas.openxmlformats.org/officeDocument/2006/relationships/hyperlink" Target="https://podminky.urs.cz/item/CS_URS_2022_02/776221111" TargetMode="External" /><Relationship Id="rId193" Type="http://schemas.openxmlformats.org/officeDocument/2006/relationships/hyperlink" Target="https://podminky.urs.cz/item/CS_URS_2022_02/776411111" TargetMode="External" /><Relationship Id="rId194" Type="http://schemas.openxmlformats.org/officeDocument/2006/relationships/hyperlink" Target="https://podminky.urs.cz/item/CS_URS_2022_02/776991121" TargetMode="External" /><Relationship Id="rId195" Type="http://schemas.openxmlformats.org/officeDocument/2006/relationships/hyperlink" Target="https://podminky.urs.cz/item/CS_URS_2022_02/998776203" TargetMode="External" /><Relationship Id="rId196" Type="http://schemas.openxmlformats.org/officeDocument/2006/relationships/hyperlink" Target="https://podminky.urs.cz/item/CS_URS_2022_02/777111111" TargetMode="External" /><Relationship Id="rId197" Type="http://schemas.openxmlformats.org/officeDocument/2006/relationships/hyperlink" Target="https://podminky.urs.cz/item/CS_URS_2022_02/777131101" TargetMode="External" /><Relationship Id="rId198" Type="http://schemas.openxmlformats.org/officeDocument/2006/relationships/hyperlink" Target="https://podminky.urs.cz/item/CS_URS_2022_02/777511103" TargetMode="External" /><Relationship Id="rId199" Type="http://schemas.openxmlformats.org/officeDocument/2006/relationships/hyperlink" Target="https://podminky.urs.cz/item/CS_URS_2022_02/777611101" TargetMode="External" /><Relationship Id="rId200" Type="http://schemas.openxmlformats.org/officeDocument/2006/relationships/hyperlink" Target="https://podminky.urs.cz/item/CS_URS_2022_02/777911113" TargetMode="External" /><Relationship Id="rId201" Type="http://schemas.openxmlformats.org/officeDocument/2006/relationships/hyperlink" Target="https://podminky.urs.cz/item/CS_URS_2022_02/998777203" TargetMode="External" /><Relationship Id="rId202" Type="http://schemas.openxmlformats.org/officeDocument/2006/relationships/hyperlink" Target="https://podminky.urs.cz/item/CS_URS_2022_02/781111011" TargetMode="External" /><Relationship Id="rId203" Type="http://schemas.openxmlformats.org/officeDocument/2006/relationships/hyperlink" Target="https://podminky.urs.cz/item/CS_URS_2022_02/781121011" TargetMode="External" /><Relationship Id="rId204" Type="http://schemas.openxmlformats.org/officeDocument/2006/relationships/hyperlink" Target="https://podminky.urs.cz/item/CS_URS_2022_02/781474112" TargetMode="External" /><Relationship Id="rId205" Type="http://schemas.openxmlformats.org/officeDocument/2006/relationships/hyperlink" Target="https://podminky.urs.cz/item/CS_URS_2022_02/781477111" TargetMode="External" /><Relationship Id="rId206" Type="http://schemas.openxmlformats.org/officeDocument/2006/relationships/hyperlink" Target="https://podminky.urs.cz/item/CS_URS_2022_02/781494111" TargetMode="External" /><Relationship Id="rId207" Type="http://schemas.openxmlformats.org/officeDocument/2006/relationships/hyperlink" Target="https://podminky.urs.cz/item/CS_URS_2022_02/781495115" TargetMode="External" /><Relationship Id="rId208" Type="http://schemas.openxmlformats.org/officeDocument/2006/relationships/hyperlink" Target="https://podminky.urs.cz/item/CS_URS_2022_02/781495211" TargetMode="External" /><Relationship Id="rId209" Type="http://schemas.openxmlformats.org/officeDocument/2006/relationships/hyperlink" Target="https://podminky.urs.cz/item/CS_URS_2022_02/998781203" TargetMode="External" /><Relationship Id="rId210" Type="http://schemas.openxmlformats.org/officeDocument/2006/relationships/hyperlink" Target="https://podminky.urs.cz/item/CS_URS_2022_02/782132412" TargetMode="External" /><Relationship Id="rId211" Type="http://schemas.openxmlformats.org/officeDocument/2006/relationships/hyperlink" Target="https://podminky.urs.cz/item/CS_URS_2022_02/998782201" TargetMode="External" /><Relationship Id="rId212" Type="http://schemas.openxmlformats.org/officeDocument/2006/relationships/hyperlink" Target="https://podminky.urs.cz/item/CS_URS_2022_02/783301313" TargetMode="External" /><Relationship Id="rId213" Type="http://schemas.openxmlformats.org/officeDocument/2006/relationships/hyperlink" Target="https://podminky.urs.cz/item/CS_URS_2022_02/783301401" TargetMode="External" /><Relationship Id="rId214" Type="http://schemas.openxmlformats.org/officeDocument/2006/relationships/hyperlink" Target="https://podminky.urs.cz/item/CS_URS_2022_02/783314203" TargetMode="External" /><Relationship Id="rId215" Type="http://schemas.openxmlformats.org/officeDocument/2006/relationships/hyperlink" Target="https://podminky.urs.cz/item/CS_URS_2022_02/784111001" TargetMode="External" /><Relationship Id="rId216" Type="http://schemas.openxmlformats.org/officeDocument/2006/relationships/hyperlink" Target="https://podminky.urs.cz/item/CS_URS_2022_02/784181101" TargetMode="External" /><Relationship Id="rId217" Type="http://schemas.openxmlformats.org/officeDocument/2006/relationships/hyperlink" Target="https://podminky.urs.cz/item/CS_URS_2022_02/784211101" TargetMode="External" /><Relationship Id="rId218" Type="http://schemas.openxmlformats.org/officeDocument/2006/relationships/hyperlink" Target="https://podminky.urs.cz/item/CS_URS_2022_02/786623111" TargetMode="External" /><Relationship Id="rId219" Type="http://schemas.openxmlformats.org/officeDocument/2006/relationships/hyperlink" Target="https://podminky.urs.cz/item/CS_URS_2022_02/786626121" TargetMode="External" /><Relationship Id="rId220" Type="http://schemas.openxmlformats.org/officeDocument/2006/relationships/hyperlink" Target="https://podminky.urs.cz/item/CS_URS_2022_02/998786203" TargetMode="External" /><Relationship Id="rId221" Type="http://schemas.openxmlformats.org/officeDocument/2006/relationships/hyperlink" Target="https://podminky.urs.cz/item/CS_URS_2022_02/HZS1442" TargetMode="External" /><Relationship Id="rId2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434000" TargetMode="External" /><Relationship Id="rId2" Type="http://schemas.openxmlformats.org/officeDocument/2006/relationships/hyperlink" Target="https://podminky.urs.cz/item/CS_URS_2022_02/011503000" TargetMode="External" /><Relationship Id="rId3" Type="http://schemas.openxmlformats.org/officeDocument/2006/relationships/hyperlink" Target="https://podminky.urs.cz/item/CS_URS_2022_02/013124000" TargetMode="External" /><Relationship Id="rId4" Type="http://schemas.openxmlformats.org/officeDocument/2006/relationships/hyperlink" Target="https://podminky.urs.cz/item/CS_URS_2022_02/013194000" TargetMode="External" /><Relationship Id="rId5" Type="http://schemas.openxmlformats.org/officeDocument/2006/relationships/hyperlink" Target="https://podminky.urs.cz/item/CS_URS_2022_02/013244000" TargetMode="External" /><Relationship Id="rId6" Type="http://schemas.openxmlformats.org/officeDocument/2006/relationships/hyperlink" Target="https://podminky.urs.cz/item/CS_URS_2022_02/013254000" TargetMode="External" /><Relationship Id="rId7" Type="http://schemas.openxmlformats.org/officeDocument/2006/relationships/hyperlink" Target="https://podminky.urs.cz/item/CS_URS_2022_02/013274000" TargetMode="External" /><Relationship Id="rId8" Type="http://schemas.openxmlformats.org/officeDocument/2006/relationships/hyperlink" Target="https://podminky.urs.cz/item/CS_URS_2022_02/013284000" TargetMode="External" /><Relationship Id="rId9" Type="http://schemas.openxmlformats.org/officeDocument/2006/relationships/hyperlink" Target="https://podminky.urs.cz/item/CS_URS_2022_02/013294000" TargetMode="External" /><Relationship Id="rId10" Type="http://schemas.openxmlformats.org/officeDocument/2006/relationships/hyperlink" Target="https://podminky.urs.cz/item/CS_URS_2022_02/030001000" TargetMode="External" /><Relationship Id="rId11" Type="http://schemas.openxmlformats.org/officeDocument/2006/relationships/hyperlink" Target="https://podminky.urs.cz/item/CS_URS_2022_02/033002000" TargetMode="External" /><Relationship Id="rId12" Type="http://schemas.openxmlformats.org/officeDocument/2006/relationships/hyperlink" Target="https://podminky.urs.cz/item/CS_URS_2022_02/035002000" TargetMode="External" /><Relationship Id="rId13" Type="http://schemas.openxmlformats.org/officeDocument/2006/relationships/hyperlink" Target="https://podminky.urs.cz/item/CS_URS_2022_02/041403000" TargetMode="External" /><Relationship Id="rId14" Type="http://schemas.openxmlformats.org/officeDocument/2006/relationships/hyperlink" Target="https://podminky.urs.cz/item/CS_URS_2022_02/052103000" TargetMode="External" /><Relationship Id="rId15" Type="http://schemas.openxmlformats.org/officeDocument/2006/relationships/hyperlink" Target="https://podminky.urs.cz/item/CS_URS_2022_02/052203000" TargetMode="External" /><Relationship Id="rId16" Type="http://schemas.openxmlformats.org/officeDocument/2006/relationships/hyperlink" Target="https://podminky.urs.cz/item/CS_URS_2022_02/065002000" TargetMode="External" /><Relationship Id="rId17" Type="http://schemas.openxmlformats.org/officeDocument/2006/relationships/hyperlink" Target="https://podminky.urs.cz/item/CS_URS_2022_02/094104000" TargetMode="External" /><Relationship Id="rId1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490" t="s">
        <v>6</v>
      </c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S2" s="17" t="s">
        <v>7</v>
      </c>
      <c r="BT2" s="17" t="s">
        <v>8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ht="24.95" customHeight="1">
      <c r="B4" s="20"/>
      <c r="D4" s="21" t="s">
        <v>10</v>
      </c>
      <c r="AR4" s="20"/>
      <c r="AS4" s="22" t="s">
        <v>11</v>
      </c>
      <c r="BS4" s="17" t="s">
        <v>12</v>
      </c>
    </row>
    <row r="5" spans="2:71" ht="12" customHeight="1">
      <c r="B5" s="20"/>
      <c r="D5" s="23" t="s">
        <v>13</v>
      </c>
      <c r="K5" s="471" t="s">
        <v>14</v>
      </c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R5" s="20"/>
      <c r="BS5" s="17" t="s">
        <v>7</v>
      </c>
    </row>
    <row r="6" spans="2:71" ht="36.95" customHeight="1">
      <c r="B6" s="20"/>
      <c r="D6" s="25" t="s">
        <v>15</v>
      </c>
      <c r="K6" s="473" t="s">
        <v>16</v>
      </c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R6" s="20"/>
      <c r="BS6" s="17" t="s">
        <v>7</v>
      </c>
    </row>
    <row r="7" spans="2:71" ht="12" customHeight="1">
      <c r="B7" s="20"/>
      <c r="D7" s="26" t="s">
        <v>17</v>
      </c>
      <c r="K7" s="24" t="s">
        <v>3</v>
      </c>
      <c r="AK7" s="26" t="s">
        <v>18</v>
      </c>
      <c r="AN7" s="24" t="s">
        <v>3</v>
      </c>
      <c r="AR7" s="20"/>
      <c r="BS7" s="17" t="s">
        <v>7</v>
      </c>
    </row>
    <row r="8" spans="2:71" ht="12" customHeight="1">
      <c r="B8" s="20"/>
      <c r="D8" s="26" t="s">
        <v>19</v>
      </c>
      <c r="K8" s="24" t="s">
        <v>20</v>
      </c>
      <c r="AK8" s="26" t="s">
        <v>21</v>
      </c>
      <c r="AN8" s="24" t="s">
        <v>22</v>
      </c>
      <c r="AR8" s="20"/>
      <c r="BS8" s="17" t="s">
        <v>7</v>
      </c>
    </row>
    <row r="9" spans="2:71" ht="14.45" customHeight="1">
      <c r="B9" s="20"/>
      <c r="AR9" s="20"/>
      <c r="BS9" s="17" t="s">
        <v>7</v>
      </c>
    </row>
    <row r="10" spans="2:71" ht="12" customHeight="1">
      <c r="B10" s="20"/>
      <c r="D10" s="26" t="s">
        <v>23</v>
      </c>
      <c r="AK10" s="26" t="s">
        <v>24</v>
      </c>
      <c r="AN10" s="24" t="s">
        <v>3</v>
      </c>
      <c r="AR10" s="20"/>
      <c r="BS10" s="17" t="s">
        <v>7</v>
      </c>
    </row>
    <row r="11" spans="2:71" ht="18.6" customHeight="1">
      <c r="B11" s="20"/>
      <c r="E11" s="24" t="s">
        <v>25</v>
      </c>
      <c r="AK11" s="26" t="s">
        <v>26</v>
      </c>
      <c r="AN11" s="24" t="s">
        <v>3</v>
      </c>
      <c r="AR11" s="20"/>
      <c r="BS11" s="17" t="s">
        <v>7</v>
      </c>
    </row>
    <row r="12" spans="2:71" ht="6.95" customHeight="1">
      <c r="B12" s="20"/>
      <c r="AR12" s="20"/>
      <c r="BS12" s="17" t="s">
        <v>7</v>
      </c>
    </row>
    <row r="13" spans="2:71" ht="12" customHeight="1">
      <c r="B13" s="20"/>
      <c r="D13" s="26" t="s">
        <v>27</v>
      </c>
      <c r="AK13" s="26" t="s">
        <v>24</v>
      </c>
      <c r="AN13" s="24" t="s">
        <v>3</v>
      </c>
      <c r="AR13" s="20"/>
      <c r="BS13" s="17" t="s">
        <v>7</v>
      </c>
    </row>
    <row r="14" spans="2:71" ht="12.75">
      <c r="B14" s="20"/>
      <c r="E14" s="24" t="s">
        <v>28</v>
      </c>
      <c r="AK14" s="26" t="s">
        <v>26</v>
      </c>
      <c r="AN14" s="24" t="s">
        <v>3</v>
      </c>
      <c r="AR14" s="20"/>
      <c r="BS14" s="17" t="s">
        <v>7</v>
      </c>
    </row>
    <row r="15" spans="2:71" ht="6.95" customHeight="1">
      <c r="B15" s="20"/>
      <c r="AR15" s="20"/>
      <c r="BS15" s="17" t="s">
        <v>4</v>
      </c>
    </row>
    <row r="16" spans="2:71" ht="12" customHeight="1">
      <c r="B16" s="20"/>
      <c r="D16" s="26" t="s">
        <v>29</v>
      </c>
      <c r="AK16" s="26" t="s">
        <v>24</v>
      </c>
      <c r="AN16" s="24" t="s">
        <v>30</v>
      </c>
      <c r="AR16" s="20"/>
      <c r="BS16" s="17" t="s">
        <v>4</v>
      </c>
    </row>
    <row r="17" spans="2:71" ht="18.6" customHeight="1">
      <c r="B17" s="20"/>
      <c r="E17" s="24" t="s">
        <v>31</v>
      </c>
      <c r="AK17" s="26" t="s">
        <v>26</v>
      </c>
      <c r="AN17" s="24" t="s">
        <v>3</v>
      </c>
      <c r="AR17" s="20"/>
      <c r="BS17" s="17" t="s">
        <v>32</v>
      </c>
    </row>
    <row r="18" spans="2:71" ht="6.95" customHeight="1">
      <c r="B18" s="20"/>
      <c r="AR18" s="20"/>
      <c r="BS18" s="17" t="s">
        <v>7</v>
      </c>
    </row>
    <row r="19" spans="2:71" ht="12" customHeight="1">
      <c r="B19" s="20"/>
      <c r="D19" s="26" t="s">
        <v>33</v>
      </c>
      <c r="AK19" s="26" t="s">
        <v>24</v>
      </c>
      <c r="AN19" s="24" t="s">
        <v>3</v>
      </c>
      <c r="AR19" s="20"/>
      <c r="BS19" s="17" t="s">
        <v>7</v>
      </c>
    </row>
    <row r="20" spans="2:71" ht="18.6" customHeight="1">
      <c r="B20" s="20"/>
      <c r="E20" s="24" t="s">
        <v>31</v>
      </c>
      <c r="AK20" s="26" t="s">
        <v>26</v>
      </c>
      <c r="AN20" s="24" t="s">
        <v>3</v>
      </c>
      <c r="AR20" s="20"/>
      <c r="BS20" s="17" t="s">
        <v>4</v>
      </c>
    </row>
    <row r="21" spans="2:44" ht="6.95" customHeight="1">
      <c r="B21" s="20"/>
      <c r="AR21" s="20"/>
    </row>
    <row r="22" spans="2:44" ht="12" customHeight="1">
      <c r="B22" s="20"/>
      <c r="D22" s="26" t="s">
        <v>34</v>
      </c>
      <c r="AR22" s="20"/>
    </row>
    <row r="23" spans="2:44" ht="47.25" customHeight="1">
      <c r="B23" s="20"/>
      <c r="E23" s="474" t="s">
        <v>35</v>
      </c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R23" s="20"/>
    </row>
    <row r="24" spans="2:44" ht="6.95" customHeight="1">
      <c r="B24" s="20"/>
      <c r="AR24" s="20"/>
    </row>
    <row r="25" spans="2:44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" customHeight="1">
      <c r="B26" s="29"/>
      <c r="D26" s="30" t="s">
        <v>36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475">
        <f>ROUND(AG54,2)</f>
        <v>0</v>
      </c>
      <c r="AL26" s="476"/>
      <c r="AM26" s="476"/>
      <c r="AN26" s="476"/>
      <c r="AO26" s="476"/>
      <c r="AR26" s="29"/>
    </row>
    <row r="27" spans="2:44" s="1" customFormat="1" ht="6.95" customHeight="1">
      <c r="B27" s="29"/>
      <c r="AR27" s="29"/>
    </row>
    <row r="28" spans="2:44" s="1" customFormat="1" ht="12.75">
      <c r="B28" s="29"/>
      <c r="L28" s="477" t="s">
        <v>37</v>
      </c>
      <c r="M28" s="477"/>
      <c r="N28" s="477"/>
      <c r="O28" s="477"/>
      <c r="P28" s="477"/>
      <c r="W28" s="477" t="s">
        <v>38</v>
      </c>
      <c r="X28" s="477"/>
      <c r="Y28" s="477"/>
      <c r="Z28" s="477"/>
      <c r="AA28" s="477"/>
      <c r="AB28" s="477"/>
      <c r="AC28" s="477"/>
      <c r="AD28" s="477"/>
      <c r="AE28" s="477"/>
      <c r="AK28" s="477" t="s">
        <v>39</v>
      </c>
      <c r="AL28" s="477"/>
      <c r="AM28" s="477"/>
      <c r="AN28" s="477"/>
      <c r="AO28" s="477"/>
      <c r="AR28" s="29"/>
    </row>
    <row r="29" spans="2:44" s="2" customFormat="1" ht="14.45" customHeight="1">
      <c r="B29" s="33"/>
      <c r="D29" s="26" t="s">
        <v>40</v>
      </c>
      <c r="F29" s="26" t="s">
        <v>41</v>
      </c>
      <c r="L29" s="480">
        <v>0.21</v>
      </c>
      <c r="M29" s="479"/>
      <c r="N29" s="479"/>
      <c r="O29" s="479"/>
      <c r="P29" s="479"/>
      <c r="W29" s="478">
        <f>ROUND(AZ54,2)</f>
        <v>0</v>
      </c>
      <c r="X29" s="479"/>
      <c r="Y29" s="479"/>
      <c r="Z29" s="479"/>
      <c r="AA29" s="479"/>
      <c r="AB29" s="479"/>
      <c r="AC29" s="479"/>
      <c r="AD29" s="479"/>
      <c r="AE29" s="479"/>
      <c r="AK29" s="478">
        <f>ROUND(AV54,2)</f>
        <v>0</v>
      </c>
      <c r="AL29" s="479"/>
      <c r="AM29" s="479"/>
      <c r="AN29" s="479"/>
      <c r="AO29" s="479"/>
      <c r="AR29" s="33"/>
    </row>
    <row r="30" spans="2:44" s="2" customFormat="1" ht="14.45" customHeight="1">
      <c r="B30" s="33"/>
      <c r="F30" s="26" t="s">
        <v>42</v>
      </c>
      <c r="L30" s="480">
        <v>0.15</v>
      </c>
      <c r="M30" s="479"/>
      <c r="N30" s="479"/>
      <c r="O30" s="479"/>
      <c r="P30" s="479"/>
      <c r="W30" s="478">
        <f>ROUND(BA54,2)</f>
        <v>0</v>
      </c>
      <c r="X30" s="479"/>
      <c r="Y30" s="479"/>
      <c r="Z30" s="479"/>
      <c r="AA30" s="479"/>
      <c r="AB30" s="479"/>
      <c r="AC30" s="479"/>
      <c r="AD30" s="479"/>
      <c r="AE30" s="479"/>
      <c r="AK30" s="478">
        <f>ROUND(AW54,2)</f>
        <v>0</v>
      </c>
      <c r="AL30" s="479"/>
      <c r="AM30" s="479"/>
      <c r="AN30" s="479"/>
      <c r="AO30" s="479"/>
      <c r="AR30" s="33"/>
    </row>
    <row r="31" spans="2:44" s="2" customFormat="1" ht="14.45" customHeight="1" hidden="1">
      <c r="B31" s="33"/>
      <c r="F31" s="26" t="s">
        <v>43</v>
      </c>
      <c r="L31" s="480">
        <v>0.21</v>
      </c>
      <c r="M31" s="479"/>
      <c r="N31" s="479"/>
      <c r="O31" s="479"/>
      <c r="P31" s="479"/>
      <c r="W31" s="478">
        <f>ROUND(BB54,2)</f>
        <v>0</v>
      </c>
      <c r="X31" s="479"/>
      <c r="Y31" s="479"/>
      <c r="Z31" s="479"/>
      <c r="AA31" s="479"/>
      <c r="AB31" s="479"/>
      <c r="AC31" s="479"/>
      <c r="AD31" s="479"/>
      <c r="AE31" s="479"/>
      <c r="AK31" s="478">
        <v>0</v>
      </c>
      <c r="AL31" s="479"/>
      <c r="AM31" s="479"/>
      <c r="AN31" s="479"/>
      <c r="AO31" s="479"/>
      <c r="AR31" s="33"/>
    </row>
    <row r="32" spans="2:44" s="2" customFormat="1" ht="14.45" customHeight="1" hidden="1">
      <c r="B32" s="33"/>
      <c r="F32" s="26" t="s">
        <v>44</v>
      </c>
      <c r="L32" s="480">
        <v>0.15</v>
      </c>
      <c r="M32" s="479"/>
      <c r="N32" s="479"/>
      <c r="O32" s="479"/>
      <c r="P32" s="479"/>
      <c r="W32" s="478">
        <f>ROUND(BC54,2)</f>
        <v>0</v>
      </c>
      <c r="X32" s="479"/>
      <c r="Y32" s="479"/>
      <c r="Z32" s="479"/>
      <c r="AA32" s="479"/>
      <c r="AB32" s="479"/>
      <c r="AC32" s="479"/>
      <c r="AD32" s="479"/>
      <c r="AE32" s="479"/>
      <c r="AK32" s="478">
        <v>0</v>
      </c>
      <c r="AL32" s="479"/>
      <c r="AM32" s="479"/>
      <c r="AN32" s="479"/>
      <c r="AO32" s="479"/>
      <c r="AR32" s="33"/>
    </row>
    <row r="33" spans="2:44" s="2" customFormat="1" ht="14.45" customHeight="1" hidden="1">
      <c r="B33" s="33"/>
      <c r="F33" s="26" t="s">
        <v>45</v>
      </c>
      <c r="L33" s="480">
        <v>0</v>
      </c>
      <c r="M33" s="479"/>
      <c r="N33" s="479"/>
      <c r="O33" s="479"/>
      <c r="P33" s="479"/>
      <c r="W33" s="478">
        <f>ROUND(BD54,2)</f>
        <v>0</v>
      </c>
      <c r="X33" s="479"/>
      <c r="Y33" s="479"/>
      <c r="Z33" s="479"/>
      <c r="AA33" s="479"/>
      <c r="AB33" s="479"/>
      <c r="AC33" s="479"/>
      <c r="AD33" s="479"/>
      <c r="AE33" s="479"/>
      <c r="AK33" s="478">
        <v>0</v>
      </c>
      <c r="AL33" s="479"/>
      <c r="AM33" s="479"/>
      <c r="AN33" s="479"/>
      <c r="AO33" s="479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47</v>
      </c>
      <c r="U35" s="36"/>
      <c r="V35" s="36"/>
      <c r="W35" s="36"/>
      <c r="X35" s="500" t="s">
        <v>48</v>
      </c>
      <c r="Y35" s="501"/>
      <c r="Z35" s="501"/>
      <c r="AA35" s="501"/>
      <c r="AB35" s="501"/>
      <c r="AC35" s="36"/>
      <c r="AD35" s="36"/>
      <c r="AE35" s="36"/>
      <c r="AF35" s="36"/>
      <c r="AG35" s="36"/>
      <c r="AH35" s="36"/>
      <c r="AI35" s="36"/>
      <c r="AJ35" s="36"/>
      <c r="AK35" s="502">
        <f>SUM(AK26:AK33)</f>
        <v>0</v>
      </c>
      <c r="AL35" s="501"/>
      <c r="AM35" s="501"/>
      <c r="AN35" s="501"/>
      <c r="AO35" s="503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21" t="s">
        <v>49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6" t="s">
        <v>13</v>
      </c>
      <c r="L44" s="3" t="str">
        <f>K5</f>
        <v>22/393</v>
      </c>
      <c r="AR44" s="42"/>
    </row>
    <row r="45" spans="2:44" s="4" customFormat="1" ht="36.95" customHeight="1">
      <c r="B45" s="43"/>
      <c r="C45" s="44" t="s">
        <v>15</v>
      </c>
      <c r="L45" s="491" t="str">
        <f>K6</f>
        <v>gymnáziu Hostivice - rekonstrukce gymnázia II.etapa</v>
      </c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  <c r="AJ45" s="492"/>
      <c r="AK45" s="492"/>
      <c r="AL45" s="492"/>
      <c r="AM45" s="492"/>
      <c r="AN45" s="492"/>
      <c r="AO45" s="492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6" t="s">
        <v>19</v>
      </c>
      <c r="L47" s="45" t="str">
        <f>IF(K8="","",K8)</f>
        <v>Gymnázium Hostivice, Komenského 141</v>
      </c>
      <c r="AI47" s="26" t="s">
        <v>21</v>
      </c>
      <c r="AM47" s="493" t="str">
        <f>IF(AN8="","",AN8)</f>
        <v>9. 12. 2022</v>
      </c>
      <c r="AN47" s="493"/>
      <c r="AR47" s="29"/>
    </row>
    <row r="48" spans="2:44" s="1" customFormat="1" ht="6.95" customHeight="1">
      <c r="B48" s="29"/>
      <c r="AR48" s="29"/>
    </row>
    <row r="49" spans="2:56" s="1" customFormat="1" ht="15.2" customHeight="1">
      <c r="B49" s="29"/>
      <c r="C49" s="26" t="s">
        <v>23</v>
      </c>
      <c r="L49" s="3" t="str">
        <f>IF(E11="","",E11)</f>
        <v>Středočeský kraj, Zborovská 81/11, Praha 5</v>
      </c>
      <c r="AI49" s="26" t="s">
        <v>29</v>
      </c>
      <c r="AM49" s="494" t="str">
        <f>IF(E17="","",E17)</f>
        <v>Ing. Petr Petele</v>
      </c>
      <c r="AN49" s="495"/>
      <c r="AO49" s="495"/>
      <c r="AP49" s="495"/>
      <c r="AR49" s="29"/>
      <c r="AS49" s="496" t="s">
        <v>50</v>
      </c>
      <c r="AT49" s="497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2" customHeight="1">
      <c r="B50" s="29"/>
      <c r="C50" s="26" t="s">
        <v>27</v>
      </c>
      <c r="L50" s="3" t="str">
        <f>IF(E14="","",E14)</f>
        <v xml:space="preserve"> </v>
      </c>
      <c r="AI50" s="26" t="s">
        <v>33</v>
      </c>
      <c r="AM50" s="494" t="str">
        <f>IF(E20="","",E20)</f>
        <v>Ing. Petr Petele</v>
      </c>
      <c r="AN50" s="495"/>
      <c r="AO50" s="495"/>
      <c r="AP50" s="495"/>
      <c r="AR50" s="29"/>
      <c r="AS50" s="498"/>
      <c r="AT50" s="499"/>
      <c r="BD50" s="49"/>
    </row>
    <row r="51" spans="2:56" s="1" customFormat="1" ht="10.7" customHeight="1">
      <c r="B51" s="29"/>
      <c r="AR51" s="29"/>
      <c r="AS51" s="498"/>
      <c r="AT51" s="499"/>
      <c r="BD51" s="49"/>
    </row>
    <row r="52" spans="2:56" s="1" customFormat="1" ht="29.25" customHeight="1">
      <c r="B52" s="29"/>
      <c r="C52" s="484" t="s">
        <v>51</v>
      </c>
      <c r="D52" s="485"/>
      <c r="E52" s="485"/>
      <c r="F52" s="485"/>
      <c r="G52" s="485"/>
      <c r="H52" s="50"/>
      <c r="I52" s="486" t="s">
        <v>52</v>
      </c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  <c r="AF52" s="485"/>
      <c r="AG52" s="487" t="s">
        <v>53</v>
      </c>
      <c r="AH52" s="485"/>
      <c r="AI52" s="485"/>
      <c r="AJ52" s="485"/>
      <c r="AK52" s="485"/>
      <c r="AL52" s="485"/>
      <c r="AM52" s="485"/>
      <c r="AN52" s="486" t="s">
        <v>54</v>
      </c>
      <c r="AO52" s="485"/>
      <c r="AP52" s="485"/>
      <c r="AQ52" s="51" t="s">
        <v>55</v>
      </c>
      <c r="AR52" s="29"/>
      <c r="AS52" s="52" t="s">
        <v>56</v>
      </c>
      <c r="AT52" s="53" t="s">
        <v>57</v>
      </c>
      <c r="AU52" s="53" t="s">
        <v>58</v>
      </c>
      <c r="AV52" s="53" t="s">
        <v>59</v>
      </c>
      <c r="AW52" s="53" t="s">
        <v>60</v>
      </c>
      <c r="AX52" s="53" t="s">
        <v>61</v>
      </c>
      <c r="AY52" s="53" t="s">
        <v>62</v>
      </c>
      <c r="AZ52" s="53" t="s">
        <v>63</v>
      </c>
      <c r="BA52" s="53" t="s">
        <v>64</v>
      </c>
      <c r="BB52" s="53" t="s">
        <v>65</v>
      </c>
      <c r="BC52" s="53" t="s">
        <v>66</v>
      </c>
      <c r="BD52" s="54" t="s">
        <v>67</v>
      </c>
    </row>
    <row r="53" spans="2:56" s="1" customFormat="1" ht="10.7" customHeight="1">
      <c r="B53" s="29"/>
      <c r="AR53" s="29"/>
      <c r="AS53" s="55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5" customHeight="1">
      <c r="B54" s="56"/>
      <c r="C54" s="57" t="s">
        <v>68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488">
        <f>ROUND(SUM(AG55:AG57),2)</f>
        <v>0</v>
      </c>
      <c r="AH54" s="488"/>
      <c r="AI54" s="488"/>
      <c r="AJ54" s="488"/>
      <c r="AK54" s="488"/>
      <c r="AL54" s="488"/>
      <c r="AM54" s="488"/>
      <c r="AN54" s="489">
        <f>SUM(AG54,AT54)</f>
        <v>0</v>
      </c>
      <c r="AO54" s="489"/>
      <c r="AP54" s="489"/>
      <c r="AQ54" s="60" t="s">
        <v>3</v>
      </c>
      <c r="AR54" s="56"/>
      <c r="AS54" s="61">
        <f>ROUND(SUM(AS55:AS57),2)</f>
        <v>0</v>
      </c>
      <c r="AT54" s="62">
        <f>ROUND(SUM(AV54:AW54),2)</f>
        <v>0</v>
      </c>
      <c r="AU54" s="63">
        <f>ROUND(SUM(AU55:AU57),5)</f>
        <v>19634.79483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ROUND(SUM(AZ55:AZ57),2)</f>
        <v>0</v>
      </c>
      <c r="BA54" s="62">
        <f>ROUND(SUM(BA55:BA57),2)</f>
        <v>0</v>
      </c>
      <c r="BB54" s="62">
        <f>ROUND(SUM(BB55:BB57),2)</f>
        <v>0</v>
      </c>
      <c r="BC54" s="62">
        <f>ROUND(SUM(BC55:BC57),2)</f>
        <v>0</v>
      </c>
      <c r="BD54" s="64">
        <f>ROUND(SUM(BD55:BD57),2)</f>
        <v>0</v>
      </c>
      <c r="BS54" s="65" t="s">
        <v>69</v>
      </c>
      <c r="BT54" s="65" t="s">
        <v>70</v>
      </c>
      <c r="BU54" s="66" t="s">
        <v>71</v>
      </c>
      <c r="BV54" s="65" t="s">
        <v>72</v>
      </c>
      <c r="BW54" s="65" t="s">
        <v>5</v>
      </c>
      <c r="BX54" s="65" t="s">
        <v>73</v>
      </c>
      <c r="CL54" s="65" t="s">
        <v>3</v>
      </c>
    </row>
    <row r="55" spans="1:91" s="6" customFormat="1" ht="16.5" customHeight="1">
      <c r="A55" s="67" t="s">
        <v>74</v>
      </c>
      <c r="B55" s="68"/>
      <c r="C55" s="69"/>
      <c r="D55" s="483" t="s">
        <v>75</v>
      </c>
      <c r="E55" s="483"/>
      <c r="F55" s="483"/>
      <c r="G55" s="483"/>
      <c r="H55" s="483"/>
      <c r="I55" s="70"/>
      <c r="J55" s="483" t="s">
        <v>76</v>
      </c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3"/>
      <c r="AB55" s="483"/>
      <c r="AC55" s="483"/>
      <c r="AD55" s="483"/>
      <c r="AE55" s="483"/>
      <c r="AF55" s="483"/>
      <c r="AG55" s="481">
        <f>'01 - Bourací práce'!J30</f>
        <v>0</v>
      </c>
      <c r="AH55" s="482"/>
      <c r="AI55" s="482"/>
      <c r="AJ55" s="482"/>
      <c r="AK55" s="482"/>
      <c r="AL55" s="482"/>
      <c r="AM55" s="482"/>
      <c r="AN55" s="481">
        <f>SUM(AG55,AT55)</f>
        <v>0</v>
      </c>
      <c r="AO55" s="482"/>
      <c r="AP55" s="482"/>
      <c r="AQ55" s="71" t="s">
        <v>77</v>
      </c>
      <c r="AR55" s="68"/>
      <c r="AS55" s="72">
        <v>0</v>
      </c>
      <c r="AT55" s="73">
        <f>ROUND(SUM(AV55:AW55),2)</f>
        <v>0</v>
      </c>
      <c r="AU55" s="74">
        <f>'01 - Bourací práce'!P96</f>
        <v>3512.4189189999997</v>
      </c>
      <c r="AV55" s="73">
        <f>'01 - Bourací práce'!J33</f>
        <v>0</v>
      </c>
      <c r="AW55" s="73">
        <f>'01 - Bourací práce'!J34</f>
        <v>0</v>
      </c>
      <c r="AX55" s="73">
        <f>'01 - Bourací práce'!J35</f>
        <v>0</v>
      </c>
      <c r="AY55" s="73">
        <f>'01 - Bourací práce'!J36</f>
        <v>0</v>
      </c>
      <c r="AZ55" s="73">
        <f>'01 - Bourací práce'!F33</f>
        <v>0</v>
      </c>
      <c r="BA55" s="73">
        <f>'01 - Bourací práce'!F34</f>
        <v>0</v>
      </c>
      <c r="BB55" s="73">
        <f>'01 - Bourací práce'!F35</f>
        <v>0</v>
      </c>
      <c r="BC55" s="73">
        <f>'01 - Bourací práce'!F36</f>
        <v>0</v>
      </c>
      <c r="BD55" s="75">
        <f>'01 - Bourací práce'!F37</f>
        <v>0</v>
      </c>
      <c r="BT55" s="76" t="s">
        <v>78</v>
      </c>
      <c r="BV55" s="76" t="s">
        <v>72</v>
      </c>
      <c r="BW55" s="76" t="s">
        <v>79</v>
      </c>
      <c r="BX55" s="76" t="s">
        <v>5</v>
      </c>
      <c r="CL55" s="76" t="s">
        <v>3</v>
      </c>
      <c r="CM55" s="76" t="s">
        <v>80</v>
      </c>
    </row>
    <row r="56" spans="1:91" s="6" customFormat="1" ht="16.5" customHeight="1">
      <c r="A56" s="67" t="s">
        <v>74</v>
      </c>
      <c r="B56" s="68"/>
      <c r="C56" s="69"/>
      <c r="D56" s="483" t="s">
        <v>81</v>
      </c>
      <c r="E56" s="483"/>
      <c r="F56" s="483"/>
      <c r="G56" s="483"/>
      <c r="H56" s="483"/>
      <c r="I56" s="70"/>
      <c r="J56" s="483" t="s">
        <v>82</v>
      </c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483"/>
      <c r="W56" s="483"/>
      <c r="X56" s="483"/>
      <c r="Y56" s="483"/>
      <c r="Z56" s="483"/>
      <c r="AA56" s="483"/>
      <c r="AB56" s="483"/>
      <c r="AC56" s="483"/>
      <c r="AD56" s="483"/>
      <c r="AE56" s="483"/>
      <c r="AF56" s="483"/>
      <c r="AG56" s="481">
        <f>'02 - Nové konstrukce'!J30</f>
        <v>0</v>
      </c>
      <c r="AH56" s="482"/>
      <c r="AI56" s="482"/>
      <c r="AJ56" s="482"/>
      <c r="AK56" s="482"/>
      <c r="AL56" s="482"/>
      <c r="AM56" s="482"/>
      <c r="AN56" s="481">
        <f>SUM(AG56,AT56)</f>
        <v>0</v>
      </c>
      <c r="AO56" s="482"/>
      <c r="AP56" s="482"/>
      <c r="AQ56" s="71" t="s">
        <v>77</v>
      </c>
      <c r="AR56" s="68"/>
      <c r="AS56" s="72">
        <v>0</v>
      </c>
      <c r="AT56" s="73">
        <f>ROUND(SUM(AV56:AW56),2)</f>
        <v>0</v>
      </c>
      <c r="AU56" s="74">
        <f>'02 - Nové konstrukce'!P111</f>
        <v>16122.37591</v>
      </c>
      <c r="AV56" s="73">
        <f>'02 - Nové konstrukce'!J33</f>
        <v>0</v>
      </c>
      <c r="AW56" s="73">
        <f>'02 - Nové konstrukce'!J34</f>
        <v>0</v>
      </c>
      <c r="AX56" s="73">
        <f>'02 - Nové konstrukce'!J35</f>
        <v>0</v>
      </c>
      <c r="AY56" s="73">
        <f>'02 - Nové konstrukce'!J36</f>
        <v>0</v>
      </c>
      <c r="AZ56" s="73">
        <f>'02 - Nové konstrukce'!F33</f>
        <v>0</v>
      </c>
      <c r="BA56" s="73">
        <f>'02 - Nové konstrukce'!F34</f>
        <v>0</v>
      </c>
      <c r="BB56" s="73">
        <f>'02 - Nové konstrukce'!F35</f>
        <v>0</v>
      </c>
      <c r="BC56" s="73">
        <f>'02 - Nové konstrukce'!F36</f>
        <v>0</v>
      </c>
      <c r="BD56" s="75">
        <f>'02 - Nové konstrukce'!F37</f>
        <v>0</v>
      </c>
      <c r="BT56" s="76" t="s">
        <v>78</v>
      </c>
      <c r="BV56" s="76" t="s">
        <v>72</v>
      </c>
      <c r="BW56" s="76" t="s">
        <v>83</v>
      </c>
      <c r="BX56" s="76" t="s">
        <v>5</v>
      </c>
      <c r="CL56" s="76" t="s">
        <v>3</v>
      </c>
      <c r="CM56" s="76" t="s">
        <v>80</v>
      </c>
    </row>
    <row r="57" spans="1:91" s="6" customFormat="1" ht="16.5" customHeight="1">
      <c r="A57" s="67" t="s">
        <v>74</v>
      </c>
      <c r="B57" s="68"/>
      <c r="C57" s="69"/>
      <c r="D57" s="483" t="s">
        <v>84</v>
      </c>
      <c r="E57" s="483"/>
      <c r="F57" s="483"/>
      <c r="G57" s="483"/>
      <c r="H57" s="483"/>
      <c r="I57" s="70"/>
      <c r="J57" s="483" t="s">
        <v>85</v>
      </c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483"/>
      <c r="W57" s="483"/>
      <c r="X57" s="483"/>
      <c r="Y57" s="483"/>
      <c r="Z57" s="483"/>
      <c r="AA57" s="483"/>
      <c r="AB57" s="483"/>
      <c r="AC57" s="483"/>
      <c r="AD57" s="483"/>
      <c r="AE57" s="483"/>
      <c r="AF57" s="483"/>
      <c r="AG57" s="481">
        <f>'03 - Vedlejší rozpočtové ...'!J30</f>
        <v>0</v>
      </c>
      <c r="AH57" s="482"/>
      <c r="AI57" s="482"/>
      <c r="AJ57" s="482"/>
      <c r="AK57" s="482"/>
      <c r="AL57" s="482"/>
      <c r="AM57" s="482"/>
      <c r="AN57" s="481">
        <f>SUM(AG57,AT57)</f>
        <v>0</v>
      </c>
      <c r="AO57" s="482"/>
      <c r="AP57" s="482"/>
      <c r="AQ57" s="71" t="s">
        <v>77</v>
      </c>
      <c r="AR57" s="68"/>
      <c r="AS57" s="77">
        <v>0</v>
      </c>
      <c r="AT57" s="78">
        <f>ROUND(SUM(AV57:AW57),2)</f>
        <v>0</v>
      </c>
      <c r="AU57" s="79">
        <f>'03 - Vedlejší rozpočtové ...'!P86</f>
        <v>0</v>
      </c>
      <c r="AV57" s="78">
        <f>'03 - Vedlejší rozpočtové ...'!J33</f>
        <v>0</v>
      </c>
      <c r="AW57" s="78">
        <f>'03 - Vedlejší rozpočtové ...'!J34</f>
        <v>0</v>
      </c>
      <c r="AX57" s="78">
        <f>'03 - Vedlejší rozpočtové ...'!J35</f>
        <v>0</v>
      </c>
      <c r="AY57" s="78">
        <f>'03 - Vedlejší rozpočtové ...'!J36</f>
        <v>0</v>
      </c>
      <c r="AZ57" s="78">
        <f>'03 - Vedlejší rozpočtové ...'!F33</f>
        <v>0</v>
      </c>
      <c r="BA57" s="78">
        <f>'03 - Vedlejší rozpočtové ...'!F34</f>
        <v>0</v>
      </c>
      <c r="BB57" s="78">
        <f>'03 - Vedlejší rozpočtové ...'!F35</f>
        <v>0</v>
      </c>
      <c r="BC57" s="78">
        <f>'03 - Vedlejší rozpočtové ...'!F36</f>
        <v>0</v>
      </c>
      <c r="BD57" s="80">
        <f>'03 - Vedlejší rozpočtové ...'!F37</f>
        <v>0</v>
      </c>
      <c r="BT57" s="76" t="s">
        <v>78</v>
      </c>
      <c r="BV57" s="76" t="s">
        <v>72</v>
      </c>
      <c r="BW57" s="76" t="s">
        <v>86</v>
      </c>
      <c r="BX57" s="76" t="s">
        <v>5</v>
      </c>
      <c r="CL57" s="76" t="s">
        <v>3</v>
      </c>
      <c r="CM57" s="76" t="s">
        <v>80</v>
      </c>
    </row>
    <row r="58" spans="2:44" s="1" customFormat="1" ht="30" customHeight="1">
      <c r="B58" s="29"/>
      <c r="AR58" s="29"/>
    </row>
    <row r="59" spans="2:44" s="1" customFormat="1" ht="6.95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29"/>
    </row>
  </sheetData>
  <mergeCells count="48"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1 - Bourací práce'!C2" display="/"/>
    <hyperlink ref="A56" location="'02 - Nové konstrukce'!C2" display="/"/>
    <hyperlink ref="A57" location="'03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4" customWidth="1"/>
    <col min="2" max="2" width="1.7109375" style="174" customWidth="1"/>
    <col min="3" max="4" width="5.00390625" style="174" customWidth="1"/>
    <col min="5" max="5" width="11.7109375" style="174" customWidth="1"/>
    <col min="6" max="6" width="9.140625" style="174" customWidth="1"/>
    <col min="7" max="7" width="5.00390625" style="174" customWidth="1"/>
    <col min="8" max="8" width="77.8515625" style="174" customWidth="1"/>
    <col min="9" max="10" width="20.00390625" style="174" customWidth="1"/>
    <col min="11" max="11" width="1.7109375" style="174" customWidth="1"/>
  </cols>
  <sheetData>
    <row r="1" ht="37.5" customHeight="1"/>
    <row r="2" spans="2:11" ht="7.5" customHeight="1">
      <c r="B2" s="175"/>
      <c r="C2" s="176"/>
      <c r="D2" s="176"/>
      <c r="E2" s="176"/>
      <c r="F2" s="176"/>
      <c r="G2" s="176"/>
      <c r="H2" s="176"/>
      <c r="I2" s="176"/>
      <c r="J2" s="176"/>
      <c r="K2" s="177"/>
    </row>
    <row r="3" spans="2:11" s="15" customFormat="1" ht="45" customHeight="1">
      <c r="B3" s="178"/>
      <c r="C3" s="534" t="s">
        <v>2598</v>
      </c>
      <c r="D3" s="534"/>
      <c r="E3" s="534"/>
      <c r="F3" s="534"/>
      <c r="G3" s="534"/>
      <c r="H3" s="534"/>
      <c r="I3" s="534"/>
      <c r="J3" s="534"/>
      <c r="K3" s="179"/>
    </row>
    <row r="4" spans="2:11" ht="25.5" customHeight="1">
      <c r="B4" s="180"/>
      <c r="C4" s="539" t="s">
        <v>2599</v>
      </c>
      <c r="D4" s="539"/>
      <c r="E4" s="539"/>
      <c r="F4" s="539"/>
      <c r="G4" s="539"/>
      <c r="H4" s="539"/>
      <c r="I4" s="539"/>
      <c r="J4" s="539"/>
      <c r="K4" s="181"/>
    </row>
    <row r="5" spans="2:11" ht="5.25" customHeight="1">
      <c r="B5" s="180"/>
      <c r="C5" s="182"/>
      <c r="D5" s="182"/>
      <c r="E5" s="182"/>
      <c r="F5" s="182"/>
      <c r="G5" s="182"/>
      <c r="H5" s="182"/>
      <c r="I5" s="182"/>
      <c r="J5" s="182"/>
      <c r="K5" s="181"/>
    </row>
    <row r="6" spans="2:11" ht="15" customHeight="1">
      <c r="B6" s="180"/>
      <c r="C6" s="538" t="s">
        <v>2600</v>
      </c>
      <c r="D6" s="538"/>
      <c r="E6" s="538"/>
      <c r="F6" s="538"/>
      <c r="G6" s="538"/>
      <c r="H6" s="538"/>
      <c r="I6" s="538"/>
      <c r="J6" s="538"/>
      <c r="K6" s="181"/>
    </row>
    <row r="7" spans="2:11" ht="15" customHeight="1">
      <c r="B7" s="184"/>
      <c r="C7" s="538" t="s">
        <v>2601</v>
      </c>
      <c r="D7" s="538"/>
      <c r="E7" s="538"/>
      <c r="F7" s="538"/>
      <c r="G7" s="538"/>
      <c r="H7" s="538"/>
      <c r="I7" s="538"/>
      <c r="J7" s="538"/>
      <c r="K7" s="181"/>
    </row>
    <row r="8" spans="2:11" ht="12.75" customHeight="1">
      <c r="B8" s="184"/>
      <c r="C8" s="183"/>
      <c r="D8" s="183"/>
      <c r="E8" s="183"/>
      <c r="F8" s="183"/>
      <c r="G8" s="183"/>
      <c r="H8" s="183"/>
      <c r="I8" s="183"/>
      <c r="J8" s="183"/>
      <c r="K8" s="181"/>
    </row>
    <row r="9" spans="2:11" ht="15" customHeight="1">
      <c r="B9" s="184"/>
      <c r="C9" s="538" t="s">
        <v>2602</v>
      </c>
      <c r="D9" s="538"/>
      <c r="E9" s="538"/>
      <c r="F9" s="538"/>
      <c r="G9" s="538"/>
      <c r="H9" s="538"/>
      <c r="I9" s="538"/>
      <c r="J9" s="538"/>
      <c r="K9" s="181"/>
    </row>
    <row r="10" spans="2:11" ht="15" customHeight="1">
      <c r="B10" s="184"/>
      <c r="C10" s="183"/>
      <c r="D10" s="538" t="s">
        <v>2603</v>
      </c>
      <c r="E10" s="538"/>
      <c r="F10" s="538"/>
      <c r="G10" s="538"/>
      <c r="H10" s="538"/>
      <c r="I10" s="538"/>
      <c r="J10" s="538"/>
      <c r="K10" s="181"/>
    </row>
    <row r="11" spans="2:11" ht="15" customHeight="1">
      <c r="B11" s="184"/>
      <c r="C11" s="185"/>
      <c r="D11" s="538" t="s">
        <v>2604</v>
      </c>
      <c r="E11" s="538"/>
      <c r="F11" s="538"/>
      <c r="G11" s="538"/>
      <c r="H11" s="538"/>
      <c r="I11" s="538"/>
      <c r="J11" s="538"/>
      <c r="K11" s="181"/>
    </row>
    <row r="12" spans="2:11" ht="15" customHeight="1">
      <c r="B12" s="184"/>
      <c r="C12" s="185"/>
      <c r="D12" s="183"/>
      <c r="E12" s="183"/>
      <c r="F12" s="183"/>
      <c r="G12" s="183"/>
      <c r="H12" s="183"/>
      <c r="I12" s="183"/>
      <c r="J12" s="183"/>
      <c r="K12" s="181"/>
    </row>
    <row r="13" spans="2:11" ht="15" customHeight="1">
      <c r="B13" s="184"/>
      <c r="C13" s="185"/>
      <c r="D13" s="186" t="s">
        <v>2605</v>
      </c>
      <c r="E13" s="183"/>
      <c r="F13" s="183"/>
      <c r="G13" s="183"/>
      <c r="H13" s="183"/>
      <c r="I13" s="183"/>
      <c r="J13" s="183"/>
      <c r="K13" s="181"/>
    </row>
    <row r="14" spans="2:11" ht="12.75" customHeight="1">
      <c r="B14" s="184"/>
      <c r="C14" s="185"/>
      <c r="D14" s="185"/>
      <c r="E14" s="185"/>
      <c r="F14" s="185"/>
      <c r="G14" s="185"/>
      <c r="H14" s="185"/>
      <c r="I14" s="185"/>
      <c r="J14" s="185"/>
      <c r="K14" s="181"/>
    </row>
    <row r="15" spans="2:11" ht="15" customHeight="1">
      <c r="B15" s="184"/>
      <c r="C15" s="185"/>
      <c r="D15" s="538" t="s">
        <v>2606</v>
      </c>
      <c r="E15" s="538"/>
      <c r="F15" s="538"/>
      <c r="G15" s="538"/>
      <c r="H15" s="538"/>
      <c r="I15" s="538"/>
      <c r="J15" s="538"/>
      <c r="K15" s="181"/>
    </row>
    <row r="16" spans="2:11" ht="15" customHeight="1">
      <c r="B16" s="184"/>
      <c r="C16" s="185"/>
      <c r="D16" s="538" t="s">
        <v>2607</v>
      </c>
      <c r="E16" s="538"/>
      <c r="F16" s="538"/>
      <c r="G16" s="538"/>
      <c r="H16" s="538"/>
      <c r="I16" s="538"/>
      <c r="J16" s="538"/>
      <c r="K16" s="181"/>
    </row>
    <row r="17" spans="2:11" ht="15" customHeight="1">
      <c r="B17" s="184"/>
      <c r="C17" s="185"/>
      <c r="D17" s="538" t="s">
        <v>2608</v>
      </c>
      <c r="E17" s="538"/>
      <c r="F17" s="538"/>
      <c r="G17" s="538"/>
      <c r="H17" s="538"/>
      <c r="I17" s="538"/>
      <c r="J17" s="538"/>
      <c r="K17" s="181"/>
    </row>
    <row r="18" spans="2:11" ht="15" customHeight="1">
      <c r="B18" s="184"/>
      <c r="C18" s="185"/>
      <c r="D18" s="185"/>
      <c r="E18" s="187" t="s">
        <v>77</v>
      </c>
      <c r="F18" s="538" t="s">
        <v>2609</v>
      </c>
      <c r="G18" s="538"/>
      <c r="H18" s="538"/>
      <c r="I18" s="538"/>
      <c r="J18" s="538"/>
      <c r="K18" s="181"/>
    </row>
    <row r="19" spans="2:11" ht="15" customHeight="1">
      <c r="B19" s="184"/>
      <c r="C19" s="185"/>
      <c r="D19" s="185"/>
      <c r="E19" s="187" t="s">
        <v>2610</v>
      </c>
      <c r="F19" s="538" t="s">
        <v>2611</v>
      </c>
      <c r="G19" s="538"/>
      <c r="H19" s="538"/>
      <c r="I19" s="538"/>
      <c r="J19" s="538"/>
      <c r="K19" s="181"/>
    </row>
    <row r="20" spans="2:11" ht="15" customHeight="1">
      <c r="B20" s="184"/>
      <c r="C20" s="185"/>
      <c r="D20" s="185"/>
      <c r="E20" s="187" t="s">
        <v>2612</v>
      </c>
      <c r="F20" s="538" t="s">
        <v>2613</v>
      </c>
      <c r="G20" s="538"/>
      <c r="H20" s="538"/>
      <c r="I20" s="538"/>
      <c r="J20" s="538"/>
      <c r="K20" s="181"/>
    </row>
    <row r="21" spans="2:11" ht="15" customHeight="1">
      <c r="B21" s="184"/>
      <c r="C21" s="185"/>
      <c r="D21" s="185"/>
      <c r="E21" s="187" t="s">
        <v>2614</v>
      </c>
      <c r="F21" s="538" t="s">
        <v>2615</v>
      </c>
      <c r="G21" s="538"/>
      <c r="H21" s="538"/>
      <c r="I21" s="538"/>
      <c r="J21" s="538"/>
      <c r="K21" s="181"/>
    </row>
    <row r="22" spans="2:11" ht="15" customHeight="1">
      <c r="B22" s="184"/>
      <c r="C22" s="185"/>
      <c r="D22" s="185"/>
      <c r="E22" s="187" t="s">
        <v>2490</v>
      </c>
      <c r="F22" s="538" t="s">
        <v>2491</v>
      </c>
      <c r="G22" s="538"/>
      <c r="H22" s="538"/>
      <c r="I22" s="538"/>
      <c r="J22" s="538"/>
      <c r="K22" s="181"/>
    </row>
    <row r="23" spans="2:11" ht="15" customHeight="1">
      <c r="B23" s="184"/>
      <c r="C23" s="185"/>
      <c r="D23" s="185"/>
      <c r="E23" s="187" t="s">
        <v>2616</v>
      </c>
      <c r="F23" s="538" t="s">
        <v>2617</v>
      </c>
      <c r="G23" s="538"/>
      <c r="H23" s="538"/>
      <c r="I23" s="538"/>
      <c r="J23" s="538"/>
      <c r="K23" s="181"/>
    </row>
    <row r="24" spans="2:11" ht="12.75" customHeight="1">
      <c r="B24" s="184"/>
      <c r="C24" s="185"/>
      <c r="D24" s="185"/>
      <c r="E24" s="185"/>
      <c r="F24" s="185"/>
      <c r="G24" s="185"/>
      <c r="H24" s="185"/>
      <c r="I24" s="185"/>
      <c r="J24" s="185"/>
      <c r="K24" s="181"/>
    </row>
    <row r="25" spans="2:11" ht="15" customHeight="1">
      <c r="B25" s="184"/>
      <c r="C25" s="538" t="s">
        <v>2618</v>
      </c>
      <c r="D25" s="538"/>
      <c r="E25" s="538"/>
      <c r="F25" s="538"/>
      <c r="G25" s="538"/>
      <c r="H25" s="538"/>
      <c r="I25" s="538"/>
      <c r="J25" s="538"/>
      <c r="K25" s="181"/>
    </row>
    <row r="26" spans="2:11" ht="15" customHeight="1">
      <c r="B26" s="184"/>
      <c r="C26" s="538" t="s">
        <v>2619</v>
      </c>
      <c r="D26" s="538"/>
      <c r="E26" s="538"/>
      <c r="F26" s="538"/>
      <c r="G26" s="538"/>
      <c r="H26" s="538"/>
      <c r="I26" s="538"/>
      <c r="J26" s="538"/>
      <c r="K26" s="181"/>
    </row>
    <row r="27" spans="2:11" ht="15" customHeight="1">
      <c r="B27" s="184"/>
      <c r="C27" s="183"/>
      <c r="D27" s="538" t="s">
        <v>2620</v>
      </c>
      <c r="E27" s="538"/>
      <c r="F27" s="538"/>
      <c r="G27" s="538"/>
      <c r="H27" s="538"/>
      <c r="I27" s="538"/>
      <c r="J27" s="538"/>
      <c r="K27" s="181"/>
    </row>
    <row r="28" spans="2:11" ht="15" customHeight="1">
      <c r="B28" s="184"/>
      <c r="C28" s="185"/>
      <c r="D28" s="538" t="s">
        <v>2621</v>
      </c>
      <c r="E28" s="538"/>
      <c r="F28" s="538"/>
      <c r="G28" s="538"/>
      <c r="H28" s="538"/>
      <c r="I28" s="538"/>
      <c r="J28" s="538"/>
      <c r="K28" s="181"/>
    </row>
    <row r="29" spans="2:11" ht="12.75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1"/>
    </row>
    <row r="30" spans="2:11" ht="15" customHeight="1">
      <c r="B30" s="184"/>
      <c r="C30" s="185"/>
      <c r="D30" s="538" t="s">
        <v>2622</v>
      </c>
      <c r="E30" s="538"/>
      <c r="F30" s="538"/>
      <c r="G30" s="538"/>
      <c r="H30" s="538"/>
      <c r="I30" s="538"/>
      <c r="J30" s="538"/>
      <c r="K30" s="181"/>
    </row>
    <row r="31" spans="2:11" ht="15" customHeight="1">
      <c r="B31" s="184"/>
      <c r="C31" s="185"/>
      <c r="D31" s="538" t="s">
        <v>2623</v>
      </c>
      <c r="E31" s="538"/>
      <c r="F31" s="538"/>
      <c r="G31" s="538"/>
      <c r="H31" s="538"/>
      <c r="I31" s="538"/>
      <c r="J31" s="538"/>
      <c r="K31" s="181"/>
    </row>
    <row r="32" spans="2:11" ht="12.75" customHeight="1">
      <c r="B32" s="184"/>
      <c r="C32" s="185"/>
      <c r="D32" s="185"/>
      <c r="E32" s="185"/>
      <c r="F32" s="185"/>
      <c r="G32" s="185"/>
      <c r="H32" s="185"/>
      <c r="I32" s="185"/>
      <c r="J32" s="185"/>
      <c r="K32" s="181"/>
    </row>
    <row r="33" spans="2:11" ht="15" customHeight="1">
      <c r="B33" s="184"/>
      <c r="C33" s="185"/>
      <c r="D33" s="538" t="s">
        <v>2624</v>
      </c>
      <c r="E33" s="538"/>
      <c r="F33" s="538"/>
      <c r="G33" s="538"/>
      <c r="H33" s="538"/>
      <c r="I33" s="538"/>
      <c r="J33" s="538"/>
      <c r="K33" s="181"/>
    </row>
    <row r="34" spans="2:11" ht="15" customHeight="1">
      <c r="B34" s="184"/>
      <c r="C34" s="185"/>
      <c r="D34" s="538" t="s">
        <v>2625</v>
      </c>
      <c r="E34" s="538"/>
      <c r="F34" s="538"/>
      <c r="G34" s="538"/>
      <c r="H34" s="538"/>
      <c r="I34" s="538"/>
      <c r="J34" s="538"/>
      <c r="K34" s="181"/>
    </row>
    <row r="35" spans="2:11" ht="15" customHeight="1">
      <c r="B35" s="184"/>
      <c r="C35" s="185"/>
      <c r="D35" s="538" t="s">
        <v>2626</v>
      </c>
      <c r="E35" s="538"/>
      <c r="F35" s="538"/>
      <c r="G35" s="538"/>
      <c r="H35" s="538"/>
      <c r="I35" s="538"/>
      <c r="J35" s="538"/>
      <c r="K35" s="181"/>
    </row>
    <row r="36" spans="2:11" ht="15" customHeight="1">
      <c r="B36" s="184"/>
      <c r="C36" s="185"/>
      <c r="D36" s="183"/>
      <c r="E36" s="186" t="s">
        <v>112</v>
      </c>
      <c r="F36" s="183"/>
      <c r="G36" s="538" t="s">
        <v>2627</v>
      </c>
      <c r="H36" s="538"/>
      <c r="I36" s="538"/>
      <c r="J36" s="538"/>
      <c r="K36" s="181"/>
    </row>
    <row r="37" spans="2:11" ht="30.75" customHeight="1">
      <c r="B37" s="184"/>
      <c r="C37" s="185"/>
      <c r="D37" s="183"/>
      <c r="E37" s="186" t="s">
        <v>2628</v>
      </c>
      <c r="F37" s="183"/>
      <c r="G37" s="538" t="s">
        <v>2629</v>
      </c>
      <c r="H37" s="538"/>
      <c r="I37" s="538"/>
      <c r="J37" s="538"/>
      <c r="K37" s="181"/>
    </row>
    <row r="38" spans="2:11" ht="15" customHeight="1">
      <c r="B38" s="184"/>
      <c r="C38" s="185"/>
      <c r="D38" s="183"/>
      <c r="E38" s="186" t="s">
        <v>51</v>
      </c>
      <c r="F38" s="183"/>
      <c r="G38" s="538" t="s">
        <v>2630</v>
      </c>
      <c r="H38" s="538"/>
      <c r="I38" s="538"/>
      <c r="J38" s="538"/>
      <c r="K38" s="181"/>
    </row>
    <row r="39" spans="2:11" ht="15" customHeight="1">
      <c r="B39" s="184"/>
      <c r="C39" s="185"/>
      <c r="D39" s="183"/>
      <c r="E39" s="186" t="s">
        <v>52</v>
      </c>
      <c r="F39" s="183"/>
      <c r="G39" s="538" t="s">
        <v>2631</v>
      </c>
      <c r="H39" s="538"/>
      <c r="I39" s="538"/>
      <c r="J39" s="538"/>
      <c r="K39" s="181"/>
    </row>
    <row r="40" spans="2:11" ht="15" customHeight="1">
      <c r="B40" s="184"/>
      <c r="C40" s="185"/>
      <c r="D40" s="183"/>
      <c r="E40" s="186" t="s">
        <v>113</v>
      </c>
      <c r="F40" s="183"/>
      <c r="G40" s="538" t="s">
        <v>2632</v>
      </c>
      <c r="H40" s="538"/>
      <c r="I40" s="538"/>
      <c r="J40" s="538"/>
      <c r="K40" s="181"/>
    </row>
    <row r="41" spans="2:11" ht="15" customHeight="1">
      <c r="B41" s="184"/>
      <c r="C41" s="185"/>
      <c r="D41" s="183"/>
      <c r="E41" s="186" t="s">
        <v>114</v>
      </c>
      <c r="F41" s="183"/>
      <c r="G41" s="538" t="s">
        <v>2633</v>
      </c>
      <c r="H41" s="538"/>
      <c r="I41" s="538"/>
      <c r="J41" s="538"/>
      <c r="K41" s="181"/>
    </row>
    <row r="42" spans="2:11" ht="15" customHeight="1">
      <c r="B42" s="184"/>
      <c r="C42" s="185"/>
      <c r="D42" s="183"/>
      <c r="E42" s="186" t="s">
        <v>2634</v>
      </c>
      <c r="F42" s="183"/>
      <c r="G42" s="538" t="s">
        <v>2635</v>
      </c>
      <c r="H42" s="538"/>
      <c r="I42" s="538"/>
      <c r="J42" s="538"/>
      <c r="K42" s="181"/>
    </row>
    <row r="43" spans="2:11" ht="15" customHeight="1">
      <c r="B43" s="184"/>
      <c r="C43" s="185"/>
      <c r="D43" s="183"/>
      <c r="E43" s="186"/>
      <c r="F43" s="183"/>
      <c r="G43" s="538" t="s">
        <v>2636</v>
      </c>
      <c r="H43" s="538"/>
      <c r="I43" s="538"/>
      <c r="J43" s="538"/>
      <c r="K43" s="181"/>
    </row>
    <row r="44" spans="2:11" ht="15" customHeight="1">
      <c r="B44" s="184"/>
      <c r="C44" s="185"/>
      <c r="D44" s="183"/>
      <c r="E44" s="186" t="s">
        <v>2637</v>
      </c>
      <c r="F44" s="183"/>
      <c r="G44" s="538" t="s">
        <v>2638</v>
      </c>
      <c r="H44" s="538"/>
      <c r="I44" s="538"/>
      <c r="J44" s="538"/>
      <c r="K44" s="181"/>
    </row>
    <row r="45" spans="2:11" ht="15" customHeight="1">
      <c r="B45" s="184"/>
      <c r="C45" s="185"/>
      <c r="D45" s="183"/>
      <c r="E45" s="186" t="s">
        <v>116</v>
      </c>
      <c r="F45" s="183"/>
      <c r="G45" s="538" t="s">
        <v>2639</v>
      </c>
      <c r="H45" s="538"/>
      <c r="I45" s="538"/>
      <c r="J45" s="538"/>
      <c r="K45" s="181"/>
    </row>
    <row r="46" spans="2:11" ht="12.75" customHeight="1">
      <c r="B46" s="184"/>
      <c r="C46" s="185"/>
      <c r="D46" s="183"/>
      <c r="E46" s="183"/>
      <c r="F46" s="183"/>
      <c r="G46" s="183"/>
      <c r="H46" s="183"/>
      <c r="I46" s="183"/>
      <c r="J46" s="183"/>
      <c r="K46" s="181"/>
    </row>
    <row r="47" spans="2:11" ht="15" customHeight="1">
      <c r="B47" s="184"/>
      <c r="C47" s="185"/>
      <c r="D47" s="538" t="s">
        <v>2640</v>
      </c>
      <c r="E47" s="538"/>
      <c r="F47" s="538"/>
      <c r="G47" s="538"/>
      <c r="H47" s="538"/>
      <c r="I47" s="538"/>
      <c r="J47" s="538"/>
      <c r="K47" s="181"/>
    </row>
    <row r="48" spans="2:11" ht="15" customHeight="1">
      <c r="B48" s="184"/>
      <c r="C48" s="185"/>
      <c r="D48" s="185"/>
      <c r="E48" s="538" t="s">
        <v>2641</v>
      </c>
      <c r="F48" s="538"/>
      <c r="G48" s="538"/>
      <c r="H48" s="538"/>
      <c r="I48" s="538"/>
      <c r="J48" s="538"/>
      <c r="K48" s="181"/>
    </row>
    <row r="49" spans="2:11" ht="15" customHeight="1">
      <c r="B49" s="184"/>
      <c r="C49" s="185"/>
      <c r="D49" s="185"/>
      <c r="E49" s="538" t="s">
        <v>2642</v>
      </c>
      <c r="F49" s="538"/>
      <c r="G49" s="538"/>
      <c r="H49" s="538"/>
      <c r="I49" s="538"/>
      <c r="J49" s="538"/>
      <c r="K49" s="181"/>
    </row>
    <row r="50" spans="2:11" ht="15" customHeight="1">
      <c r="B50" s="184"/>
      <c r="C50" s="185"/>
      <c r="D50" s="185"/>
      <c r="E50" s="538" t="s">
        <v>2643</v>
      </c>
      <c r="F50" s="538"/>
      <c r="G50" s="538"/>
      <c r="H50" s="538"/>
      <c r="I50" s="538"/>
      <c r="J50" s="538"/>
      <c r="K50" s="181"/>
    </row>
    <row r="51" spans="2:11" ht="15" customHeight="1">
      <c r="B51" s="184"/>
      <c r="C51" s="185"/>
      <c r="D51" s="538" t="s">
        <v>2644</v>
      </c>
      <c r="E51" s="538"/>
      <c r="F51" s="538"/>
      <c r="G51" s="538"/>
      <c r="H51" s="538"/>
      <c r="I51" s="538"/>
      <c r="J51" s="538"/>
      <c r="K51" s="181"/>
    </row>
    <row r="52" spans="2:11" ht="25.5" customHeight="1">
      <c r="B52" s="180"/>
      <c r="C52" s="539" t="s">
        <v>2645</v>
      </c>
      <c r="D52" s="539"/>
      <c r="E52" s="539"/>
      <c r="F52" s="539"/>
      <c r="G52" s="539"/>
      <c r="H52" s="539"/>
      <c r="I52" s="539"/>
      <c r="J52" s="539"/>
      <c r="K52" s="181"/>
    </row>
    <row r="53" spans="2:11" ht="5.25" customHeight="1">
      <c r="B53" s="180"/>
      <c r="C53" s="182"/>
      <c r="D53" s="182"/>
      <c r="E53" s="182"/>
      <c r="F53" s="182"/>
      <c r="G53" s="182"/>
      <c r="H53" s="182"/>
      <c r="I53" s="182"/>
      <c r="J53" s="182"/>
      <c r="K53" s="181"/>
    </row>
    <row r="54" spans="2:11" ht="15" customHeight="1">
      <c r="B54" s="180"/>
      <c r="C54" s="538" t="s">
        <v>2646</v>
      </c>
      <c r="D54" s="538"/>
      <c r="E54" s="538"/>
      <c r="F54" s="538"/>
      <c r="G54" s="538"/>
      <c r="H54" s="538"/>
      <c r="I54" s="538"/>
      <c r="J54" s="538"/>
      <c r="K54" s="181"/>
    </row>
    <row r="55" spans="2:11" ht="15" customHeight="1">
      <c r="B55" s="180"/>
      <c r="C55" s="538" t="s">
        <v>2647</v>
      </c>
      <c r="D55" s="538"/>
      <c r="E55" s="538"/>
      <c r="F55" s="538"/>
      <c r="G55" s="538"/>
      <c r="H55" s="538"/>
      <c r="I55" s="538"/>
      <c r="J55" s="538"/>
      <c r="K55" s="181"/>
    </row>
    <row r="56" spans="2:11" ht="12.75" customHeight="1">
      <c r="B56" s="180"/>
      <c r="C56" s="183"/>
      <c r="D56" s="183"/>
      <c r="E56" s="183"/>
      <c r="F56" s="183"/>
      <c r="G56" s="183"/>
      <c r="H56" s="183"/>
      <c r="I56" s="183"/>
      <c r="J56" s="183"/>
      <c r="K56" s="181"/>
    </row>
    <row r="57" spans="2:11" ht="15" customHeight="1">
      <c r="B57" s="180"/>
      <c r="C57" s="538" t="s">
        <v>2648</v>
      </c>
      <c r="D57" s="538"/>
      <c r="E57" s="538"/>
      <c r="F57" s="538"/>
      <c r="G57" s="538"/>
      <c r="H57" s="538"/>
      <c r="I57" s="538"/>
      <c r="J57" s="538"/>
      <c r="K57" s="181"/>
    </row>
    <row r="58" spans="2:11" ht="15" customHeight="1">
      <c r="B58" s="180"/>
      <c r="C58" s="185"/>
      <c r="D58" s="538" t="s">
        <v>2649</v>
      </c>
      <c r="E58" s="538"/>
      <c r="F58" s="538"/>
      <c r="G58" s="538"/>
      <c r="H58" s="538"/>
      <c r="I58" s="538"/>
      <c r="J58" s="538"/>
      <c r="K58" s="181"/>
    </row>
    <row r="59" spans="2:11" ht="15" customHeight="1">
      <c r="B59" s="180"/>
      <c r="C59" s="185"/>
      <c r="D59" s="538" t="s">
        <v>2650</v>
      </c>
      <c r="E59" s="538"/>
      <c r="F59" s="538"/>
      <c r="G59" s="538"/>
      <c r="H59" s="538"/>
      <c r="I59" s="538"/>
      <c r="J59" s="538"/>
      <c r="K59" s="181"/>
    </row>
    <row r="60" spans="2:11" ht="15" customHeight="1">
      <c r="B60" s="180"/>
      <c r="C60" s="185"/>
      <c r="D60" s="538" t="s">
        <v>2651</v>
      </c>
      <c r="E60" s="538"/>
      <c r="F60" s="538"/>
      <c r="G60" s="538"/>
      <c r="H60" s="538"/>
      <c r="I60" s="538"/>
      <c r="J60" s="538"/>
      <c r="K60" s="181"/>
    </row>
    <row r="61" spans="2:11" ht="15" customHeight="1">
      <c r="B61" s="180"/>
      <c r="C61" s="185"/>
      <c r="D61" s="538" t="s">
        <v>2652</v>
      </c>
      <c r="E61" s="538"/>
      <c r="F61" s="538"/>
      <c r="G61" s="538"/>
      <c r="H61" s="538"/>
      <c r="I61" s="538"/>
      <c r="J61" s="538"/>
      <c r="K61" s="181"/>
    </row>
    <row r="62" spans="2:11" ht="15" customHeight="1">
      <c r="B62" s="180"/>
      <c r="C62" s="185"/>
      <c r="D62" s="540" t="s">
        <v>2653</v>
      </c>
      <c r="E62" s="540"/>
      <c r="F62" s="540"/>
      <c r="G62" s="540"/>
      <c r="H62" s="540"/>
      <c r="I62" s="540"/>
      <c r="J62" s="540"/>
      <c r="K62" s="181"/>
    </row>
    <row r="63" spans="2:11" ht="15" customHeight="1">
      <c r="B63" s="180"/>
      <c r="C63" s="185"/>
      <c r="D63" s="538" t="s">
        <v>2654</v>
      </c>
      <c r="E63" s="538"/>
      <c r="F63" s="538"/>
      <c r="G63" s="538"/>
      <c r="H63" s="538"/>
      <c r="I63" s="538"/>
      <c r="J63" s="538"/>
      <c r="K63" s="181"/>
    </row>
    <row r="64" spans="2:11" ht="12.75" customHeight="1">
      <c r="B64" s="180"/>
      <c r="C64" s="185"/>
      <c r="D64" s="185"/>
      <c r="E64" s="188"/>
      <c r="F64" s="185"/>
      <c r="G64" s="185"/>
      <c r="H64" s="185"/>
      <c r="I64" s="185"/>
      <c r="J64" s="185"/>
      <c r="K64" s="181"/>
    </row>
    <row r="65" spans="2:11" ht="15" customHeight="1">
      <c r="B65" s="180"/>
      <c r="C65" s="185"/>
      <c r="D65" s="538" t="s">
        <v>2655</v>
      </c>
      <c r="E65" s="538"/>
      <c r="F65" s="538"/>
      <c r="G65" s="538"/>
      <c r="H65" s="538"/>
      <c r="I65" s="538"/>
      <c r="J65" s="538"/>
      <c r="K65" s="181"/>
    </row>
    <row r="66" spans="2:11" ht="15" customHeight="1">
      <c r="B66" s="180"/>
      <c r="C66" s="185"/>
      <c r="D66" s="540" t="s">
        <v>2656</v>
      </c>
      <c r="E66" s="540"/>
      <c r="F66" s="540"/>
      <c r="G66" s="540"/>
      <c r="H66" s="540"/>
      <c r="I66" s="540"/>
      <c r="J66" s="540"/>
      <c r="K66" s="181"/>
    </row>
    <row r="67" spans="2:11" ht="15" customHeight="1">
      <c r="B67" s="180"/>
      <c r="C67" s="185"/>
      <c r="D67" s="538" t="s">
        <v>2657</v>
      </c>
      <c r="E67" s="538"/>
      <c r="F67" s="538"/>
      <c r="G67" s="538"/>
      <c r="H67" s="538"/>
      <c r="I67" s="538"/>
      <c r="J67" s="538"/>
      <c r="K67" s="181"/>
    </row>
    <row r="68" spans="2:11" ht="15" customHeight="1">
      <c r="B68" s="180"/>
      <c r="C68" s="185"/>
      <c r="D68" s="538" t="s">
        <v>2658</v>
      </c>
      <c r="E68" s="538"/>
      <c r="F68" s="538"/>
      <c r="G68" s="538"/>
      <c r="H68" s="538"/>
      <c r="I68" s="538"/>
      <c r="J68" s="538"/>
      <c r="K68" s="181"/>
    </row>
    <row r="69" spans="2:11" ht="15" customHeight="1">
      <c r="B69" s="180"/>
      <c r="C69" s="185"/>
      <c r="D69" s="538" t="s">
        <v>2659</v>
      </c>
      <c r="E69" s="538"/>
      <c r="F69" s="538"/>
      <c r="G69" s="538"/>
      <c r="H69" s="538"/>
      <c r="I69" s="538"/>
      <c r="J69" s="538"/>
      <c r="K69" s="181"/>
    </row>
    <row r="70" spans="2:11" ht="15" customHeight="1">
      <c r="B70" s="180"/>
      <c r="C70" s="185"/>
      <c r="D70" s="538" t="s">
        <v>2660</v>
      </c>
      <c r="E70" s="538"/>
      <c r="F70" s="538"/>
      <c r="G70" s="538"/>
      <c r="H70" s="538"/>
      <c r="I70" s="538"/>
      <c r="J70" s="538"/>
      <c r="K70" s="181"/>
    </row>
    <row r="71" spans="2:11" ht="12.75" customHeight="1">
      <c r="B71" s="189"/>
      <c r="C71" s="190"/>
      <c r="D71" s="190"/>
      <c r="E71" s="190"/>
      <c r="F71" s="190"/>
      <c r="G71" s="190"/>
      <c r="H71" s="190"/>
      <c r="I71" s="190"/>
      <c r="J71" s="190"/>
      <c r="K71" s="191"/>
    </row>
    <row r="72" spans="2:11" ht="18.75" customHeight="1">
      <c r="B72" s="192"/>
      <c r="C72" s="192"/>
      <c r="D72" s="192"/>
      <c r="E72" s="192"/>
      <c r="F72" s="192"/>
      <c r="G72" s="192"/>
      <c r="H72" s="192"/>
      <c r="I72" s="192"/>
      <c r="J72" s="192"/>
      <c r="K72" s="193"/>
    </row>
    <row r="73" spans="2:11" ht="18.75" customHeight="1">
      <c r="B73" s="193"/>
      <c r="C73" s="193"/>
      <c r="D73" s="193"/>
      <c r="E73" s="193"/>
      <c r="F73" s="193"/>
      <c r="G73" s="193"/>
      <c r="H73" s="193"/>
      <c r="I73" s="193"/>
      <c r="J73" s="193"/>
      <c r="K73" s="193"/>
    </row>
    <row r="74" spans="2:11" ht="7.5" customHeight="1">
      <c r="B74" s="194"/>
      <c r="C74" s="195"/>
      <c r="D74" s="195"/>
      <c r="E74" s="195"/>
      <c r="F74" s="195"/>
      <c r="G74" s="195"/>
      <c r="H74" s="195"/>
      <c r="I74" s="195"/>
      <c r="J74" s="195"/>
      <c r="K74" s="196"/>
    </row>
    <row r="75" spans="2:11" ht="45" customHeight="1">
      <c r="B75" s="197"/>
      <c r="C75" s="533" t="s">
        <v>2661</v>
      </c>
      <c r="D75" s="533"/>
      <c r="E75" s="533"/>
      <c r="F75" s="533"/>
      <c r="G75" s="533"/>
      <c r="H75" s="533"/>
      <c r="I75" s="533"/>
      <c r="J75" s="533"/>
      <c r="K75" s="198"/>
    </row>
    <row r="76" spans="2:11" ht="17.25" customHeight="1">
      <c r="B76" s="197"/>
      <c r="C76" s="199" t="s">
        <v>2662</v>
      </c>
      <c r="D76" s="199"/>
      <c r="E76" s="199"/>
      <c r="F76" s="199" t="s">
        <v>2663</v>
      </c>
      <c r="G76" s="200"/>
      <c r="H76" s="199" t="s">
        <v>52</v>
      </c>
      <c r="I76" s="199" t="s">
        <v>55</v>
      </c>
      <c r="J76" s="199" t="s">
        <v>2664</v>
      </c>
      <c r="K76" s="198"/>
    </row>
    <row r="77" spans="2:11" ht="17.25" customHeight="1">
      <c r="B77" s="197"/>
      <c r="C77" s="201" t="s">
        <v>2665</v>
      </c>
      <c r="D77" s="201"/>
      <c r="E77" s="201"/>
      <c r="F77" s="202" t="s">
        <v>2666</v>
      </c>
      <c r="G77" s="203"/>
      <c r="H77" s="201"/>
      <c r="I77" s="201"/>
      <c r="J77" s="201" t="s">
        <v>2667</v>
      </c>
      <c r="K77" s="198"/>
    </row>
    <row r="78" spans="2:11" ht="5.25" customHeight="1">
      <c r="B78" s="197"/>
      <c r="C78" s="204"/>
      <c r="D78" s="204"/>
      <c r="E78" s="204"/>
      <c r="F78" s="204"/>
      <c r="G78" s="205"/>
      <c r="H78" s="204"/>
      <c r="I78" s="204"/>
      <c r="J78" s="204"/>
      <c r="K78" s="198"/>
    </row>
    <row r="79" spans="2:11" ht="15" customHeight="1">
      <c r="B79" s="197"/>
      <c r="C79" s="186" t="s">
        <v>51</v>
      </c>
      <c r="D79" s="206"/>
      <c r="E79" s="206"/>
      <c r="F79" s="207" t="s">
        <v>2668</v>
      </c>
      <c r="G79" s="208"/>
      <c r="H79" s="186" t="s">
        <v>2669</v>
      </c>
      <c r="I79" s="186" t="s">
        <v>2670</v>
      </c>
      <c r="J79" s="186">
        <v>20</v>
      </c>
      <c r="K79" s="198"/>
    </row>
    <row r="80" spans="2:11" ht="15" customHeight="1">
      <c r="B80" s="197"/>
      <c r="C80" s="186" t="s">
        <v>2671</v>
      </c>
      <c r="D80" s="186"/>
      <c r="E80" s="186"/>
      <c r="F80" s="207" t="s">
        <v>2668</v>
      </c>
      <c r="G80" s="208"/>
      <c r="H80" s="186" t="s">
        <v>2672</v>
      </c>
      <c r="I80" s="186" t="s">
        <v>2670</v>
      </c>
      <c r="J80" s="186">
        <v>120</v>
      </c>
      <c r="K80" s="198"/>
    </row>
    <row r="81" spans="2:11" ht="15" customHeight="1">
      <c r="B81" s="209"/>
      <c r="C81" s="186" t="s">
        <v>2673</v>
      </c>
      <c r="D81" s="186"/>
      <c r="E81" s="186"/>
      <c r="F81" s="207" t="s">
        <v>2674</v>
      </c>
      <c r="G81" s="208"/>
      <c r="H81" s="186" t="s">
        <v>2675</v>
      </c>
      <c r="I81" s="186" t="s">
        <v>2670</v>
      </c>
      <c r="J81" s="186">
        <v>50</v>
      </c>
      <c r="K81" s="198"/>
    </row>
    <row r="82" spans="2:11" ht="15" customHeight="1">
      <c r="B82" s="209"/>
      <c r="C82" s="186" t="s">
        <v>2676</v>
      </c>
      <c r="D82" s="186"/>
      <c r="E82" s="186"/>
      <c r="F82" s="207" t="s">
        <v>2668</v>
      </c>
      <c r="G82" s="208"/>
      <c r="H82" s="186" t="s">
        <v>2677</v>
      </c>
      <c r="I82" s="186" t="s">
        <v>2678</v>
      </c>
      <c r="J82" s="186"/>
      <c r="K82" s="198"/>
    </row>
    <row r="83" spans="2:11" ht="15" customHeight="1">
      <c r="B83" s="209"/>
      <c r="C83" s="186" t="s">
        <v>2679</v>
      </c>
      <c r="D83" s="186"/>
      <c r="E83" s="186"/>
      <c r="F83" s="207" t="s">
        <v>2674</v>
      </c>
      <c r="G83" s="186"/>
      <c r="H83" s="186" t="s">
        <v>2680</v>
      </c>
      <c r="I83" s="186" t="s">
        <v>2670</v>
      </c>
      <c r="J83" s="186">
        <v>15</v>
      </c>
      <c r="K83" s="198"/>
    </row>
    <row r="84" spans="2:11" ht="15" customHeight="1">
      <c r="B84" s="209"/>
      <c r="C84" s="186" t="s">
        <v>2681</v>
      </c>
      <c r="D84" s="186"/>
      <c r="E84" s="186"/>
      <c r="F84" s="207" t="s">
        <v>2674</v>
      </c>
      <c r="G84" s="186"/>
      <c r="H84" s="186" t="s">
        <v>2682</v>
      </c>
      <c r="I84" s="186" t="s">
        <v>2670</v>
      </c>
      <c r="J84" s="186">
        <v>15</v>
      </c>
      <c r="K84" s="198"/>
    </row>
    <row r="85" spans="2:11" ht="15" customHeight="1">
      <c r="B85" s="209"/>
      <c r="C85" s="186" t="s">
        <v>2683</v>
      </c>
      <c r="D85" s="186"/>
      <c r="E85" s="186"/>
      <c r="F85" s="207" t="s">
        <v>2674</v>
      </c>
      <c r="G85" s="186"/>
      <c r="H85" s="186" t="s">
        <v>2684</v>
      </c>
      <c r="I85" s="186" t="s">
        <v>2670</v>
      </c>
      <c r="J85" s="186">
        <v>20</v>
      </c>
      <c r="K85" s="198"/>
    </row>
    <row r="86" spans="2:11" ht="15" customHeight="1">
      <c r="B86" s="209"/>
      <c r="C86" s="186" t="s">
        <v>2685</v>
      </c>
      <c r="D86" s="186"/>
      <c r="E86" s="186"/>
      <c r="F86" s="207" t="s">
        <v>2674</v>
      </c>
      <c r="G86" s="186"/>
      <c r="H86" s="186" t="s">
        <v>2686</v>
      </c>
      <c r="I86" s="186" t="s">
        <v>2670</v>
      </c>
      <c r="J86" s="186">
        <v>20</v>
      </c>
      <c r="K86" s="198"/>
    </row>
    <row r="87" spans="2:11" ht="15" customHeight="1">
      <c r="B87" s="209"/>
      <c r="C87" s="186" t="s">
        <v>2687</v>
      </c>
      <c r="D87" s="186"/>
      <c r="E87" s="186"/>
      <c r="F87" s="207" t="s">
        <v>2674</v>
      </c>
      <c r="G87" s="208"/>
      <c r="H87" s="186" t="s">
        <v>2688</v>
      </c>
      <c r="I87" s="186" t="s">
        <v>2670</v>
      </c>
      <c r="J87" s="186">
        <v>50</v>
      </c>
      <c r="K87" s="198"/>
    </row>
    <row r="88" spans="2:11" ht="15" customHeight="1">
      <c r="B88" s="209"/>
      <c r="C88" s="186" t="s">
        <v>2689</v>
      </c>
      <c r="D88" s="186"/>
      <c r="E88" s="186"/>
      <c r="F88" s="207" t="s">
        <v>2674</v>
      </c>
      <c r="G88" s="208"/>
      <c r="H88" s="186" t="s">
        <v>2690</v>
      </c>
      <c r="I88" s="186" t="s">
        <v>2670</v>
      </c>
      <c r="J88" s="186">
        <v>20</v>
      </c>
      <c r="K88" s="198"/>
    </row>
    <row r="89" spans="2:11" ht="15" customHeight="1">
      <c r="B89" s="209"/>
      <c r="C89" s="186" t="s">
        <v>2691</v>
      </c>
      <c r="D89" s="186"/>
      <c r="E89" s="186"/>
      <c r="F89" s="207" t="s">
        <v>2674</v>
      </c>
      <c r="G89" s="208"/>
      <c r="H89" s="186" t="s">
        <v>2692</v>
      </c>
      <c r="I89" s="186" t="s">
        <v>2670</v>
      </c>
      <c r="J89" s="186">
        <v>20</v>
      </c>
      <c r="K89" s="198"/>
    </row>
    <row r="90" spans="2:11" ht="15" customHeight="1">
      <c r="B90" s="209"/>
      <c r="C90" s="186" t="s">
        <v>2693</v>
      </c>
      <c r="D90" s="186"/>
      <c r="E90" s="186"/>
      <c r="F90" s="207" t="s">
        <v>2674</v>
      </c>
      <c r="G90" s="208"/>
      <c r="H90" s="186" t="s">
        <v>2694</v>
      </c>
      <c r="I90" s="186" t="s">
        <v>2670</v>
      </c>
      <c r="J90" s="186">
        <v>50</v>
      </c>
      <c r="K90" s="198"/>
    </row>
    <row r="91" spans="2:11" ht="15" customHeight="1">
      <c r="B91" s="209"/>
      <c r="C91" s="186" t="s">
        <v>2695</v>
      </c>
      <c r="D91" s="186"/>
      <c r="E91" s="186"/>
      <c r="F91" s="207" t="s">
        <v>2674</v>
      </c>
      <c r="G91" s="208"/>
      <c r="H91" s="186" t="s">
        <v>2695</v>
      </c>
      <c r="I91" s="186" t="s">
        <v>2670</v>
      </c>
      <c r="J91" s="186">
        <v>50</v>
      </c>
      <c r="K91" s="198"/>
    </row>
    <row r="92" spans="2:11" ht="15" customHeight="1">
      <c r="B92" s="209"/>
      <c r="C92" s="186" t="s">
        <v>2696</v>
      </c>
      <c r="D92" s="186"/>
      <c r="E92" s="186"/>
      <c r="F92" s="207" t="s">
        <v>2674</v>
      </c>
      <c r="G92" s="208"/>
      <c r="H92" s="186" t="s">
        <v>2697</v>
      </c>
      <c r="I92" s="186" t="s">
        <v>2670</v>
      </c>
      <c r="J92" s="186">
        <v>255</v>
      </c>
      <c r="K92" s="198"/>
    </row>
    <row r="93" spans="2:11" ht="15" customHeight="1">
      <c r="B93" s="209"/>
      <c r="C93" s="186" t="s">
        <v>2698</v>
      </c>
      <c r="D93" s="186"/>
      <c r="E93" s="186"/>
      <c r="F93" s="207" t="s">
        <v>2668</v>
      </c>
      <c r="G93" s="208"/>
      <c r="H93" s="186" t="s">
        <v>2699</v>
      </c>
      <c r="I93" s="186" t="s">
        <v>2700</v>
      </c>
      <c r="J93" s="186"/>
      <c r="K93" s="198"/>
    </row>
    <row r="94" spans="2:11" ht="15" customHeight="1">
      <c r="B94" s="209"/>
      <c r="C94" s="186" t="s">
        <v>2701</v>
      </c>
      <c r="D94" s="186"/>
      <c r="E94" s="186"/>
      <c r="F94" s="207" t="s">
        <v>2668</v>
      </c>
      <c r="G94" s="208"/>
      <c r="H94" s="186" t="s">
        <v>2702</v>
      </c>
      <c r="I94" s="186" t="s">
        <v>2703</v>
      </c>
      <c r="J94" s="186"/>
      <c r="K94" s="198"/>
    </row>
    <row r="95" spans="2:11" ht="15" customHeight="1">
      <c r="B95" s="209"/>
      <c r="C95" s="186" t="s">
        <v>2704</v>
      </c>
      <c r="D95" s="186"/>
      <c r="E95" s="186"/>
      <c r="F95" s="207" t="s">
        <v>2668</v>
      </c>
      <c r="G95" s="208"/>
      <c r="H95" s="186" t="s">
        <v>2704</v>
      </c>
      <c r="I95" s="186" t="s">
        <v>2703</v>
      </c>
      <c r="J95" s="186"/>
      <c r="K95" s="198"/>
    </row>
    <row r="96" spans="2:11" ht="15" customHeight="1">
      <c r="B96" s="209"/>
      <c r="C96" s="186" t="s">
        <v>36</v>
      </c>
      <c r="D96" s="186"/>
      <c r="E96" s="186"/>
      <c r="F96" s="207" t="s">
        <v>2668</v>
      </c>
      <c r="G96" s="208"/>
      <c r="H96" s="186" t="s">
        <v>2705</v>
      </c>
      <c r="I96" s="186" t="s">
        <v>2703</v>
      </c>
      <c r="J96" s="186"/>
      <c r="K96" s="198"/>
    </row>
    <row r="97" spans="2:11" ht="15" customHeight="1">
      <c r="B97" s="209"/>
      <c r="C97" s="186" t="s">
        <v>46</v>
      </c>
      <c r="D97" s="186"/>
      <c r="E97" s="186"/>
      <c r="F97" s="207" t="s">
        <v>2668</v>
      </c>
      <c r="G97" s="208"/>
      <c r="H97" s="186" t="s">
        <v>2706</v>
      </c>
      <c r="I97" s="186" t="s">
        <v>2703</v>
      </c>
      <c r="J97" s="186"/>
      <c r="K97" s="198"/>
    </row>
    <row r="98" spans="2:11" ht="15" customHeight="1">
      <c r="B98" s="210"/>
      <c r="C98" s="211"/>
      <c r="D98" s="211"/>
      <c r="E98" s="211"/>
      <c r="F98" s="211"/>
      <c r="G98" s="211"/>
      <c r="H98" s="211"/>
      <c r="I98" s="211"/>
      <c r="J98" s="211"/>
      <c r="K98" s="212"/>
    </row>
    <row r="99" spans="2:11" ht="18.75" customHeight="1">
      <c r="B99" s="213"/>
      <c r="C99" s="214"/>
      <c r="D99" s="214"/>
      <c r="E99" s="214"/>
      <c r="F99" s="214"/>
      <c r="G99" s="214"/>
      <c r="H99" s="214"/>
      <c r="I99" s="214"/>
      <c r="J99" s="214"/>
      <c r="K99" s="213"/>
    </row>
    <row r="100" spans="2:11" ht="18.75" customHeight="1"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</row>
    <row r="101" spans="2:11" ht="7.5" customHeight="1">
      <c r="B101" s="194"/>
      <c r="C101" s="195"/>
      <c r="D101" s="195"/>
      <c r="E101" s="195"/>
      <c r="F101" s="195"/>
      <c r="G101" s="195"/>
      <c r="H101" s="195"/>
      <c r="I101" s="195"/>
      <c r="J101" s="195"/>
      <c r="K101" s="196"/>
    </row>
    <row r="102" spans="2:11" ht="45" customHeight="1">
      <c r="B102" s="197"/>
      <c r="C102" s="533" t="s">
        <v>2707</v>
      </c>
      <c r="D102" s="533"/>
      <c r="E102" s="533"/>
      <c r="F102" s="533"/>
      <c r="G102" s="533"/>
      <c r="H102" s="533"/>
      <c r="I102" s="533"/>
      <c r="J102" s="533"/>
      <c r="K102" s="198"/>
    </row>
    <row r="103" spans="2:11" ht="17.25" customHeight="1">
      <c r="B103" s="197"/>
      <c r="C103" s="199" t="s">
        <v>2662</v>
      </c>
      <c r="D103" s="199"/>
      <c r="E103" s="199"/>
      <c r="F103" s="199" t="s">
        <v>2663</v>
      </c>
      <c r="G103" s="200"/>
      <c r="H103" s="199" t="s">
        <v>52</v>
      </c>
      <c r="I103" s="199" t="s">
        <v>55</v>
      </c>
      <c r="J103" s="199" t="s">
        <v>2664</v>
      </c>
      <c r="K103" s="198"/>
    </row>
    <row r="104" spans="2:11" ht="17.25" customHeight="1">
      <c r="B104" s="197"/>
      <c r="C104" s="201" t="s">
        <v>2665</v>
      </c>
      <c r="D104" s="201"/>
      <c r="E104" s="201"/>
      <c r="F104" s="202" t="s">
        <v>2666</v>
      </c>
      <c r="G104" s="203"/>
      <c r="H104" s="201"/>
      <c r="I104" s="201"/>
      <c r="J104" s="201" t="s">
        <v>2667</v>
      </c>
      <c r="K104" s="198"/>
    </row>
    <row r="105" spans="2:11" ht="5.25" customHeight="1">
      <c r="B105" s="197"/>
      <c r="C105" s="199"/>
      <c r="D105" s="199"/>
      <c r="E105" s="199"/>
      <c r="F105" s="199"/>
      <c r="G105" s="215"/>
      <c r="H105" s="199"/>
      <c r="I105" s="199"/>
      <c r="J105" s="199"/>
      <c r="K105" s="198"/>
    </row>
    <row r="106" spans="2:11" ht="15" customHeight="1">
      <c r="B106" s="197"/>
      <c r="C106" s="186" t="s">
        <v>51</v>
      </c>
      <c r="D106" s="206"/>
      <c r="E106" s="206"/>
      <c r="F106" s="207" t="s">
        <v>2668</v>
      </c>
      <c r="G106" s="186"/>
      <c r="H106" s="186" t="s">
        <v>2708</v>
      </c>
      <c r="I106" s="186" t="s">
        <v>2670</v>
      </c>
      <c r="J106" s="186">
        <v>20</v>
      </c>
      <c r="K106" s="198"/>
    </row>
    <row r="107" spans="2:11" ht="15" customHeight="1">
      <c r="B107" s="197"/>
      <c r="C107" s="186" t="s">
        <v>2671</v>
      </c>
      <c r="D107" s="186"/>
      <c r="E107" s="186"/>
      <c r="F107" s="207" t="s">
        <v>2668</v>
      </c>
      <c r="G107" s="186"/>
      <c r="H107" s="186" t="s">
        <v>2708</v>
      </c>
      <c r="I107" s="186" t="s">
        <v>2670</v>
      </c>
      <c r="J107" s="186">
        <v>120</v>
      </c>
      <c r="K107" s="198"/>
    </row>
    <row r="108" spans="2:11" ht="15" customHeight="1">
      <c r="B108" s="209"/>
      <c r="C108" s="186" t="s">
        <v>2673</v>
      </c>
      <c r="D108" s="186"/>
      <c r="E108" s="186"/>
      <c r="F108" s="207" t="s">
        <v>2674</v>
      </c>
      <c r="G108" s="186"/>
      <c r="H108" s="186" t="s">
        <v>2708</v>
      </c>
      <c r="I108" s="186" t="s">
        <v>2670</v>
      </c>
      <c r="J108" s="186">
        <v>50</v>
      </c>
      <c r="K108" s="198"/>
    </row>
    <row r="109" spans="2:11" ht="15" customHeight="1">
      <c r="B109" s="209"/>
      <c r="C109" s="186" t="s">
        <v>2676</v>
      </c>
      <c r="D109" s="186"/>
      <c r="E109" s="186"/>
      <c r="F109" s="207" t="s">
        <v>2668</v>
      </c>
      <c r="G109" s="186"/>
      <c r="H109" s="186" t="s">
        <v>2708</v>
      </c>
      <c r="I109" s="186" t="s">
        <v>2678</v>
      </c>
      <c r="J109" s="186"/>
      <c r="K109" s="198"/>
    </row>
    <row r="110" spans="2:11" ht="15" customHeight="1">
      <c r="B110" s="209"/>
      <c r="C110" s="186" t="s">
        <v>2687</v>
      </c>
      <c r="D110" s="186"/>
      <c r="E110" s="186"/>
      <c r="F110" s="207" t="s">
        <v>2674</v>
      </c>
      <c r="G110" s="186"/>
      <c r="H110" s="186" t="s">
        <v>2708</v>
      </c>
      <c r="I110" s="186" t="s">
        <v>2670</v>
      </c>
      <c r="J110" s="186">
        <v>50</v>
      </c>
      <c r="K110" s="198"/>
    </row>
    <row r="111" spans="2:11" ht="15" customHeight="1">
      <c r="B111" s="209"/>
      <c r="C111" s="186" t="s">
        <v>2695</v>
      </c>
      <c r="D111" s="186"/>
      <c r="E111" s="186"/>
      <c r="F111" s="207" t="s">
        <v>2674</v>
      </c>
      <c r="G111" s="186"/>
      <c r="H111" s="186" t="s">
        <v>2708</v>
      </c>
      <c r="I111" s="186" t="s">
        <v>2670</v>
      </c>
      <c r="J111" s="186">
        <v>50</v>
      </c>
      <c r="K111" s="198"/>
    </row>
    <row r="112" spans="2:11" ht="15" customHeight="1">
      <c r="B112" s="209"/>
      <c r="C112" s="186" t="s">
        <v>2693</v>
      </c>
      <c r="D112" s="186"/>
      <c r="E112" s="186"/>
      <c r="F112" s="207" t="s">
        <v>2674</v>
      </c>
      <c r="G112" s="186"/>
      <c r="H112" s="186" t="s">
        <v>2708</v>
      </c>
      <c r="I112" s="186" t="s">
        <v>2670</v>
      </c>
      <c r="J112" s="186">
        <v>50</v>
      </c>
      <c r="K112" s="198"/>
    </row>
    <row r="113" spans="2:11" ht="15" customHeight="1">
      <c r="B113" s="209"/>
      <c r="C113" s="186" t="s">
        <v>51</v>
      </c>
      <c r="D113" s="186"/>
      <c r="E113" s="186"/>
      <c r="F113" s="207" t="s">
        <v>2668</v>
      </c>
      <c r="G113" s="186"/>
      <c r="H113" s="186" t="s">
        <v>2709</v>
      </c>
      <c r="I113" s="186" t="s">
        <v>2670</v>
      </c>
      <c r="J113" s="186">
        <v>20</v>
      </c>
      <c r="K113" s="198"/>
    </row>
    <row r="114" spans="2:11" ht="15" customHeight="1">
      <c r="B114" s="209"/>
      <c r="C114" s="186" t="s">
        <v>2710</v>
      </c>
      <c r="D114" s="186"/>
      <c r="E114" s="186"/>
      <c r="F114" s="207" t="s">
        <v>2668</v>
      </c>
      <c r="G114" s="186"/>
      <c r="H114" s="186" t="s">
        <v>2711</v>
      </c>
      <c r="I114" s="186" t="s">
        <v>2670</v>
      </c>
      <c r="J114" s="186">
        <v>120</v>
      </c>
      <c r="K114" s="198"/>
    </row>
    <row r="115" spans="2:11" ht="15" customHeight="1">
      <c r="B115" s="209"/>
      <c r="C115" s="186" t="s">
        <v>36</v>
      </c>
      <c r="D115" s="186"/>
      <c r="E115" s="186"/>
      <c r="F115" s="207" t="s">
        <v>2668</v>
      </c>
      <c r="G115" s="186"/>
      <c r="H115" s="186" t="s">
        <v>2712</v>
      </c>
      <c r="I115" s="186" t="s">
        <v>2703</v>
      </c>
      <c r="J115" s="186"/>
      <c r="K115" s="198"/>
    </row>
    <row r="116" spans="2:11" ht="15" customHeight="1">
      <c r="B116" s="209"/>
      <c r="C116" s="186" t="s">
        <v>46</v>
      </c>
      <c r="D116" s="186"/>
      <c r="E116" s="186"/>
      <c r="F116" s="207" t="s">
        <v>2668</v>
      </c>
      <c r="G116" s="186"/>
      <c r="H116" s="186" t="s">
        <v>2713</v>
      </c>
      <c r="I116" s="186" t="s">
        <v>2703</v>
      </c>
      <c r="J116" s="186"/>
      <c r="K116" s="198"/>
    </row>
    <row r="117" spans="2:11" ht="15" customHeight="1">
      <c r="B117" s="209"/>
      <c r="C117" s="186" t="s">
        <v>55</v>
      </c>
      <c r="D117" s="186"/>
      <c r="E117" s="186"/>
      <c r="F117" s="207" t="s">
        <v>2668</v>
      </c>
      <c r="G117" s="186"/>
      <c r="H117" s="186" t="s">
        <v>2714</v>
      </c>
      <c r="I117" s="186" t="s">
        <v>2715</v>
      </c>
      <c r="J117" s="186"/>
      <c r="K117" s="198"/>
    </row>
    <row r="118" spans="2:11" ht="15" customHeight="1">
      <c r="B118" s="210"/>
      <c r="C118" s="216"/>
      <c r="D118" s="216"/>
      <c r="E118" s="216"/>
      <c r="F118" s="216"/>
      <c r="G118" s="216"/>
      <c r="H118" s="216"/>
      <c r="I118" s="216"/>
      <c r="J118" s="216"/>
      <c r="K118" s="212"/>
    </row>
    <row r="119" spans="2:11" ht="18.75" customHeight="1">
      <c r="B119" s="217"/>
      <c r="C119" s="218"/>
      <c r="D119" s="218"/>
      <c r="E119" s="218"/>
      <c r="F119" s="219"/>
      <c r="G119" s="218"/>
      <c r="H119" s="218"/>
      <c r="I119" s="218"/>
      <c r="J119" s="218"/>
      <c r="K119" s="217"/>
    </row>
    <row r="120" spans="2:11" ht="18.75" customHeight="1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</row>
    <row r="121" spans="2:11" ht="7.5" customHeight="1">
      <c r="B121" s="220"/>
      <c r="C121" s="221"/>
      <c r="D121" s="221"/>
      <c r="E121" s="221"/>
      <c r="F121" s="221"/>
      <c r="G121" s="221"/>
      <c r="H121" s="221"/>
      <c r="I121" s="221"/>
      <c r="J121" s="221"/>
      <c r="K121" s="222"/>
    </row>
    <row r="122" spans="2:11" ht="45" customHeight="1">
      <c r="B122" s="223"/>
      <c r="C122" s="534" t="s">
        <v>2716</v>
      </c>
      <c r="D122" s="534"/>
      <c r="E122" s="534"/>
      <c r="F122" s="534"/>
      <c r="G122" s="534"/>
      <c r="H122" s="534"/>
      <c r="I122" s="534"/>
      <c r="J122" s="534"/>
      <c r="K122" s="224"/>
    </row>
    <row r="123" spans="2:11" ht="17.25" customHeight="1">
      <c r="B123" s="225"/>
      <c r="C123" s="199" t="s">
        <v>2662</v>
      </c>
      <c r="D123" s="199"/>
      <c r="E123" s="199"/>
      <c r="F123" s="199" t="s">
        <v>2663</v>
      </c>
      <c r="G123" s="200"/>
      <c r="H123" s="199" t="s">
        <v>52</v>
      </c>
      <c r="I123" s="199" t="s">
        <v>55</v>
      </c>
      <c r="J123" s="199" t="s">
        <v>2664</v>
      </c>
      <c r="K123" s="226"/>
    </row>
    <row r="124" spans="2:11" ht="17.25" customHeight="1">
      <c r="B124" s="225"/>
      <c r="C124" s="201" t="s">
        <v>2665</v>
      </c>
      <c r="D124" s="201"/>
      <c r="E124" s="201"/>
      <c r="F124" s="202" t="s">
        <v>2666</v>
      </c>
      <c r="G124" s="203"/>
      <c r="H124" s="201"/>
      <c r="I124" s="201"/>
      <c r="J124" s="201" t="s">
        <v>2667</v>
      </c>
      <c r="K124" s="226"/>
    </row>
    <row r="125" spans="2:11" ht="5.25" customHeight="1">
      <c r="B125" s="227"/>
      <c r="C125" s="204"/>
      <c r="D125" s="204"/>
      <c r="E125" s="204"/>
      <c r="F125" s="204"/>
      <c r="G125" s="228"/>
      <c r="H125" s="204"/>
      <c r="I125" s="204"/>
      <c r="J125" s="204"/>
      <c r="K125" s="229"/>
    </row>
    <row r="126" spans="2:11" ht="15" customHeight="1">
      <c r="B126" s="227"/>
      <c r="C126" s="186" t="s">
        <v>2671</v>
      </c>
      <c r="D126" s="206"/>
      <c r="E126" s="206"/>
      <c r="F126" s="207" t="s">
        <v>2668</v>
      </c>
      <c r="G126" s="186"/>
      <c r="H126" s="186" t="s">
        <v>2708</v>
      </c>
      <c r="I126" s="186" t="s">
        <v>2670</v>
      </c>
      <c r="J126" s="186">
        <v>120</v>
      </c>
      <c r="K126" s="230"/>
    </row>
    <row r="127" spans="2:11" ht="15" customHeight="1">
      <c r="B127" s="227"/>
      <c r="C127" s="186" t="s">
        <v>2717</v>
      </c>
      <c r="D127" s="186"/>
      <c r="E127" s="186"/>
      <c r="F127" s="207" t="s">
        <v>2668</v>
      </c>
      <c r="G127" s="186"/>
      <c r="H127" s="186" t="s">
        <v>2718</v>
      </c>
      <c r="I127" s="186" t="s">
        <v>2670</v>
      </c>
      <c r="J127" s="186" t="s">
        <v>2719</v>
      </c>
      <c r="K127" s="230"/>
    </row>
    <row r="128" spans="2:11" ht="15" customHeight="1">
      <c r="B128" s="227"/>
      <c r="C128" s="186" t="s">
        <v>2616</v>
      </c>
      <c r="D128" s="186"/>
      <c r="E128" s="186"/>
      <c r="F128" s="207" t="s">
        <v>2668</v>
      </c>
      <c r="G128" s="186"/>
      <c r="H128" s="186" t="s">
        <v>2720</v>
      </c>
      <c r="I128" s="186" t="s">
        <v>2670</v>
      </c>
      <c r="J128" s="186" t="s">
        <v>2719</v>
      </c>
      <c r="K128" s="230"/>
    </row>
    <row r="129" spans="2:11" ht="15" customHeight="1">
      <c r="B129" s="227"/>
      <c r="C129" s="186" t="s">
        <v>2679</v>
      </c>
      <c r="D129" s="186"/>
      <c r="E129" s="186"/>
      <c r="F129" s="207" t="s">
        <v>2674</v>
      </c>
      <c r="G129" s="186"/>
      <c r="H129" s="186" t="s">
        <v>2680</v>
      </c>
      <c r="I129" s="186" t="s">
        <v>2670</v>
      </c>
      <c r="J129" s="186">
        <v>15</v>
      </c>
      <c r="K129" s="230"/>
    </row>
    <row r="130" spans="2:11" ht="15" customHeight="1">
      <c r="B130" s="227"/>
      <c r="C130" s="186" t="s">
        <v>2681</v>
      </c>
      <c r="D130" s="186"/>
      <c r="E130" s="186"/>
      <c r="F130" s="207" t="s">
        <v>2674</v>
      </c>
      <c r="G130" s="186"/>
      <c r="H130" s="186" t="s">
        <v>2682</v>
      </c>
      <c r="I130" s="186" t="s">
        <v>2670</v>
      </c>
      <c r="J130" s="186">
        <v>15</v>
      </c>
      <c r="K130" s="230"/>
    </row>
    <row r="131" spans="2:11" ht="15" customHeight="1">
      <c r="B131" s="227"/>
      <c r="C131" s="186" t="s">
        <v>2683</v>
      </c>
      <c r="D131" s="186"/>
      <c r="E131" s="186"/>
      <c r="F131" s="207" t="s">
        <v>2674</v>
      </c>
      <c r="G131" s="186"/>
      <c r="H131" s="186" t="s">
        <v>2684</v>
      </c>
      <c r="I131" s="186" t="s">
        <v>2670</v>
      </c>
      <c r="J131" s="186">
        <v>20</v>
      </c>
      <c r="K131" s="230"/>
    </row>
    <row r="132" spans="2:11" ht="15" customHeight="1">
      <c r="B132" s="227"/>
      <c r="C132" s="186" t="s">
        <v>2685</v>
      </c>
      <c r="D132" s="186"/>
      <c r="E132" s="186"/>
      <c r="F132" s="207" t="s">
        <v>2674</v>
      </c>
      <c r="G132" s="186"/>
      <c r="H132" s="186" t="s">
        <v>2686</v>
      </c>
      <c r="I132" s="186" t="s">
        <v>2670</v>
      </c>
      <c r="J132" s="186">
        <v>20</v>
      </c>
      <c r="K132" s="230"/>
    </row>
    <row r="133" spans="2:11" ht="15" customHeight="1">
      <c r="B133" s="227"/>
      <c r="C133" s="186" t="s">
        <v>2673</v>
      </c>
      <c r="D133" s="186"/>
      <c r="E133" s="186"/>
      <c r="F133" s="207" t="s">
        <v>2674</v>
      </c>
      <c r="G133" s="186"/>
      <c r="H133" s="186" t="s">
        <v>2708</v>
      </c>
      <c r="I133" s="186" t="s">
        <v>2670</v>
      </c>
      <c r="J133" s="186">
        <v>50</v>
      </c>
      <c r="K133" s="230"/>
    </row>
    <row r="134" spans="2:11" ht="15" customHeight="1">
      <c r="B134" s="227"/>
      <c r="C134" s="186" t="s">
        <v>2687</v>
      </c>
      <c r="D134" s="186"/>
      <c r="E134" s="186"/>
      <c r="F134" s="207" t="s">
        <v>2674</v>
      </c>
      <c r="G134" s="186"/>
      <c r="H134" s="186" t="s">
        <v>2708</v>
      </c>
      <c r="I134" s="186" t="s">
        <v>2670</v>
      </c>
      <c r="J134" s="186">
        <v>50</v>
      </c>
      <c r="K134" s="230"/>
    </row>
    <row r="135" spans="2:11" ht="15" customHeight="1">
      <c r="B135" s="227"/>
      <c r="C135" s="186" t="s">
        <v>2693</v>
      </c>
      <c r="D135" s="186"/>
      <c r="E135" s="186"/>
      <c r="F135" s="207" t="s">
        <v>2674</v>
      </c>
      <c r="G135" s="186"/>
      <c r="H135" s="186" t="s">
        <v>2708</v>
      </c>
      <c r="I135" s="186" t="s">
        <v>2670</v>
      </c>
      <c r="J135" s="186">
        <v>50</v>
      </c>
      <c r="K135" s="230"/>
    </row>
    <row r="136" spans="2:11" ht="15" customHeight="1">
      <c r="B136" s="227"/>
      <c r="C136" s="186" t="s">
        <v>2695</v>
      </c>
      <c r="D136" s="186"/>
      <c r="E136" s="186"/>
      <c r="F136" s="207" t="s">
        <v>2674</v>
      </c>
      <c r="G136" s="186"/>
      <c r="H136" s="186" t="s">
        <v>2708</v>
      </c>
      <c r="I136" s="186" t="s">
        <v>2670</v>
      </c>
      <c r="J136" s="186">
        <v>50</v>
      </c>
      <c r="K136" s="230"/>
    </row>
    <row r="137" spans="2:11" ht="15" customHeight="1">
      <c r="B137" s="227"/>
      <c r="C137" s="186" t="s">
        <v>2696</v>
      </c>
      <c r="D137" s="186"/>
      <c r="E137" s="186"/>
      <c r="F137" s="207" t="s">
        <v>2674</v>
      </c>
      <c r="G137" s="186"/>
      <c r="H137" s="186" t="s">
        <v>2721</v>
      </c>
      <c r="I137" s="186" t="s">
        <v>2670</v>
      </c>
      <c r="J137" s="186">
        <v>255</v>
      </c>
      <c r="K137" s="230"/>
    </row>
    <row r="138" spans="2:11" ht="15" customHeight="1">
      <c r="B138" s="227"/>
      <c r="C138" s="186" t="s">
        <v>2698</v>
      </c>
      <c r="D138" s="186"/>
      <c r="E138" s="186"/>
      <c r="F138" s="207" t="s">
        <v>2668</v>
      </c>
      <c r="G138" s="186"/>
      <c r="H138" s="186" t="s">
        <v>2722</v>
      </c>
      <c r="I138" s="186" t="s">
        <v>2700</v>
      </c>
      <c r="J138" s="186"/>
      <c r="K138" s="230"/>
    </row>
    <row r="139" spans="2:11" ht="15" customHeight="1">
      <c r="B139" s="227"/>
      <c r="C139" s="186" t="s">
        <v>2701</v>
      </c>
      <c r="D139" s="186"/>
      <c r="E139" s="186"/>
      <c r="F139" s="207" t="s">
        <v>2668</v>
      </c>
      <c r="G139" s="186"/>
      <c r="H139" s="186" t="s">
        <v>2723</v>
      </c>
      <c r="I139" s="186" t="s">
        <v>2703</v>
      </c>
      <c r="J139" s="186"/>
      <c r="K139" s="230"/>
    </row>
    <row r="140" spans="2:11" ht="15" customHeight="1">
      <c r="B140" s="227"/>
      <c r="C140" s="186" t="s">
        <v>2704</v>
      </c>
      <c r="D140" s="186"/>
      <c r="E140" s="186"/>
      <c r="F140" s="207" t="s">
        <v>2668</v>
      </c>
      <c r="G140" s="186"/>
      <c r="H140" s="186" t="s">
        <v>2704</v>
      </c>
      <c r="I140" s="186" t="s">
        <v>2703</v>
      </c>
      <c r="J140" s="186"/>
      <c r="K140" s="230"/>
    </row>
    <row r="141" spans="2:11" ht="15" customHeight="1">
      <c r="B141" s="227"/>
      <c r="C141" s="186" t="s">
        <v>36</v>
      </c>
      <c r="D141" s="186"/>
      <c r="E141" s="186"/>
      <c r="F141" s="207" t="s">
        <v>2668</v>
      </c>
      <c r="G141" s="186"/>
      <c r="H141" s="186" t="s">
        <v>2724</v>
      </c>
      <c r="I141" s="186" t="s">
        <v>2703</v>
      </c>
      <c r="J141" s="186"/>
      <c r="K141" s="230"/>
    </row>
    <row r="142" spans="2:11" ht="15" customHeight="1">
      <c r="B142" s="227"/>
      <c r="C142" s="186" t="s">
        <v>2725</v>
      </c>
      <c r="D142" s="186"/>
      <c r="E142" s="186"/>
      <c r="F142" s="207" t="s">
        <v>2668</v>
      </c>
      <c r="G142" s="186"/>
      <c r="H142" s="186" t="s">
        <v>2726</v>
      </c>
      <c r="I142" s="186" t="s">
        <v>2703</v>
      </c>
      <c r="J142" s="186"/>
      <c r="K142" s="230"/>
    </row>
    <row r="143" spans="2:11" ht="15" customHeight="1">
      <c r="B143" s="231"/>
      <c r="C143" s="232"/>
      <c r="D143" s="232"/>
      <c r="E143" s="232"/>
      <c r="F143" s="232"/>
      <c r="G143" s="232"/>
      <c r="H143" s="232"/>
      <c r="I143" s="232"/>
      <c r="J143" s="232"/>
      <c r="K143" s="233"/>
    </row>
    <row r="144" spans="2:11" ht="18.75" customHeight="1">
      <c r="B144" s="218"/>
      <c r="C144" s="218"/>
      <c r="D144" s="218"/>
      <c r="E144" s="218"/>
      <c r="F144" s="219"/>
      <c r="G144" s="218"/>
      <c r="H144" s="218"/>
      <c r="I144" s="218"/>
      <c r="J144" s="218"/>
      <c r="K144" s="218"/>
    </row>
    <row r="145" spans="2:11" ht="18.75" customHeight="1">
      <c r="B145" s="193"/>
      <c r="C145" s="193"/>
      <c r="D145" s="193"/>
      <c r="E145" s="193"/>
      <c r="F145" s="193"/>
      <c r="G145" s="193"/>
      <c r="H145" s="193"/>
      <c r="I145" s="193"/>
      <c r="J145" s="193"/>
      <c r="K145" s="193"/>
    </row>
    <row r="146" spans="2:11" ht="7.5" customHeight="1">
      <c r="B146" s="194"/>
      <c r="C146" s="195"/>
      <c r="D146" s="195"/>
      <c r="E146" s="195"/>
      <c r="F146" s="195"/>
      <c r="G146" s="195"/>
      <c r="H146" s="195"/>
      <c r="I146" s="195"/>
      <c r="J146" s="195"/>
      <c r="K146" s="196"/>
    </row>
    <row r="147" spans="2:11" ht="45" customHeight="1">
      <c r="B147" s="197"/>
      <c r="C147" s="533" t="s">
        <v>2727</v>
      </c>
      <c r="D147" s="533"/>
      <c r="E147" s="533"/>
      <c r="F147" s="533"/>
      <c r="G147" s="533"/>
      <c r="H147" s="533"/>
      <c r="I147" s="533"/>
      <c r="J147" s="533"/>
      <c r="K147" s="198"/>
    </row>
    <row r="148" spans="2:11" ht="17.25" customHeight="1">
      <c r="B148" s="197"/>
      <c r="C148" s="199" t="s">
        <v>2662</v>
      </c>
      <c r="D148" s="199"/>
      <c r="E148" s="199"/>
      <c r="F148" s="199" t="s">
        <v>2663</v>
      </c>
      <c r="G148" s="200"/>
      <c r="H148" s="199" t="s">
        <v>52</v>
      </c>
      <c r="I148" s="199" t="s">
        <v>55</v>
      </c>
      <c r="J148" s="199" t="s">
        <v>2664</v>
      </c>
      <c r="K148" s="198"/>
    </row>
    <row r="149" spans="2:11" ht="17.25" customHeight="1">
      <c r="B149" s="197"/>
      <c r="C149" s="201" t="s">
        <v>2665</v>
      </c>
      <c r="D149" s="201"/>
      <c r="E149" s="201"/>
      <c r="F149" s="202" t="s">
        <v>2666</v>
      </c>
      <c r="G149" s="203"/>
      <c r="H149" s="201"/>
      <c r="I149" s="201"/>
      <c r="J149" s="201" t="s">
        <v>2667</v>
      </c>
      <c r="K149" s="198"/>
    </row>
    <row r="150" spans="2:11" ht="5.25" customHeight="1">
      <c r="B150" s="209"/>
      <c r="C150" s="204"/>
      <c r="D150" s="204"/>
      <c r="E150" s="204"/>
      <c r="F150" s="204"/>
      <c r="G150" s="205"/>
      <c r="H150" s="204"/>
      <c r="I150" s="204"/>
      <c r="J150" s="204"/>
      <c r="K150" s="230"/>
    </row>
    <row r="151" spans="2:11" ht="15" customHeight="1">
      <c r="B151" s="209"/>
      <c r="C151" s="234" t="s">
        <v>2671</v>
      </c>
      <c r="D151" s="186"/>
      <c r="E151" s="186"/>
      <c r="F151" s="235" t="s">
        <v>2668</v>
      </c>
      <c r="G151" s="186"/>
      <c r="H151" s="234" t="s">
        <v>2708</v>
      </c>
      <c r="I151" s="234" t="s">
        <v>2670</v>
      </c>
      <c r="J151" s="234">
        <v>120</v>
      </c>
      <c r="K151" s="230"/>
    </row>
    <row r="152" spans="2:11" ht="15" customHeight="1">
      <c r="B152" s="209"/>
      <c r="C152" s="234" t="s">
        <v>2717</v>
      </c>
      <c r="D152" s="186"/>
      <c r="E152" s="186"/>
      <c r="F152" s="235" t="s">
        <v>2668</v>
      </c>
      <c r="G152" s="186"/>
      <c r="H152" s="234" t="s">
        <v>2728</v>
      </c>
      <c r="I152" s="234" t="s">
        <v>2670</v>
      </c>
      <c r="J152" s="234" t="s">
        <v>2719</v>
      </c>
      <c r="K152" s="230"/>
    </row>
    <row r="153" spans="2:11" ht="15" customHeight="1">
      <c r="B153" s="209"/>
      <c r="C153" s="234" t="s">
        <v>2616</v>
      </c>
      <c r="D153" s="186"/>
      <c r="E153" s="186"/>
      <c r="F153" s="235" t="s">
        <v>2668</v>
      </c>
      <c r="G153" s="186"/>
      <c r="H153" s="234" t="s">
        <v>2729</v>
      </c>
      <c r="I153" s="234" t="s">
        <v>2670</v>
      </c>
      <c r="J153" s="234" t="s">
        <v>2719</v>
      </c>
      <c r="K153" s="230"/>
    </row>
    <row r="154" spans="2:11" ht="15" customHeight="1">
      <c r="B154" s="209"/>
      <c r="C154" s="234" t="s">
        <v>2673</v>
      </c>
      <c r="D154" s="186"/>
      <c r="E154" s="186"/>
      <c r="F154" s="235" t="s">
        <v>2674</v>
      </c>
      <c r="G154" s="186"/>
      <c r="H154" s="234" t="s">
        <v>2708</v>
      </c>
      <c r="I154" s="234" t="s">
        <v>2670</v>
      </c>
      <c r="J154" s="234">
        <v>50</v>
      </c>
      <c r="K154" s="230"/>
    </row>
    <row r="155" spans="2:11" ht="15" customHeight="1">
      <c r="B155" s="209"/>
      <c r="C155" s="234" t="s">
        <v>2676</v>
      </c>
      <c r="D155" s="186"/>
      <c r="E155" s="186"/>
      <c r="F155" s="235" t="s">
        <v>2668</v>
      </c>
      <c r="G155" s="186"/>
      <c r="H155" s="234" t="s">
        <v>2708</v>
      </c>
      <c r="I155" s="234" t="s">
        <v>2678</v>
      </c>
      <c r="J155" s="234"/>
      <c r="K155" s="230"/>
    </row>
    <row r="156" spans="2:11" ht="15" customHeight="1">
      <c r="B156" s="209"/>
      <c r="C156" s="234" t="s">
        <v>2687</v>
      </c>
      <c r="D156" s="186"/>
      <c r="E156" s="186"/>
      <c r="F156" s="235" t="s">
        <v>2674</v>
      </c>
      <c r="G156" s="186"/>
      <c r="H156" s="234" t="s">
        <v>2708</v>
      </c>
      <c r="I156" s="234" t="s">
        <v>2670</v>
      </c>
      <c r="J156" s="234">
        <v>50</v>
      </c>
      <c r="K156" s="230"/>
    </row>
    <row r="157" spans="2:11" ht="15" customHeight="1">
      <c r="B157" s="209"/>
      <c r="C157" s="234" t="s">
        <v>2695</v>
      </c>
      <c r="D157" s="186"/>
      <c r="E157" s="186"/>
      <c r="F157" s="235" t="s">
        <v>2674</v>
      </c>
      <c r="G157" s="186"/>
      <c r="H157" s="234" t="s">
        <v>2708</v>
      </c>
      <c r="I157" s="234" t="s">
        <v>2670</v>
      </c>
      <c r="J157" s="234">
        <v>50</v>
      </c>
      <c r="K157" s="230"/>
    </row>
    <row r="158" spans="2:11" ht="15" customHeight="1">
      <c r="B158" s="209"/>
      <c r="C158" s="234" t="s">
        <v>2693</v>
      </c>
      <c r="D158" s="186"/>
      <c r="E158" s="186"/>
      <c r="F158" s="235" t="s">
        <v>2674</v>
      </c>
      <c r="G158" s="186"/>
      <c r="H158" s="234" t="s">
        <v>2708</v>
      </c>
      <c r="I158" s="234" t="s">
        <v>2670</v>
      </c>
      <c r="J158" s="234">
        <v>50</v>
      </c>
      <c r="K158" s="230"/>
    </row>
    <row r="159" spans="2:11" ht="15" customHeight="1">
      <c r="B159" s="209"/>
      <c r="C159" s="234" t="s">
        <v>91</v>
      </c>
      <c r="D159" s="186"/>
      <c r="E159" s="186"/>
      <c r="F159" s="235" t="s">
        <v>2668</v>
      </c>
      <c r="G159" s="186"/>
      <c r="H159" s="234" t="s">
        <v>2730</v>
      </c>
      <c r="I159" s="234" t="s">
        <v>2670</v>
      </c>
      <c r="J159" s="234" t="s">
        <v>2731</v>
      </c>
      <c r="K159" s="230"/>
    </row>
    <row r="160" spans="2:11" ht="15" customHeight="1">
      <c r="B160" s="209"/>
      <c r="C160" s="234" t="s">
        <v>2732</v>
      </c>
      <c r="D160" s="186"/>
      <c r="E160" s="186"/>
      <c r="F160" s="235" t="s">
        <v>2668</v>
      </c>
      <c r="G160" s="186"/>
      <c r="H160" s="234" t="s">
        <v>2733</v>
      </c>
      <c r="I160" s="234" t="s">
        <v>2703</v>
      </c>
      <c r="J160" s="234"/>
      <c r="K160" s="230"/>
    </row>
    <row r="161" spans="2:11" ht="15" customHeight="1">
      <c r="B161" s="236"/>
      <c r="C161" s="216"/>
      <c r="D161" s="216"/>
      <c r="E161" s="216"/>
      <c r="F161" s="216"/>
      <c r="G161" s="216"/>
      <c r="H161" s="216"/>
      <c r="I161" s="216"/>
      <c r="J161" s="216"/>
      <c r="K161" s="237"/>
    </row>
    <row r="162" spans="2:11" ht="18.75" customHeight="1">
      <c r="B162" s="218"/>
      <c r="C162" s="228"/>
      <c r="D162" s="228"/>
      <c r="E162" s="228"/>
      <c r="F162" s="238"/>
      <c r="G162" s="228"/>
      <c r="H162" s="228"/>
      <c r="I162" s="228"/>
      <c r="J162" s="228"/>
      <c r="K162" s="218"/>
    </row>
    <row r="163" spans="2:11" ht="18.75" customHeight="1">
      <c r="B163" s="193"/>
      <c r="C163" s="193"/>
      <c r="D163" s="193"/>
      <c r="E163" s="193"/>
      <c r="F163" s="193"/>
      <c r="G163" s="193"/>
      <c r="H163" s="193"/>
      <c r="I163" s="193"/>
      <c r="J163" s="193"/>
      <c r="K163" s="193"/>
    </row>
    <row r="164" spans="2:11" ht="7.5" customHeight="1">
      <c r="B164" s="175"/>
      <c r="C164" s="176"/>
      <c r="D164" s="176"/>
      <c r="E164" s="176"/>
      <c r="F164" s="176"/>
      <c r="G164" s="176"/>
      <c r="H164" s="176"/>
      <c r="I164" s="176"/>
      <c r="J164" s="176"/>
      <c r="K164" s="177"/>
    </row>
    <row r="165" spans="2:11" ht="45" customHeight="1">
      <c r="B165" s="178"/>
      <c r="C165" s="534" t="s">
        <v>2734</v>
      </c>
      <c r="D165" s="534"/>
      <c r="E165" s="534"/>
      <c r="F165" s="534"/>
      <c r="G165" s="534"/>
      <c r="H165" s="534"/>
      <c r="I165" s="534"/>
      <c r="J165" s="534"/>
      <c r="K165" s="179"/>
    </row>
    <row r="166" spans="2:11" ht="17.25" customHeight="1">
      <c r="B166" s="178"/>
      <c r="C166" s="199" t="s">
        <v>2662</v>
      </c>
      <c r="D166" s="199"/>
      <c r="E166" s="199"/>
      <c r="F166" s="199" t="s">
        <v>2663</v>
      </c>
      <c r="G166" s="239"/>
      <c r="H166" s="240" t="s">
        <v>52</v>
      </c>
      <c r="I166" s="240" t="s">
        <v>55</v>
      </c>
      <c r="J166" s="199" t="s">
        <v>2664</v>
      </c>
      <c r="K166" s="179"/>
    </row>
    <row r="167" spans="2:11" ht="17.25" customHeight="1">
      <c r="B167" s="180"/>
      <c r="C167" s="201" t="s">
        <v>2665</v>
      </c>
      <c r="D167" s="201"/>
      <c r="E167" s="201"/>
      <c r="F167" s="202" t="s">
        <v>2666</v>
      </c>
      <c r="G167" s="241"/>
      <c r="H167" s="242"/>
      <c r="I167" s="242"/>
      <c r="J167" s="201" t="s">
        <v>2667</v>
      </c>
      <c r="K167" s="181"/>
    </row>
    <row r="168" spans="2:11" ht="5.25" customHeight="1">
      <c r="B168" s="209"/>
      <c r="C168" s="204"/>
      <c r="D168" s="204"/>
      <c r="E168" s="204"/>
      <c r="F168" s="204"/>
      <c r="G168" s="205"/>
      <c r="H168" s="204"/>
      <c r="I168" s="204"/>
      <c r="J168" s="204"/>
      <c r="K168" s="230"/>
    </row>
    <row r="169" spans="2:11" ht="15" customHeight="1">
      <c r="B169" s="209"/>
      <c r="C169" s="186" t="s">
        <v>2671</v>
      </c>
      <c r="D169" s="186"/>
      <c r="E169" s="186"/>
      <c r="F169" s="207" t="s">
        <v>2668</v>
      </c>
      <c r="G169" s="186"/>
      <c r="H169" s="186" t="s">
        <v>2708</v>
      </c>
      <c r="I169" s="186" t="s">
        <v>2670</v>
      </c>
      <c r="J169" s="186">
        <v>120</v>
      </c>
      <c r="K169" s="230"/>
    </row>
    <row r="170" spans="2:11" ht="15" customHeight="1">
      <c r="B170" s="209"/>
      <c r="C170" s="186" t="s">
        <v>2717</v>
      </c>
      <c r="D170" s="186"/>
      <c r="E170" s="186"/>
      <c r="F170" s="207" t="s">
        <v>2668</v>
      </c>
      <c r="G170" s="186"/>
      <c r="H170" s="186" t="s">
        <v>2718</v>
      </c>
      <c r="I170" s="186" t="s">
        <v>2670</v>
      </c>
      <c r="J170" s="186" t="s">
        <v>2719</v>
      </c>
      <c r="K170" s="230"/>
    </row>
    <row r="171" spans="2:11" ht="15" customHeight="1">
      <c r="B171" s="209"/>
      <c r="C171" s="186" t="s">
        <v>2616</v>
      </c>
      <c r="D171" s="186"/>
      <c r="E171" s="186"/>
      <c r="F171" s="207" t="s">
        <v>2668</v>
      </c>
      <c r="G171" s="186"/>
      <c r="H171" s="186" t="s">
        <v>2735</v>
      </c>
      <c r="I171" s="186" t="s">
        <v>2670</v>
      </c>
      <c r="J171" s="186" t="s">
        <v>2719</v>
      </c>
      <c r="K171" s="230"/>
    </row>
    <row r="172" spans="2:11" ht="15" customHeight="1">
      <c r="B172" s="209"/>
      <c r="C172" s="186" t="s">
        <v>2673</v>
      </c>
      <c r="D172" s="186"/>
      <c r="E172" s="186"/>
      <c r="F172" s="207" t="s">
        <v>2674</v>
      </c>
      <c r="G172" s="186"/>
      <c r="H172" s="186" t="s">
        <v>2735</v>
      </c>
      <c r="I172" s="186" t="s">
        <v>2670</v>
      </c>
      <c r="J172" s="186">
        <v>50</v>
      </c>
      <c r="K172" s="230"/>
    </row>
    <row r="173" spans="2:11" ht="15" customHeight="1">
      <c r="B173" s="209"/>
      <c r="C173" s="186" t="s">
        <v>2676</v>
      </c>
      <c r="D173" s="186"/>
      <c r="E173" s="186"/>
      <c r="F173" s="207" t="s">
        <v>2668</v>
      </c>
      <c r="G173" s="186"/>
      <c r="H173" s="186" t="s">
        <v>2735</v>
      </c>
      <c r="I173" s="186" t="s">
        <v>2678</v>
      </c>
      <c r="J173" s="186"/>
      <c r="K173" s="230"/>
    </row>
    <row r="174" spans="2:11" ht="15" customHeight="1">
      <c r="B174" s="209"/>
      <c r="C174" s="186" t="s">
        <v>2687</v>
      </c>
      <c r="D174" s="186"/>
      <c r="E174" s="186"/>
      <c r="F174" s="207" t="s">
        <v>2674</v>
      </c>
      <c r="G174" s="186"/>
      <c r="H174" s="186" t="s">
        <v>2735</v>
      </c>
      <c r="I174" s="186" t="s">
        <v>2670</v>
      </c>
      <c r="J174" s="186">
        <v>50</v>
      </c>
      <c r="K174" s="230"/>
    </row>
    <row r="175" spans="2:11" ht="15" customHeight="1">
      <c r="B175" s="209"/>
      <c r="C175" s="186" t="s">
        <v>2695</v>
      </c>
      <c r="D175" s="186"/>
      <c r="E175" s="186"/>
      <c r="F175" s="207" t="s">
        <v>2674</v>
      </c>
      <c r="G175" s="186"/>
      <c r="H175" s="186" t="s">
        <v>2735</v>
      </c>
      <c r="I175" s="186" t="s">
        <v>2670</v>
      </c>
      <c r="J175" s="186">
        <v>50</v>
      </c>
      <c r="K175" s="230"/>
    </row>
    <row r="176" spans="2:11" ht="15" customHeight="1">
      <c r="B176" s="209"/>
      <c r="C176" s="186" t="s">
        <v>2693</v>
      </c>
      <c r="D176" s="186"/>
      <c r="E176" s="186"/>
      <c r="F176" s="207" t="s">
        <v>2674</v>
      </c>
      <c r="G176" s="186"/>
      <c r="H176" s="186" t="s">
        <v>2735</v>
      </c>
      <c r="I176" s="186" t="s">
        <v>2670</v>
      </c>
      <c r="J176" s="186">
        <v>50</v>
      </c>
      <c r="K176" s="230"/>
    </row>
    <row r="177" spans="2:11" ht="15" customHeight="1">
      <c r="B177" s="209"/>
      <c r="C177" s="186" t="s">
        <v>112</v>
      </c>
      <c r="D177" s="186"/>
      <c r="E177" s="186"/>
      <c r="F177" s="207" t="s">
        <v>2668</v>
      </c>
      <c r="G177" s="186"/>
      <c r="H177" s="186" t="s">
        <v>2736</v>
      </c>
      <c r="I177" s="186" t="s">
        <v>2737</v>
      </c>
      <c r="J177" s="186"/>
      <c r="K177" s="230"/>
    </row>
    <row r="178" spans="2:11" ht="15" customHeight="1">
      <c r="B178" s="209"/>
      <c r="C178" s="186" t="s">
        <v>55</v>
      </c>
      <c r="D178" s="186"/>
      <c r="E178" s="186"/>
      <c r="F178" s="207" t="s">
        <v>2668</v>
      </c>
      <c r="G178" s="186"/>
      <c r="H178" s="186" t="s">
        <v>2738</v>
      </c>
      <c r="I178" s="186" t="s">
        <v>2739</v>
      </c>
      <c r="J178" s="186">
        <v>1</v>
      </c>
      <c r="K178" s="230"/>
    </row>
    <row r="179" spans="2:11" ht="15" customHeight="1">
      <c r="B179" s="209"/>
      <c r="C179" s="186" t="s">
        <v>51</v>
      </c>
      <c r="D179" s="186"/>
      <c r="E179" s="186"/>
      <c r="F179" s="207" t="s">
        <v>2668</v>
      </c>
      <c r="G179" s="186"/>
      <c r="H179" s="186" t="s">
        <v>2740</v>
      </c>
      <c r="I179" s="186" t="s">
        <v>2670</v>
      </c>
      <c r="J179" s="186">
        <v>20</v>
      </c>
      <c r="K179" s="230"/>
    </row>
    <row r="180" spans="2:11" ht="15" customHeight="1">
      <c r="B180" s="209"/>
      <c r="C180" s="186" t="s">
        <v>52</v>
      </c>
      <c r="D180" s="186"/>
      <c r="E180" s="186"/>
      <c r="F180" s="207" t="s">
        <v>2668</v>
      </c>
      <c r="G180" s="186"/>
      <c r="H180" s="186" t="s">
        <v>2741</v>
      </c>
      <c r="I180" s="186" t="s">
        <v>2670</v>
      </c>
      <c r="J180" s="186">
        <v>255</v>
      </c>
      <c r="K180" s="230"/>
    </row>
    <row r="181" spans="2:11" ht="15" customHeight="1">
      <c r="B181" s="209"/>
      <c r="C181" s="186" t="s">
        <v>113</v>
      </c>
      <c r="D181" s="186"/>
      <c r="E181" s="186"/>
      <c r="F181" s="207" t="s">
        <v>2668</v>
      </c>
      <c r="G181" s="186"/>
      <c r="H181" s="186" t="s">
        <v>2632</v>
      </c>
      <c r="I181" s="186" t="s">
        <v>2670</v>
      </c>
      <c r="J181" s="186">
        <v>10</v>
      </c>
      <c r="K181" s="230"/>
    </row>
    <row r="182" spans="2:11" ht="15" customHeight="1">
      <c r="B182" s="209"/>
      <c r="C182" s="186" t="s">
        <v>114</v>
      </c>
      <c r="D182" s="186"/>
      <c r="E182" s="186"/>
      <c r="F182" s="207" t="s">
        <v>2668</v>
      </c>
      <c r="G182" s="186"/>
      <c r="H182" s="186" t="s">
        <v>2742</v>
      </c>
      <c r="I182" s="186" t="s">
        <v>2703</v>
      </c>
      <c r="J182" s="186"/>
      <c r="K182" s="230"/>
    </row>
    <row r="183" spans="2:11" ht="15" customHeight="1">
      <c r="B183" s="209"/>
      <c r="C183" s="186" t="s">
        <v>2743</v>
      </c>
      <c r="D183" s="186"/>
      <c r="E183" s="186"/>
      <c r="F183" s="207" t="s">
        <v>2668</v>
      </c>
      <c r="G183" s="186"/>
      <c r="H183" s="186" t="s">
        <v>2744</v>
      </c>
      <c r="I183" s="186" t="s">
        <v>2703</v>
      </c>
      <c r="J183" s="186"/>
      <c r="K183" s="230"/>
    </row>
    <row r="184" spans="2:11" ht="15" customHeight="1">
      <c r="B184" s="209"/>
      <c r="C184" s="186" t="s">
        <v>2732</v>
      </c>
      <c r="D184" s="186"/>
      <c r="E184" s="186"/>
      <c r="F184" s="207" t="s">
        <v>2668</v>
      </c>
      <c r="G184" s="186"/>
      <c r="H184" s="186" t="s">
        <v>2745</v>
      </c>
      <c r="I184" s="186" t="s">
        <v>2703</v>
      </c>
      <c r="J184" s="186"/>
      <c r="K184" s="230"/>
    </row>
    <row r="185" spans="2:11" ht="15" customHeight="1">
      <c r="B185" s="209"/>
      <c r="C185" s="186" t="s">
        <v>116</v>
      </c>
      <c r="D185" s="186"/>
      <c r="E185" s="186"/>
      <c r="F185" s="207" t="s">
        <v>2674</v>
      </c>
      <c r="G185" s="186"/>
      <c r="H185" s="186" t="s">
        <v>2746</v>
      </c>
      <c r="I185" s="186" t="s">
        <v>2670</v>
      </c>
      <c r="J185" s="186">
        <v>50</v>
      </c>
      <c r="K185" s="230"/>
    </row>
    <row r="186" spans="2:11" ht="15" customHeight="1">
      <c r="B186" s="209"/>
      <c r="C186" s="186" t="s">
        <v>2747</v>
      </c>
      <c r="D186" s="186"/>
      <c r="E186" s="186"/>
      <c r="F186" s="207" t="s">
        <v>2674</v>
      </c>
      <c r="G186" s="186"/>
      <c r="H186" s="186" t="s">
        <v>2748</v>
      </c>
      <c r="I186" s="186" t="s">
        <v>2749</v>
      </c>
      <c r="J186" s="186"/>
      <c r="K186" s="230"/>
    </row>
    <row r="187" spans="2:11" ht="15" customHeight="1">
      <c r="B187" s="209"/>
      <c r="C187" s="186" t="s">
        <v>2750</v>
      </c>
      <c r="D187" s="186"/>
      <c r="E187" s="186"/>
      <c r="F187" s="207" t="s">
        <v>2674</v>
      </c>
      <c r="G187" s="186"/>
      <c r="H187" s="186" t="s">
        <v>2751</v>
      </c>
      <c r="I187" s="186" t="s">
        <v>2749</v>
      </c>
      <c r="J187" s="186"/>
      <c r="K187" s="230"/>
    </row>
    <row r="188" spans="2:11" ht="15" customHeight="1">
      <c r="B188" s="209"/>
      <c r="C188" s="186" t="s">
        <v>2752</v>
      </c>
      <c r="D188" s="186"/>
      <c r="E188" s="186"/>
      <c r="F188" s="207" t="s">
        <v>2674</v>
      </c>
      <c r="G188" s="186"/>
      <c r="H188" s="186" t="s">
        <v>2753</v>
      </c>
      <c r="I188" s="186" t="s">
        <v>2749</v>
      </c>
      <c r="J188" s="186"/>
      <c r="K188" s="230"/>
    </row>
    <row r="189" spans="2:11" ht="15" customHeight="1">
      <c r="B189" s="209"/>
      <c r="C189" s="243" t="s">
        <v>2754</v>
      </c>
      <c r="D189" s="186"/>
      <c r="E189" s="186"/>
      <c r="F189" s="207" t="s">
        <v>2674</v>
      </c>
      <c r="G189" s="186"/>
      <c r="H189" s="186" t="s">
        <v>2755</v>
      </c>
      <c r="I189" s="186" t="s">
        <v>2756</v>
      </c>
      <c r="J189" s="244" t="s">
        <v>2757</v>
      </c>
      <c r="K189" s="230"/>
    </row>
    <row r="190" spans="2:11" ht="15" customHeight="1">
      <c r="B190" s="209"/>
      <c r="C190" s="243" t="s">
        <v>40</v>
      </c>
      <c r="D190" s="186"/>
      <c r="E190" s="186"/>
      <c r="F190" s="207" t="s">
        <v>2668</v>
      </c>
      <c r="G190" s="186"/>
      <c r="H190" s="183" t="s">
        <v>2758</v>
      </c>
      <c r="I190" s="186" t="s">
        <v>2759</v>
      </c>
      <c r="J190" s="186"/>
      <c r="K190" s="230"/>
    </row>
    <row r="191" spans="2:11" ht="15" customHeight="1">
      <c r="B191" s="209"/>
      <c r="C191" s="243" t="s">
        <v>2760</v>
      </c>
      <c r="D191" s="186"/>
      <c r="E191" s="186"/>
      <c r="F191" s="207" t="s">
        <v>2668</v>
      </c>
      <c r="G191" s="186"/>
      <c r="H191" s="186" t="s">
        <v>2761</v>
      </c>
      <c r="I191" s="186" t="s">
        <v>2703</v>
      </c>
      <c r="J191" s="186"/>
      <c r="K191" s="230"/>
    </row>
    <row r="192" spans="2:11" ht="15" customHeight="1">
      <c r="B192" s="209"/>
      <c r="C192" s="243" t="s">
        <v>2762</v>
      </c>
      <c r="D192" s="186"/>
      <c r="E192" s="186"/>
      <c r="F192" s="207" t="s">
        <v>2668</v>
      </c>
      <c r="G192" s="186"/>
      <c r="H192" s="186" t="s">
        <v>2763</v>
      </c>
      <c r="I192" s="186" t="s">
        <v>2703</v>
      </c>
      <c r="J192" s="186"/>
      <c r="K192" s="230"/>
    </row>
    <row r="193" spans="2:11" ht="15" customHeight="1">
      <c r="B193" s="209"/>
      <c r="C193" s="243" t="s">
        <v>2764</v>
      </c>
      <c r="D193" s="186"/>
      <c r="E193" s="186"/>
      <c r="F193" s="207" t="s">
        <v>2674</v>
      </c>
      <c r="G193" s="186"/>
      <c r="H193" s="186" t="s">
        <v>2765</v>
      </c>
      <c r="I193" s="186" t="s">
        <v>2703</v>
      </c>
      <c r="J193" s="186"/>
      <c r="K193" s="230"/>
    </row>
    <row r="194" spans="2:11" ht="15" customHeight="1">
      <c r="B194" s="236"/>
      <c r="C194" s="245"/>
      <c r="D194" s="216"/>
      <c r="E194" s="216"/>
      <c r="F194" s="216"/>
      <c r="G194" s="216"/>
      <c r="H194" s="216"/>
      <c r="I194" s="216"/>
      <c r="J194" s="216"/>
      <c r="K194" s="237"/>
    </row>
    <row r="195" spans="2:11" ht="18.75" customHeight="1">
      <c r="B195" s="218"/>
      <c r="C195" s="228"/>
      <c r="D195" s="228"/>
      <c r="E195" s="228"/>
      <c r="F195" s="238"/>
      <c r="G195" s="228"/>
      <c r="H195" s="228"/>
      <c r="I195" s="228"/>
      <c r="J195" s="228"/>
      <c r="K195" s="218"/>
    </row>
    <row r="196" spans="2:11" ht="18.75" customHeight="1">
      <c r="B196" s="218"/>
      <c r="C196" s="228"/>
      <c r="D196" s="228"/>
      <c r="E196" s="228"/>
      <c r="F196" s="238"/>
      <c r="G196" s="228"/>
      <c r="H196" s="228"/>
      <c r="I196" s="228"/>
      <c r="J196" s="228"/>
      <c r="K196" s="218"/>
    </row>
    <row r="197" spans="2:11" ht="18.75" customHeight="1">
      <c r="B197" s="193"/>
      <c r="C197" s="193"/>
      <c r="D197" s="193"/>
      <c r="E197" s="193"/>
      <c r="F197" s="193"/>
      <c r="G197" s="193"/>
      <c r="H197" s="193"/>
      <c r="I197" s="193"/>
      <c r="J197" s="193"/>
      <c r="K197" s="193"/>
    </row>
    <row r="198" spans="2:11" ht="13.5">
      <c r="B198" s="175"/>
      <c r="C198" s="176"/>
      <c r="D198" s="176"/>
      <c r="E198" s="176"/>
      <c r="F198" s="176"/>
      <c r="G198" s="176"/>
      <c r="H198" s="176"/>
      <c r="I198" s="176"/>
      <c r="J198" s="176"/>
      <c r="K198" s="177"/>
    </row>
    <row r="199" spans="2:11" ht="21">
      <c r="B199" s="178"/>
      <c r="C199" s="534" t="s">
        <v>2766</v>
      </c>
      <c r="D199" s="534"/>
      <c r="E199" s="534"/>
      <c r="F199" s="534"/>
      <c r="G199" s="534"/>
      <c r="H199" s="534"/>
      <c r="I199" s="534"/>
      <c r="J199" s="534"/>
      <c r="K199" s="179"/>
    </row>
    <row r="200" spans="2:11" ht="25.5" customHeight="1">
      <c r="B200" s="178"/>
      <c r="C200" s="246" t="s">
        <v>2767</v>
      </c>
      <c r="D200" s="246"/>
      <c r="E200" s="246"/>
      <c r="F200" s="246" t="s">
        <v>2768</v>
      </c>
      <c r="G200" s="247"/>
      <c r="H200" s="535" t="s">
        <v>2769</v>
      </c>
      <c r="I200" s="535"/>
      <c r="J200" s="535"/>
      <c r="K200" s="179"/>
    </row>
    <row r="201" spans="2:11" ht="5.25" customHeight="1">
      <c r="B201" s="209"/>
      <c r="C201" s="204"/>
      <c r="D201" s="204"/>
      <c r="E201" s="204"/>
      <c r="F201" s="204"/>
      <c r="G201" s="228"/>
      <c r="H201" s="204"/>
      <c r="I201" s="204"/>
      <c r="J201" s="204"/>
      <c r="K201" s="230"/>
    </row>
    <row r="202" spans="2:11" ht="15" customHeight="1">
      <c r="B202" s="209"/>
      <c r="C202" s="186" t="s">
        <v>2759</v>
      </c>
      <c r="D202" s="186"/>
      <c r="E202" s="186"/>
      <c r="F202" s="207" t="s">
        <v>41</v>
      </c>
      <c r="G202" s="186"/>
      <c r="H202" s="536" t="s">
        <v>2770</v>
      </c>
      <c r="I202" s="536"/>
      <c r="J202" s="536"/>
      <c r="K202" s="230"/>
    </row>
    <row r="203" spans="2:11" ht="15" customHeight="1">
      <c r="B203" s="209"/>
      <c r="C203" s="186"/>
      <c r="D203" s="186"/>
      <c r="E203" s="186"/>
      <c r="F203" s="207" t="s">
        <v>42</v>
      </c>
      <c r="G203" s="186"/>
      <c r="H203" s="536" t="s">
        <v>2771</v>
      </c>
      <c r="I203" s="536"/>
      <c r="J203" s="536"/>
      <c r="K203" s="230"/>
    </row>
    <row r="204" spans="2:11" ht="15" customHeight="1">
      <c r="B204" s="209"/>
      <c r="C204" s="186"/>
      <c r="D204" s="186"/>
      <c r="E204" s="186"/>
      <c r="F204" s="207" t="s">
        <v>45</v>
      </c>
      <c r="G204" s="186"/>
      <c r="H204" s="536" t="s">
        <v>2772</v>
      </c>
      <c r="I204" s="536"/>
      <c r="J204" s="536"/>
      <c r="K204" s="230"/>
    </row>
    <row r="205" spans="2:11" ht="15" customHeight="1">
      <c r="B205" s="209"/>
      <c r="C205" s="186"/>
      <c r="D205" s="186"/>
      <c r="E205" s="186"/>
      <c r="F205" s="207" t="s">
        <v>43</v>
      </c>
      <c r="G205" s="186"/>
      <c r="H205" s="536" t="s">
        <v>2773</v>
      </c>
      <c r="I205" s="536"/>
      <c r="J205" s="536"/>
      <c r="K205" s="230"/>
    </row>
    <row r="206" spans="2:11" ht="15" customHeight="1">
      <c r="B206" s="209"/>
      <c r="C206" s="186"/>
      <c r="D206" s="186"/>
      <c r="E206" s="186"/>
      <c r="F206" s="207" t="s">
        <v>44</v>
      </c>
      <c r="G206" s="186"/>
      <c r="H206" s="536" t="s">
        <v>2774</v>
      </c>
      <c r="I206" s="536"/>
      <c r="J206" s="536"/>
      <c r="K206" s="230"/>
    </row>
    <row r="207" spans="2:11" ht="15" customHeight="1">
      <c r="B207" s="209"/>
      <c r="C207" s="186"/>
      <c r="D207" s="186"/>
      <c r="E207" s="186"/>
      <c r="F207" s="207"/>
      <c r="G207" s="186"/>
      <c r="H207" s="186"/>
      <c r="I207" s="186"/>
      <c r="J207" s="186"/>
      <c r="K207" s="230"/>
    </row>
    <row r="208" spans="2:11" ht="15" customHeight="1">
      <c r="B208" s="209"/>
      <c r="C208" s="186" t="s">
        <v>2715</v>
      </c>
      <c r="D208" s="186"/>
      <c r="E208" s="186"/>
      <c r="F208" s="207" t="s">
        <v>77</v>
      </c>
      <c r="G208" s="186"/>
      <c r="H208" s="536" t="s">
        <v>2775</v>
      </c>
      <c r="I208" s="536"/>
      <c r="J208" s="536"/>
      <c r="K208" s="230"/>
    </row>
    <row r="209" spans="2:11" ht="15" customHeight="1">
      <c r="B209" s="209"/>
      <c r="C209" s="186"/>
      <c r="D209" s="186"/>
      <c r="E209" s="186"/>
      <c r="F209" s="207" t="s">
        <v>2612</v>
      </c>
      <c r="G209" s="186"/>
      <c r="H209" s="536" t="s">
        <v>2613</v>
      </c>
      <c r="I209" s="536"/>
      <c r="J209" s="536"/>
      <c r="K209" s="230"/>
    </row>
    <row r="210" spans="2:11" ht="15" customHeight="1">
      <c r="B210" s="209"/>
      <c r="C210" s="186"/>
      <c r="D210" s="186"/>
      <c r="E210" s="186"/>
      <c r="F210" s="207" t="s">
        <v>2610</v>
      </c>
      <c r="G210" s="186"/>
      <c r="H210" s="536" t="s">
        <v>2776</v>
      </c>
      <c r="I210" s="536"/>
      <c r="J210" s="536"/>
      <c r="K210" s="230"/>
    </row>
    <row r="211" spans="2:11" ht="15" customHeight="1">
      <c r="B211" s="248"/>
      <c r="C211" s="186"/>
      <c r="D211" s="186"/>
      <c r="E211" s="186"/>
      <c r="F211" s="207" t="s">
        <v>2614</v>
      </c>
      <c r="G211" s="243"/>
      <c r="H211" s="537" t="s">
        <v>2615</v>
      </c>
      <c r="I211" s="537"/>
      <c r="J211" s="537"/>
      <c r="K211" s="249"/>
    </row>
    <row r="212" spans="2:11" ht="15" customHeight="1">
      <c r="B212" s="248"/>
      <c r="C212" s="186"/>
      <c r="D212" s="186"/>
      <c r="E212" s="186"/>
      <c r="F212" s="207" t="s">
        <v>2490</v>
      </c>
      <c r="G212" s="243"/>
      <c r="H212" s="537" t="s">
        <v>608</v>
      </c>
      <c r="I212" s="537"/>
      <c r="J212" s="537"/>
      <c r="K212" s="249"/>
    </row>
    <row r="213" spans="2:11" ht="15" customHeight="1">
      <c r="B213" s="248"/>
      <c r="C213" s="186"/>
      <c r="D213" s="186"/>
      <c r="E213" s="186"/>
      <c r="F213" s="207"/>
      <c r="G213" s="243"/>
      <c r="H213" s="234"/>
      <c r="I213" s="234"/>
      <c r="J213" s="234"/>
      <c r="K213" s="249"/>
    </row>
    <row r="214" spans="2:11" ht="15" customHeight="1">
      <c r="B214" s="248"/>
      <c r="C214" s="186" t="s">
        <v>2739</v>
      </c>
      <c r="D214" s="186"/>
      <c r="E214" s="186"/>
      <c r="F214" s="207">
        <v>1</v>
      </c>
      <c r="G214" s="243"/>
      <c r="H214" s="537" t="s">
        <v>2777</v>
      </c>
      <c r="I214" s="537"/>
      <c r="J214" s="537"/>
      <c r="K214" s="249"/>
    </row>
    <row r="215" spans="2:11" ht="15" customHeight="1">
      <c r="B215" s="248"/>
      <c r="C215" s="186"/>
      <c r="D215" s="186"/>
      <c r="E215" s="186"/>
      <c r="F215" s="207">
        <v>2</v>
      </c>
      <c r="G215" s="243"/>
      <c r="H215" s="537" t="s">
        <v>2778</v>
      </c>
      <c r="I215" s="537"/>
      <c r="J215" s="537"/>
      <c r="K215" s="249"/>
    </row>
    <row r="216" spans="2:11" ht="15" customHeight="1">
      <c r="B216" s="248"/>
      <c r="C216" s="186"/>
      <c r="D216" s="186"/>
      <c r="E216" s="186"/>
      <c r="F216" s="207">
        <v>3</v>
      </c>
      <c r="G216" s="243"/>
      <c r="H216" s="537" t="s">
        <v>2779</v>
      </c>
      <c r="I216" s="537"/>
      <c r="J216" s="537"/>
      <c r="K216" s="249"/>
    </row>
    <row r="217" spans="2:11" ht="15" customHeight="1">
      <c r="B217" s="248"/>
      <c r="C217" s="186"/>
      <c r="D217" s="186"/>
      <c r="E217" s="186"/>
      <c r="F217" s="207">
        <v>4</v>
      </c>
      <c r="G217" s="243"/>
      <c r="H217" s="537" t="s">
        <v>2780</v>
      </c>
      <c r="I217" s="537"/>
      <c r="J217" s="537"/>
      <c r="K217" s="249"/>
    </row>
    <row r="218" spans="2:11" ht="12.75" customHeight="1">
      <c r="B218" s="250"/>
      <c r="C218" s="251"/>
      <c r="D218" s="251"/>
      <c r="E218" s="251"/>
      <c r="F218" s="251"/>
      <c r="G218" s="251"/>
      <c r="H218" s="251"/>
      <c r="I218" s="251"/>
      <c r="J218" s="251"/>
      <c r="K218" s="25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490" t="s">
        <v>6</v>
      </c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17" t="s">
        <v>79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87</v>
      </c>
      <c r="L4" s="20"/>
      <c r="M4" s="8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505" t="str">
        <f>'Rekapitulace stavby'!K6</f>
        <v>gymnáziu Hostivice - rekonstrukce gymnázia II.etapa</v>
      </c>
      <c r="F7" s="506"/>
      <c r="G7" s="506"/>
      <c r="H7" s="506"/>
      <c r="L7" s="20"/>
    </row>
    <row r="8" spans="2:12" s="1" customFormat="1" ht="12" customHeight="1">
      <c r="B8" s="29"/>
      <c r="D8" s="26" t="s">
        <v>88</v>
      </c>
      <c r="L8" s="29"/>
    </row>
    <row r="9" spans="2:12" s="1" customFormat="1" ht="16.5" customHeight="1">
      <c r="B9" s="29"/>
      <c r="E9" s="491" t="s">
        <v>89</v>
      </c>
      <c r="F9" s="504"/>
      <c r="G9" s="504"/>
      <c r="H9" s="504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17</v>
      </c>
      <c r="F11" s="24" t="s">
        <v>3</v>
      </c>
      <c r="I11" s="26" t="s">
        <v>18</v>
      </c>
      <c r="J11" s="24" t="s">
        <v>3</v>
      </c>
      <c r="L11" s="29"/>
    </row>
    <row r="12" spans="2:12" s="1" customFormat="1" ht="12" customHeight="1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9. 12. 2022</v>
      </c>
      <c r="L12" s="29"/>
    </row>
    <row r="13" spans="2:12" s="1" customFormat="1" ht="10.7" customHeight="1">
      <c r="B13" s="29"/>
      <c r="L13" s="29"/>
    </row>
    <row r="14" spans="2:12" s="1" customFormat="1" ht="12" customHeight="1">
      <c r="B14" s="29"/>
      <c r="D14" s="26" t="s">
        <v>23</v>
      </c>
      <c r="I14" s="26" t="s">
        <v>24</v>
      </c>
      <c r="J14" s="24" t="s">
        <v>3</v>
      </c>
      <c r="L14" s="29"/>
    </row>
    <row r="15" spans="2:12" s="1" customFormat="1" ht="18" customHeight="1">
      <c r="B15" s="29"/>
      <c r="E15" s="24" t="s">
        <v>25</v>
      </c>
      <c r="I15" s="26" t="s">
        <v>26</v>
      </c>
      <c r="J15" s="24" t="s">
        <v>3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27</v>
      </c>
      <c r="I17" s="26" t="s">
        <v>24</v>
      </c>
      <c r="J17" s="24" t="str">
        <f>'Rekapitulace stavby'!AN13</f>
        <v/>
      </c>
      <c r="L17" s="29"/>
    </row>
    <row r="18" spans="2:12" s="1" customFormat="1" ht="18" customHeight="1">
      <c r="B18" s="29"/>
      <c r="E18" s="471" t="str">
        <f>'Rekapitulace stavby'!E14</f>
        <v xml:space="preserve"> </v>
      </c>
      <c r="F18" s="471"/>
      <c r="G18" s="471"/>
      <c r="H18" s="471"/>
      <c r="I18" s="26" t="s">
        <v>26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29</v>
      </c>
      <c r="I20" s="26" t="s">
        <v>24</v>
      </c>
      <c r="J20" s="24" t="s">
        <v>30</v>
      </c>
      <c r="L20" s="29"/>
    </row>
    <row r="21" spans="2:12" s="1" customFormat="1" ht="18" customHeight="1">
      <c r="B21" s="29"/>
      <c r="E21" s="24" t="s">
        <v>31</v>
      </c>
      <c r="I21" s="26" t="s">
        <v>26</v>
      </c>
      <c r="J21" s="24" t="s">
        <v>3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33</v>
      </c>
      <c r="I23" s="26" t="s">
        <v>24</v>
      </c>
      <c r="J23" s="24" t="s">
        <v>3</v>
      </c>
      <c r="L23" s="29"/>
    </row>
    <row r="24" spans="2:12" s="1" customFormat="1" ht="18" customHeight="1">
      <c r="B24" s="29"/>
      <c r="E24" s="24" t="s">
        <v>31</v>
      </c>
      <c r="I24" s="26" t="s">
        <v>26</v>
      </c>
      <c r="J24" s="24" t="s">
        <v>3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34</v>
      </c>
      <c r="L26" s="29"/>
    </row>
    <row r="27" spans="2:12" s="7" customFormat="1" ht="16.5" customHeight="1">
      <c r="B27" s="82"/>
      <c r="E27" s="474" t="s">
        <v>3</v>
      </c>
      <c r="F27" s="474"/>
      <c r="G27" s="474"/>
      <c r="H27" s="474"/>
      <c r="L27" s="8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83" t="s">
        <v>36</v>
      </c>
      <c r="J30" s="59">
        <f>ROUND(J96,2)</f>
        <v>0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38</v>
      </c>
      <c r="I32" s="32" t="s">
        <v>37</v>
      </c>
      <c r="J32" s="32" t="s">
        <v>39</v>
      </c>
      <c r="L32" s="29"/>
    </row>
    <row r="33" spans="2:12" s="1" customFormat="1" ht="14.45" customHeight="1">
      <c r="B33" s="29"/>
      <c r="D33" s="84" t="s">
        <v>40</v>
      </c>
      <c r="E33" s="26" t="s">
        <v>41</v>
      </c>
      <c r="F33" s="85">
        <f>ROUND((SUM(BE96:BE358)),2)</f>
        <v>0</v>
      </c>
      <c r="I33" s="86">
        <v>0.21</v>
      </c>
      <c r="J33" s="85">
        <f>ROUND(((SUM(BE96:BE358))*I33),2)</f>
        <v>0</v>
      </c>
      <c r="L33" s="29"/>
    </row>
    <row r="34" spans="2:12" s="1" customFormat="1" ht="14.45" customHeight="1">
      <c r="B34" s="29"/>
      <c r="E34" s="26" t="s">
        <v>42</v>
      </c>
      <c r="F34" s="85">
        <f>ROUND((SUM(BF96:BF358)),2)</f>
        <v>0</v>
      </c>
      <c r="I34" s="86">
        <v>0.15</v>
      </c>
      <c r="J34" s="85">
        <f>ROUND(((SUM(BF96:BF358))*I34),2)</f>
        <v>0</v>
      </c>
      <c r="L34" s="29"/>
    </row>
    <row r="35" spans="2:12" s="1" customFormat="1" ht="14.45" customHeight="1" hidden="1">
      <c r="B35" s="29"/>
      <c r="E35" s="26" t="s">
        <v>43</v>
      </c>
      <c r="F35" s="85">
        <f>ROUND((SUM(BG96:BG358)),2)</f>
        <v>0</v>
      </c>
      <c r="I35" s="86">
        <v>0.21</v>
      </c>
      <c r="J35" s="85">
        <f>0</f>
        <v>0</v>
      </c>
      <c r="L35" s="29"/>
    </row>
    <row r="36" spans="2:12" s="1" customFormat="1" ht="14.45" customHeight="1" hidden="1">
      <c r="B36" s="29"/>
      <c r="E36" s="26" t="s">
        <v>44</v>
      </c>
      <c r="F36" s="85">
        <f>ROUND((SUM(BH96:BH358)),2)</f>
        <v>0</v>
      </c>
      <c r="I36" s="86">
        <v>0.15</v>
      </c>
      <c r="J36" s="85">
        <f>0</f>
        <v>0</v>
      </c>
      <c r="L36" s="29"/>
    </row>
    <row r="37" spans="2:12" s="1" customFormat="1" ht="14.45" customHeight="1" hidden="1">
      <c r="B37" s="29"/>
      <c r="E37" s="26" t="s">
        <v>45</v>
      </c>
      <c r="F37" s="85">
        <f>ROUND((SUM(BI96:BI358)),2)</f>
        <v>0</v>
      </c>
      <c r="I37" s="86">
        <v>0</v>
      </c>
      <c r="J37" s="85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7"/>
      <c r="D39" s="88" t="s">
        <v>46</v>
      </c>
      <c r="E39" s="50"/>
      <c r="F39" s="50"/>
      <c r="G39" s="89" t="s">
        <v>47</v>
      </c>
      <c r="H39" s="90" t="s">
        <v>48</v>
      </c>
      <c r="I39" s="50"/>
      <c r="J39" s="91">
        <f>SUM(J30:J37)</f>
        <v>0</v>
      </c>
      <c r="K39" s="92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21" t="s">
        <v>90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6" t="s">
        <v>15</v>
      </c>
      <c r="L47" s="29"/>
    </row>
    <row r="48" spans="2:12" s="1" customFormat="1" ht="16.5" customHeight="1">
      <c r="B48" s="29"/>
      <c r="E48" s="505" t="str">
        <f>E7</f>
        <v>gymnáziu Hostivice - rekonstrukce gymnázia II.etapa</v>
      </c>
      <c r="F48" s="506"/>
      <c r="G48" s="506"/>
      <c r="H48" s="506"/>
      <c r="L48" s="29"/>
    </row>
    <row r="49" spans="2:12" s="1" customFormat="1" ht="12" customHeight="1">
      <c r="B49" s="29"/>
      <c r="C49" s="26" t="s">
        <v>88</v>
      </c>
      <c r="L49" s="29"/>
    </row>
    <row r="50" spans="2:12" s="1" customFormat="1" ht="16.5" customHeight="1">
      <c r="B50" s="29"/>
      <c r="E50" s="491" t="str">
        <f>E9</f>
        <v>01 - Bourací práce</v>
      </c>
      <c r="F50" s="504"/>
      <c r="G50" s="504"/>
      <c r="H50" s="504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6" t="s">
        <v>19</v>
      </c>
      <c r="F52" s="24" t="str">
        <f>F12</f>
        <v>Gymnázium Hostivice, Komenského 141</v>
      </c>
      <c r="I52" s="26" t="s">
        <v>21</v>
      </c>
      <c r="J52" s="46" t="str">
        <f>IF(J12="","",J12)</f>
        <v>9. 12. 2022</v>
      </c>
      <c r="L52" s="29"/>
    </row>
    <row r="53" spans="2:12" s="1" customFormat="1" ht="6.95" customHeight="1">
      <c r="B53" s="29"/>
      <c r="L53" s="29"/>
    </row>
    <row r="54" spans="2:12" s="1" customFormat="1" ht="15.2" customHeight="1">
      <c r="B54" s="29"/>
      <c r="C54" s="26" t="s">
        <v>23</v>
      </c>
      <c r="F54" s="24" t="str">
        <f>E15</f>
        <v>Středočeský kraj, Zborovská 81/11, Praha 5</v>
      </c>
      <c r="I54" s="26" t="s">
        <v>29</v>
      </c>
      <c r="J54" s="27" t="str">
        <f>E21</f>
        <v>Ing. Petr Petele</v>
      </c>
      <c r="L54" s="29"/>
    </row>
    <row r="55" spans="2:12" s="1" customFormat="1" ht="15.2" customHeight="1">
      <c r="B55" s="29"/>
      <c r="C55" s="26" t="s">
        <v>27</v>
      </c>
      <c r="F55" s="24" t="str">
        <f>IF(E18="","",E18)</f>
        <v xml:space="preserve"> </v>
      </c>
      <c r="I55" s="26" t="s">
        <v>33</v>
      </c>
      <c r="J55" s="27" t="str">
        <f>E24</f>
        <v>Ing. Petr Petele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3" t="s">
        <v>91</v>
      </c>
      <c r="D57" s="87"/>
      <c r="E57" s="87"/>
      <c r="F57" s="87"/>
      <c r="G57" s="87"/>
      <c r="H57" s="87"/>
      <c r="I57" s="87"/>
      <c r="J57" s="94" t="s">
        <v>92</v>
      </c>
      <c r="K57" s="87"/>
      <c r="L57" s="29"/>
    </row>
    <row r="58" spans="2:12" s="1" customFormat="1" ht="10.35" customHeight="1">
      <c r="B58" s="29"/>
      <c r="L58" s="29"/>
    </row>
    <row r="59" spans="2:47" s="1" customFormat="1" ht="22.7" customHeight="1">
      <c r="B59" s="29"/>
      <c r="C59" s="95" t="s">
        <v>68</v>
      </c>
      <c r="J59" s="59">
        <f>J96</f>
        <v>0</v>
      </c>
      <c r="L59" s="29"/>
      <c r="AU59" s="17" t="s">
        <v>93</v>
      </c>
    </row>
    <row r="60" spans="2:12" s="8" customFormat="1" ht="24.95" customHeight="1">
      <c r="B60" s="96"/>
      <c r="D60" s="97" t="s">
        <v>94</v>
      </c>
      <c r="E60" s="98"/>
      <c r="F60" s="98"/>
      <c r="G60" s="98"/>
      <c r="H60" s="98"/>
      <c r="I60" s="98"/>
      <c r="J60" s="99">
        <f>J97</f>
        <v>0</v>
      </c>
      <c r="L60" s="96"/>
    </row>
    <row r="61" spans="2:12" s="9" customFormat="1" ht="19.9" customHeight="1">
      <c r="B61" s="100"/>
      <c r="D61" s="101" t="s">
        <v>95</v>
      </c>
      <c r="E61" s="102"/>
      <c r="F61" s="102"/>
      <c r="G61" s="102"/>
      <c r="H61" s="102"/>
      <c r="I61" s="102"/>
      <c r="J61" s="103">
        <f>J98</f>
        <v>0</v>
      </c>
      <c r="L61" s="100"/>
    </row>
    <row r="62" spans="2:12" s="9" customFormat="1" ht="19.9" customHeight="1">
      <c r="B62" s="100"/>
      <c r="D62" s="101" t="s">
        <v>96</v>
      </c>
      <c r="E62" s="102"/>
      <c r="F62" s="102"/>
      <c r="G62" s="102"/>
      <c r="H62" s="102"/>
      <c r="I62" s="102"/>
      <c r="J62" s="103">
        <f>J131</f>
        <v>0</v>
      </c>
      <c r="L62" s="100"/>
    </row>
    <row r="63" spans="2:12" s="9" customFormat="1" ht="19.9" customHeight="1">
      <c r="B63" s="100"/>
      <c r="D63" s="101" t="s">
        <v>97</v>
      </c>
      <c r="E63" s="102"/>
      <c r="F63" s="102"/>
      <c r="G63" s="102"/>
      <c r="H63" s="102"/>
      <c r="I63" s="102"/>
      <c r="J63" s="103">
        <f>J225</f>
        <v>0</v>
      </c>
      <c r="L63" s="100"/>
    </row>
    <row r="64" spans="2:12" s="8" customFormat="1" ht="24.95" customHeight="1">
      <c r="B64" s="96"/>
      <c r="D64" s="97" t="s">
        <v>98</v>
      </c>
      <c r="E64" s="98"/>
      <c r="F64" s="98"/>
      <c r="G64" s="98"/>
      <c r="H64" s="98"/>
      <c r="I64" s="98"/>
      <c r="J64" s="99">
        <f>J240</f>
        <v>0</v>
      </c>
      <c r="L64" s="96"/>
    </row>
    <row r="65" spans="2:12" s="9" customFormat="1" ht="19.9" customHeight="1">
      <c r="B65" s="100"/>
      <c r="D65" s="101" t="s">
        <v>99</v>
      </c>
      <c r="E65" s="102"/>
      <c r="F65" s="102"/>
      <c r="G65" s="102"/>
      <c r="H65" s="102"/>
      <c r="I65" s="102"/>
      <c r="J65" s="103">
        <f>J241</f>
        <v>0</v>
      </c>
      <c r="L65" s="100"/>
    </row>
    <row r="66" spans="2:12" s="9" customFormat="1" ht="19.9" customHeight="1">
      <c r="B66" s="100"/>
      <c r="D66" s="101" t="s">
        <v>100</v>
      </c>
      <c r="E66" s="102"/>
      <c r="F66" s="102"/>
      <c r="G66" s="102"/>
      <c r="H66" s="102"/>
      <c r="I66" s="102"/>
      <c r="J66" s="103">
        <f>J252</f>
        <v>0</v>
      </c>
      <c r="L66" s="100"/>
    </row>
    <row r="67" spans="2:12" s="9" customFormat="1" ht="19.9" customHeight="1">
      <c r="B67" s="100"/>
      <c r="D67" s="101" t="s">
        <v>101</v>
      </c>
      <c r="E67" s="102"/>
      <c r="F67" s="102"/>
      <c r="G67" s="102"/>
      <c r="H67" s="102"/>
      <c r="I67" s="102"/>
      <c r="J67" s="103">
        <f>J254</f>
        <v>0</v>
      </c>
      <c r="L67" s="100"/>
    </row>
    <row r="68" spans="2:12" s="9" customFormat="1" ht="19.9" customHeight="1">
      <c r="B68" s="100"/>
      <c r="D68" s="101" t="s">
        <v>102</v>
      </c>
      <c r="E68" s="102"/>
      <c r="F68" s="102"/>
      <c r="G68" s="102"/>
      <c r="H68" s="102"/>
      <c r="I68" s="102"/>
      <c r="J68" s="103">
        <f>J256</f>
        <v>0</v>
      </c>
      <c r="L68" s="100"/>
    </row>
    <row r="69" spans="2:12" s="9" customFormat="1" ht="19.9" customHeight="1">
      <c r="B69" s="100"/>
      <c r="D69" s="101" t="s">
        <v>103</v>
      </c>
      <c r="E69" s="102"/>
      <c r="F69" s="102"/>
      <c r="G69" s="102"/>
      <c r="H69" s="102"/>
      <c r="I69" s="102"/>
      <c r="J69" s="103">
        <f>J259</f>
        <v>0</v>
      </c>
      <c r="L69" s="100"/>
    </row>
    <row r="70" spans="2:12" s="9" customFormat="1" ht="19.9" customHeight="1">
      <c r="B70" s="100"/>
      <c r="D70" s="101" t="s">
        <v>104</v>
      </c>
      <c r="E70" s="102"/>
      <c r="F70" s="102"/>
      <c r="G70" s="102"/>
      <c r="H70" s="102"/>
      <c r="I70" s="102"/>
      <c r="J70" s="103">
        <f>J261</f>
        <v>0</v>
      </c>
      <c r="L70" s="100"/>
    </row>
    <row r="71" spans="2:12" s="9" customFormat="1" ht="19.9" customHeight="1">
      <c r="B71" s="100"/>
      <c r="D71" s="101" t="s">
        <v>105</v>
      </c>
      <c r="E71" s="102"/>
      <c r="F71" s="102"/>
      <c r="G71" s="102"/>
      <c r="H71" s="102"/>
      <c r="I71" s="102"/>
      <c r="J71" s="103">
        <f>J287</f>
        <v>0</v>
      </c>
      <c r="L71" s="100"/>
    </row>
    <row r="72" spans="2:12" s="9" customFormat="1" ht="19.9" customHeight="1">
      <c r="B72" s="100"/>
      <c r="D72" s="101" t="s">
        <v>106</v>
      </c>
      <c r="E72" s="102"/>
      <c r="F72" s="102"/>
      <c r="G72" s="102"/>
      <c r="H72" s="102"/>
      <c r="I72" s="102"/>
      <c r="J72" s="103">
        <f>J323</f>
        <v>0</v>
      </c>
      <c r="L72" s="100"/>
    </row>
    <row r="73" spans="2:12" s="9" customFormat="1" ht="19.9" customHeight="1">
      <c r="B73" s="100"/>
      <c r="D73" s="101" t="s">
        <v>107</v>
      </c>
      <c r="E73" s="102"/>
      <c r="F73" s="102"/>
      <c r="G73" s="102"/>
      <c r="H73" s="102"/>
      <c r="I73" s="102"/>
      <c r="J73" s="103">
        <f>J339</f>
        <v>0</v>
      </c>
      <c r="L73" s="100"/>
    </row>
    <row r="74" spans="2:12" s="9" customFormat="1" ht="19.9" customHeight="1">
      <c r="B74" s="100"/>
      <c r="D74" s="101" t="s">
        <v>108</v>
      </c>
      <c r="E74" s="102"/>
      <c r="F74" s="102"/>
      <c r="G74" s="102"/>
      <c r="H74" s="102"/>
      <c r="I74" s="102"/>
      <c r="J74" s="103">
        <f>J351</f>
        <v>0</v>
      </c>
      <c r="L74" s="100"/>
    </row>
    <row r="75" spans="2:12" s="8" customFormat="1" ht="24.95" customHeight="1">
      <c r="B75" s="96"/>
      <c r="D75" s="97" t="s">
        <v>109</v>
      </c>
      <c r="E75" s="98"/>
      <c r="F75" s="98"/>
      <c r="G75" s="98"/>
      <c r="H75" s="98"/>
      <c r="I75" s="98"/>
      <c r="J75" s="99">
        <f>J355</f>
        <v>0</v>
      </c>
      <c r="L75" s="96"/>
    </row>
    <row r="76" spans="2:12" s="9" customFormat="1" ht="19.9" customHeight="1">
      <c r="B76" s="100"/>
      <c r="D76" s="101" t="s">
        <v>110</v>
      </c>
      <c r="E76" s="102"/>
      <c r="F76" s="102"/>
      <c r="G76" s="102"/>
      <c r="H76" s="102"/>
      <c r="I76" s="102"/>
      <c r="J76" s="103">
        <f>J356</f>
        <v>0</v>
      </c>
      <c r="L76" s="100"/>
    </row>
    <row r="77" spans="2:12" s="1" customFormat="1" ht="21.75" customHeight="1">
      <c r="B77" s="29"/>
      <c r="L77" s="29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29"/>
    </row>
    <row r="82" spans="2:12" s="1" customFormat="1" ht="6.95" customHeight="1"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29"/>
    </row>
    <row r="83" spans="2:12" s="1" customFormat="1" ht="24.95" customHeight="1">
      <c r="B83" s="29"/>
      <c r="C83" s="21" t="s">
        <v>111</v>
      </c>
      <c r="L83" s="29"/>
    </row>
    <row r="84" spans="2:12" s="1" customFormat="1" ht="6.95" customHeight="1">
      <c r="B84" s="29"/>
      <c r="L84" s="29"/>
    </row>
    <row r="85" spans="2:12" s="1" customFormat="1" ht="12" customHeight="1">
      <c r="B85" s="29"/>
      <c r="C85" s="26" t="s">
        <v>15</v>
      </c>
      <c r="L85" s="29"/>
    </row>
    <row r="86" spans="2:12" s="1" customFormat="1" ht="16.5" customHeight="1">
      <c r="B86" s="29"/>
      <c r="E86" s="505" t="str">
        <f>E7</f>
        <v>gymnáziu Hostivice - rekonstrukce gymnázia II.etapa</v>
      </c>
      <c r="F86" s="506"/>
      <c r="G86" s="506"/>
      <c r="H86" s="506"/>
      <c r="L86" s="29"/>
    </row>
    <row r="87" spans="2:12" s="1" customFormat="1" ht="12" customHeight="1">
      <c r="B87" s="29"/>
      <c r="C87" s="26" t="s">
        <v>88</v>
      </c>
      <c r="L87" s="29"/>
    </row>
    <row r="88" spans="2:12" s="1" customFormat="1" ht="16.5" customHeight="1">
      <c r="B88" s="29"/>
      <c r="E88" s="491" t="str">
        <f>E9</f>
        <v>01 - Bourací práce</v>
      </c>
      <c r="F88" s="504"/>
      <c r="G88" s="504"/>
      <c r="H88" s="504"/>
      <c r="L88" s="29"/>
    </row>
    <row r="89" spans="2:12" s="1" customFormat="1" ht="6.95" customHeight="1">
      <c r="B89" s="29"/>
      <c r="L89" s="29"/>
    </row>
    <row r="90" spans="2:12" s="1" customFormat="1" ht="12" customHeight="1">
      <c r="B90" s="29"/>
      <c r="C90" s="26" t="s">
        <v>19</v>
      </c>
      <c r="F90" s="24" t="str">
        <f>F12</f>
        <v>Gymnázium Hostivice, Komenského 141</v>
      </c>
      <c r="I90" s="26" t="s">
        <v>21</v>
      </c>
      <c r="J90" s="46" t="str">
        <f>IF(J12="","",J12)</f>
        <v>9. 12. 2022</v>
      </c>
      <c r="L90" s="29"/>
    </row>
    <row r="91" spans="2:12" s="1" customFormat="1" ht="6.95" customHeight="1">
      <c r="B91" s="29"/>
      <c r="L91" s="29"/>
    </row>
    <row r="92" spans="2:12" s="1" customFormat="1" ht="15.2" customHeight="1">
      <c r="B92" s="29"/>
      <c r="C92" s="26" t="s">
        <v>23</v>
      </c>
      <c r="F92" s="24" t="str">
        <f>E15</f>
        <v>Středočeský kraj, Zborovská 81/11, Praha 5</v>
      </c>
      <c r="I92" s="26" t="s">
        <v>29</v>
      </c>
      <c r="J92" s="27" t="str">
        <f>E21</f>
        <v>Ing. Petr Petele</v>
      </c>
      <c r="L92" s="29"/>
    </row>
    <row r="93" spans="2:12" s="1" customFormat="1" ht="15.2" customHeight="1">
      <c r="B93" s="29"/>
      <c r="C93" s="26" t="s">
        <v>27</v>
      </c>
      <c r="F93" s="24" t="str">
        <f>IF(E18="","",E18)</f>
        <v xml:space="preserve"> </v>
      </c>
      <c r="I93" s="26" t="s">
        <v>33</v>
      </c>
      <c r="J93" s="27" t="str">
        <f>E24</f>
        <v>Ing. Petr Petele</v>
      </c>
      <c r="L93" s="29"/>
    </row>
    <row r="94" spans="2:12" s="1" customFormat="1" ht="10.35" customHeight="1">
      <c r="B94" s="29"/>
      <c r="L94" s="29"/>
    </row>
    <row r="95" spans="2:20" s="10" customFormat="1" ht="29.25" customHeight="1">
      <c r="B95" s="104"/>
      <c r="C95" s="105" t="s">
        <v>112</v>
      </c>
      <c r="D95" s="106" t="s">
        <v>55</v>
      </c>
      <c r="E95" s="106" t="s">
        <v>51</v>
      </c>
      <c r="F95" s="106" t="s">
        <v>52</v>
      </c>
      <c r="G95" s="106" t="s">
        <v>113</v>
      </c>
      <c r="H95" s="106" t="s">
        <v>114</v>
      </c>
      <c r="I95" s="106" t="s">
        <v>115</v>
      </c>
      <c r="J95" s="106" t="s">
        <v>92</v>
      </c>
      <c r="K95" s="107" t="s">
        <v>116</v>
      </c>
      <c r="L95" s="104"/>
      <c r="M95" s="52" t="s">
        <v>3</v>
      </c>
      <c r="N95" s="53" t="s">
        <v>40</v>
      </c>
      <c r="O95" s="53" t="s">
        <v>117</v>
      </c>
      <c r="P95" s="53" t="s">
        <v>118</v>
      </c>
      <c r="Q95" s="53" t="s">
        <v>119</v>
      </c>
      <c r="R95" s="53" t="s">
        <v>120</v>
      </c>
      <c r="S95" s="53" t="s">
        <v>121</v>
      </c>
      <c r="T95" s="54" t="s">
        <v>122</v>
      </c>
    </row>
    <row r="96" spans="2:63" s="1" customFormat="1" ht="22.7" customHeight="1">
      <c r="B96" s="29"/>
      <c r="C96" s="57" t="s">
        <v>123</v>
      </c>
      <c r="J96" s="108">
        <f>BK96</f>
        <v>0</v>
      </c>
      <c r="L96" s="29"/>
      <c r="M96" s="55"/>
      <c r="N96" s="47"/>
      <c r="O96" s="47"/>
      <c r="P96" s="109">
        <f>P97+P240+P355</f>
        <v>3512.4189189999997</v>
      </c>
      <c r="Q96" s="47"/>
      <c r="R96" s="109">
        <f>R97+R240+R355</f>
        <v>3.4332203999999997</v>
      </c>
      <c r="S96" s="47"/>
      <c r="T96" s="110">
        <f>T97+T240+T355</f>
        <v>397.56837457999995</v>
      </c>
      <c r="AT96" s="17" t="s">
        <v>69</v>
      </c>
      <c r="AU96" s="17" t="s">
        <v>93</v>
      </c>
      <c r="BK96" s="111">
        <f>BK97+BK240+BK355</f>
        <v>0</v>
      </c>
    </row>
    <row r="97" spans="2:63" s="11" customFormat="1" ht="25.9" customHeight="1">
      <c r="B97" s="112"/>
      <c r="D97" s="113" t="s">
        <v>69</v>
      </c>
      <c r="E97" s="114" t="s">
        <v>124</v>
      </c>
      <c r="F97" s="114" t="s">
        <v>125</v>
      </c>
      <c r="J97" s="115">
        <f>BK97</f>
        <v>0</v>
      </c>
      <c r="L97" s="112"/>
      <c r="M97" s="116"/>
      <c r="P97" s="117">
        <f>P98+P131+P225</f>
        <v>2549.791475</v>
      </c>
      <c r="R97" s="117">
        <f>R98+R131+R225</f>
        <v>0</v>
      </c>
      <c r="T97" s="118">
        <f>T98+T131+T225</f>
        <v>286.543102</v>
      </c>
      <c r="AR97" s="113" t="s">
        <v>78</v>
      </c>
      <c r="AT97" s="119" t="s">
        <v>69</v>
      </c>
      <c r="AU97" s="119" t="s">
        <v>70</v>
      </c>
      <c r="AY97" s="113" t="s">
        <v>126</v>
      </c>
      <c r="BK97" s="120">
        <f>BK98+BK131+BK225</f>
        <v>0</v>
      </c>
    </row>
    <row r="98" spans="2:63" s="11" customFormat="1" ht="22.7" customHeight="1">
      <c r="B98" s="112"/>
      <c r="D98" s="113" t="s">
        <v>69</v>
      </c>
      <c r="E98" s="121" t="s">
        <v>78</v>
      </c>
      <c r="F98" s="121" t="s">
        <v>127</v>
      </c>
      <c r="J98" s="122">
        <f>BK98</f>
        <v>0</v>
      </c>
      <c r="L98" s="112"/>
      <c r="M98" s="116"/>
      <c r="P98" s="117">
        <f>SUM(P99:P130)</f>
        <v>48.779421000000006</v>
      </c>
      <c r="R98" s="117">
        <f>SUM(R99:R130)</f>
        <v>0</v>
      </c>
      <c r="T98" s="118">
        <f>SUM(T99:T130)</f>
        <v>11.9</v>
      </c>
      <c r="AR98" s="113" t="s">
        <v>78</v>
      </c>
      <c r="AT98" s="119" t="s">
        <v>69</v>
      </c>
      <c r="AU98" s="119" t="s">
        <v>78</v>
      </c>
      <c r="AY98" s="113" t="s">
        <v>126</v>
      </c>
      <c r="BK98" s="120">
        <f>SUM(BK99:BK130)</f>
        <v>0</v>
      </c>
    </row>
    <row r="99" spans="2:65" s="1" customFormat="1" ht="37.7" customHeight="1">
      <c r="B99" s="123"/>
      <c r="C99" s="124" t="s">
        <v>78</v>
      </c>
      <c r="D99" s="124" t="s">
        <v>128</v>
      </c>
      <c r="E99" s="125" t="s">
        <v>129</v>
      </c>
      <c r="F99" s="126" t="s">
        <v>130</v>
      </c>
      <c r="G99" s="127" t="s">
        <v>131</v>
      </c>
      <c r="H99" s="128">
        <v>17</v>
      </c>
      <c r="I99" s="129"/>
      <c r="J99" s="129">
        <f>ROUND(I99*H99,2)</f>
        <v>0</v>
      </c>
      <c r="K99" s="126" t="s">
        <v>132</v>
      </c>
      <c r="L99" s="29"/>
      <c r="M99" s="130" t="s">
        <v>3</v>
      </c>
      <c r="N99" s="131" t="s">
        <v>41</v>
      </c>
      <c r="O99" s="132">
        <v>0.272</v>
      </c>
      <c r="P99" s="132">
        <f>O99*H99</f>
        <v>4.6240000000000006</v>
      </c>
      <c r="Q99" s="132">
        <v>0</v>
      </c>
      <c r="R99" s="132">
        <f>Q99*H99</f>
        <v>0</v>
      </c>
      <c r="S99" s="132">
        <v>0.26</v>
      </c>
      <c r="T99" s="133">
        <f>S99*H99</f>
        <v>4.42</v>
      </c>
      <c r="AR99" s="134" t="s">
        <v>133</v>
      </c>
      <c r="AT99" s="134" t="s">
        <v>128</v>
      </c>
      <c r="AU99" s="134" t="s">
        <v>80</v>
      </c>
      <c r="AY99" s="17" t="s">
        <v>126</v>
      </c>
      <c r="BE99" s="135">
        <f>IF(N99="základní",J99,0)</f>
        <v>0</v>
      </c>
      <c r="BF99" s="135">
        <f>IF(N99="snížená",J99,0)</f>
        <v>0</v>
      </c>
      <c r="BG99" s="135">
        <f>IF(N99="zákl. přenesená",J99,0)</f>
        <v>0</v>
      </c>
      <c r="BH99" s="135">
        <f>IF(N99="sníž. přenesená",J99,0)</f>
        <v>0</v>
      </c>
      <c r="BI99" s="135">
        <f>IF(N99="nulová",J99,0)</f>
        <v>0</v>
      </c>
      <c r="BJ99" s="17" t="s">
        <v>78</v>
      </c>
      <c r="BK99" s="135">
        <f>ROUND(I99*H99,2)</f>
        <v>0</v>
      </c>
      <c r="BL99" s="17" t="s">
        <v>133</v>
      </c>
      <c r="BM99" s="134" t="s">
        <v>134</v>
      </c>
    </row>
    <row r="100" spans="2:47" s="1" customFormat="1" ht="12">
      <c r="B100" s="29"/>
      <c r="D100" s="136" t="s">
        <v>135</v>
      </c>
      <c r="F100" s="137" t="s">
        <v>136</v>
      </c>
      <c r="L100" s="29"/>
      <c r="M100" s="138"/>
      <c r="T100" s="49"/>
      <c r="AT100" s="17" t="s">
        <v>135</v>
      </c>
      <c r="AU100" s="17" t="s">
        <v>80</v>
      </c>
    </row>
    <row r="101" spans="2:51" s="12" customFormat="1" ht="12">
      <c r="B101" s="139"/>
      <c r="D101" s="140" t="s">
        <v>137</v>
      </c>
      <c r="E101" s="141" t="s">
        <v>3</v>
      </c>
      <c r="F101" s="142" t="s">
        <v>138</v>
      </c>
      <c r="H101" s="143">
        <v>17</v>
      </c>
      <c r="L101" s="139"/>
      <c r="M101" s="144"/>
      <c r="T101" s="145"/>
      <c r="AT101" s="141" t="s">
        <v>137</v>
      </c>
      <c r="AU101" s="141" t="s">
        <v>80</v>
      </c>
      <c r="AV101" s="12" t="s">
        <v>80</v>
      </c>
      <c r="AW101" s="12" t="s">
        <v>32</v>
      </c>
      <c r="AX101" s="12" t="s">
        <v>78</v>
      </c>
      <c r="AY101" s="141" t="s">
        <v>126</v>
      </c>
    </row>
    <row r="102" spans="2:65" s="1" customFormat="1" ht="33" customHeight="1">
      <c r="B102" s="123"/>
      <c r="C102" s="124" t="s">
        <v>80</v>
      </c>
      <c r="D102" s="124" t="s">
        <v>128</v>
      </c>
      <c r="E102" s="125" t="s">
        <v>139</v>
      </c>
      <c r="F102" s="126" t="s">
        <v>140</v>
      </c>
      <c r="G102" s="127" t="s">
        <v>131</v>
      </c>
      <c r="H102" s="128">
        <v>17</v>
      </c>
      <c r="I102" s="129"/>
      <c r="J102" s="129">
        <f>ROUND(I102*H102,2)</f>
        <v>0</v>
      </c>
      <c r="K102" s="126" t="s">
        <v>132</v>
      </c>
      <c r="L102" s="29"/>
      <c r="M102" s="130" t="s">
        <v>3</v>
      </c>
      <c r="N102" s="131" t="s">
        <v>41</v>
      </c>
      <c r="O102" s="132">
        <v>1.158</v>
      </c>
      <c r="P102" s="132">
        <f>O102*H102</f>
        <v>19.686</v>
      </c>
      <c r="Q102" s="132">
        <v>0</v>
      </c>
      <c r="R102" s="132">
        <f>Q102*H102</f>
        <v>0</v>
      </c>
      <c r="S102" s="132">
        <v>0.44</v>
      </c>
      <c r="T102" s="133">
        <f>S102*H102</f>
        <v>7.48</v>
      </c>
      <c r="AR102" s="134" t="s">
        <v>133</v>
      </c>
      <c r="AT102" s="134" t="s">
        <v>128</v>
      </c>
      <c r="AU102" s="134" t="s">
        <v>80</v>
      </c>
      <c r="AY102" s="17" t="s">
        <v>126</v>
      </c>
      <c r="BE102" s="135">
        <f>IF(N102="základní",J102,0)</f>
        <v>0</v>
      </c>
      <c r="BF102" s="135">
        <f>IF(N102="snížená",J102,0)</f>
        <v>0</v>
      </c>
      <c r="BG102" s="135">
        <f>IF(N102="zákl. přenesená",J102,0)</f>
        <v>0</v>
      </c>
      <c r="BH102" s="135">
        <f>IF(N102="sníž. přenesená",J102,0)</f>
        <v>0</v>
      </c>
      <c r="BI102" s="135">
        <f>IF(N102="nulová",J102,0)</f>
        <v>0</v>
      </c>
      <c r="BJ102" s="17" t="s">
        <v>78</v>
      </c>
      <c r="BK102" s="135">
        <f>ROUND(I102*H102,2)</f>
        <v>0</v>
      </c>
      <c r="BL102" s="17" t="s">
        <v>133</v>
      </c>
      <c r="BM102" s="134" t="s">
        <v>141</v>
      </c>
    </row>
    <row r="103" spans="2:47" s="1" customFormat="1" ht="12">
      <c r="B103" s="29"/>
      <c r="D103" s="136" t="s">
        <v>135</v>
      </c>
      <c r="F103" s="137" t="s">
        <v>142</v>
      </c>
      <c r="L103" s="29"/>
      <c r="M103" s="138"/>
      <c r="T103" s="49"/>
      <c r="AT103" s="17" t="s">
        <v>135</v>
      </c>
      <c r="AU103" s="17" t="s">
        <v>80</v>
      </c>
    </row>
    <row r="104" spans="2:51" s="12" customFormat="1" ht="12">
      <c r="B104" s="139"/>
      <c r="D104" s="140" t="s">
        <v>137</v>
      </c>
      <c r="E104" s="141" t="s">
        <v>3</v>
      </c>
      <c r="F104" s="142" t="s">
        <v>138</v>
      </c>
      <c r="H104" s="143">
        <v>17</v>
      </c>
      <c r="L104" s="139"/>
      <c r="M104" s="144"/>
      <c r="T104" s="145"/>
      <c r="AT104" s="141" t="s">
        <v>137</v>
      </c>
      <c r="AU104" s="141" t="s">
        <v>80</v>
      </c>
      <c r="AV104" s="12" t="s">
        <v>80</v>
      </c>
      <c r="AW104" s="12" t="s">
        <v>32</v>
      </c>
      <c r="AX104" s="12" t="s">
        <v>78</v>
      </c>
      <c r="AY104" s="141" t="s">
        <v>126</v>
      </c>
    </row>
    <row r="105" spans="2:65" s="1" customFormat="1" ht="24.2" customHeight="1">
      <c r="B105" s="123"/>
      <c r="C105" s="124" t="s">
        <v>143</v>
      </c>
      <c r="D105" s="124" t="s">
        <v>128</v>
      </c>
      <c r="E105" s="125" t="s">
        <v>144</v>
      </c>
      <c r="F105" s="126" t="s">
        <v>145</v>
      </c>
      <c r="G105" s="127" t="s">
        <v>146</v>
      </c>
      <c r="H105" s="128">
        <v>3.104</v>
      </c>
      <c r="I105" s="129"/>
      <c r="J105" s="129">
        <f>ROUND(I105*H105,2)</f>
        <v>0</v>
      </c>
      <c r="K105" s="126" t="s">
        <v>132</v>
      </c>
      <c r="L105" s="29"/>
      <c r="M105" s="130" t="s">
        <v>3</v>
      </c>
      <c r="N105" s="131" t="s">
        <v>41</v>
      </c>
      <c r="O105" s="132">
        <v>4.493</v>
      </c>
      <c r="P105" s="132">
        <f>O105*H105</f>
        <v>13.946272000000002</v>
      </c>
      <c r="Q105" s="132">
        <v>0</v>
      </c>
      <c r="R105" s="132">
        <f>Q105*H105</f>
        <v>0</v>
      </c>
      <c r="S105" s="132">
        <v>0</v>
      </c>
      <c r="T105" s="133">
        <f>S105*H105</f>
        <v>0</v>
      </c>
      <c r="AR105" s="134" t="s">
        <v>133</v>
      </c>
      <c r="AT105" s="134" t="s">
        <v>128</v>
      </c>
      <c r="AU105" s="134" t="s">
        <v>80</v>
      </c>
      <c r="AY105" s="17" t="s">
        <v>126</v>
      </c>
      <c r="BE105" s="135">
        <f>IF(N105="základní",J105,0)</f>
        <v>0</v>
      </c>
      <c r="BF105" s="135">
        <f>IF(N105="snížená",J105,0)</f>
        <v>0</v>
      </c>
      <c r="BG105" s="135">
        <f>IF(N105="zákl. přenesená",J105,0)</f>
        <v>0</v>
      </c>
      <c r="BH105" s="135">
        <f>IF(N105="sníž. přenesená",J105,0)</f>
        <v>0</v>
      </c>
      <c r="BI105" s="135">
        <f>IF(N105="nulová",J105,0)</f>
        <v>0</v>
      </c>
      <c r="BJ105" s="17" t="s">
        <v>78</v>
      </c>
      <c r="BK105" s="135">
        <f>ROUND(I105*H105,2)</f>
        <v>0</v>
      </c>
      <c r="BL105" s="17" t="s">
        <v>133</v>
      </c>
      <c r="BM105" s="134" t="s">
        <v>147</v>
      </c>
    </row>
    <row r="106" spans="2:47" s="1" customFormat="1" ht="12">
      <c r="B106" s="29"/>
      <c r="D106" s="136" t="s">
        <v>135</v>
      </c>
      <c r="F106" s="137" t="s">
        <v>148</v>
      </c>
      <c r="L106" s="29"/>
      <c r="M106" s="138"/>
      <c r="T106" s="49"/>
      <c r="AT106" s="17" t="s">
        <v>135</v>
      </c>
      <c r="AU106" s="17" t="s">
        <v>80</v>
      </c>
    </row>
    <row r="107" spans="2:51" s="12" customFormat="1" ht="12">
      <c r="B107" s="139"/>
      <c r="D107" s="140" t="s">
        <v>137</v>
      </c>
      <c r="E107" s="141" t="s">
        <v>3</v>
      </c>
      <c r="F107" s="142" t="s">
        <v>149</v>
      </c>
      <c r="H107" s="143">
        <v>2.817</v>
      </c>
      <c r="L107" s="139"/>
      <c r="M107" s="144"/>
      <c r="T107" s="145"/>
      <c r="AT107" s="141" t="s">
        <v>137</v>
      </c>
      <c r="AU107" s="141" t="s">
        <v>80</v>
      </c>
      <c r="AV107" s="12" t="s">
        <v>80</v>
      </c>
      <c r="AW107" s="12" t="s">
        <v>32</v>
      </c>
      <c r="AX107" s="12" t="s">
        <v>70</v>
      </c>
      <c r="AY107" s="141" t="s">
        <v>126</v>
      </c>
    </row>
    <row r="108" spans="2:51" s="12" customFormat="1" ht="12">
      <c r="B108" s="139"/>
      <c r="D108" s="140" t="s">
        <v>137</v>
      </c>
      <c r="E108" s="141" t="s">
        <v>3</v>
      </c>
      <c r="F108" s="142" t="s">
        <v>150</v>
      </c>
      <c r="H108" s="143">
        <v>0.287</v>
      </c>
      <c r="L108" s="139"/>
      <c r="M108" s="144"/>
      <c r="T108" s="145"/>
      <c r="AT108" s="141" t="s">
        <v>137</v>
      </c>
      <c r="AU108" s="141" t="s">
        <v>80</v>
      </c>
      <c r="AV108" s="12" t="s">
        <v>80</v>
      </c>
      <c r="AW108" s="12" t="s">
        <v>32</v>
      </c>
      <c r="AX108" s="12" t="s">
        <v>70</v>
      </c>
      <c r="AY108" s="141" t="s">
        <v>126</v>
      </c>
    </row>
    <row r="109" spans="2:51" s="13" customFormat="1" ht="12">
      <c r="B109" s="146"/>
      <c r="D109" s="140" t="s">
        <v>137</v>
      </c>
      <c r="E109" s="147" t="s">
        <v>3</v>
      </c>
      <c r="F109" s="148" t="s">
        <v>151</v>
      </c>
      <c r="H109" s="149">
        <v>3.104</v>
      </c>
      <c r="L109" s="146"/>
      <c r="M109" s="150"/>
      <c r="T109" s="151"/>
      <c r="AT109" s="147" t="s">
        <v>137</v>
      </c>
      <c r="AU109" s="147" t="s">
        <v>80</v>
      </c>
      <c r="AV109" s="13" t="s">
        <v>133</v>
      </c>
      <c r="AW109" s="13" t="s">
        <v>32</v>
      </c>
      <c r="AX109" s="13" t="s">
        <v>78</v>
      </c>
      <c r="AY109" s="147" t="s">
        <v>126</v>
      </c>
    </row>
    <row r="110" spans="2:65" s="1" customFormat="1" ht="37.7" customHeight="1">
      <c r="B110" s="123"/>
      <c r="C110" s="124" t="s">
        <v>133</v>
      </c>
      <c r="D110" s="124" t="s">
        <v>128</v>
      </c>
      <c r="E110" s="125" t="s">
        <v>152</v>
      </c>
      <c r="F110" s="126" t="s">
        <v>153</v>
      </c>
      <c r="G110" s="127" t="s">
        <v>146</v>
      </c>
      <c r="H110" s="128">
        <v>8.204</v>
      </c>
      <c r="I110" s="129"/>
      <c r="J110" s="129">
        <f>ROUND(I110*H110,2)</f>
        <v>0</v>
      </c>
      <c r="K110" s="126" t="s">
        <v>132</v>
      </c>
      <c r="L110" s="29"/>
      <c r="M110" s="130" t="s">
        <v>3</v>
      </c>
      <c r="N110" s="131" t="s">
        <v>41</v>
      </c>
      <c r="O110" s="132">
        <v>0.087</v>
      </c>
      <c r="P110" s="132">
        <f>O110*H110</f>
        <v>0.713748</v>
      </c>
      <c r="Q110" s="132">
        <v>0</v>
      </c>
      <c r="R110" s="132">
        <f>Q110*H110</f>
        <v>0</v>
      </c>
      <c r="S110" s="132">
        <v>0</v>
      </c>
      <c r="T110" s="133">
        <f>S110*H110</f>
        <v>0</v>
      </c>
      <c r="AR110" s="134" t="s">
        <v>133</v>
      </c>
      <c r="AT110" s="134" t="s">
        <v>128</v>
      </c>
      <c r="AU110" s="134" t="s">
        <v>80</v>
      </c>
      <c r="AY110" s="17" t="s">
        <v>126</v>
      </c>
      <c r="BE110" s="135">
        <f>IF(N110="základní",J110,0)</f>
        <v>0</v>
      </c>
      <c r="BF110" s="135">
        <f>IF(N110="snížená",J110,0)</f>
        <v>0</v>
      </c>
      <c r="BG110" s="135">
        <f>IF(N110="zákl. přenesená",J110,0)</f>
        <v>0</v>
      </c>
      <c r="BH110" s="135">
        <f>IF(N110="sníž. přenesená",J110,0)</f>
        <v>0</v>
      </c>
      <c r="BI110" s="135">
        <f>IF(N110="nulová",J110,0)</f>
        <v>0</v>
      </c>
      <c r="BJ110" s="17" t="s">
        <v>78</v>
      </c>
      <c r="BK110" s="135">
        <f>ROUND(I110*H110,2)</f>
        <v>0</v>
      </c>
      <c r="BL110" s="17" t="s">
        <v>133</v>
      </c>
      <c r="BM110" s="134" t="s">
        <v>154</v>
      </c>
    </row>
    <row r="111" spans="2:47" s="1" customFormat="1" ht="12">
      <c r="B111" s="29"/>
      <c r="D111" s="136" t="s">
        <v>135</v>
      </c>
      <c r="F111" s="137" t="s">
        <v>155</v>
      </c>
      <c r="L111" s="29"/>
      <c r="M111" s="138"/>
      <c r="T111" s="49"/>
      <c r="AT111" s="17" t="s">
        <v>135</v>
      </c>
      <c r="AU111" s="17" t="s">
        <v>80</v>
      </c>
    </row>
    <row r="112" spans="2:51" s="12" customFormat="1" ht="12">
      <c r="B112" s="139"/>
      <c r="D112" s="140" t="s">
        <v>137</v>
      </c>
      <c r="E112" s="141" t="s">
        <v>3</v>
      </c>
      <c r="F112" s="142" t="s">
        <v>156</v>
      </c>
      <c r="H112" s="143">
        <v>5.1</v>
      </c>
      <c r="L112" s="139"/>
      <c r="M112" s="144"/>
      <c r="T112" s="145"/>
      <c r="AT112" s="141" t="s">
        <v>137</v>
      </c>
      <c r="AU112" s="141" t="s">
        <v>80</v>
      </c>
      <c r="AV112" s="12" t="s">
        <v>80</v>
      </c>
      <c r="AW112" s="12" t="s">
        <v>32</v>
      </c>
      <c r="AX112" s="12" t="s">
        <v>70</v>
      </c>
      <c r="AY112" s="141" t="s">
        <v>126</v>
      </c>
    </row>
    <row r="113" spans="2:51" s="12" customFormat="1" ht="12">
      <c r="B113" s="139"/>
      <c r="D113" s="140" t="s">
        <v>137</v>
      </c>
      <c r="E113" s="141" t="s">
        <v>3</v>
      </c>
      <c r="F113" s="142" t="s">
        <v>149</v>
      </c>
      <c r="H113" s="143">
        <v>2.817</v>
      </c>
      <c r="L113" s="139"/>
      <c r="M113" s="144"/>
      <c r="T113" s="145"/>
      <c r="AT113" s="141" t="s">
        <v>137</v>
      </c>
      <c r="AU113" s="141" t="s">
        <v>80</v>
      </c>
      <c r="AV113" s="12" t="s">
        <v>80</v>
      </c>
      <c r="AW113" s="12" t="s">
        <v>32</v>
      </c>
      <c r="AX113" s="12" t="s">
        <v>70</v>
      </c>
      <c r="AY113" s="141" t="s">
        <v>126</v>
      </c>
    </row>
    <row r="114" spans="2:51" s="12" customFormat="1" ht="12">
      <c r="B114" s="139"/>
      <c r="D114" s="140" t="s">
        <v>137</v>
      </c>
      <c r="E114" s="141" t="s">
        <v>3</v>
      </c>
      <c r="F114" s="142" t="s">
        <v>150</v>
      </c>
      <c r="H114" s="143">
        <v>0.287</v>
      </c>
      <c r="L114" s="139"/>
      <c r="M114" s="144"/>
      <c r="T114" s="145"/>
      <c r="AT114" s="141" t="s">
        <v>137</v>
      </c>
      <c r="AU114" s="141" t="s">
        <v>80</v>
      </c>
      <c r="AV114" s="12" t="s">
        <v>80</v>
      </c>
      <c r="AW114" s="12" t="s">
        <v>32</v>
      </c>
      <c r="AX114" s="12" t="s">
        <v>70</v>
      </c>
      <c r="AY114" s="141" t="s">
        <v>126</v>
      </c>
    </row>
    <row r="115" spans="2:51" s="13" customFormat="1" ht="12">
      <c r="B115" s="146"/>
      <c r="D115" s="140" t="s">
        <v>137</v>
      </c>
      <c r="E115" s="147" t="s">
        <v>3</v>
      </c>
      <c r="F115" s="148" t="s">
        <v>151</v>
      </c>
      <c r="H115" s="149">
        <v>8.204</v>
      </c>
      <c r="L115" s="146"/>
      <c r="M115" s="150"/>
      <c r="T115" s="151"/>
      <c r="AT115" s="147" t="s">
        <v>137</v>
      </c>
      <c r="AU115" s="147" t="s">
        <v>80</v>
      </c>
      <c r="AV115" s="13" t="s">
        <v>133</v>
      </c>
      <c r="AW115" s="13" t="s">
        <v>32</v>
      </c>
      <c r="AX115" s="13" t="s">
        <v>78</v>
      </c>
      <c r="AY115" s="147" t="s">
        <v>126</v>
      </c>
    </row>
    <row r="116" spans="2:65" s="1" customFormat="1" ht="37.7" customHeight="1">
      <c r="B116" s="123"/>
      <c r="C116" s="124" t="s">
        <v>157</v>
      </c>
      <c r="D116" s="124" t="s">
        <v>128</v>
      </c>
      <c r="E116" s="125" t="s">
        <v>158</v>
      </c>
      <c r="F116" s="126" t="s">
        <v>159</v>
      </c>
      <c r="G116" s="127" t="s">
        <v>146</v>
      </c>
      <c r="H116" s="128">
        <v>82.04</v>
      </c>
      <c r="I116" s="129"/>
      <c r="J116" s="129">
        <f>ROUND(I116*H116,2)</f>
        <v>0</v>
      </c>
      <c r="K116" s="126" t="s">
        <v>132</v>
      </c>
      <c r="L116" s="29"/>
      <c r="M116" s="130" t="s">
        <v>3</v>
      </c>
      <c r="N116" s="131" t="s">
        <v>41</v>
      </c>
      <c r="O116" s="132">
        <v>0.005</v>
      </c>
      <c r="P116" s="132">
        <f>O116*H116</f>
        <v>0.41020000000000006</v>
      </c>
      <c r="Q116" s="132">
        <v>0</v>
      </c>
      <c r="R116" s="132">
        <f>Q116*H116</f>
        <v>0</v>
      </c>
      <c r="S116" s="132">
        <v>0</v>
      </c>
      <c r="T116" s="133">
        <f>S116*H116</f>
        <v>0</v>
      </c>
      <c r="AR116" s="134" t="s">
        <v>133</v>
      </c>
      <c r="AT116" s="134" t="s">
        <v>128</v>
      </c>
      <c r="AU116" s="134" t="s">
        <v>80</v>
      </c>
      <c r="AY116" s="17" t="s">
        <v>126</v>
      </c>
      <c r="BE116" s="135">
        <f>IF(N116="základní",J116,0)</f>
        <v>0</v>
      </c>
      <c r="BF116" s="135">
        <f>IF(N116="snížená",J116,0)</f>
        <v>0</v>
      </c>
      <c r="BG116" s="135">
        <f>IF(N116="zákl. přenesená",J116,0)</f>
        <v>0</v>
      </c>
      <c r="BH116" s="135">
        <f>IF(N116="sníž. přenesená",J116,0)</f>
        <v>0</v>
      </c>
      <c r="BI116" s="135">
        <f>IF(N116="nulová",J116,0)</f>
        <v>0</v>
      </c>
      <c r="BJ116" s="17" t="s">
        <v>78</v>
      </c>
      <c r="BK116" s="135">
        <f>ROUND(I116*H116,2)</f>
        <v>0</v>
      </c>
      <c r="BL116" s="17" t="s">
        <v>133</v>
      </c>
      <c r="BM116" s="134" t="s">
        <v>160</v>
      </c>
    </row>
    <row r="117" spans="2:47" s="1" customFormat="1" ht="12">
      <c r="B117" s="29"/>
      <c r="D117" s="136" t="s">
        <v>135</v>
      </c>
      <c r="F117" s="137" t="s">
        <v>161</v>
      </c>
      <c r="L117" s="29"/>
      <c r="M117" s="138"/>
      <c r="T117" s="49"/>
      <c r="AT117" s="17" t="s">
        <v>135</v>
      </c>
      <c r="AU117" s="17" t="s">
        <v>80</v>
      </c>
    </row>
    <row r="118" spans="2:51" s="12" customFormat="1" ht="12">
      <c r="B118" s="139"/>
      <c r="D118" s="140" t="s">
        <v>137</v>
      </c>
      <c r="F118" s="142" t="s">
        <v>162</v>
      </c>
      <c r="H118" s="143">
        <v>82.04</v>
      </c>
      <c r="L118" s="139"/>
      <c r="M118" s="144"/>
      <c r="T118" s="145"/>
      <c r="AT118" s="141" t="s">
        <v>137</v>
      </c>
      <c r="AU118" s="141" t="s">
        <v>80</v>
      </c>
      <c r="AV118" s="12" t="s">
        <v>80</v>
      </c>
      <c r="AW118" s="12" t="s">
        <v>4</v>
      </c>
      <c r="AX118" s="12" t="s">
        <v>78</v>
      </c>
      <c r="AY118" s="141" t="s">
        <v>126</v>
      </c>
    </row>
    <row r="119" spans="2:65" s="1" customFormat="1" ht="24.2" customHeight="1">
      <c r="B119" s="123"/>
      <c r="C119" s="124" t="s">
        <v>163</v>
      </c>
      <c r="D119" s="124" t="s">
        <v>128</v>
      </c>
      <c r="E119" s="125" t="s">
        <v>164</v>
      </c>
      <c r="F119" s="126" t="s">
        <v>165</v>
      </c>
      <c r="G119" s="127" t="s">
        <v>146</v>
      </c>
      <c r="H119" s="128">
        <v>8.204</v>
      </c>
      <c r="I119" s="129"/>
      <c r="J119" s="129">
        <f>ROUND(I119*H119,2)</f>
        <v>0</v>
      </c>
      <c r="K119" s="126" t="s">
        <v>132</v>
      </c>
      <c r="L119" s="29"/>
      <c r="M119" s="130" t="s">
        <v>3</v>
      </c>
      <c r="N119" s="131" t="s">
        <v>41</v>
      </c>
      <c r="O119" s="132">
        <v>1.137</v>
      </c>
      <c r="P119" s="132">
        <f>O119*H119</f>
        <v>9.327948000000001</v>
      </c>
      <c r="Q119" s="132">
        <v>0</v>
      </c>
      <c r="R119" s="132">
        <f>Q119*H119</f>
        <v>0</v>
      </c>
      <c r="S119" s="132">
        <v>0</v>
      </c>
      <c r="T119" s="133">
        <f>S119*H119</f>
        <v>0</v>
      </c>
      <c r="AR119" s="134" t="s">
        <v>133</v>
      </c>
      <c r="AT119" s="134" t="s">
        <v>128</v>
      </c>
      <c r="AU119" s="134" t="s">
        <v>80</v>
      </c>
      <c r="AY119" s="17" t="s">
        <v>126</v>
      </c>
      <c r="BE119" s="135">
        <f>IF(N119="základní",J119,0)</f>
        <v>0</v>
      </c>
      <c r="BF119" s="135">
        <f>IF(N119="snížená",J119,0)</f>
        <v>0</v>
      </c>
      <c r="BG119" s="135">
        <f>IF(N119="zákl. přenesená",J119,0)</f>
        <v>0</v>
      </c>
      <c r="BH119" s="135">
        <f>IF(N119="sníž. přenesená",J119,0)</f>
        <v>0</v>
      </c>
      <c r="BI119" s="135">
        <f>IF(N119="nulová",J119,0)</f>
        <v>0</v>
      </c>
      <c r="BJ119" s="17" t="s">
        <v>78</v>
      </c>
      <c r="BK119" s="135">
        <f>ROUND(I119*H119,2)</f>
        <v>0</v>
      </c>
      <c r="BL119" s="17" t="s">
        <v>133</v>
      </c>
      <c r="BM119" s="134" t="s">
        <v>166</v>
      </c>
    </row>
    <row r="120" spans="2:47" s="1" customFormat="1" ht="12">
      <c r="B120" s="29"/>
      <c r="D120" s="136" t="s">
        <v>135</v>
      </c>
      <c r="F120" s="137" t="s">
        <v>167</v>
      </c>
      <c r="L120" s="29"/>
      <c r="M120" s="138"/>
      <c r="T120" s="49"/>
      <c r="AT120" s="17" t="s">
        <v>135</v>
      </c>
      <c r="AU120" s="17" t="s">
        <v>80</v>
      </c>
    </row>
    <row r="121" spans="2:51" s="12" customFormat="1" ht="12">
      <c r="B121" s="139"/>
      <c r="D121" s="140" t="s">
        <v>137</v>
      </c>
      <c r="E121" s="141" t="s">
        <v>3</v>
      </c>
      <c r="F121" s="142" t="s">
        <v>156</v>
      </c>
      <c r="H121" s="143">
        <v>5.1</v>
      </c>
      <c r="L121" s="139"/>
      <c r="M121" s="144"/>
      <c r="T121" s="145"/>
      <c r="AT121" s="141" t="s">
        <v>137</v>
      </c>
      <c r="AU121" s="141" t="s">
        <v>80</v>
      </c>
      <c r="AV121" s="12" t="s">
        <v>80</v>
      </c>
      <c r="AW121" s="12" t="s">
        <v>32</v>
      </c>
      <c r="AX121" s="12" t="s">
        <v>70</v>
      </c>
      <c r="AY121" s="141" t="s">
        <v>126</v>
      </c>
    </row>
    <row r="122" spans="2:51" s="12" customFormat="1" ht="12">
      <c r="B122" s="139"/>
      <c r="D122" s="140" t="s">
        <v>137</v>
      </c>
      <c r="E122" s="141" t="s">
        <v>3</v>
      </c>
      <c r="F122" s="142" t="s">
        <v>149</v>
      </c>
      <c r="H122" s="143">
        <v>2.817</v>
      </c>
      <c r="L122" s="139"/>
      <c r="M122" s="144"/>
      <c r="T122" s="145"/>
      <c r="AT122" s="141" t="s">
        <v>137</v>
      </c>
      <c r="AU122" s="141" t="s">
        <v>80</v>
      </c>
      <c r="AV122" s="12" t="s">
        <v>80</v>
      </c>
      <c r="AW122" s="12" t="s">
        <v>32</v>
      </c>
      <c r="AX122" s="12" t="s">
        <v>70</v>
      </c>
      <c r="AY122" s="141" t="s">
        <v>126</v>
      </c>
    </row>
    <row r="123" spans="2:51" s="12" customFormat="1" ht="12">
      <c r="B123" s="139"/>
      <c r="D123" s="140" t="s">
        <v>137</v>
      </c>
      <c r="E123" s="141" t="s">
        <v>3</v>
      </c>
      <c r="F123" s="142" t="s">
        <v>150</v>
      </c>
      <c r="H123" s="143">
        <v>0.287</v>
      </c>
      <c r="L123" s="139"/>
      <c r="M123" s="144"/>
      <c r="T123" s="145"/>
      <c r="AT123" s="141" t="s">
        <v>137</v>
      </c>
      <c r="AU123" s="141" t="s">
        <v>80</v>
      </c>
      <c r="AV123" s="12" t="s">
        <v>80</v>
      </c>
      <c r="AW123" s="12" t="s">
        <v>32</v>
      </c>
      <c r="AX123" s="12" t="s">
        <v>70</v>
      </c>
      <c r="AY123" s="141" t="s">
        <v>126</v>
      </c>
    </row>
    <row r="124" spans="2:51" s="13" customFormat="1" ht="12">
      <c r="B124" s="146"/>
      <c r="D124" s="140" t="s">
        <v>137</v>
      </c>
      <c r="E124" s="147" t="s">
        <v>3</v>
      </c>
      <c r="F124" s="148" t="s">
        <v>151</v>
      </c>
      <c r="H124" s="149">
        <v>8.204</v>
      </c>
      <c r="L124" s="146"/>
      <c r="M124" s="150"/>
      <c r="T124" s="151"/>
      <c r="AT124" s="147" t="s">
        <v>137</v>
      </c>
      <c r="AU124" s="147" t="s">
        <v>80</v>
      </c>
      <c r="AV124" s="13" t="s">
        <v>133</v>
      </c>
      <c r="AW124" s="13" t="s">
        <v>32</v>
      </c>
      <c r="AX124" s="13" t="s">
        <v>78</v>
      </c>
      <c r="AY124" s="147" t="s">
        <v>126</v>
      </c>
    </row>
    <row r="125" spans="2:65" s="1" customFormat="1" ht="24.2" customHeight="1">
      <c r="B125" s="123"/>
      <c r="C125" s="124" t="s">
        <v>168</v>
      </c>
      <c r="D125" s="124" t="s">
        <v>128</v>
      </c>
      <c r="E125" s="125" t="s">
        <v>169</v>
      </c>
      <c r="F125" s="126" t="s">
        <v>170</v>
      </c>
      <c r="G125" s="127" t="s">
        <v>171</v>
      </c>
      <c r="H125" s="128">
        <v>14.251</v>
      </c>
      <c r="I125" s="129"/>
      <c r="J125" s="129">
        <f>ROUND(I125*H125,2)</f>
        <v>0</v>
      </c>
      <c r="K125" s="126" t="s">
        <v>132</v>
      </c>
      <c r="L125" s="29"/>
      <c r="M125" s="130" t="s">
        <v>3</v>
      </c>
      <c r="N125" s="131" t="s">
        <v>41</v>
      </c>
      <c r="O125" s="132">
        <v>0</v>
      </c>
      <c r="P125" s="132">
        <f>O125*H125</f>
        <v>0</v>
      </c>
      <c r="Q125" s="132">
        <v>0</v>
      </c>
      <c r="R125" s="132">
        <f>Q125*H125</f>
        <v>0</v>
      </c>
      <c r="S125" s="132">
        <v>0</v>
      </c>
      <c r="T125" s="133">
        <f>S125*H125</f>
        <v>0</v>
      </c>
      <c r="AR125" s="134" t="s">
        <v>133</v>
      </c>
      <c r="AT125" s="134" t="s">
        <v>128</v>
      </c>
      <c r="AU125" s="134" t="s">
        <v>80</v>
      </c>
      <c r="AY125" s="17" t="s">
        <v>126</v>
      </c>
      <c r="BE125" s="135">
        <f>IF(N125="základní",J125,0)</f>
        <v>0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17" t="s">
        <v>78</v>
      </c>
      <c r="BK125" s="135">
        <f>ROUND(I125*H125,2)</f>
        <v>0</v>
      </c>
      <c r="BL125" s="17" t="s">
        <v>133</v>
      </c>
      <c r="BM125" s="134" t="s">
        <v>172</v>
      </c>
    </row>
    <row r="126" spans="2:47" s="1" customFormat="1" ht="12">
      <c r="B126" s="29"/>
      <c r="D126" s="136" t="s">
        <v>135</v>
      </c>
      <c r="F126" s="137" t="s">
        <v>173</v>
      </c>
      <c r="L126" s="29"/>
      <c r="M126" s="138"/>
      <c r="T126" s="49"/>
      <c r="AT126" s="17" t="s">
        <v>135</v>
      </c>
      <c r="AU126" s="17" t="s">
        <v>80</v>
      </c>
    </row>
    <row r="127" spans="2:51" s="12" customFormat="1" ht="12">
      <c r="B127" s="139"/>
      <c r="D127" s="140" t="s">
        <v>137</v>
      </c>
      <c r="F127" s="142" t="s">
        <v>174</v>
      </c>
      <c r="H127" s="143">
        <v>14.251</v>
      </c>
      <c r="L127" s="139"/>
      <c r="M127" s="144"/>
      <c r="T127" s="145"/>
      <c r="AT127" s="141" t="s">
        <v>137</v>
      </c>
      <c r="AU127" s="141" t="s">
        <v>80</v>
      </c>
      <c r="AV127" s="12" t="s">
        <v>80</v>
      </c>
      <c r="AW127" s="12" t="s">
        <v>4</v>
      </c>
      <c r="AX127" s="12" t="s">
        <v>78</v>
      </c>
      <c r="AY127" s="141" t="s">
        <v>126</v>
      </c>
    </row>
    <row r="128" spans="2:65" s="1" customFormat="1" ht="24.2" customHeight="1">
      <c r="B128" s="123"/>
      <c r="C128" s="124" t="s">
        <v>175</v>
      </c>
      <c r="D128" s="124" t="s">
        <v>128</v>
      </c>
      <c r="E128" s="125" t="s">
        <v>176</v>
      </c>
      <c r="F128" s="126" t="s">
        <v>177</v>
      </c>
      <c r="G128" s="127" t="s">
        <v>146</v>
      </c>
      <c r="H128" s="128">
        <v>7.917</v>
      </c>
      <c r="I128" s="129"/>
      <c r="J128" s="129">
        <f>ROUND(I128*H128,2)</f>
        <v>0</v>
      </c>
      <c r="K128" s="126" t="s">
        <v>132</v>
      </c>
      <c r="L128" s="29"/>
      <c r="M128" s="130" t="s">
        <v>3</v>
      </c>
      <c r="N128" s="131" t="s">
        <v>41</v>
      </c>
      <c r="O128" s="132">
        <v>0.009</v>
      </c>
      <c r="P128" s="132">
        <f>O128*H128</f>
        <v>0.071253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34" t="s">
        <v>133</v>
      </c>
      <c r="AT128" s="134" t="s">
        <v>128</v>
      </c>
      <c r="AU128" s="134" t="s">
        <v>80</v>
      </c>
      <c r="AY128" s="17" t="s">
        <v>126</v>
      </c>
      <c r="BE128" s="135">
        <f>IF(N128="základní",J128,0)</f>
        <v>0</v>
      </c>
      <c r="BF128" s="135">
        <f>IF(N128="snížená",J128,0)</f>
        <v>0</v>
      </c>
      <c r="BG128" s="135">
        <f>IF(N128="zákl. přenesená",J128,0)</f>
        <v>0</v>
      </c>
      <c r="BH128" s="135">
        <f>IF(N128="sníž. přenesená",J128,0)</f>
        <v>0</v>
      </c>
      <c r="BI128" s="135">
        <f>IF(N128="nulová",J128,0)</f>
        <v>0</v>
      </c>
      <c r="BJ128" s="17" t="s">
        <v>78</v>
      </c>
      <c r="BK128" s="135">
        <f>ROUND(I128*H128,2)</f>
        <v>0</v>
      </c>
      <c r="BL128" s="17" t="s">
        <v>133</v>
      </c>
      <c r="BM128" s="134" t="s">
        <v>178</v>
      </c>
    </row>
    <row r="129" spans="2:47" s="1" customFormat="1" ht="12">
      <c r="B129" s="29"/>
      <c r="D129" s="136" t="s">
        <v>135</v>
      </c>
      <c r="F129" s="137" t="s">
        <v>179</v>
      </c>
      <c r="L129" s="29"/>
      <c r="M129" s="138"/>
      <c r="T129" s="49"/>
      <c r="AT129" s="17" t="s">
        <v>135</v>
      </c>
      <c r="AU129" s="17" t="s">
        <v>80</v>
      </c>
    </row>
    <row r="130" spans="2:65" s="1" customFormat="1" ht="16.5" customHeight="1">
      <c r="B130" s="123"/>
      <c r="C130" s="124" t="s">
        <v>180</v>
      </c>
      <c r="D130" s="124" t="s">
        <v>128</v>
      </c>
      <c r="E130" s="125" t="s">
        <v>181</v>
      </c>
      <c r="F130" s="126" t="s">
        <v>182</v>
      </c>
      <c r="G130" s="127" t="s">
        <v>183</v>
      </c>
      <c r="H130" s="128">
        <v>1</v>
      </c>
      <c r="I130" s="129"/>
      <c r="J130" s="129">
        <f>ROUND(I130*H130,2)</f>
        <v>0</v>
      </c>
      <c r="K130" s="126" t="s">
        <v>3</v>
      </c>
      <c r="L130" s="29"/>
      <c r="M130" s="130" t="s">
        <v>3</v>
      </c>
      <c r="N130" s="131" t="s">
        <v>41</v>
      </c>
      <c r="O130" s="132">
        <v>0</v>
      </c>
      <c r="P130" s="132">
        <f>O130*H130</f>
        <v>0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133</v>
      </c>
      <c r="AT130" s="134" t="s">
        <v>128</v>
      </c>
      <c r="AU130" s="134" t="s">
        <v>80</v>
      </c>
      <c r="AY130" s="17" t="s">
        <v>126</v>
      </c>
      <c r="BE130" s="135">
        <f>IF(N130="základní",J130,0)</f>
        <v>0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7" t="s">
        <v>78</v>
      </c>
      <c r="BK130" s="135">
        <f>ROUND(I130*H130,2)</f>
        <v>0</v>
      </c>
      <c r="BL130" s="17" t="s">
        <v>133</v>
      </c>
      <c r="BM130" s="134" t="s">
        <v>184</v>
      </c>
    </row>
    <row r="131" spans="2:63" s="11" customFormat="1" ht="22.7" customHeight="1">
      <c r="B131" s="112"/>
      <c r="D131" s="113" t="s">
        <v>69</v>
      </c>
      <c r="E131" s="121" t="s">
        <v>180</v>
      </c>
      <c r="F131" s="121" t="s">
        <v>185</v>
      </c>
      <c r="J131" s="122">
        <f>BK131</f>
        <v>0</v>
      </c>
      <c r="L131" s="112"/>
      <c r="M131" s="116"/>
      <c r="P131" s="117">
        <f>SUM(P132:P224)</f>
        <v>834.6167819999998</v>
      </c>
      <c r="R131" s="117">
        <f>SUM(R132:R224)</f>
        <v>0</v>
      </c>
      <c r="T131" s="118">
        <f>SUM(T132:T224)</f>
        <v>274.643102</v>
      </c>
      <c r="AR131" s="113" t="s">
        <v>78</v>
      </c>
      <c r="AT131" s="119" t="s">
        <v>69</v>
      </c>
      <c r="AU131" s="119" t="s">
        <v>78</v>
      </c>
      <c r="AY131" s="113" t="s">
        <v>126</v>
      </c>
      <c r="BK131" s="120">
        <f>SUM(BK132:BK224)</f>
        <v>0</v>
      </c>
    </row>
    <row r="132" spans="2:65" s="1" customFormat="1" ht="24.2" customHeight="1">
      <c r="B132" s="123"/>
      <c r="C132" s="124" t="s">
        <v>186</v>
      </c>
      <c r="D132" s="124" t="s">
        <v>128</v>
      </c>
      <c r="E132" s="125" t="s">
        <v>187</v>
      </c>
      <c r="F132" s="126" t="s">
        <v>188</v>
      </c>
      <c r="G132" s="127" t="s">
        <v>146</v>
      </c>
      <c r="H132" s="128">
        <v>236.466</v>
      </c>
      <c r="I132" s="129"/>
      <c r="J132" s="129">
        <f>ROUND(I132*H132,2)</f>
        <v>0</v>
      </c>
      <c r="K132" s="126" t="s">
        <v>132</v>
      </c>
      <c r="L132" s="29"/>
      <c r="M132" s="130" t="s">
        <v>3</v>
      </c>
      <c r="N132" s="131" t="s">
        <v>41</v>
      </c>
      <c r="O132" s="132">
        <v>0.106</v>
      </c>
      <c r="P132" s="132">
        <f>O132*H132</f>
        <v>25.065396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AR132" s="134" t="s">
        <v>133</v>
      </c>
      <c r="AT132" s="134" t="s">
        <v>128</v>
      </c>
      <c r="AU132" s="134" t="s">
        <v>80</v>
      </c>
      <c r="AY132" s="17" t="s">
        <v>126</v>
      </c>
      <c r="BE132" s="135">
        <f>IF(N132="základní",J132,0)</f>
        <v>0</v>
      </c>
      <c r="BF132" s="135">
        <f>IF(N132="snížená",J132,0)</f>
        <v>0</v>
      </c>
      <c r="BG132" s="135">
        <f>IF(N132="zákl. přenesená",J132,0)</f>
        <v>0</v>
      </c>
      <c r="BH132" s="135">
        <f>IF(N132="sníž. přenesená",J132,0)</f>
        <v>0</v>
      </c>
      <c r="BI132" s="135">
        <f>IF(N132="nulová",J132,0)</f>
        <v>0</v>
      </c>
      <c r="BJ132" s="17" t="s">
        <v>78</v>
      </c>
      <c r="BK132" s="135">
        <f>ROUND(I132*H132,2)</f>
        <v>0</v>
      </c>
      <c r="BL132" s="17" t="s">
        <v>133</v>
      </c>
      <c r="BM132" s="134" t="s">
        <v>189</v>
      </c>
    </row>
    <row r="133" spans="2:47" s="1" customFormat="1" ht="12">
      <c r="B133" s="29"/>
      <c r="D133" s="136" t="s">
        <v>135</v>
      </c>
      <c r="F133" s="137" t="s">
        <v>190</v>
      </c>
      <c r="L133" s="29"/>
      <c r="M133" s="138"/>
      <c r="T133" s="49"/>
      <c r="AT133" s="17" t="s">
        <v>135</v>
      </c>
      <c r="AU133" s="17" t="s">
        <v>80</v>
      </c>
    </row>
    <row r="134" spans="2:51" s="12" customFormat="1" ht="12">
      <c r="B134" s="139"/>
      <c r="D134" s="140" t="s">
        <v>137</v>
      </c>
      <c r="E134" s="141" t="s">
        <v>3</v>
      </c>
      <c r="F134" s="142" t="s">
        <v>191</v>
      </c>
      <c r="H134" s="143">
        <v>236.466</v>
      </c>
      <c r="L134" s="139"/>
      <c r="M134" s="144"/>
      <c r="T134" s="145"/>
      <c r="AT134" s="141" t="s">
        <v>137</v>
      </c>
      <c r="AU134" s="141" t="s">
        <v>80</v>
      </c>
      <c r="AV134" s="12" t="s">
        <v>80</v>
      </c>
      <c r="AW134" s="12" t="s">
        <v>32</v>
      </c>
      <c r="AX134" s="12" t="s">
        <v>78</v>
      </c>
      <c r="AY134" s="141" t="s">
        <v>126</v>
      </c>
    </row>
    <row r="135" spans="2:65" s="1" customFormat="1" ht="24.2" customHeight="1">
      <c r="B135" s="123"/>
      <c r="C135" s="124" t="s">
        <v>192</v>
      </c>
      <c r="D135" s="124" t="s">
        <v>128</v>
      </c>
      <c r="E135" s="125" t="s">
        <v>193</v>
      </c>
      <c r="F135" s="126" t="s">
        <v>194</v>
      </c>
      <c r="G135" s="127" t="s">
        <v>146</v>
      </c>
      <c r="H135" s="128">
        <v>14187.96</v>
      </c>
      <c r="I135" s="129"/>
      <c r="J135" s="129">
        <f>ROUND(I135*H135,2)</f>
        <v>0</v>
      </c>
      <c r="K135" s="126" t="s">
        <v>132</v>
      </c>
      <c r="L135" s="29"/>
      <c r="M135" s="130" t="s">
        <v>3</v>
      </c>
      <c r="N135" s="131" t="s">
        <v>41</v>
      </c>
      <c r="O135" s="132">
        <v>0</v>
      </c>
      <c r="P135" s="132">
        <f>O135*H135</f>
        <v>0</v>
      </c>
      <c r="Q135" s="132">
        <v>0</v>
      </c>
      <c r="R135" s="132">
        <f>Q135*H135</f>
        <v>0</v>
      </c>
      <c r="S135" s="132">
        <v>0</v>
      </c>
      <c r="T135" s="133">
        <f>S135*H135</f>
        <v>0</v>
      </c>
      <c r="AR135" s="134" t="s">
        <v>133</v>
      </c>
      <c r="AT135" s="134" t="s">
        <v>128</v>
      </c>
      <c r="AU135" s="134" t="s">
        <v>80</v>
      </c>
      <c r="AY135" s="17" t="s">
        <v>126</v>
      </c>
      <c r="BE135" s="135">
        <f>IF(N135="základní",J135,0)</f>
        <v>0</v>
      </c>
      <c r="BF135" s="135">
        <f>IF(N135="snížená",J135,0)</f>
        <v>0</v>
      </c>
      <c r="BG135" s="135">
        <f>IF(N135="zákl. přenesená",J135,0)</f>
        <v>0</v>
      </c>
      <c r="BH135" s="135">
        <f>IF(N135="sníž. přenesená",J135,0)</f>
        <v>0</v>
      </c>
      <c r="BI135" s="135">
        <f>IF(N135="nulová",J135,0)</f>
        <v>0</v>
      </c>
      <c r="BJ135" s="17" t="s">
        <v>78</v>
      </c>
      <c r="BK135" s="135">
        <f>ROUND(I135*H135,2)</f>
        <v>0</v>
      </c>
      <c r="BL135" s="17" t="s">
        <v>133</v>
      </c>
      <c r="BM135" s="134" t="s">
        <v>195</v>
      </c>
    </row>
    <row r="136" spans="2:47" s="1" customFormat="1" ht="12">
      <c r="B136" s="29"/>
      <c r="D136" s="136" t="s">
        <v>135</v>
      </c>
      <c r="F136" s="137" t="s">
        <v>196</v>
      </c>
      <c r="L136" s="29"/>
      <c r="M136" s="138"/>
      <c r="T136" s="49"/>
      <c r="AT136" s="17" t="s">
        <v>135</v>
      </c>
      <c r="AU136" s="17" t="s">
        <v>80</v>
      </c>
    </row>
    <row r="137" spans="2:51" s="12" customFormat="1" ht="12">
      <c r="B137" s="139"/>
      <c r="D137" s="140" t="s">
        <v>137</v>
      </c>
      <c r="F137" s="142" t="s">
        <v>197</v>
      </c>
      <c r="H137" s="143">
        <v>14187.96</v>
      </c>
      <c r="L137" s="139"/>
      <c r="M137" s="144"/>
      <c r="T137" s="145"/>
      <c r="AT137" s="141" t="s">
        <v>137</v>
      </c>
      <c r="AU137" s="141" t="s">
        <v>80</v>
      </c>
      <c r="AV137" s="12" t="s">
        <v>80</v>
      </c>
      <c r="AW137" s="12" t="s">
        <v>4</v>
      </c>
      <c r="AX137" s="12" t="s">
        <v>78</v>
      </c>
      <c r="AY137" s="141" t="s">
        <v>126</v>
      </c>
    </row>
    <row r="138" spans="2:65" s="1" customFormat="1" ht="24.2" customHeight="1">
      <c r="B138" s="123"/>
      <c r="C138" s="124" t="s">
        <v>198</v>
      </c>
      <c r="D138" s="124" t="s">
        <v>128</v>
      </c>
      <c r="E138" s="125" t="s">
        <v>199</v>
      </c>
      <c r="F138" s="126" t="s">
        <v>200</v>
      </c>
      <c r="G138" s="127" t="s">
        <v>146</v>
      </c>
      <c r="H138" s="128">
        <v>236.466</v>
      </c>
      <c r="I138" s="129"/>
      <c r="J138" s="129">
        <f>ROUND(I138*H138,2)</f>
        <v>0</v>
      </c>
      <c r="K138" s="126" t="s">
        <v>132</v>
      </c>
      <c r="L138" s="29"/>
      <c r="M138" s="130" t="s">
        <v>3</v>
      </c>
      <c r="N138" s="131" t="s">
        <v>41</v>
      </c>
      <c r="O138" s="132">
        <v>0.089</v>
      </c>
      <c r="P138" s="132">
        <f>O138*H138</f>
        <v>21.045474</v>
      </c>
      <c r="Q138" s="132">
        <v>0</v>
      </c>
      <c r="R138" s="132">
        <f>Q138*H138</f>
        <v>0</v>
      </c>
      <c r="S138" s="132">
        <v>0</v>
      </c>
      <c r="T138" s="133">
        <f>S138*H138</f>
        <v>0</v>
      </c>
      <c r="AR138" s="134" t="s">
        <v>133</v>
      </c>
      <c r="AT138" s="134" t="s">
        <v>128</v>
      </c>
      <c r="AU138" s="134" t="s">
        <v>80</v>
      </c>
      <c r="AY138" s="17" t="s">
        <v>126</v>
      </c>
      <c r="BE138" s="135">
        <f>IF(N138="základní",J138,0)</f>
        <v>0</v>
      </c>
      <c r="BF138" s="135">
        <f>IF(N138="snížená",J138,0)</f>
        <v>0</v>
      </c>
      <c r="BG138" s="135">
        <f>IF(N138="zákl. přenesená",J138,0)</f>
        <v>0</v>
      </c>
      <c r="BH138" s="135">
        <f>IF(N138="sníž. přenesená",J138,0)</f>
        <v>0</v>
      </c>
      <c r="BI138" s="135">
        <f>IF(N138="nulová",J138,0)</f>
        <v>0</v>
      </c>
      <c r="BJ138" s="17" t="s">
        <v>78</v>
      </c>
      <c r="BK138" s="135">
        <f>ROUND(I138*H138,2)</f>
        <v>0</v>
      </c>
      <c r="BL138" s="17" t="s">
        <v>133</v>
      </c>
      <c r="BM138" s="134" t="s">
        <v>201</v>
      </c>
    </row>
    <row r="139" spans="2:47" s="1" customFormat="1" ht="12">
      <c r="B139" s="29"/>
      <c r="D139" s="136" t="s">
        <v>135</v>
      </c>
      <c r="F139" s="137" t="s">
        <v>202</v>
      </c>
      <c r="L139" s="29"/>
      <c r="M139" s="138"/>
      <c r="T139" s="49"/>
      <c r="AT139" s="17" t="s">
        <v>135</v>
      </c>
      <c r="AU139" s="17" t="s">
        <v>80</v>
      </c>
    </row>
    <row r="140" spans="2:65" s="1" customFormat="1" ht="24.2" customHeight="1">
      <c r="B140" s="123"/>
      <c r="C140" s="124" t="s">
        <v>203</v>
      </c>
      <c r="D140" s="124" t="s">
        <v>128</v>
      </c>
      <c r="E140" s="125" t="s">
        <v>204</v>
      </c>
      <c r="F140" s="126" t="s">
        <v>205</v>
      </c>
      <c r="G140" s="127" t="s">
        <v>131</v>
      </c>
      <c r="H140" s="128">
        <v>128.76</v>
      </c>
      <c r="I140" s="129"/>
      <c r="J140" s="129">
        <f>ROUND(I140*H140,2)</f>
        <v>0</v>
      </c>
      <c r="K140" s="126" t="s">
        <v>132</v>
      </c>
      <c r="L140" s="29"/>
      <c r="M140" s="130" t="s">
        <v>3</v>
      </c>
      <c r="N140" s="131" t="s">
        <v>41</v>
      </c>
      <c r="O140" s="132">
        <v>0.284</v>
      </c>
      <c r="P140" s="132">
        <f>O140*H140</f>
        <v>36.56784</v>
      </c>
      <c r="Q140" s="132">
        <v>0</v>
      </c>
      <c r="R140" s="132">
        <f>Q140*H140</f>
        <v>0</v>
      </c>
      <c r="S140" s="132">
        <v>0.261</v>
      </c>
      <c r="T140" s="133">
        <f>S140*H140</f>
        <v>33.60636</v>
      </c>
      <c r="AR140" s="134" t="s">
        <v>133</v>
      </c>
      <c r="AT140" s="134" t="s">
        <v>128</v>
      </c>
      <c r="AU140" s="134" t="s">
        <v>80</v>
      </c>
      <c r="AY140" s="17" t="s">
        <v>126</v>
      </c>
      <c r="BE140" s="135">
        <f>IF(N140="základní",J140,0)</f>
        <v>0</v>
      </c>
      <c r="BF140" s="135">
        <f>IF(N140="snížená",J140,0)</f>
        <v>0</v>
      </c>
      <c r="BG140" s="135">
        <f>IF(N140="zákl. přenesená",J140,0)</f>
        <v>0</v>
      </c>
      <c r="BH140" s="135">
        <f>IF(N140="sníž. přenesená",J140,0)</f>
        <v>0</v>
      </c>
      <c r="BI140" s="135">
        <f>IF(N140="nulová",J140,0)</f>
        <v>0</v>
      </c>
      <c r="BJ140" s="17" t="s">
        <v>78</v>
      </c>
      <c r="BK140" s="135">
        <f>ROUND(I140*H140,2)</f>
        <v>0</v>
      </c>
      <c r="BL140" s="17" t="s">
        <v>133</v>
      </c>
      <c r="BM140" s="134" t="s">
        <v>206</v>
      </c>
    </row>
    <row r="141" spans="2:47" s="1" customFormat="1" ht="12">
      <c r="B141" s="29"/>
      <c r="D141" s="136" t="s">
        <v>135</v>
      </c>
      <c r="F141" s="137" t="s">
        <v>207</v>
      </c>
      <c r="L141" s="29"/>
      <c r="M141" s="138"/>
      <c r="T141" s="49"/>
      <c r="AT141" s="17" t="s">
        <v>135</v>
      </c>
      <c r="AU141" s="17" t="s">
        <v>80</v>
      </c>
    </row>
    <row r="142" spans="2:51" s="12" customFormat="1" ht="12">
      <c r="B142" s="139"/>
      <c r="D142" s="140" t="s">
        <v>137</v>
      </c>
      <c r="E142" s="141" t="s">
        <v>3</v>
      </c>
      <c r="F142" s="142" t="s">
        <v>208</v>
      </c>
      <c r="H142" s="143">
        <v>128.76</v>
      </c>
      <c r="L142" s="139"/>
      <c r="M142" s="144"/>
      <c r="T142" s="145"/>
      <c r="AT142" s="141" t="s">
        <v>137</v>
      </c>
      <c r="AU142" s="141" t="s">
        <v>80</v>
      </c>
      <c r="AV142" s="12" t="s">
        <v>80</v>
      </c>
      <c r="AW142" s="12" t="s">
        <v>32</v>
      </c>
      <c r="AX142" s="12" t="s">
        <v>78</v>
      </c>
      <c r="AY142" s="141" t="s">
        <v>126</v>
      </c>
    </row>
    <row r="143" spans="2:65" s="1" customFormat="1" ht="24.2" customHeight="1">
      <c r="B143" s="123"/>
      <c r="C143" s="124" t="s">
        <v>209</v>
      </c>
      <c r="D143" s="124" t="s">
        <v>128</v>
      </c>
      <c r="E143" s="125" t="s">
        <v>210</v>
      </c>
      <c r="F143" s="126" t="s">
        <v>211</v>
      </c>
      <c r="G143" s="127" t="s">
        <v>146</v>
      </c>
      <c r="H143" s="128">
        <v>39.477</v>
      </c>
      <c r="I143" s="129"/>
      <c r="J143" s="129">
        <f>ROUND(I143*H143,2)</f>
        <v>0</v>
      </c>
      <c r="K143" s="126" t="s">
        <v>132</v>
      </c>
      <c r="L143" s="29"/>
      <c r="M143" s="130" t="s">
        <v>3</v>
      </c>
      <c r="N143" s="131" t="s">
        <v>41</v>
      </c>
      <c r="O143" s="132">
        <v>2.713</v>
      </c>
      <c r="P143" s="132">
        <f>O143*H143</f>
        <v>107.101101</v>
      </c>
      <c r="Q143" s="132">
        <v>0</v>
      </c>
      <c r="R143" s="132">
        <f>Q143*H143</f>
        <v>0</v>
      </c>
      <c r="S143" s="132">
        <v>1.8</v>
      </c>
      <c r="T143" s="133">
        <f>S143*H143</f>
        <v>71.0586</v>
      </c>
      <c r="AR143" s="134" t="s">
        <v>133</v>
      </c>
      <c r="AT143" s="134" t="s">
        <v>128</v>
      </c>
      <c r="AU143" s="134" t="s">
        <v>80</v>
      </c>
      <c r="AY143" s="17" t="s">
        <v>126</v>
      </c>
      <c r="BE143" s="135">
        <f>IF(N143="základní",J143,0)</f>
        <v>0</v>
      </c>
      <c r="BF143" s="135">
        <f>IF(N143="snížená",J143,0)</f>
        <v>0</v>
      </c>
      <c r="BG143" s="135">
        <f>IF(N143="zákl. přenesená",J143,0)</f>
        <v>0</v>
      </c>
      <c r="BH143" s="135">
        <f>IF(N143="sníž. přenesená",J143,0)</f>
        <v>0</v>
      </c>
      <c r="BI143" s="135">
        <f>IF(N143="nulová",J143,0)</f>
        <v>0</v>
      </c>
      <c r="BJ143" s="17" t="s">
        <v>78</v>
      </c>
      <c r="BK143" s="135">
        <f>ROUND(I143*H143,2)</f>
        <v>0</v>
      </c>
      <c r="BL143" s="17" t="s">
        <v>133</v>
      </c>
      <c r="BM143" s="134" t="s">
        <v>212</v>
      </c>
    </row>
    <row r="144" spans="2:47" s="1" customFormat="1" ht="12">
      <c r="B144" s="29"/>
      <c r="D144" s="136" t="s">
        <v>135</v>
      </c>
      <c r="F144" s="137" t="s">
        <v>213</v>
      </c>
      <c r="L144" s="29"/>
      <c r="M144" s="138"/>
      <c r="T144" s="49"/>
      <c r="AT144" s="17" t="s">
        <v>135</v>
      </c>
      <c r="AU144" s="17" t="s">
        <v>80</v>
      </c>
    </row>
    <row r="145" spans="2:51" s="12" customFormat="1" ht="12">
      <c r="B145" s="139"/>
      <c r="D145" s="140" t="s">
        <v>137</v>
      </c>
      <c r="E145" s="141" t="s">
        <v>3</v>
      </c>
      <c r="F145" s="142" t="s">
        <v>214</v>
      </c>
      <c r="H145" s="143">
        <v>12.156</v>
      </c>
      <c r="L145" s="139"/>
      <c r="M145" s="144"/>
      <c r="T145" s="145"/>
      <c r="AT145" s="141" t="s">
        <v>137</v>
      </c>
      <c r="AU145" s="141" t="s">
        <v>80</v>
      </c>
      <c r="AV145" s="12" t="s">
        <v>80</v>
      </c>
      <c r="AW145" s="12" t="s">
        <v>32</v>
      </c>
      <c r="AX145" s="12" t="s">
        <v>70</v>
      </c>
      <c r="AY145" s="141" t="s">
        <v>126</v>
      </c>
    </row>
    <row r="146" spans="2:51" s="12" customFormat="1" ht="12">
      <c r="B146" s="139"/>
      <c r="D146" s="140" t="s">
        <v>137</v>
      </c>
      <c r="E146" s="141" t="s">
        <v>3</v>
      </c>
      <c r="F146" s="142" t="s">
        <v>215</v>
      </c>
      <c r="H146" s="143">
        <v>27.321</v>
      </c>
      <c r="L146" s="139"/>
      <c r="M146" s="144"/>
      <c r="T146" s="145"/>
      <c r="AT146" s="141" t="s">
        <v>137</v>
      </c>
      <c r="AU146" s="141" t="s">
        <v>80</v>
      </c>
      <c r="AV146" s="12" t="s">
        <v>80</v>
      </c>
      <c r="AW146" s="12" t="s">
        <v>32</v>
      </c>
      <c r="AX146" s="12" t="s">
        <v>70</v>
      </c>
      <c r="AY146" s="141" t="s">
        <v>126</v>
      </c>
    </row>
    <row r="147" spans="2:51" s="13" customFormat="1" ht="12">
      <c r="B147" s="146"/>
      <c r="D147" s="140" t="s">
        <v>137</v>
      </c>
      <c r="E147" s="147" t="s">
        <v>3</v>
      </c>
      <c r="F147" s="148" t="s">
        <v>151</v>
      </c>
      <c r="H147" s="149">
        <v>39.477</v>
      </c>
      <c r="L147" s="146"/>
      <c r="M147" s="150"/>
      <c r="T147" s="151"/>
      <c r="AT147" s="147" t="s">
        <v>137</v>
      </c>
      <c r="AU147" s="147" t="s">
        <v>80</v>
      </c>
      <c r="AV147" s="13" t="s">
        <v>133</v>
      </c>
      <c r="AW147" s="13" t="s">
        <v>32</v>
      </c>
      <c r="AX147" s="13" t="s">
        <v>78</v>
      </c>
      <c r="AY147" s="147" t="s">
        <v>126</v>
      </c>
    </row>
    <row r="148" spans="2:65" s="1" customFormat="1" ht="24.2" customHeight="1">
      <c r="B148" s="123"/>
      <c r="C148" s="124" t="s">
        <v>9</v>
      </c>
      <c r="D148" s="124" t="s">
        <v>128</v>
      </c>
      <c r="E148" s="125" t="s">
        <v>216</v>
      </c>
      <c r="F148" s="126" t="s">
        <v>217</v>
      </c>
      <c r="G148" s="127" t="s">
        <v>146</v>
      </c>
      <c r="H148" s="128">
        <v>8.063</v>
      </c>
      <c r="I148" s="129"/>
      <c r="J148" s="129">
        <f>ROUND(I148*H148,2)</f>
        <v>0</v>
      </c>
      <c r="K148" s="126" t="s">
        <v>132</v>
      </c>
      <c r="L148" s="29"/>
      <c r="M148" s="130" t="s">
        <v>3</v>
      </c>
      <c r="N148" s="131" t="s">
        <v>41</v>
      </c>
      <c r="O148" s="132">
        <v>2.42</v>
      </c>
      <c r="P148" s="132">
        <f>O148*H148</f>
        <v>19.51246</v>
      </c>
      <c r="Q148" s="132">
        <v>0</v>
      </c>
      <c r="R148" s="132">
        <f>Q148*H148</f>
        <v>0</v>
      </c>
      <c r="S148" s="132">
        <v>1.594</v>
      </c>
      <c r="T148" s="133">
        <f>S148*H148</f>
        <v>12.852422000000002</v>
      </c>
      <c r="AR148" s="134" t="s">
        <v>133</v>
      </c>
      <c r="AT148" s="134" t="s">
        <v>128</v>
      </c>
      <c r="AU148" s="134" t="s">
        <v>80</v>
      </c>
      <c r="AY148" s="17" t="s">
        <v>126</v>
      </c>
      <c r="BE148" s="135">
        <f>IF(N148="základní",J148,0)</f>
        <v>0</v>
      </c>
      <c r="BF148" s="135">
        <f>IF(N148="snížená",J148,0)</f>
        <v>0</v>
      </c>
      <c r="BG148" s="135">
        <f>IF(N148="zákl. přenesená",J148,0)</f>
        <v>0</v>
      </c>
      <c r="BH148" s="135">
        <f>IF(N148="sníž. přenesená",J148,0)</f>
        <v>0</v>
      </c>
      <c r="BI148" s="135">
        <f>IF(N148="nulová",J148,0)</f>
        <v>0</v>
      </c>
      <c r="BJ148" s="17" t="s">
        <v>78</v>
      </c>
      <c r="BK148" s="135">
        <f>ROUND(I148*H148,2)</f>
        <v>0</v>
      </c>
      <c r="BL148" s="17" t="s">
        <v>133</v>
      </c>
      <c r="BM148" s="134" t="s">
        <v>218</v>
      </c>
    </row>
    <row r="149" spans="2:47" s="1" customFormat="1" ht="12">
      <c r="B149" s="29"/>
      <c r="D149" s="136" t="s">
        <v>135</v>
      </c>
      <c r="F149" s="137" t="s">
        <v>219</v>
      </c>
      <c r="L149" s="29"/>
      <c r="M149" s="138"/>
      <c r="T149" s="49"/>
      <c r="AT149" s="17" t="s">
        <v>135</v>
      </c>
      <c r="AU149" s="17" t="s">
        <v>80</v>
      </c>
    </row>
    <row r="150" spans="2:51" s="12" customFormat="1" ht="12">
      <c r="B150" s="139"/>
      <c r="D150" s="140" t="s">
        <v>137</v>
      </c>
      <c r="E150" s="141" t="s">
        <v>3</v>
      </c>
      <c r="F150" s="142" t="s">
        <v>220</v>
      </c>
      <c r="H150" s="143">
        <v>8.063</v>
      </c>
      <c r="L150" s="139"/>
      <c r="M150" s="144"/>
      <c r="T150" s="145"/>
      <c r="AT150" s="141" t="s">
        <v>137</v>
      </c>
      <c r="AU150" s="141" t="s">
        <v>80</v>
      </c>
      <c r="AV150" s="12" t="s">
        <v>80</v>
      </c>
      <c r="AW150" s="12" t="s">
        <v>32</v>
      </c>
      <c r="AX150" s="12" t="s">
        <v>78</v>
      </c>
      <c r="AY150" s="141" t="s">
        <v>126</v>
      </c>
    </row>
    <row r="151" spans="2:65" s="1" customFormat="1" ht="21.75" customHeight="1">
      <c r="B151" s="123"/>
      <c r="C151" s="124" t="s">
        <v>221</v>
      </c>
      <c r="D151" s="124" t="s">
        <v>128</v>
      </c>
      <c r="E151" s="125" t="s">
        <v>222</v>
      </c>
      <c r="F151" s="126" t="s">
        <v>223</v>
      </c>
      <c r="G151" s="127" t="s">
        <v>146</v>
      </c>
      <c r="H151" s="128">
        <v>0.333</v>
      </c>
      <c r="I151" s="129"/>
      <c r="J151" s="129">
        <f>ROUND(I151*H151,2)</f>
        <v>0</v>
      </c>
      <c r="K151" s="126" t="s">
        <v>132</v>
      </c>
      <c r="L151" s="29"/>
      <c r="M151" s="130" t="s">
        <v>3</v>
      </c>
      <c r="N151" s="131" t="s">
        <v>41</v>
      </c>
      <c r="O151" s="132">
        <v>11.907</v>
      </c>
      <c r="P151" s="132">
        <f>O151*H151</f>
        <v>3.965031</v>
      </c>
      <c r="Q151" s="132">
        <v>0</v>
      </c>
      <c r="R151" s="132">
        <f>Q151*H151</f>
        <v>0</v>
      </c>
      <c r="S151" s="132">
        <v>2.4</v>
      </c>
      <c r="T151" s="133">
        <f>S151*H151</f>
        <v>0.7992</v>
      </c>
      <c r="AR151" s="134" t="s">
        <v>133</v>
      </c>
      <c r="AT151" s="134" t="s">
        <v>128</v>
      </c>
      <c r="AU151" s="134" t="s">
        <v>80</v>
      </c>
      <c r="AY151" s="17" t="s">
        <v>126</v>
      </c>
      <c r="BE151" s="135">
        <f>IF(N151="základní",J151,0)</f>
        <v>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7" t="s">
        <v>78</v>
      </c>
      <c r="BK151" s="135">
        <f>ROUND(I151*H151,2)</f>
        <v>0</v>
      </c>
      <c r="BL151" s="17" t="s">
        <v>133</v>
      </c>
      <c r="BM151" s="134" t="s">
        <v>224</v>
      </c>
    </row>
    <row r="152" spans="2:47" s="1" customFormat="1" ht="12">
      <c r="B152" s="29"/>
      <c r="D152" s="136" t="s">
        <v>135</v>
      </c>
      <c r="F152" s="137" t="s">
        <v>225</v>
      </c>
      <c r="L152" s="29"/>
      <c r="M152" s="138"/>
      <c r="T152" s="49"/>
      <c r="AT152" s="17" t="s">
        <v>135</v>
      </c>
      <c r="AU152" s="17" t="s">
        <v>80</v>
      </c>
    </row>
    <row r="153" spans="2:51" s="12" customFormat="1" ht="12">
      <c r="B153" s="139"/>
      <c r="D153" s="140" t="s">
        <v>137</v>
      </c>
      <c r="E153" s="141" t="s">
        <v>3</v>
      </c>
      <c r="F153" s="142" t="s">
        <v>226</v>
      </c>
      <c r="H153" s="143">
        <v>0.333</v>
      </c>
      <c r="L153" s="139"/>
      <c r="M153" s="144"/>
      <c r="T153" s="145"/>
      <c r="AT153" s="141" t="s">
        <v>137</v>
      </c>
      <c r="AU153" s="141" t="s">
        <v>80</v>
      </c>
      <c r="AV153" s="12" t="s">
        <v>80</v>
      </c>
      <c r="AW153" s="12" t="s">
        <v>32</v>
      </c>
      <c r="AX153" s="12" t="s">
        <v>78</v>
      </c>
      <c r="AY153" s="141" t="s">
        <v>126</v>
      </c>
    </row>
    <row r="154" spans="2:65" s="1" customFormat="1" ht="16.5" customHeight="1">
      <c r="B154" s="123"/>
      <c r="C154" s="124" t="s">
        <v>227</v>
      </c>
      <c r="D154" s="124" t="s">
        <v>128</v>
      </c>
      <c r="E154" s="125" t="s">
        <v>228</v>
      </c>
      <c r="F154" s="126" t="s">
        <v>229</v>
      </c>
      <c r="G154" s="127" t="s">
        <v>146</v>
      </c>
      <c r="H154" s="128">
        <v>13.606</v>
      </c>
      <c r="I154" s="129"/>
      <c r="J154" s="129">
        <f>ROUND(I154*H154,2)</f>
        <v>0</v>
      </c>
      <c r="K154" s="126" t="s">
        <v>132</v>
      </c>
      <c r="L154" s="29"/>
      <c r="M154" s="130" t="s">
        <v>3</v>
      </c>
      <c r="N154" s="131" t="s">
        <v>41</v>
      </c>
      <c r="O154" s="132">
        <v>4.289</v>
      </c>
      <c r="P154" s="132">
        <f>O154*H154</f>
        <v>58.356134</v>
      </c>
      <c r="Q154" s="132">
        <v>0</v>
      </c>
      <c r="R154" s="132">
        <f>Q154*H154</f>
        <v>0</v>
      </c>
      <c r="S154" s="132">
        <v>1.6</v>
      </c>
      <c r="T154" s="133">
        <f>S154*H154</f>
        <v>21.7696</v>
      </c>
      <c r="AR154" s="134" t="s">
        <v>133</v>
      </c>
      <c r="AT154" s="134" t="s">
        <v>128</v>
      </c>
      <c r="AU154" s="134" t="s">
        <v>80</v>
      </c>
      <c r="AY154" s="17" t="s">
        <v>126</v>
      </c>
      <c r="BE154" s="135">
        <f>IF(N154="základní",J154,0)</f>
        <v>0</v>
      </c>
      <c r="BF154" s="135">
        <f>IF(N154="snížená",J154,0)</f>
        <v>0</v>
      </c>
      <c r="BG154" s="135">
        <f>IF(N154="zákl. přenesená",J154,0)</f>
        <v>0</v>
      </c>
      <c r="BH154" s="135">
        <f>IF(N154="sníž. přenesená",J154,0)</f>
        <v>0</v>
      </c>
      <c r="BI154" s="135">
        <f>IF(N154="nulová",J154,0)</f>
        <v>0</v>
      </c>
      <c r="BJ154" s="17" t="s">
        <v>78</v>
      </c>
      <c r="BK154" s="135">
        <f>ROUND(I154*H154,2)</f>
        <v>0</v>
      </c>
      <c r="BL154" s="17" t="s">
        <v>133</v>
      </c>
      <c r="BM154" s="134" t="s">
        <v>230</v>
      </c>
    </row>
    <row r="155" spans="2:47" s="1" customFormat="1" ht="12">
      <c r="B155" s="29"/>
      <c r="D155" s="136" t="s">
        <v>135</v>
      </c>
      <c r="F155" s="137" t="s">
        <v>231</v>
      </c>
      <c r="L155" s="29"/>
      <c r="M155" s="138"/>
      <c r="T155" s="49"/>
      <c r="AT155" s="17" t="s">
        <v>135</v>
      </c>
      <c r="AU155" s="17" t="s">
        <v>80</v>
      </c>
    </row>
    <row r="156" spans="2:51" s="12" customFormat="1" ht="12">
      <c r="B156" s="139"/>
      <c r="D156" s="140" t="s">
        <v>137</v>
      </c>
      <c r="E156" s="141" t="s">
        <v>3</v>
      </c>
      <c r="F156" s="142" t="s">
        <v>232</v>
      </c>
      <c r="H156" s="143">
        <v>13.606</v>
      </c>
      <c r="L156" s="139"/>
      <c r="M156" s="144"/>
      <c r="T156" s="145"/>
      <c r="AT156" s="141" t="s">
        <v>137</v>
      </c>
      <c r="AU156" s="141" t="s">
        <v>80</v>
      </c>
      <c r="AV156" s="12" t="s">
        <v>80</v>
      </c>
      <c r="AW156" s="12" t="s">
        <v>32</v>
      </c>
      <c r="AX156" s="12" t="s">
        <v>78</v>
      </c>
      <c r="AY156" s="141" t="s">
        <v>126</v>
      </c>
    </row>
    <row r="157" spans="2:65" s="1" customFormat="1" ht="24.2" customHeight="1">
      <c r="B157" s="123"/>
      <c r="C157" s="124" t="s">
        <v>233</v>
      </c>
      <c r="D157" s="124" t="s">
        <v>128</v>
      </c>
      <c r="E157" s="125" t="s">
        <v>234</v>
      </c>
      <c r="F157" s="126" t="s">
        <v>235</v>
      </c>
      <c r="G157" s="127" t="s">
        <v>131</v>
      </c>
      <c r="H157" s="128">
        <v>516.75</v>
      </c>
      <c r="I157" s="129"/>
      <c r="J157" s="129">
        <f>ROUND(I157*H157,2)</f>
        <v>0</v>
      </c>
      <c r="K157" s="126" t="s">
        <v>132</v>
      </c>
      <c r="L157" s="29"/>
      <c r="M157" s="130" t="s">
        <v>3</v>
      </c>
      <c r="N157" s="131" t="s">
        <v>41</v>
      </c>
      <c r="O157" s="132">
        <v>0.133</v>
      </c>
      <c r="P157" s="132">
        <f>O157*H157</f>
        <v>68.72775</v>
      </c>
      <c r="Q157" s="132">
        <v>0</v>
      </c>
      <c r="R157" s="132">
        <f>Q157*H157</f>
        <v>0</v>
      </c>
      <c r="S157" s="132">
        <v>0.045</v>
      </c>
      <c r="T157" s="133">
        <f>S157*H157</f>
        <v>23.25375</v>
      </c>
      <c r="AR157" s="134" t="s">
        <v>133</v>
      </c>
      <c r="AT157" s="134" t="s">
        <v>128</v>
      </c>
      <c r="AU157" s="134" t="s">
        <v>80</v>
      </c>
      <c r="AY157" s="17" t="s">
        <v>126</v>
      </c>
      <c r="BE157" s="135">
        <f>IF(N157="základní",J157,0)</f>
        <v>0</v>
      </c>
      <c r="BF157" s="135">
        <f>IF(N157="snížená",J157,0)</f>
        <v>0</v>
      </c>
      <c r="BG157" s="135">
        <f>IF(N157="zákl. přenesená",J157,0)</f>
        <v>0</v>
      </c>
      <c r="BH157" s="135">
        <f>IF(N157="sníž. přenesená",J157,0)</f>
        <v>0</v>
      </c>
      <c r="BI157" s="135">
        <f>IF(N157="nulová",J157,0)</f>
        <v>0</v>
      </c>
      <c r="BJ157" s="17" t="s">
        <v>78</v>
      </c>
      <c r="BK157" s="135">
        <f>ROUND(I157*H157,2)</f>
        <v>0</v>
      </c>
      <c r="BL157" s="17" t="s">
        <v>133</v>
      </c>
      <c r="BM157" s="134" t="s">
        <v>236</v>
      </c>
    </row>
    <row r="158" spans="2:47" s="1" customFormat="1" ht="12">
      <c r="B158" s="29"/>
      <c r="D158" s="136" t="s">
        <v>135</v>
      </c>
      <c r="F158" s="137" t="s">
        <v>237</v>
      </c>
      <c r="L158" s="29"/>
      <c r="M158" s="138"/>
      <c r="T158" s="49"/>
      <c r="AT158" s="17" t="s">
        <v>135</v>
      </c>
      <c r="AU158" s="17" t="s">
        <v>80</v>
      </c>
    </row>
    <row r="159" spans="2:51" s="12" customFormat="1" ht="12">
      <c r="B159" s="139"/>
      <c r="D159" s="140" t="s">
        <v>137</v>
      </c>
      <c r="E159" s="141" t="s">
        <v>3</v>
      </c>
      <c r="F159" s="142" t="s">
        <v>238</v>
      </c>
      <c r="H159" s="143">
        <v>544.25</v>
      </c>
      <c r="L159" s="139"/>
      <c r="M159" s="144"/>
      <c r="T159" s="145"/>
      <c r="AT159" s="141" t="s">
        <v>137</v>
      </c>
      <c r="AU159" s="141" t="s">
        <v>80</v>
      </c>
      <c r="AV159" s="12" t="s">
        <v>80</v>
      </c>
      <c r="AW159" s="12" t="s">
        <v>32</v>
      </c>
      <c r="AX159" s="12" t="s">
        <v>70</v>
      </c>
      <c r="AY159" s="141" t="s">
        <v>126</v>
      </c>
    </row>
    <row r="160" spans="2:51" s="12" customFormat="1" ht="12">
      <c r="B160" s="139"/>
      <c r="D160" s="140" t="s">
        <v>137</v>
      </c>
      <c r="E160" s="141" t="s">
        <v>3</v>
      </c>
      <c r="F160" s="142" t="s">
        <v>239</v>
      </c>
      <c r="H160" s="143">
        <v>-27.5</v>
      </c>
      <c r="L160" s="139"/>
      <c r="M160" s="144"/>
      <c r="T160" s="145"/>
      <c r="AT160" s="141" t="s">
        <v>137</v>
      </c>
      <c r="AU160" s="141" t="s">
        <v>80</v>
      </c>
      <c r="AV160" s="12" t="s">
        <v>80</v>
      </c>
      <c r="AW160" s="12" t="s">
        <v>32</v>
      </c>
      <c r="AX160" s="12" t="s">
        <v>70</v>
      </c>
      <c r="AY160" s="141" t="s">
        <v>126</v>
      </c>
    </row>
    <row r="161" spans="2:51" s="13" customFormat="1" ht="12">
      <c r="B161" s="146"/>
      <c r="D161" s="140" t="s">
        <v>137</v>
      </c>
      <c r="E161" s="147" t="s">
        <v>3</v>
      </c>
      <c r="F161" s="148" t="s">
        <v>151</v>
      </c>
      <c r="H161" s="149">
        <v>516.75</v>
      </c>
      <c r="L161" s="146"/>
      <c r="M161" s="150"/>
      <c r="T161" s="151"/>
      <c r="AT161" s="147" t="s">
        <v>137</v>
      </c>
      <c r="AU161" s="147" t="s">
        <v>80</v>
      </c>
      <c r="AV161" s="13" t="s">
        <v>133</v>
      </c>
      <c r="AW161" s="13" t="s">
        <v>32</v>
      </c>
      <c r="AX161" s="13" t="s">
        <v>78</v>
      </c>
      <c r="AY161" s="147" t="s">
        <v>126</v>
      </c>
    </row>
    <row r="162" spans="2:65" s="1" customFormat="1" ht="21.75" customHeight="1">
      <c r="B162" s="123"/>
      <c r="C162" s="124" t="s">
        <v>240</v>
      </c>
      <c r="D162" s="124" t="s">
        <v>128</v>
      </c>
      <c r="E162" s="125" t="s">
        <v>241</v>
      </c>
      <c r="F162" s="126" t="s">
        <v>242</v>
      </c>
      <c r="G162" s="127" t="s">
        <v>146</v>
      </c>
      <c r="H162" s="128">
        <v>38.098</v>
      </c>
      <c r="I162" s="129"/>
      <c r="J162" s="129">
        <f>ROUND(I162*H162,2)</f>
        <v>0</v>
      </c>
      <c r="K162" s="126" t="s">
        <v>132</v>
      </c>
      <c r="L162" s="29"/>
      <c r="M162" s="130" t="s">
        <v>3</v>
      </c>
      <c r="N162" s="131" t="s">
        <v>41</v>
      </c>
      <c r="O162" s="132">
        <v>1.65</v>
      </c>
      <c r="P162" s="132">
        <f>O162*H162</f>
        <v>62.86169999999999</v>
      </c>
      <c r="Q162" s="132">
        <v>0</v>
      </c>
      <c r="R162" s="132">
        <f>Q162*H162</f>
        <v>0</v>
      </c>
      <c r="S162" s="132">
        <v>1.4</v>
      </c>
      <c r="T162" s="133">
        <f>S162*H162</f>
        <v>53.337199999999996</v>
      </c>
      <c r="AR162" s="134" t="s">
        <v>133</v>
      </c>
      <c r="AT162" s="134" t="s">
        <v>128</v>
      </c>
      <c r="AU162" s="134" t="s">
        <v>80</v>
      </c>
      <c r="AY162" s="17" t="s">
        <v>126</v>
      </c>
      <c r="BE162" s="135">
        <f>IF(N162="základní",J162,0)</f>
        <v>0</v>
      </c>
      <c r="BF162" s="135">
        <f>IF(N162="snížená",J162,0)</f>
        <v>0</v>
      </c>
      <c r="BG162" s="135">
        <f>IF(N162="zákl. přenesená",J162,0)</f>
        <v>0</v>
      </c>
      <c r="BH162" s="135">
        <f>IF(N162="sníž. přenesená",J162,0)</f>
        <v>0</v>
      </c>
      <c r="BI162" s="135">
        <f>IF(N162="nulová",J162,0)</f>
        <v>0</v>
      </c>
      <c r="BJ162" s="17" t="s">
        <v>78</v>
      </c>
      <c r="BK162" s="135">
        <f>ROUND(I162*H162,2)</f>
        <v>0</v>
      </c>
      <c r="BL162" s="17" t="s">
        <v>133</v>
      </c>
      <c r="BM162" s="134" t="s">
        <v>243</v>
      </c>
    </row>
    <row r="163" spans="2:47" s="1" customFormat="1" ht="12">
      <c r="B163" s="29"/>
      <c r="D163" s="136" t="s">
        <v>135</v>
      </c>
      <c r="F163" s="137" t="s">
        <v>244</v>
      </c>
      <c r="L163" s="29"/>
      <c r="M163" s="138"/>
      <c r="T163" s="49"/>
      <c r="AT163" s="17" t="s">
        <v>135</v>
      </c>
      <c r="AU163" s="17" t="s">
        <v>80</v>
      </c>
    </row>
    <row r="164" spans="2:51" s="12" customFormat="1" ht="12">
      <c r="B164" s="139"/>
      <c r="D164" s="140" t="s">
        <v>137</v>
      </c>
      <c r="E164" s="141" t="s">
        <v>3</v>
      </c>
      <c r="F164" s="142" t="s">
        <v>245</v>
      </c>
      <c r="H164" s="143">
        <v>38.098</v>
      </c>
      <c r="L164" s="139"/>
      <c r="M164" s="144"/>
      <c r="T164" s="145"/>
      <c r="AT164" s="141" t="s">
        <v>137</v>
      </c>
      <c r="AU164" s="141" t="s">
        <v>80</v>
      </c>
      <c r="AV164" s="12" t="s">
        <v>80</v>
      </c>
      <c r="AW164" s="12" t="s">
        <v>32</v>
      </c>
      <c r="AX164" s="12" t="s">
        <v>78</v>
      </c>
      <c r="AY164" s="141" t="s">
        <v>126</v>
      </c>
    </row>
    <row r="165" spans="2:65" s="1" customFormat="1" ht="16.5" customHeight="1">
      <c r="B165" s="123"/>
      <c r="C165" s="124" t="s">
        <v>246</v>
      </c>
      <c r="D165" s="124" t="s">
        <v>128</v>
      </c>
      <c r="E165" s="125" t="s">
        <v>247</v>
      </c>
      <c r="F165" s="126" t="s">
        <v>248</v>
      </c>
      <c r="G165" s="127" t="s">
        <v>249</v>
      </c>
      <c r="H165" s="128">
        <v>13.638</v>
      </c>
      <c r="I165" s="129"/>
      <c r="J165" s="129">
        <f>ROUND(I165*H165,2)</f>
        <v>0</v>
      </c>
      <c r="K165" s="126" t="s">
        <v>132</v>
      </c>
      <c r="L165" s="29"/>
      <c r="M165" s="130" t="s">
        <v>3</v>
      </c>
      <c r="N165" s="131" t="s">
        <v>41</v>
      </c>
      <c r="O165" s="132">
        <v>0.421</v>
      </c>
      <c r="P165" s="132">
        <f>O165*H165</f>
        <v>5.741598</v>
      </c>
      <c r="Q165" s="132">
        <v>0</v>
      </c>
      <c r="R165" s="132">
        <f>Q165*H165</f>
        <v>0</v>
      </c>
      <c r="S165" s="132">
        <v>0.082</v>
      </c>
      <c r="T165" s="133">
        <f>S165*H165</f>
        <v>1.118316</v>
      </c>
      <c r="AR165" s="134" t="s">
        <v>133</v>
      </c>
      <c r="AT165" s="134" t="s">
        <v>128</v>
      </c>
      <c r="AU165" s="134" t="s">
        <v>80</v>
      </c>
      <c r="AY165" s="17" t="s">
        <v>126</v>
      </c>
      <c r="BE165" s="135">
        <f>IF(N165="základní",J165,0)</f>
        <v>0</v>
      </c>
      <c r="BF165" s="135">
        <f>IF(N165="snížená",J165,0)</f>
        <v>0</v>
      </c>
      <c r="BG165" s="135">
        <f>IF(N165="zákl. přenesená",J165,0)</f>
        <v>0</v>
      </c>
      <c r="BH165" s="135">
        <f>IF(N165="sníž. přenesená",J165,0)</f>
        <v>0</v>
      </c>
      <c r="BI165" s="135">
        <f>IF(N165="nulová",J165,0)</f>
        <v>0</v>
      </c>
      <c r="BJ165" s="17" t="s">
        <v>78</v>
      </c>
      <c r="BK165" s="135">
        <f>ROUND(I165*H165,2)</f>
        <v>0</v>
      </c>
      <c r="BL165" s="17" t="s">
        <v>133</v>
      </c>
      <c r="BM165" s="134" t="s">
        <v>250</v>
      </c>
    </row>
    <row r="166" spans="2:47" s="1" customFormat="1" ht="12">
      <c r="B166" s="29"/>
      <c r="D166" s="136" t="s">
        <v>135</v>
      </c>
      <c r="F166" s="137" t="s">
        <v>251</v>
      </c>
      <c r="L166" s="29"/>
      <c r="M166" s="138"/>
      <c r="T166" s="49"/>
      <c r="AT166" s="17" t="s">
        <v>135</v>
      </c>
      <c r="AU166" s="17" t="s">
        <v>80</v>
      </c>
    </row>
    <row r="167" spans="2:51" s="12" customFormat="1" ht="12">
      <c r="B167" s="139"/>
      <c r="D167" s="140" t="s">
        <v>137</v>
      </c>
      <c r="E167" s="141" t="s">
        <v>3</v>
      </c>
      <c r="F167" s="142" t="s">
        <v>252</v>
      </c>
      <c r="H167" s="143">
        <v>13.638</v>
      </c>
      <c r="L167" s="139"/>
      <c r="M167" s="144"/>
      <c r="T167" s="145"/>
      <c r="AT167" s="141" t="s">
        <v>137</v>
      </c>
      <c r="AU167" s="141" t="s">
        <v>80</v>
      </c>
      <c r="AV167" s="12" t="s">
        <v>80</v>
      </c>
      <c r="AW167" s="12" t="s">
        <v>32</v>
      </c>
      <c r="AX167" s="12" t="s">
        <v>78</v>
      </c>
      <c r="AY167" s="141" t="s">
        <v>126</v>
      </c>
    </row>
    <row r="168" spans="2:65" s="1" customFormat="1" ht="16.5" customHeight="1">
      <c r="B168" s="123"/>
      <c r="C168" s="124" t="s">
        <v>8</v>
      </c>
      <c r="D168" s="124" t="s">
        <v>128</v>
      </c>
      <c r="E168" s="125" t="s">
        <v>253</v>
      </c>
      <c r="F168" s="126" t="s">
        <v>254</v>
      </c>
      <c r="G168" s="127" t="s">
        <v>249</v>
      </c>
      <c r="H168" s="128">
        <v>27.276</v>
      </c>
      <c r="I168" s="129"/>
      <c r="J168" s="129">
        <f>ROUND(I168*H168,2)</f>
        <v>0</v>
      </c>
      <c r="K168" s="126" t="s">
        <v>132</v>
      </c>
      <c r="L168" s="29"/>
      <c r="M168" s="130" t="s">
        <v>3</v>
      </c>
      <c r="N168" s="131" t="s">
        <v>41</v>
      </c>
      <c r="O168" s="132">
        <v>0.804</v>
      </c>
      <c r="P168" s="132">
        <f>O168*H168</f>
        <v>21.929904</v>
      </c>
      <c r="Q168" s="132">
        <v>0</v>
      </c>
      <c r="R168" s="132">
        <f>Q168*H168</f>
        <v>0</v>
      </c>
      <c r="S168" s="132">
        <v>0.11</v>
      </c>
      <c r="T168" s="133">
        <f>S168*H168</f>
        <v>3.00036</v>
      </c>
      <c r="AR168" s="134" t="s">
        <v>133</v>
      </c>
      <c r="AT168" s="134" t="s">
        <v>128</v>
      </c>
      <c r="AU168" s="134" t="s">
        <v>80</v>
      </c>
      <c r="AY168" s="17" t="s">
        <v>126</v>
      </c>
      <c r="BE168" s="135">
        <f>IF(N168="základní",J168,0)</f>
        <v>0</v>
      </c>
      <c r="BF168" s="135">
        <f>IF(N168="snížená",J168,0)</f>
        <v>0</v>
      </c>
      <c r="BG168" s="135">
        <f>IF(N168="zákl. přenesená",J168,0)</f>
        <v>0</v>
      </c>
      <c r="BH168" s="135">
        <f>IF(N168="sníž. přenesená",J168,0)</f>
        <v>0</v>
      </c>
      <c r="BI168" s="135">
        <f>IF(N168="nulová",J168,0)</f>
        <v>0</v>
      </c>
      <c r="BJ168" s="17" t="s">
        <v>78</v>
      </c>
      <c r="BK168" s="135">
        <f>ROUND(I168*H168,2)</f>
        <v>0</v>
      </c>
      <c r="BL168" s="17" t="s">
        <v>133</v>
      </c>
      <c r="BM168" s="134" t="s">
        <v>255</v>
      </c>
    </row>
    <row r="169" spans="2:47" s="1" customFormat="1" ht="12">
      <c r="B169" s="29"/>
      <c r="D169" s="136" t="s">
        <v>135</v>
      </c>
      <c r="F169" s="137" t="s">
        <v>256</v>
      </c>
      <c r="L169" s="29"/>
      <c r="M169" s="138"/>
      <c r="T169" s="49"/>
      <c r="AT169" s="17" t="s">
        <v>135</v>
      </c>
      <c r="AU169" s="17" t="s">
        <v>80</v>
      </c>
    </row>
    <row r="170" spans="2:51" s="12" customFormat="1" ht="12">
      <c r="B170" s="139"/>
      <c r="D170" s="140" t="s">
        <v>137</v>
      </c>
      <c r="E170" s="141" t="s">
        <v>3</v>
      </c>
      <c r="F170" s="142" t="s">
        <v>257</v>
      </c>
      <c r="H170" s="143">
        <v>13.638</v>
      </c>
      <c r="L170" s="139"/>
      <c r="M170" s="144"/>
      <c r="T170" s="145"/>
      <c r="AT170" s="141" t="s">
        <v>137</v>
      </c>
      <c r="AU170" s="141" t="s">
        <v>80</v>
      </c>
      <c r="AV170" s="12" t="s">
        <v>80</v>
      </c>
      <c r="AW170" s="12" t="s">
        <v>32</v>
      </c>
      <c r="AX170" s="12" t="s">
        <v>70</v>
      </c>
      <c r="AY170" s="141" t="s">
        <v>126</v>
      </c>
    </row>
    <row r="171" spans="2:51" s="12" customFormat="1" ht="12">
      <c r="B171" s="139"/>
      <c r="D171" s="140" t="s">
        <v>137</v>
      </c>
      <c r="E171" s="141" t="s">
        <v>3</v>
      </c>
      <c r="F171" s="142" t="s">
        <v>258</v>
      </c>
      <c r="H171" s="143">
        <v>13.638</v>
      </c>
      <c r="L171" s="139"/>
      <c r="M171" s="144"/>
      <c r="T171" s="145"/>
      <c r="AT171" s="141" t="s">
        <v>137</v>
      </c>
      <c r="AU171" s="141" t="s">
        <v>80</v>
      </c>
      <c r="AV171" s="12" t="s">
        <v>80</v>
      </c>
      <c r="AW171" s="12" t="s">
        <v>32</v>
      </c>
      <c r="AX171" s="12" t="s">
        <v>70</v>
      </c>
      <c r="AY171" s="141" t="s">
        <v>126</v>
      </c>
    </row>
    <row r="172" spans="2:51" s="13" customFormat="1" ht="12">
      <c r="B172" s="146"/>
      <c r="D172" s="140" t="s">
        <v>137</v>
      </c>
      <c r="E172" s="147" t="s">
        <v>3</v>
      </c>
      <c r="F172" s="148" t="s">
        <v>151</v>
      </c>
      <c r="H172" s="149">
        <v>27.276</v>
      </c>
      <c r="L172" s="146"/>
      <c r="M172" s="150"/>
      <c r="T172" s="151"/>
      <c r="AT172" s="147" t="s">
        <v>137</v>
      </c>
      <c r="AU172" s="147" t="s">
        <v>80</v>
      </c>
      <c r="AV172" s="13" t="s">
        <v>133</v>
      </c>
      <c r="AW172" s="13" t="s">
        <v>32</v>
      </c>
      <c r="AX172" s="13" t="s">
        <v>78</v>
      </c>
      <c r="AY172" s="147" t="s">
        <v>126</v>
      </c>
    </row>
    <row r="173" spans="2:65" s="1" customFormat="1" ht="16.5" customHeight="1">
      <c r="B173" s="123"/>
      <c r="C173" s="124" t="s">
        <v>259</v>
      </c>
      <c r="D173" s="124" t="s">
        <v>128</v>
      </c>
      <c r="E173" s="125" t="s">
        <v>260</v>
      </c>
      <c r="F173" s="126" t="s">
        <v>261</v>
      </c>
      <c r="G173" s="127" t="s">
        <v>131</v>
      </c>
      <c r="H173" s="128">
        <v>12.419</v>
      </c>
      <c r="I173" s="129"/>
      <c r="J173" s="129">
        <f>ROUND(I173*H173,2)</f>
        <v>0</v>
      </c>
      <c r="K173" s="126" t="s">
        <v>132</v>
      </c>
      <c r="L173" s="29"/>
      <c r="M173" s="130" t="s">
        <v>3</v>
      </c>
      <c r="N173" s="131" t="s">
        <v>41</v>
      </c>
      <c r="O173" s="132">
        <v>1.383</v>
      </c>
      <c r="P173" s="132">
        <f>O173*H173</f>
        <v>17.175477</v>
      </c>
      <c r="Q173" s="132">
        <v>0</v>
      </c>
      <c r="R173" s="132">
        <f>Q173*H173</f>
        <v>0</v>
      </c>
      <c r="S173" s="132">
        <v>0.25</v>
      </c>
      <c r="T173" s="133">
        <f>S173*H173</f>
        <v>3.10475</v>
      </c>
      <c r="AR173" s="134" t="s">
        <v>133</v>
      </c>
      <c r="AT173" s="134" t="s">
        <v>128</v>
      </c>
      <c r="AU173" s="134" t="s">
        <v>80</v>
      </c>
      <c r="AY173" s="17" t="s">
        <v>126</v>
      </c>
      <c r="BE173" s="135">
        <f>IF(N173="základní",J173,0)</f>
        <v>0</v>
      </c>
      <c r="BF173" s="135">
        <f>IF(N173="snížená",J173,0)</f>
        <v>0</v>
      </c>
      <c r="BG173" s="135">
        <f>IF(N173="zákl. přenesená",J173,0)</f>
        <v>0</v>
      </c>
      <c r="BH173" s="135">
        <f>IF(N173="sníž. přenesená",J173,0)</f>
        <v>0</v>
      </c>
      <c r="BI173" s="135">
        <f>IF(N173="nulová",J173,0)</f>
        <v>0</v>
      </c>
      <c r="BJ173" s="17" t="s">
        <v>78</v>
      </c>
      <c r="BK173" s="135">
        <f>ROUND(I173*H173,2)</f>
        <v>0</v>
      </c>
      <c r="BL173" s="17" t="s">
        <v>133</v>
      </c>
      <c r="BM173" s="134" t="s">
        <v>262</v>
      </c>
    </row>
    <row r="174" spans="2:47" s="1" customFormat="1" ht="12">
      <c r="B174" s="29"/>
      <c r="D174" s="136" t="s">
        <v>135</v>
      </c>
      <c r="F174" s="137" t="s">
        <v>263</v>
      </c>
      <c r="L174" s="29"/>
      <c r="M174" s="138"/>
      <c r="T174" s="49"/>
      <c r="AT174" s="17" t="s">
        <v>135</v>
      </c>
      <c r="AU174" s="17" t="s">
        <v>80</v>
      </c>
    </row>
    <row r="175" spans="2:51" s="12" customFormat="1" ht="12">
      <c r="B175" s="139"/>
      <c r="D175" s="140" t="s">
        <v>137</v>
      </c>
      <c r="E175" s="141" t="s">
        <v>3</v>
      </c>
      <c r="F175" s="142" t="s">
        <v>264</v>
      </c>
      <c r="H175" s="143">
        <v>12.419</v>
      </c>
      <c r="L175" s="139"/>
      <c r="M175" s="144"/>
      <c r="T175" s="145"/>
      <c r="AT175" s="141" t="s">
        <v>137</v>
      </c>
      <c r="AU175" s="141" t="s">
        <v>80</v>
      </c>
      <c r="AV175" s="12" t="s">
        <v>80</v>
      </c>
      <c r="AW175" s="12" t="s">
        <v>32</v>
      </c>
      <c r="AX175" s="12" t="s">
        <v>78</v>
      </c>
      <c r="AY175" s="141" t="s">
        <v>126</v>
      </c>
    </row>
    <row r="176" spans="2:65" s="1" customFormat="1" ht="24.2" customHeight="1">
      <c r="B176" s="123"/>
      <c r="C176" s="124" t="s">
        <v>265</v>
      </c>
      <c r="D176" s="124" t="s">
        <v>128</v>
      </c>
      <c r="E176" s="125" t="s">
        <v>266</v>
      </c>
      <c r="F176" s="126" t="s">
        <v>267</v>
      </c>
      <c r="G176" s="127" t="s">
        <v>131</v>
      </c>
      <c r="H176" s="128">
        <v>2.67</v>
      </c>
      <c r="I176" s="129"/>
      <c r="J176" s="129">
        <f>ROUND(I176*H176,2)</f>
        <v>0</v>
      </c>
      <c r="K176" s="126" t="s">
        <v>132</v>
      </c>
      <c r="L176" s="29"/>
      <c r="M176" s="130" t="s">
        <v>3</v>
      </c>
      <c r="N176" s="131" t="s">
        <v>41</v>
      </c>
      <c r="O176" s="132">
        <v>0.323</v>
      </c>
      <c r="P176" s="132">
        <f>O176*H176</f>
        <v>0.86241</v>
      </c>
      <c r="Q176" s="132">
        <v>0</v>
      </c>
      <c r="R176" s="132">
        <f>Q176*H176</f>
        <v>0</v>
      </c>
      <c r="S176" s="132">
        <v>0.027</v>
      </c>
      <c r="T176" s="133">
        <f>S176*H176</f>
        <v>0.07209</v>
      </c>
      <c r="AR176" s="134" t="s">
        <v>133</v>
      </c>
      <c r="AT176" s="134" t="s">
        <v>128</v>
      </c>
      <c r="AU176" s="134" t="s">
        <v>80</v>
      </c>
      <c r="AY176" s="17" t="s">
        <v>126</v>
      </c>
      <c r="BE176" s="135">
        <f>IF(N176="základní",J176,0)</f>
        <v>0</v>
      </c>
      <c r="BF176" s="135">
        <f>IF(N176="snížená",J176,0)</f>
        <v>0</v>
      </c>
      <c r="BG176" s="135">
        <f>IF(N176="zákl. přenesená",J176,0)</f>
        <v>0</v>
      </c>
      <c r="BH176" s="135">
        <f>IF(N176="sníž. přenesená",J176,0)</f>
        <v>0</v>
      </c>
      <c r="BI176" s="135">
        <f>IF(N176="nulová",J176,0)</f>
        <v>0</v>
      </c>
      <c r="BJ176" s="17" t="s">
        <v>78</v>
      </c>
      <c r="BK176" s="135">
        <f>ROUND(I176*H176,2)</f>
        <v>0</v>
      </c>
      <c r="BL176" s="17" t="s">
        <v>133</v>
      </c>
      <c r="BM176" s="134" t="s">
        <v>268</v>
      </c>
    </row>
    <row r="177" spans="2:47" s="1" customFormat="1" ht="12">
      <c r="B177" s="29"/>
      <c r="D177" s="136" t="s">
        <v>135</v>
      </c>
      <c r="F177" s="137" t="s">
        <v>269</v>
      </c>
      <c r="L177" s="29"/>
      <c r="M177" s="138"/>
      <c r="T177" s="49"/>
      <c r="AT177" s="17" t="s">
        <v>135</v>
      </c>
      <c r="AU177" s="17" t="s">
        <v>80</v>
      </c>
    </row>
    <row r="178" spans="2:51" s="12" customFormat="1" ht="12">
      <c r="B178" s="139"/>
      <c r="D178" s="140" t="s">
        <v>137</v>
      </c>
      <c r="E178" s="141" t="s">
        <v>3</v>
      </c>
      <c r="F178" s="142" t="s">
        <v>270</v>
      </c>
      <c r="H178" s="143">
        <v>1.829</v>
      </c>
      <c r="L178" s="139"/>
      <c r="M178" s="144"/>
      <c r="T178" s="145"/>
      <c r="AT178" s="141" t="s">
        <v>137</v>
      </c>
      <c r="AU178" s="141" t="s">
        <v>80</v>
      </c>
      <c r="AV178" s="12" t="s">
        <v>80</v>
      </c>
      <c r="AW178" s="12" t="s">
        <v>32</v>
      </c>
      <c r="AX178" s="12" t="s">
        <v>70</v>
      </c>
      <c r="AY178" s="141" t="s">
        <v>126</v>
      </c>
    </row>
    <row r="179" spans="2:51" s="12" customFormat="1" ht="12">
      <c r="B179" s="139"/>
      <c r="D179" s="140" t="s">
        <v>137</v>
      </c>
      <c r="E179" s="141" t="s">
        <v>3</v>
      </c>
      <c r="F179" s="142" t="s">
        <v>271</v>
      </c>
      <c r="H179" s="143">
        <v>0.409</v>
      </c>
      <c r="L179" s="139"/>
      <c r="M179" s="144"/>
      <c r="T179" s="145"/>
      <c r="AT179" s="141" t="s">
        <v>137</v>
      </c>
      <c r="AU179" s="141" t="s">
        <v>80</v>
      </c>
      <c r="AV179" s="12" t="s">
        <v>80</v>
      </c>
      <c r="AW179" s="12" t="s">
        <v>32</v>
      </c>
      <c r="AX179" s="12" t="s">
        <v>70</v>
      </c>
      <c r="AY179" s="141" t="s">
        <v>126</v>
      </c>
    </row>
    <row r="180" spans="2:51" s="12" customFormat="1" ht="12">
      <c r="B180" s="139"/>
      <c r="D180" s="140" t="s">
        <v>137</v>
      </c>
      <c r="E180" s="141" t="s">
        <v>3</v>
      </c>
      <c r="F180" s="142" t="s">
        <v>272</v>
      </c>
      <c r="H180" s="143">
        <v>0.432</v>
      </c>
      <c r="L180" s="139"/>
      <c r="M180" s="144"/>
      <c r="T180" s="145"/>
      <c r="AT180" s="141" t="s">
        <v>137</v>
      </c>
      <c r="AU180" s="141" t="s">
        <v>80</v>
      </c>
      <c r="AV180" s="12" t="s">
        <v>80</v>
      </c>
      <c r="AW180" s="12" t="s">
        <v>32</v>
      </c>
      <c r="AX180" s="12" t="s">
        <v>70</v>
      </c>
      <c r="AY180" s="141" t="s">
        <v>126</v>
      </c>
    </row>
    <row r="181" spans="2:51" s="13" customFormat="1" ht="12">
      <c r="B181" s="146"/>
      <c r="D181" s="140" t="s">
        <v>137</v>
      </c>
      <c r="E181" s="147" t="s">
        <v>3</v>
      </c>
      <c r="F181" s="148" t="s">
        <v>151</v>
      </c>
      <c r="H181" s="149">
        <v>2.67</v>
      </c>
      <c r="L181" s="146"/>
      <c r="M181" s="150"/>
      <c r="T181" s="151"/>
      <c r="AT181" s="147" t="s">
        <v>137</v>
      </c>
      <c r="AU181" s="147" t="s">
        <v>80</v>
      </c>
      <c r="AV181" s="13" t="s">
        <v>133</v>
      </c>
      <c r="AW181" s="13" t="s">
        <v>32</v>
      </c>
      <c r="AX181" s="13" t="s">
        <v>78</v>
      </c>
      <c r="AY181" s="147" t="s">
        <v>126</v>
      </c>
    </row>
    <row r="182" spans="2:65" s="1" customFormat="1" ht="24.2" customHeight="1">
      <c r="B182" s="123"/>
      <c r="C182" s="124" t="s">
        <v>273</v>
      </c>
      <c r="D182" s="124" t="s">
        <v>128</v>
      </c>
      <c r="E182" s="125" t="s">
        <v>274</v>
      </c>
      <c r="F182" s="126" t="s">
        <v>275</v>
      </c>
      <c r="G182" s="127" t="s">
        <v>131</v>
      </c>
      <c r="H182" s="128">
        <v>4.827</v>
      </c>
      <c r="I182" s="129"/>
      <c r="J182" s="129">
        <f>ROUND(I182*H182,2)</f>
        <v>0</v>
      </c>
      <c r="K182" s="126" t="s">
        <v>132</v>
      </c>
      <c r="L182" s="29"/>
      <c r="M182" s="130" t="s">
        <v>3</v>
      </c>
      <c r="N182" s="131" t="s">
        <v>41</v>
      </c>
      <c r="O182" s="132">
        <v>0.939</v>
      </c>
      <c r="P182" s="132">
        <f>O182*H182</f>
        <v>4.532553</v>
      </c>
      <c r="Q182" s="132">
        <v>0</v>
      </c>
      <c r="R182" s="132">
        <f>Q182*H182</f>
        <v>0</v>
      </c>
      <c r="S182" s="132">
        <v>0.076</v>
      </c>
      <c r="T182" s="133">
        <f>S182*H182</f>
        <v>0.366852</v>
      </c>
      <c r="AR182" s="134" t="s">
        <v>133</v>
      </c>
      <c r="AT182" s="134" t="s">
        <v>128</v>
      </c>
      <c r="AU182" s="134" t="s">
        <v>80</v>
      </c>
      <c r="AY182" s="17" t="s">
        <v>126</v>
      </c>
      <c r="BE182" s="135">
        <f>IF(N182="základní",J182,0)</f>
        <v>0</v>
      </c>
      <c r="BF182" s="135">
        <f>IF(N182="snížená",J182,0)</f>
        <v>0</v>
      </c>
      <c r="BG182" s="135">
        <f>IF(N182="zákl. přenesená",J182,0)</f>
        <v>0</v>
      </c>
      <c r="BH182" s="135">
        <f>IF(N182="sníž. přenesená",J182,0)</f>
        <v>0</v>
      </c>
      <c r="BI182" s="135">
        <f>IF(N182="nulová",J182,0)</f>
        <v>0</v>
      </c>
      <c r="BJ182" s="17" t="s">
        <v>78</v>
      </c>
      <c r="BK182" s="135">
        <f>ROUND(I182*H182,2)</f>
        <v>0</v>
      </c>
      <c r="BL182" s="17" t="s">
        <v>133</v>
      </c>
      <c r="BM182" s="134" t="s">
        <v>276</v>
      </c>
    </row>
    <row r="183" spans="2:47" s="1" customFormat="1" ht="12">
      <c r="B183" s="29"/>
      <c r="D183" s="136" t="s">
        <v>135</v>
      </c>
      <c r="F183" s="137" t="s">
        <v>277</v>
      </c>
      <c r="L183" s="29"/>
      <c r="M183" s="138"/>
      <c r="T183" s="49"/>
      <c r="AT183" s="17" t="s">
        <v>135</v>
      </c>
      <c r="AU183" s="17" t="s">
        <v>80</v>
      </c>
    </row>
    <row r="184" spans="2:51" s="12" customFormat="1" ht="12">
      <c r="B184" s="139"/>
      <c r="D184" s="140" t="s">
        <v>137</v>
      </c>
      <c r="E184" s="141" t="s">
        <v>3</v>
      </c>
      <c r="F184" s="142" t="s">
        <v>278</v>
      </c>
      <c r="H184" s="143">
        <v>4.827</v>
      </c>
      <c r="L184" s="139"/>
      <c r="M184" s="144"/>
      <c r="T184" s="145"/>
      <c r="AT184" s="141" t="s">
        <v>137</v>
      </c>
      <c r="AU184" s="141" t="s">
        <v>80</v>
      </c>
      <c r="AV184" s="12" t="s">
        <v>80</v>
      </c>
      <c r="AW184" s="12" t="s">
        <v>32</v>
      </c>
      <c r="AX184" s="12" t="s">
        <v>78</v>
      </c>
      <c r="AY184" s="141" t="s">
        <v>126</v>
      </c>
    </row>
    <row r="185" spans="2:65" s="1" customFormat="1" ht="24.2" customHeight="1">
      <c r="B185" s="123"/>
      <c r="C185" s="124" t="s">
        <v>279</v>
      </c>
      <c r="D185" s="124" t="s">
        <v>128</v>
      </c>
      <c r="E185" s="125" t="s">
        <v>280</v>
      </c>
      <c r="F185" s="126" t="s">
        <v>281</v>
      </c>
      <c r="G185" s="127" t="s">
        <v>131</v>
      </c>
      <c r="H185" s="128">
        <v>5.255</v>
      </c>
      <c r="I185" s="129"/>
      <c r="J185" s="129">
        <f>ROUND(I185*H185,2)</f>
        <v>0</v>
      </c>
      <c r="K185" s="126" t="s">
        <v>132</v>
      </c>
      <c r="L185" s="29"/>
      <c r="M185" s="130" t="s">
        <v>3</v>
      </c>
      <c r="N185" s="131" t="s">
        <v>41</v>
      </c>
      <c r="O185" s="132">
        <v>0.718</v>
      </c>
      <c r="P185" s="132">
        <f>O185*H185</f>
        <v>3.77309</v>
      </c>
      <c r="Q185" s="132">
        <v>0</v>
      </c>
      <c r="R185" s="132">
        <f>Q185*H185</f>
        <v>0</v>
      </c>
      <c r="S185" s="132">
        <v>0.063</v>
      </c>
      <c r="T185" s="133">
        <f>S185*H185</f>
        <v>0.331065</v>
      </c>
      <c r="AR185" s="134" t="s">
        <v>133</v>
      </c>
      <c r="AT185" s="134" t="s">
        <v>128</v>
      </c>
      <c r="AU185" s="134" t="s">
        <v>80</v>
      </c>
      <c r="AY185" s="17" t="s">
        <v>126</v>
      </c>
      <c r="BE185" s="135">
        <f>IF(N185="základní",J185,0)</f>
        <v>0</v>
      </c>
      <c r="BF185" s="135">
        <f>IF(N185="snížená",J185,0)</f>
        <v>0</v>
      </c>
      <c r="BG185" s="135">
        <f>IF(N185="zákl. přenesená",J185,0)</f>
        <v>0</v>
      </c>
      <c r="BH185" s="135">
        <f>IF(N185="sníž. přenesená",J185,0)</f>
        <v>0</v>
      </c>
      <c r="BI185" s="135">
        <f>IF(N185="nulová",J185,0)</f>
        <v>0</v>
      </c>
      <c r="BJ185" s="17" t="s">
        <v>78</v>
      </c>
      <c r="BK185" s="135">
        <f>ROUND(I185*H185,2)</f>
        <v>0</v>
      </c>
      <c r="BL185" s="17" t="s">
        <v>133</v>
      </c>
      <c r="BM185" s="134" t="s">
        <v>282</v>
      </c>
    </row>
    <row r="186" spans="2:47" s="1" customFormat="1" ht="12">
      <c r="B186" s="29"/>
      <c r="D186" s="136" t="s">
        <v>135</v>
      </c>
      <c r="F186" s="137" t="s">
        <v>283</v>
      </c>
      <c r="L186" s="29"/>
      <c r="M186" s="138"/>
      <c r="T186" s="49"/>
      <c r="AT186" s="17" t="s">
        <v>135</v>
      </c>
      <c r="AU186" s="17" t="s">
        <v>80</v>
      </c>
    </row>
    <row r="187" spans="2:51" s="12" customFormat="1" ht="12">
      <c r="B187" s="139"/>
      <c r="D187" s="140" t="s">
        <v>137</v>
      </c>
      <c r="E187" s="141" t="s">
        <v>3</v>
      </c>
      <c r="F187" s="142" t="s">
        <v>284</v>
      </c>
      <c r="H187" s="143">
        <v>5.255</v>
      </c>
      <c r="L187" s="139"/>
      <c r="M187" s="144"/>
      <c r="T187" s="145"/>
      <c r="AT187" s="141" t="s">
        <v>137</v>
      </c>
      <c r="AU187" s="141" t="s">
        <v>80</v>
      </c>
      <c r="AV187" s="12" t="s">
        <v>80</v>
      </c>
      <c r="AW187" s="12" t="s">
        <v>32</v>
      </c>
      <c r="AX187" s="12" t="s">
        <v>78</v>
      </c>
      <c r="AY187" s="141" t="s">
        <v>126</v>
      </c>
    </row>
    <row r="188" spans="2:65" s="1" customFormat="1" ht="24.2" customHeight="1">
      <c r="B188" s="123"/>
      <c r="C188" s="124" t="s">
        <v>285</v>
      </c>
      <c r="D188" s="124" t="s">
        <v>128</v>
      </c>
      <c r="E188" s="125" t="s">
        <v>286</v>
      </c>
      <c r="F188" s="126" t="s">
        <v>287</v>
      </c>
      <c r="G188" s="127" t="s">
        <v>146</v>
      </c>
      <c r="H188" s="128">
        <v>11.427</v>
      </c>
      <c r="I188" s="129"/>
      <c r="J188" s="129">
        <f>ROUND(I188*H188,2)</f>
        <v>0</v>
      </c>
      <c r="K188" s="126" t="s">
        <v>132</v>
      </c>
      <c r="L188" s="29"/>
      <c r="M188" s="130" t="s">
        <v>3</v>
      </c>
      <c r="N188" s="131" t="s">
        <v>41</v>
      </c>
      <c r="O188" s="132">
        <v>12.256</v>
      </c>
      <c r="P188" s="132">
        <f>O188*H188</f>
        <v>140.049312</v>
      </c>
      <c r="Q188" s="132">
        <v>0</v>
      </c>
      <c r="R188" s="132">
        <f>Q188*H188</f>
        <v>0</v>
      </c>
      <c r="S188" s="132">
        <v>1.8</v>
      </c>
      <c r="T188" s="133">
        <f>S188*H188</f>
        <v>20.5686</v>
      </c>
      <c r="AR188" s="134" t="s">
        <v>133</v>
      </c>
      <c r="AT188" s="134" t="s">
        <v>128</v>
      </c>
      <c r="AU188" s="134" t="s">
        <v>80</v>
      </c>
      <c r="AY188" s="17" t="s">
        <v>126</v>
      </c>
      <c r="BE188" s="135">
        <f>IF(N188="základní",J188,0)</f>
        <v>0</v>
      </c>
      <c r="BF188" s="135">
        <f>IF(N188="snížená",J188,0)</f>
        <v>0</v>
      </c>
      <c r="BG188" s="135">
        <f>IF(N188="zákl. přenesená",J188,0)</f>
        <v>0</v>
      </c>
      <c r="BH188" s="135">
        <f>IF(N188="sníž. přenesená",J188,0)</f>
        <v>0</v>
      </c>
      <c r="BI188" s="135">
        <f>IF(N188="nulová",J188,0)</f>
        <v>0</v>
      </c>
      <c r="BJ188" s="17" t="s">
        <v>78</v>
      </c>
      <c r="BK188" s="135">
        <f>ROUND(I188*H188,2)</f>
        <v>0</v>
      </c>
      <c r="BL188" s="17" t="s">
        <v>133</v>
      </c>
      <c r="BM188" s="134" t="s">
        <v>288</v>
      </c>
    </row>
    <row r="189" spans="2:47" s="1" customFormat="1" ht="12">
      <c r="B189" s="29"/>
      <c r="D189" s="136" t="s">
        <v>135</v>
      </c>
      <c r="F189" s="137" t="s">
        <v>289</v>
      </c>
      <c r="L189" s="29"/>
      <c r="M189" s="138"/>
      <c r="T189" s="49"/>
      <c r="AT189" s="17" t="s">
        <v>135</v>
      </c>
      <c r="AU189" s="17" t="s">
        <v>80</v>
      </c>
    </row>
    <row r="190" spans="2:51" s="12" customFormat="1" ht="12">
      <c r="B190" s="139"/>
      <c r="D190" s="140" t="s">
        <v>137</v>
      </c>
      <c r="E190" s="141" t="s">
        <v>3</v>
      </c>
      <c r="F190" s="142" t="s">
        <v>290</v>
      </c>
      <c r="H190" s="143">
        <v>7.35</v>
      </c>
      <c r="L190" s="139"/>
      <c r="M190" s="144"/>
      <c r="T190" s="145"/>
      <c r="AT190" s="141" t="s">
        <v>137</v>
      </c>
      <c r="AU190" s="141" t="s">
        <v>80</v>
      </c>
      <c r="AV190" s="12" t="s">
        <v>80</v>
      </c>
      <c r="AW190" s="12" t="s">
        <v>32</v>
      </c>
      <c r="AX190" s="12" t="s">
        <v>70</v>
      </c>
      <c r="AY190" s="141" t="s">
        <v>126</v>
      </c>
    </row>
    <row r="191" spans="2:51" s="12" customFormat="1" ht="12">
      <c r="B191" s="139"/>
      <c r="D191" s="140" t="s">
        <v>137</v>
      </c>
      <c r="E191" s="141" t="s">
        <v>3</v>
      </c>
      <c r="F191" s="142" t="s">
        <v>291</v>
      </c>
      <c r="H191" s="143">
        <v>2.327</v>
      </c>
      <c r="L191" s="139"/>
      <c r="M191" s="144"/>
      <c r="T191" s="145"/>
      <c r="AT191" s="141" t="s">
        <v>137</v>
      </c>
      <c r="AU191" s="141" t="s">
        <v>80</v>
      </c>
      <c r="AV191" s="12" t="s">
        <v>80</v>
      </c>
      <c r="AW191" s="12" t="s">
        <v>32</v>
      </c>
      <c r="AX191" s="12" t="s">
        <v>70</v>
      </c>
      <c r="AY191" s="141" t="s">
        <v>126</v>
      </c>
    </row>
    <row r="192" spans="2:51" s="12" customFormat="1" ht="12">
      <c r="B192" s="139"/>
      <c r="D192" s="140" t="s">
        <v>137</v>
      </c>
      <c r="E192" s="141" t="s">
        <v>3</v>
      </c>
      <c r="F192" s="142" t="s">
        <v>292</v>
      </c>
      <c r="H192" s="143">
        <v>1.75</v>
      </c>
      <c r="L192" s="139"/>
      <c r="M192" s="144"/>
      <c r="T192" s="145"/>
      <c r="AT192" s="141" t="s">
        <v>137</v>
      </c>
      <c r="AU192" s="141" t="s">
        <v>80</v>
      </c>
      <c r="AV192" s="12" t="s">
        <v>80</v>
      </c>
      <c r="AW192" s="12" t="s">
        <v>32</v>
      </c>
      <c r="AX192" s="12" t="s">
        <v>70</v>
      </c>
      <c r="AY192" s="141" t="s">
        <v>126</v>
      </c>
    </row>
    <row r="193" spans="2:51" s="13" customFormat="1" ht="12">
      <c r="B193" s="146"/>
      <c r="D193" s="140" t="s">
        <v>137</v>
      </c>
      <c r="E193" s="147" t="s">
        <v>3</v>
      </c>
      <c r="F193" s="148" t="s">
        <v>151</v>
      </c>
      <c r="H193" s="149">
        <v>11.427</v>
      </c>
      <c r="L193" s="146"/>
      <c r="M193" s="150"/>
      <c r="T193" s="151"/>
      <c r="AT193" s="147" t="s">
        <v>137</v>
      </c>
      <c r="AU193" s="147" t="s">
        <v>80</v>
      </c>
      <c r="AV193" s="13" t="s">
        <v>133</v>
      </c>
      <c r="AW193" s="13" t="s">
        <v>32</v>
      </c>
      <c r="AX193" s="13" t="s">
        <v>78</v>
      </c>
      <c r="AY193" s="147" t="s">
        <v>126</v>
      </c>
    </row>
    <row r="194" spans="2:65" s="1" customFormat="1" ht="24.2" customHeight="1">
      <c r="B194" s="123"/>
      <c r="C194" s="124" t="s">
        <v>293</v>
      </c>
      <c r="D194" s="124" t="s">
        <v>128</v>
      </c>
      <c r="E194" s="125" t="s">
        <v>294</v>
      </c>
      <c r="F194" s="126" t="s">
        <v>295</v>
      </c>
      <c r="G194" s="127" t="s">
        <v>296</v>
      </c>
      <c r="H194" s="128">
        <v>20.304</v>
      </c>
      <c r="I194" s="129"/>
      <c r="J194" s="129">
        <f>ROUND(I194*H194,2)</f>
        <v>0</v>
      </c>
      <c r="K194" s="126" t="s">
        <v>132</v>
      </c>
      <c r="L194" s="29"/>
      <c r="M194" s="130" t="s">
        <v>3</v>
      </c>
      <c r="N194" s="131" t="s">
        <v>41</v>
      </c>
      <c r="O194" s="132">
        <v>0.993</v>
      </c>
      <c r="P194" s="132">
        <f>O194*H194</f>
        <v>20.161872</v>
      </c>
      <c r="Q194" s="132">
        <v>0</v>
      </c>
      <c r="R194" s="132">
        <f>Q194*H194</f>
        <v>0</v>
      </c>
      <c r="S194" s="132">
        <v>0.062</v>
      </c>
      <c r="T194" s="133">
        <f>S194*H194</f>
        <v>1.258848</v>
      </c>
      <c r="AR194" s="134" t="s">
        <v>133</v>
      </c>
      <c r="AT194" s="134" t="s">
        <v>128</v>
      </c>
      <c r="AU194" s="134" t="s">
        <v>80</v>
      </c>
      <c r="AY194" s="17" t="s">
        <v>126</v>
      </c>
      <c r="BE194" s="135">
        <f>IF(N194="základní",J194,0)</f>
        <v>0</v>
      </c>
      <c r="BF194" s="135">
        <f>IF(N194="snížená",J194,0)</f>
        <v>0</v>
      </c>
      <c r="BG194" s="135">
        <f>IF(N194="zákl. přenesená",J194,0)</f>
        <v>0</v>
      </c>
      <c r="BH194" s="135">
        <f>IF(N194="sníž. přenesená",J194,0)</f>
        <v>0</v>
      </c>
      <c r="BI194" s="135">
        <f>IF(N194="nulová",J194,0)</f>
        <v>0</v>
      </c>
      <c r="BJ194" s="17" t="s">
        <v>78</v>
      </c>
      <c r="BK194" s="135">
        <f>ROUND(I194*H194,2)</f>
        <v>0</v>
      </c>
      <c r="BL194" s="17" t="s">
        <v>133</v>
      </c>
      <c r="BM194" s="134" t="s">
        <v>297</v>
      </c>
    </row>
    <row r="195" spans="2:47" s="1" customFormat="1" ht="12">
      <c r="B195" s="29"/>
      <c r="D195" s="136" t="s">
        <v>135</v>
      </c>
      <c r="F195" s="137" t="s">
        <v>298</v>
      </c>
      <c r="L195" s="29"/>
      <c r="M195" s="138"/>
      <c r="T195" s="49"/>
      <c r="AT195" s="17" t="s">
        <v>135</v>
      </c>
      <c r="AU195" s="17" t="s">
        <v>80</v>
      </c>
    </row>
    <row r="196" spans="2:51" s="12" customFormat="1" ht="12">
      <c r="B196" s="139"/>
      <c r="D196" s="140" t="s">
        <v>137</v>
      </c>
      <c r="E196" s="141" t="s">
        <v>3</v>
      </c>
      <c r="F196" s="142" t="s">
        <v>299</v>
      </c>
      <c r="H196" s="143">
        <v>14</v>
      </c>
      <c r="L196" s="139"/>
      <c r="M196" s="144"/>
      <c r="T196" s="145"/>
      <c r="AT196" s="141" t="s">
        <v>137</v>
      </c>
      <c r="AU196" s="141" t="s">
        <v>80</v>
      </c>
      <c r="AV196" s="12" t="s">
        <v>80</v>
      </c>
      <c r="AW196" s="12" t="s">
        <v>32</v>
      </c>
      <c r="AX196" s="12" t="s">
        <v>70</v>
      </c>
      <c r="AY196" s="141" t="s">
        <v>126</v>
      </c>
    </row>
    <row r="197" spans="2:51" s="12" customFormat="1" ht="12">
      <c r="B197" s="139"/>
      <c r="D197" s="140" t="s">
        <v>137</v>
      </c>
      <c r="E197" s="141" t="s">
        <v>3</v>
      </c>
      <c r="F197" s="142" t="s">
        <v>300</v>
      </c>
      <c r="H197" s="143">
        <v>6</v>
      </c>
      <c r="L197" s="139"/>
      <c r="M197" s="144"/>
      <c r="T197" s="145"/>
      <c r="AT197" s="141" t="s">
        <v>137</v>
      </c>
      <c r="AU197" s="141" t="s">
        <v>80</v>
      </c>
      <c r="AV197" s="12" t="s">
        <v>80</v>
      </c>
      <c r="AW197" s="12" t="s">
        <v>32</v>
      </c>
      <c r="AX197" s="12" t="s">
        <v>70</v>
      </c>
      <c r="AY197" s="141" t="s">
        <v>126</v>
      </c>
    </row>
    <row r="198" spans="2:51" s="12" customFormat="1" ht="12">
      <c r="B198" s="139"/>
      <c r="D198" s="140" t="s">
        <v>137</v>
      </c>
      <c r="E198" s="141" t="s">
        <v>3</v>
      </c>
      <c r="F198" s="142" t="s">
        <v>301</v>
      </c>
      <c r="H198" s="143">
        <v>0.304</v>
      </c>
      <c r="L198" s="139"/>
      <c r="M198" s="144"/>
      <c r="T198" s="145"/>
      <c r="AT198" s="141" t="s">
        <v>137</v>
      </c>
      <c r="AU198" s="141" t="s">
        <v>80</v>
      </c>
      <c r="AV198" s="12" t="s">
        <v>80</v>
      </c>
      <c r="AW198" s="12" t="s">
        <v>32</v>
      </c>
      <c r="AX198" s="12" t="s">
        <v>70</v>
      </c>
      <c r="AY198" s="141" t="s">
        <v>126</v>
      </c>
    </row>
    <row r="199" spans="2:51" s="13" customFormat="1" ht="12">
      <c r="B199" s="146"/>
      <c r="D199" s="140" t="s">
        <v>137</v>
      </c>
      <c r="E199" s="147" t="s">
        <v>3</v>
      </c>
      <c r="F199" s="148" t="s">
        <v>151</v>
      </c>
      <c r="H199" s="149">
        <v>20.304</v>
      </c>
      <c r="L199" s="146"/>
      <c r="M199" s="150"/>
      <c r="T199" s="151"/>
      <c r="AT199" s="147" t="s">
        <v>137</v>
      </c>
      <c r="AU199" s="147" t="s">
        <v>80</v>
      </c>
      <c r="AV199" s="13" t="s">
        <v>133</v>
      </c>
      <c r="AW199" s="13" t="s">
        <v>32</v>
      </c>
      <c r="AX199" s="13" t="s">
        <v>78</v>
      </c>
      <c r="AY199" s="147" t="s">
        <v>126</v>
      </c>
    </row>
    <row r="200" spans="2:65" s="1" customFormat="1" ht="24.2" customHeight="1">
      <c r="B200" s="123"/>
      <c r="C200" s="124" t="s">
        <v>302</v>
      </c>
      <c r="D200" s="124" t="s">
        <v>128</v>
      </c>
      <c r="E200" s="125" t="s">
        <v>303</v>
      </c>
      <c r="F200" s="126" t="s">
        <v>304</v>
      </c>
      <c r="G200" s="127" t="s">
        <v>249</v>
      </c>
      <c r="H200" s="128">
        <v>44.808</v>
      </c>
      <c r="I200" s="129"/>
      <c r="J200" s="129">
        <f>ROUND(I200*H200,2)</f>
        <v>0</v>
      </c>
      <c r="K200" s="126" t="s">
        <v>132</v>
      </c>
      <c r="L200" s="29"/>
      <c r="M200" s="130" t="s">
        <v>3</v>
      </c>
      <c r="N200" s="131" t="s">
        <v>41</v>
      </c>
      <c r="O200" s="132">
        <v>0.525</v>
      </c>
      <c r="P200" s="132">
        <f>O200*H200</f>
        <v>23.5242</v>
      </c>
      <c r="Q200" s="132">
        <v>0</v>
      </c>
      <c r="R200" s="132">
        <f>Q200*H200</f>
        <v>0</v>
      </c>
      <c r="S200" s="132">
        <v>0</v>
      </c>
      <c r="T200" s="133">
        <f>S200*H200</f>
        <v>0</v>
      </c>
      <c r="AR200" s="134" t="s">
        <v>133</v>
      </c>
      <c r="AT200" s="134" t="s">
        <v>128</v>
      </c>
      <c r="AU200" s="134" t="s">
        <v>80</v>
      </c>
      <c r="AY200" s="17" t="s">
        <v>126</v>
      </c>
      <c r="BE200" s="135">
        <f>IF(N200="základní",J200,0)</f>
        <v>0</v>
      </c>
      <c r="BF200" s="135">
        <f>IF(N200="snížená",J200,0)</f>
        <v>0</v>
      </c>
      <c r="BG200" s="135">
        <f>IF(N200="zákl. přenesená",J200,0)</f>
        <v>0</v>
      </c>
      <c r="BH200" s="135">
        <f>IF(N200="sníž. přenesená",J200,0)</f>
        <v>0</v>
      </c>
      <c r="BI200" s="135">
        <f>IF(N200="nulová",J200,0)</f>
        <v>0</v>
      </c>
      <c r="BJ200" s="17" t="s">
        <v>78</v>
      </c>
      <c r="BK200" s="135">
        <f>ROUND(I200*H200,2)</f>
        <v>0</v>
      </c>
      <c r="BL200" s="17" t="s">
        <v>133</v>
      </c>
      <c r="BM200" s="134" t="s">
        <v>305</v>
      </c>
    </row>
    <row r="201" spans="2:47" s="1" customFormat="1" ht="12">
      <c r="B201" s="29"/>
      <c r="D201" s="136" t="s">
        <v>135</v>
      </c>
      <c r="F201" s="137" t="s">
        <v>306</v>
      </c>
      <c r="L201" s="29"/>
      <c r="M201" s="138"/>
      <c r="T201" s="49"/>
      <c r="AT201" s="17" t="s">
        <v>135</v>
      </c>
      <c r="AU201" s="17" t="s">
        <v>80</v>
      </c>
    </row>
    <row r="202" spans="2:51" s="12" customFormat="1" ht="12">
      <c r="B202" s="139"/>
      <c r="D202" s="140" t="s">
        <v>137</v>
      </c>
      <c r="E202" s="141" t="s">
        <v>3</v>
      </c>
      <c r="F202" s="142" t="s">
        <v>307</v>
      </c>
      <c r="H202" s="143">
        <v>44.808</v>
      </c>
      <c r="L202" s="139"/>
      <c r="M202" s="144"/>
      <c r="T202" s="145"/>
      <c r="AT202" s="141" t="s">
        <v>137</v>
      </c>
      <c r="AU202" s="141" t="s">
        <v>80</v>
      </c>
      <c r="AV202" s="12" t="s">
        <v>80</v>
      </c>
      <c r="AW202" s="12" t="s">
        <v>32</v>
      </c>
      <c r="AX202" s="12" t="s">
        <v>78</v>
      </c>
      <c r="AY202" s="141" t="s">
        <v>126</v>
      </c>
    </row>
    <row r="203" spans="2:65" s="1" customFormat="1" ht="24.2" customHeight="1">
      <c r="B203" s="123"/>
      <c r="C203" s="124" t="s">
        <v>308</v>
      </c>
      <c r="D203" s="124" t="s">
        <v>128</v>
      </c>
      <c r="E203" s="125" t="s">
        <v>309</v>
      </c>
      <c r="F203" s="126" t="s">
        <v>310</v>
      </c>
      <c r="G203" s="127" t="s">
        <v>249</v>
      </c>
      <c r="H203" s="128">
        <v>1344.24</v>
      </c>
      <c r="I203" s="129"/>
      <c r="J203" s="129">
        <f>ROUND(I203*H203,2)</f>
        <v>0</v>
      </c>
      <c r="K203" s="126" t="s">
        <v>132</v>
      </c>
      <c r="L203" s="29"/>
      <c r="M203" s="130" t="s">
        <v>3</v>
      </c>
      <c r="N203" s="131" t="s">
        <v>41</v>
      </c>
      <c r="O203" s="132">
        <v>0</v>
      </c>
      <c r="P203" s="132">
        <f>O203*H203</f>
        <v>0</v>
      </c>
      <c r="Q203" s="132">
        <v>0</v>
      </c>
      <c r="R203" s="132">
        <f>Q203*H203</f>
        <v>0</v>
      </c>
      <c r="S203" s="132">
        <v>0</v>
      </c>
      <c r="T203" s="133">
        <f>S203*H203</f>
        <v>0</v>
      </c>
      <c r="AR203" s="134" t="s">
        <v>133</v>
      </c>
      <c r="AT203" s="134" t="s">
        <v>128</v>
      </c>
      <c r="AU203" s="134" t="s">
        <v>80</v>
      </c>
      <c r="AY203" s="17" t="s">
        <v>126</v>
      </c>
      <c r="BE203" s="135">
        <f>IF(N203="základní",J203,0)</f>
        <v>0</v>
      </c>
      <c r="BF203" s="135">
        <f>IF(N203="snížená",J203,0)</f>
        <v>0</v>
      </c>
      <c r="BG203" s="135">
        <f>IF(N203="zákl. přenesená",J203,0)</f>
        <v>0</v>
      </c>
      <c r="BH203" s="135">
        <f>IF(N203="sníž. přenesená",J203,0)</f>
        <v>0</v>
      </c>
      <c r="BI203" s="135">
        <f>IF(N203="nulová",J203,0)</f>
        <v>0</v>
      </c>
      <c r="BJ203" s="17" t="s">
        <v>78</v>
      </c>
      <c r="BK203" s="135">
        <f>ROUND(I203*H203,2)</f>
        <v>0</v>
      </c>
      <c r="BL203" s="17" t="s">
        <v>133</v>
      </c>
      <c r="BM203" s="134" t="s">
        <v>311</v>
      </c>
    </row>
    <row r="204" spans="2:47" s="1" customFormat="1" ht="12">
      <c r="B204" s="29"/>
      <c r="D204" s="136" t="s">
        <v>135</v>
      </c>
      <c r="F204" s="137" t="s">
        <v>312</v>
      </c>
      <c r="L204" s="29"/>
      <c r="M204" s="138"/>
      <c r="T204" s="49"/>
      <c r="AT204" s="17" t="s">
        <v>135</v>
      </c>
      <c r="AU204" s="17" t="s">
        <v>80</v>
      </c>
    </row>
    <row r="205" spans="2:51" s="12" customFormat="1" ht="12">
      <c r="B205" s="139"/>
      <c r="D205" s="140" t="s">
        <v>137</v>
      </c>
      <c r="F205" s="142" t="s">
        <v>313</v>
      </c>
      <c r="H205" s="143">
        <v>1344.24</v>
      </c>
      <c r="L205" s="139"/>
      <c r="M205" s="144"/>
      <c r="T205" s="145"/>
      <c r="AT205" s="141" t="s">
        <v>137</v>
      </c>
      <c r="AU205" s="141" t="s">
        <v>80</v>
      </c>
      <c r="AV205" s="12" t="s">
        <v>80</v>
      </c>
      <c r="AW205" s="12" t="s">
        <v>4</v>
      </c>
      <c r="AX205" s="12" t="s">
        <v>78</v>
      </c>
      <c r="AY205" s="141" t="s">
        <v>126</v>
      </c>
    </row>
    <row r="206" spans="2:65" s="1" customFormat="1" ht="24.2" customHeight="1">
      <c r="B206" s="123"/>
      <c r="C206" s="124" t="s">
        <v>314</v>
      </c>
      <c r="D206" s="124" t="s">
        <v>128</v>
      </c>
      <c r="E206" s="125" t="s">
        <v>315</v>
      </c>
      <c r="F206" s="126" t="s">
        <v>316</v>
      </c>
      <c r="G206" s="127" t="s">
        <v>249</v>
      </c>
      <c r="H206" s="128">
        <v>44.808</v>
      </c>
      <c r="I206" s="129"/>
      <c r="J206" s="129">
        <f>ROUND(I206*H206,2)</f>
        <v>0</v>
      </c>
      <c r="K206" s="126" t="s">
        <v>132</v>
      </c>
      <c r="L206" s="29"/>
      <c r="M206" s="130" t="s">
        <v>3</v>
      </c>
      <c r="N206" s="131" t="s">
        <v>41</v>
      </c>
      <c r="O206" s="132">
        <v>0.285</v>
      </c>
      <c r="P206" s="132">
        <f>O206*H206</f>
        <v>12.77028</v>
      </c>
      <c r="Q206" s="132">
        <v>0</v>
      </c>
      <c r="R206" s="132">
        <f>Q206*H206</f>
        <v>0</v>
      </c>
      <c r="S206" s="132">
        <v>0</v>
      </c>
      <c r="T206" s="133">
        <f>S206*H206</f>
        <v>0</v>
      </c>
      <c r="AR206" s="134" t="s">
        <v>133</v>
      </c>
      <c r="AT206" s="134" t="s">
        <v>128</v>
      </c>
      <c r="AU206" s="134" t="s">
        <v>80</v>
      </c>
      <c r="AY206" s="17" t="s">
        <v>126</v>
      </c>
      <c r="BE206" s="135">
        <f>IF(N206="základní",J206,0)</f>
        <v>0</v>
      </c>
      <c r="BF206" s="135">
        <f>IF(N206="snížená",J206,0)</f>
        <v>0</v>
      </c>
      <c r="BG206" s="135">
        <f>IF(N206="zákl. přenesená",J206,0)</f>
        <v>0</v>
      </c>
      <c r="BH206" s="135">
        <f>IF(N206="sníž. přenesená",J206,0)</f>
        <v>0</v>
      </c>
      <c r="BI206" s="135">
        <f>IF(N206="nulová",J206,0)</f>
        <v>0</v>
      </c>
      <c r="BJ206" s="17" t="s">
        <v>78</v>
      </c>
      <c r="BK206" s="135">
        <f>ROUND(I206*H206,2)</f>
        <v>0</v>
      </c>
      <c r="BL206" s="17" t="s">
        <v>133</v>
      </c>
      <c r="BM206" s="134" t="s">
        <v>317</v>
      </c>
    </row>
    <row r="207" spans="2:47" s="1" customFormat="1" ht="12">
      <c r="B207" s="29"/>
      <c r="D207" s="136" t="s">
        <v>135</v>
      </c>
      <c r="F207" s="137" t="s">
        <v>318</v>
      </c>
      <c r="L207" s="29"/>
      <c r="M207" s="138"/>
      <c r="T207" s="49"/>
      <c r="AT207" s="17" t="s">
        <v>135</v>
      </c>
      <c r="AU207" s="17" t="s">
        <v>80</v>
      </c>
    </row>
    <row r="208" spans="2:65" s="1" customFormat="1" ht="24.2" customHeight="1">
      <c r="B208" s="123"/>
      <c r="C208" s="124" t="s">
        <v>319</v>
      </c>
      <c r="D208" s="124" t="s">
        <v>128</v>
      </c>
      <c r="E208" s="125" t="s">
        <v>320</v>
      </c>
      <c r="F208" s="126" t="s">
        <v>321</v>
      </c>
      <c r="G208" s="127" t="s">
        <v>249</v>
      </c>
      <c r="H208" s="128">
        <v>21.474</v>
      </c>
      <c r="I208" s="129"/>
      <c r="J208" s="129">
        <f>ROUND(I208*H208,2)</f>
        <v>0</v>
      </c>
      <c r="K208" s="126" t="s">
        <v>132</v>
      </c>
      <c r="L208" s="29"/>
      <c r="M208" s="130" t="s">
        <v>3</v>
      </c>
      <c r="N208" s="131" t="s">
        <v>41</v>
      </c>
      <c r="O208" s="132">
        <v>0.57</v>
      </c>
      <c r="P208" s="132">
        <f>O208*H208</f>
        <v>12.240179999999999</v>
      </c>
      <c r="Q208" s="132">
        <v>0</v>
      </c>
      <c r="R208" s="132">
        <f>Q208*H208</f>
        <v>0</v>
      </c>
      <c r="S208" s="132">
        <v>0</v>
      </c>
      <c r="T208" s="133">
        <f>S208*H208</f>
        <v>0</v>
      </c>
      <c r="AR208" s="134" t="s">
        <v>133</v>
      </c>
      <c r="AT208" s="134" t="s">
        <v>128</v>
      </c>
      <c r="AU208" s="134" t="s">
        <v>80</v>
      </c>
      <c r="AY208" s="17" t="s">
        <v>126</v>
      </c>
      <c r="BE208" s="135">
        <f>IF(N208="základní",J208,0)</f>
        <v>0</v>
      </c>
      <c r="BF208" s="135">
        <f>IF(N208="snížená",J208,0)</f>
        <v>0</v>
      </c>
      <c r="BG208" s="135">
        <f>IF(N208="zákl. přenesená",J208,0)</f>
        <v>0</v>
      </c>
      <c r="BH208" s="135">
        <f>IF(N208="sníž. přenesená",J208,0)</f>
        <v>0</v>
      </c>
      <c r="BI208" s="135">
        <f>IF(N208="nulová",J208,0)</f>
        <v>0</v>
      </c>
      <c r="BJ208" s="17" t="s">
        <v>78</v>
      </c>
      <c r="BK208" s="135">
        <f>ROUND(I208*H208,2)</f>
        <v>0</v>
      </c>
      <c r="BL208" s="17" t="s">
        <v>133</v>
      </c>
      <c r="BM208" s="134" t="s">
        <v>322</v>
      </c>
    </row>
    <row r="209" spans="2:47" s="1" customFormat="1" ht="12">
      <c r="B209" s="29"/>
      <c r="D209" s="136" t="s">
        <v>135</v>
      </c>
      <c r="F209" s="137" t="s">
        <v>323</v>
      </c>
      <c r="L209" s="29"/>
      <c r="M209" s="138"/>
      <c r="T209" s="49"/>
      <c r="AT209" s="17" t="s">
        <v>135</v>
      </c>
      <c r="AU209" s="17" t="s">
        <v>80</v>
      </c>
    </row>
    <row r="210" spans="2:51" s="12" customFormat="1" ht="12">
      <c r="B210" s="139"/>
      <c r="D210" s="140" t="s">
        <v>137</v>
      </c>
      <c r="E210" s="141" t="s">
        <v>3</v>
      </c>
      <c r="F210" s="142" t="s">
        <v>324</v>
      </c>
      <c r="H210" s="143">
        <v>21.474</v>
      </c>
      <c r="L210" s="139"/>
      <c r="M210" s="144"/>
      <c r="T210" s="145"/>
      <c r="AT210" s="141" t="s">
        <v>137</v>
      </c>
      <c r="AU210" s="141" t="s">
        <v>80</v>
      </c>
      <c r="AV210" s="12" t="s">
        <v>80</v>
      </c>
      <c r="AW210" s="12" t="s">
        <v>32</v>
      </c>
      <c r="AX210" s="12" t="s">
        <v>78</v>
      </c>
      <c r="AY210" s="141" t="s">
        <v>126</v>
      </c>
    </row>
    <row r="211" spans="2:65" s="1" customFormat="1" ht="24.2" customHeight="1">
      <c r="B211" s="123"/>
      <c r="C211" s="124" t="s">
        <v>325</v>
      </c>
      <c r="D211" s="124" t="s">
        <v>128</v>
      </c>
      <c r="E211" s="125" t="s">
        <v>326</v>
      </c>
      <c r="F211" s="126" t="s">
        <v>327</v>
      </c>
      <c r="G211" s="127" t="s">
        <v>249</v>
      </c>
      <c r="H211" s="128">
        <v>644.22</v>
      </c>
      <c r="I211" s="129"/>
      <c r="J211" s="129">
        <f>ROUND(I211*H211,2)</f>
        <v>0</v>
      </c>
      <c r="K211" s="126" t="s">
        <v>132</v>
      </c>
      <c r="L211" s="29"/>
      <c r="M211" s="130" t="s">
        <v>3</v>
      </c>
      <c r="N211" s="131" t="s">
        <v>41</v>
      </c>
      <c r="O211" s="132">
        <v>0</v>
      </c>
      <c r="P211" s="132">
        <f>O211*H211</f>
        <v>0</v>
      </c>
      <c r="Q211" s="132">
        <v>0</v>
      </c>
      <c r="R211" s="132">
        <f>Q211*H211</f>
        <v>0</v>
      </c>
      <c r="S211" s="132">
        <v>0</v>
      </c>
      <c r="T211" s="133">
        <f>S211*H211</f>
        <v>0</v>
      </c>
      <c r="AR211" s="134" t="s">
        <v>133</v>
      </c>
      <c r="AT211" s="134" t="s">
        <v>128</v>
      </c>
      <c r="AU211" s="134" t="s">
        <v>80</v>
      </c>
      <c r="AY211" s="17" t="s">
        <v>126</v>
      </c>
      <c r="BE211" s="135">
        <f>IF(N211="základní",J211,0)</f>
        <v>0</v>
      </c>
      <c r="BF211" s="135">
        <f>IF(N211="snížená",J211,0)</f>
        <v>0</v>
      </c>
      <c r="BG211" s="135">
        <f>IF(N211="zákl. přenesená",J211,0)</f>
        <v>0</v>
      </c>
      <c r="BH211" s="135">
        <f>IF(N211="sníž. přenesená",J211,0)</f>
        <v>0</v>
      </c>
      <c r="BI211" s="135">
        <f>IF(N211="nulová",J211,0)</f>
        <v>0</v>
      </c>
      <c r="BJ211" s="17" t="s">
        <v>78</v>
      </c>
      <c r="BK211" s="135">
        <f>ROUND(I211*H211,2)</f>
        <v>0</v>
      </c>
      <c r="BL211" s="17" t="s">
        <v>133</v>
      </c>
      <c r="BM211" s="134" t="s">
        <v>328</v>
      </c>
    </row>
    <row r="212" spans="2:47" s="1" customFormat="1" ht="12">
      <c r="B212" s="29"/>
      <c r="D212" s="136" t="s">
        <v>135</v>
      </c>
      <c r="F212" s="137" t="s">
        <v>329</v>
      </c>
      <c r="L212" s="29"/>
      <c r="M212" s="138"/>
      <c r="T212" s="49"/>
      <c r="AT212" s="17" t="s">
        <v>135</v>
      </c>
      <c r="AU212" s="17" t="s">
        <v>80</v>
      </c>
    </row>
    <row r="213" spans="2:51" s="12" customFormat="1" ht="12">
      <c r="B213" s="139"/>
      <c r="D213" s="140" t="s">
        <v>137</v>
      </c>
      <c r="F213" s="142" t="s">
        <v>330</v>
      </c>
      <c r="H213" s="143">
        <v>644.22</v>
      </c>
      <c r="L213" s="139"/>
      <c r="M213" s="144"/>
      <c r="T213" s="145"/>
      <c r="AT213" s="141" t="s">
        <v>137</v>
      </c>
      <c r="AU213" s="141" t="s">
        <v>80</v>
      </c>
      <c r="AV213" s="12" t="s">
        <v>80</v>
      </c>
      <c r="AW213" s="12" t="s">
        <v>4</v>
      </c>
      <c r="AX213" s="12" t="s">
        <v>78</v>
      </c>
      <c r="AY213" s="141" t="s">
        <v>126</v>
      </c>
    </row>
    <row r="214" spans="2:65" s="1" customFormat="1" ht="24.2" customHeight="1">
      <c r="B214" s="123"/>
      <c r="C214" s="124" t="s">
        <v>331</v>
      </c>
      <c r="D214" s="124" t="s">
        <v>128</v>
      </c>
      <c r="E214" s="125" t="s">
        <v>332</v>
      </c>
      <c r="F214" s="126" t="s">
        <v>333</v>
      </c>
      <c r="G214" s="127" t="s">
        <v>249</v>
      </c>
      <c r="H214" s="128">
        <v>21.474</v>
      </c>
      <c r="I214" s="129"/>
      <c r="J214" s="129">
        <f>ROUND(I214*H214,2)</f>
        <v>0</v>
      </c>
      <c r="K214" s="126" t="s">
        <v>132</v>
      </c>
      <c r="L214" s="29"/>
      <c r="M214" s="130" t="s">
        <v>3</v>
      </c>
      <c r="N214" s="131" t="s">
        <v>41</v>
      </c>
      <c r="O214" s="132">
        <v>0.3</v>
      </c>
      <c r="P214" s="132">
        <f>O214*H214</f>
        <v>6.4422</v>
      </c>
      <c r="Q214" s="132">
        <v>0</v>
      </c>
      <c r="R214" s="132">
        <f>Q214*H214</f>
        <v>0</v>
      </c>
      <c r="S214" s="132">
        <v>0</v>
      </c>
      <c r="T214" s="133">
        <f>S214*H214</f>
        <v>0</v>
      </c>
      <c r="AR214" s="134" t="s">
        <v>133</v>
      </c>
      <c r="AT214" s="134" t="s">
        <v>128</v>
      </c>
      <c r="AU214" s="134" t="s">
        <v>80</v>
      </c>
      <c r="AY214" s="17" t="s">
        <v>126</v>
      </c>
      <c r="BE214" s="135">
        <f>IF(N214="základní",J214,0)</f>
        <v>0</v>
      </c>
      <c r="BF214" s="135">
        <f>IF(N214="snížená",J214,0)</f>
        <v>0</v>
      </c>
      <c r="BG214" s="135">
        <f>IF(N214="zákl. přenesená",J214,0)</f>
        <v>0</v>
      </c>
      <c r="BH214" s="135">
        <f>IF(N214="sníž. přenesená",J214,0)</f>
        <v>0</v>
      </c>
      <c r="BI214" s="135">
        <f>IF(N214="nulová",J214,0)</f>
        <v>0</v>
      </c>
      <c r="BJ214" s="17" t="s">
        <v>78</v>
      </c>
      <c r="BK214" s="135">
        <f>ROUND(I214*H214,2)</f>
        <v>0</v>
      </c>
      <c r="BL214" s="17" t="s">
        <v>133</v>
      </c>
      <c r="BM214" s="134" t="s">
        <v>334</v>
      </c>
    </row>
    <row r="215" spans="2:47" s="1" customFormat="1" ht="12">
      <c r="B215" s="29"/>
      <c r="D215" s="136" t="s">
        <v>135</v>
      </c>
      <c r="F215" s="137" t="s">
        <v>335</v>
      </c>
      <c r="L215" s="29"/>
      <c r="M215" s="138"/>
      <c r="T215" s="49"/>
      <c r="AT215" s="17" t="s">
        <v>135</v>
      </c>
      <c r="AU215" s="17" t="s">
        <v>80</v>
      </c>
    </row>
    <row r="216" spans="2:65" s="1" customFormat="1" ht="24.2" customHeight="1">
      <c r="B216" s="123"/>
      <c r="C216" s="124" t="s">
        <v>336</v>
      </c>
      <c r="D216" s="124" t="s">
        <v>128</v>
      </c>
      <c r="E216" s="125" t="s">
        <v>337</v>
      </c>
      <c r="F216" s="126" t="s">
        <v>338</v>
      </c>
      <c r="G216" s="127" t="s">
        <v>131</v>
      </c>
      <c r="H216" s="128">
        <v>157</v>
      </c>
      <c r="I216" s="129"/>
      <c r="J216" s="129">
        <f>ROUND(I216*H216,2)</f>
        <v>0</v>
      </c>
      <c r="K216" s="126" t="s">
        <v>132</v>
      </c>
      <c r="L216" s="29"/>
      <c r="M216" s="130" t="s">
        <v>3</v>
      </c>
      <c r="N216" s="131" t="s">
        <v>41</v>
      </c>
      <c r="O216" s="132">
        <v>0.462</v>
      </c>
      <c r="P216" s="132">
        <f>O216*H216</f>
        <v>72.534</v>
      </c>
      <c r="Q216" s="132">
        <v>0</v>
      </c>
      <c r="R216" s="132">
        <f>Q216*H216</f>
        <v>0</v>
      </c>
      <c r="S216" s="132">
        <v>0.05</v>
      </c>
      <c r="T216" s="133">
        <f>S216*H216</f>
        <v>7.8500000000000005</v>
      </c>
      <c r="AR216" s="134" t="s">
        <v>133</v>
      </c>
      <c r="AT216" s="134" t="s">
        <v>128</v>
      </c>
      <c r="AU216" s="134" t="s">
        <v>80</v>
      </c>
      <c r="AY216" s="17" t="s">
        <v>126</v>
      </c>
      <c r="BE216" s="135">
        <f>IF(N216="základní",J216,0)</f>
        <v>0</v>
      </c>
      <c r="BF216" s="135">
        <f>IF(N216="snížená",J216,0)</f>
        <v>0</v>
      </c>
      <c r="BG216" s="135">
        <f>IF(N216="zákl. přenesená",J216,0)</f>
        <v>0</v>
      </c>
      <c r="BH216" s="135">
        <f>IF(N216="sníž. přenesená",J216,0)</f>
        <v>0</v>
      </c>
      <c r="BI216" s="135">
        <f>IF(N216="nulová",J216,0)</f>
        <v>0</v>
      </c>
      <c r="BJ216" s="17" t="s">
        <v>78</v>
      </c>
      <c r="BK216" s="135">
        <f>ROUND(I216*H216,2)</f>
        <v>0</v>
      </c>
      <c r="BL216" s="17" t="s">
        <v>133</v>
      </c>
      <c r="BM216" s="134" t="s">
        <v>339</v>
      </c>
    </row>
    <row r="217" spans="2:47" s="1" customFormat="1" ht="12">
      <c r="B217" s="29"/>
      <c r="D217" s="136" t="s">
        <v>135</v>
      </c>
      <c r="F217" s="137" t="s">
        <v>340</v>
      </c>
      <c r="L217" s="29"/>
      <c r="M217" s="138"/>
      <c r="T217" s="49"/>
      <c r="AT217" s="17" t="s">
        <v>135</v>
      </c>
      <c r="AU217" s="17" t="s">
        <v>80</v>
      </c>
    </row>
    <row r="218" spans="2:51" s="12" customFormat="1" ht="12">
      <c r="B218" s="139"/>
      <c r="D218" s="140" t="s">
        <v>137</v>
      </c>
      <c r="E218" s="141" t="s">
        <v>3</v>
      </c>
      <c r="F218" s="142" t="s">
        <v>341</v>
      </c>
      <c r="H218" s="143">
        <v>157</v>
      </c>
      <c r="L218" s="139"/>
      <c r="M218" s="144"/>
      <c r="T218" s="145"/>
      <c r="AT218" s="141" t="s">
        <v>137</v>
      </c>
      <c r="AU218" s="141" t="s">
        <v>80</v>
      </c>
      <c r="AV218" s="12" t="s">
        <v>80</v>
      </c>
      <c r="AW218" s="12" t="s">
        <v>32</v>
      </c>
      <c r="AX218" s="12" t="s">
        <v>78</v>
      </c>
      <c r="AY218" s="141" t="s">
        <v>126</v>
      </c>
    </row>
    <row r="219" spans="2:65" s="1" customFormat="1" ht="24.2" customHeight="1">
      <c r="B219" s="123"/>
      <c r="C219" s="124" t="s">
        <v>342</v>
      </c>
      <c r="D219" s="124" t="s">
        <v>128</v>
      </c>
      <c r="E219" s="125" t="s">
        <v>343</v>
      </c>
      <c r="F219" s="126" t="s">
        <v>344</v>
      </c>
      <c r="G219" s="127" t="s">
        <v>131</v>
      </c>
      <c r="H219" s="128">
        <v>158.24</v>
      </c>
      <c r="I219" s="129"/>
      <c r="J219" s="129">
        <f>ROUND(I219*H219,2)</f>
        <v>0</v>
      </c>
      <c r="K219" s="126" t="s">
        <v>132</v>
      </c>
      <c r="L219" s="29"/>
      <c r="M219" s="130" t="s">
        <v>3</v>
      </c>
      <c r="N219" s="131" t="s">
        <v>41</v>
      </c>
      <c r="O219" s="132">
        <v>0.26</v>
      </c>
      <c r="P219" s="132">
        <f>O219*H219</f>
        <v>41.1424</v>
      </c>
      <c r="Q219" s="132">
        <v>0</v>
      </c>
      <c r="R219" s="132">
        <f>Q219*H219</f>
        <v>0</v>
      </c>
      <c r="S219" s="132">
        <v>0.046</v>
      </c>
      <c r="T219" s="133">
        <f>S219*H219</f>
        <v>7.27904</v>
      </c>
      <c r="AR219" s="134" t="s">
        <v>133</v>
      </c>
      <c r="AT219" s="134" t="s">
        <v>128</v>
      </c>
      <c r="AU219" s="134" t="s">
        <v>80</v>
      </c>
      <c r="AY219" s="17" t="s">
        <v>126</v>
      </c>
      <c r="BE219" s="135">
        <f>IF(N219="základní",J219,0)</f>
        <v>0</v>
      </c>
      <c r="BF219" s="135">
        <f>IF(N219="snížená",J219,0)</f>
        <v>0</v>
      </c>
      <c r="BG219" s="135">
        <f>IF(N219="zákl. přenesená",J219,0)</f>
        <v>0</v>
      </c>
      <c r="BH219" s="135">
        <f>IF(N219="sníž. přenesená",J219,0)</f>
        <v>0</v>
      </c>
      <c r="BI219" s="135">
        <f>IF(N219="nulová",J219,0)</f>
        <v>0</v>
      </c>
      <c r="BJ219" s="17" t="s">
        <v>78</v>
      </c>
      <c r="BK219" s="135">
        <f>ROUND(I219*H219,2)</f>
        <v>0</v>
      </c>
      <c r="BL219" s="17" t="s">
        <v>133</v>
      </c>
      <c r="BM219" s="134" t="s">
        <v>345</v>
      </c>
    </row>
    <row r="220" spans="2:47" s="1" customFormat="1" ht="12">
      <c r="B220" s="29"/>
      <c r="D220" s="136" t="s">
        <v>135</v>
      </c>
      <c r="F220" s="137" t="s">
        <v>346</v>
      </c>
      <c r="L220" s="29"/>
      <c r="M220" s="138"/>
      <c r="T220" s="49"/>
      <c r="AT220" s="17" t="s">
        <v>135</v>
      </c>
      <c r="AU220" s="17" t="s">
        <v>80</v>
      </c>
    </row>
    <row r="221" spans="2:51" s="12" customFormat="1" ht="12">
      <c r="B221" s="139"/>
      <c r="D221" s="140" t="s">
        <v>137</v>
      </c>
      <c r="E221" s="141" t="s">
        <v>3</v>
      </c>
      <c r="F221" s="142" t="s">
        <v>347</v>
      </c>
      <c r="H221" s="143">
        <v>158.24</v>
      </c>
      <c r="L221" s="139"/>
      <c r="M221" s="144"/>
      <c r="T221" s="145"/>
      <c r="AT221" s="141" t="s">
        <v>137</v>
      </c>
      <c r="AU221" s="141" t="s">
        <v>80</v>
      </c>
      <c r="AV221" s="12" t="s">
        <v>80</v>
      </c>
      <c r="AW221" s="12" t="s">
        <v>32</v>
      </c>
      <c r="AX221" s="12" t="s">
        <v>78</v>
      </c>
      <c r="AY221" s="141" t="s">
        <v>126</v>
      </c>
    </row>
    <row r="222" spans="2:65" s="1" customFormat="1" ht="24.2" customHeight="1">
      <c r="B222" s="123"/>
      <c r="C222" s="124" t="s">
        <v>348</v>
      </c>
      <c r="D222" s="124" t="s">
        <v>128</v>
      </c>
      <c r="E222" s="125" t="s">
        <v>349</v>
      </c>
      <c r="F222" s="126" t="s">
        <v>350</v>
      </c>
      <c r="G222" s="127" t="s">
        <v>131</v>
      </c>
      <c r="H222" s="128">
        <v>220.611</v>
      </c>
      <c r="I222" s="129"/>
      <c r="J222" s="129">
        <f>ROUND(I222*H222,2)</f>
        <v>0</v>
      </c>
      <c r="K222" s="126" t="s">
        <v>132</v>
      </c>
      <c r="L222" s="29"/>
      <c r="M222" s="130" t="s">
        <v>3</v>
      </c>
      <c r="N222" s="131" t="s">
        <v>41</v>
      </c>
      <c r="O222" s="132">
        <v>0.22</v>
      </c>
      <c r="P222" s="132">
        <f>O222*H222</f>
        <v>48.53442</v>
      </c>
      <c r="Q222" s="132">
        <v>0</v>
      </c>
      <c r="R222" s="132">
        <f>Q222*H222</f>
        <v>0</v>
      </c>
      <c r="S222" s="132">
        <v>0.059</v>
      </c>
      <c r="T222" s="133">
        <f>S222*H222</f>
        <v>13.016048999999999</v>
      </c>
      <c r="AR222" s="134" t="s">
        <v>133</v>
      </c>
      <c r="AT222" s="134" t="s">
        <v>128</v>
      </c>
      <c r="AU222" s="134" t="s">
        <v>80</v>
      </c>
      <c r="AY222" s="17" t="s">
        <v>126</v>
      </c>
      <c r="BE222" s="135">
        <f>IF(N222="základní",J222,0)</f>
        <v>0</v>
      </c>
      <c r="BF222" s="135">
        <f>IF(N222="snížená",J222,0)</f>
        <v>0</v>
      </c>
      <c r="BG222" s="135">
        <f>IF(N222="zákl. přenesená",J222,0)</f>
        <v>0</v>
      </c>
      <c r="BH222" s="135">
        <f>IF(N222="sníž. přenesená",J222,0)</f>
        <v>0</v>
      </c>
      <c r="BI222" s="135">
        <f>IF(N222="nulová",J222,0)</f>
        <v>0</v>
      </c>
      <c r="BJ222" s="17" t="s">
        <v>78</v>
      </c>
      <c r="BK222" s="135">
        <f>ROUND(I222*H222,2)</f>
        <v>0</v>
      </c>
      <c r="BL222" s="17" t="s">
        <v>133</v>
      </c>
      <c r="BM222" s="134" t="s">
        <v>351</v>
      </c>
    </row>
    <row r="223" spans="2:47" s="1" customFormat="1" ht="12">
      <c r="B223" s="29"/>
      <c r="D223" s="136" t="s">
        <v>135</v>
      </c>
      <c r="F223" s="137" t="s">
        <v>352</v>
      </c>
      <c r="L223" s="29"/>
      <c r="M223" s="138"/>
      <c r="T223" s="49"/>
      <c r="AT223" s="17" t="s">
        <v>135</v>
      </c>
      <c r="AU223" s="17" t="s">
        <v>80</v>
      </c>
    </row>
    <row r="224" spans="2:51" s="12" customFormat="1" ht="12">
      <c r="B224" s="139"/>
      <c r="D224" s="140" t="s">
        <v>137</v>
      </c>
      <c r="E224" s="141" t="s">
        <v>3</v>
      </c>
      <c r="F224" s="142" t="s">
        <v>353</v>
      </c>
      <c r="H224" s="143">
        <v>220.611</v>
      </c>
      <c r="L224" s="139"/>
      <c r="M224" s="144"/>
      <c r="T224" s="145"/>
      <c r="AT224" s="141" t="s">
        <v>137</v>
      </c>
      <c r="AU224" s="141" t="s">
        <v>80</v>
      </c>
      <c r="AV224" s="12" t="s">
        <v>80</v>
      </c>
      <c r="AW224" s="12" t="s">
        <v>32</v>
      </c>
      <c r="AX224" s="12" t="s">
        <v>78</v>
      </c>
      <c r="AY224" s="141" t="s">
        <v>126</v>
      </c>
    </row>
    <row r="225" spans="2:63" s="11" customFormat="1" ht="22.7" customHeight="1">
      <c r="B225" s="112"/>
      <c r="D225" s="113" t="s">
        <v>69</v>
      </c>
      <c r="E225" s="121" t="s">
        <v>354</v>
      </c>
      <c r="F225" s="121" t="s">
        <v>355</v>
      </c>
      <c r="J225" s="122">
        <f>BK225</f>
        <v>0</v>
      </c>
      <c r="L225" s="112"/>
      <c r="M225" s="116"/>
      <c r="P225" s="117">
        <f>SUM(P226:P239)</f>
        <v>1666.395272</v>
      </c>
      <c r="R225" s="117">
        <f>SUM(R226:R239)</f>
        <v>0</v>
      </c>
      <c r="T225" s="118">
        <f>SUM(T226:T239)</f>
        <v>0</v>
      </c>
      <c r="AR225" s="113" t="s">
        <v>78</v>
      </c>
      <c r="AT225" s="119" t="s">
        <v>69</v>
      </c>
      <c r="AU225" s="119" t="s">
        <v>78</v>
      </c>
      <c r="AY225" s="113" t="s">
        <v>126</v>
      </c>
      <c r="BK225" s="120">
        <f>SUM(BK226:BK239)</f>
        <v>0</v>
      </c>
    </row>
    <row r="226" spans="2:65" s="1" customFormat="1" ht="24.2" customHeight="1">
      <c r="B226" s="123"/>
      <c r="C226" s="124" t="s">
        <v>356</v>
      </c>
      <c r="D226" s="124" t="s">
        <v>128</v>
      </c>
      <c r="E226" s="125" t="s">
        <v>357</v>
      </c>
      <c r="F226" s="126" t="s">
        <v>358</v>
      </c>
      <c r="G226" s="127" t="s">
        <v>171</v>
      </c>
      <c r="H226" s="128">
        <v>397.568</v>
      </c>
      <c r="I226" s="129"/>
      <c r="J226" s="129">
        <f>ROUND(I226*H226,2)</f>
        <v>0</v>
      </c>
      <c r="K226" s="126" t="s">
        <v>132</v>
      </c>
      <c r="L226" s="29"/>
      <c r="M226" s="130" t="s">
        <v>3</v>
      </c>
      <c r="N226" s="131" t="s">
        <v>41</v>
      </c>
      <c r="O226" s="132">
        <v>3.89</v>
      </c>
      <c r="P226" s="132">
        <f>O226*H226</f>
        <v>1546.53952</v>
      </c>
      <c r="Q226" s="132">
        <v>0</v>
      </c>
      <c r="R226" s="132">
        <f>Q226*H226</f>
        <v>0</v>
      </c>
      <c r="S226" s="132">
        <v>0</v>
      </c>
      <c r="T226" s="133">
        <f>S226*H226</f>
        <v>0</v>
      </c>
      <c r="AR226" s="134" t="s">
        <v>133</v>
      </c>
      <c r="AT226" s="134" t="s">
        <v>128</v>
      </c>
      <c r="AU226" s="134" t="s">
        <v>80</v>
      </c>
      <c r="AY226" s="17" t="s">
        <v>126</v>
      </c>
      <c r="BE226" s="135">
        <f>IF(N226="základní",J226,0)</f>
        <v>0</v>
      </c>
      <c r="BF226" s="135">
        <f>IF(N226="snížená",J226,0)</f>
        <v>0</v>
      </c>
      <c r="BG226" s="135">
        <f>IF(N226="zákl. přenesená",J226,0)</f>
        <v>0</v>
      </c>
      <c r="BH226" s="135">
        <f>IF(N226="sníž. přenesená",J226,0)</f>
        <v>0</v>
      </c>
      <c r="BI226" s="135">
        <f>IF(N226="nulová",J226,0)</f>
        <v>0</v>
      </c>
      <c r="BJ226" s="17" t="s">
        <v>78</v>
      </c>
      <c r="BK226" s="135">
        <f>ROUND(I226*H226,2)</f>
        <v>0</v>
      </c>
      <c r="BL226" s="17" t="s">
        <v>133</v>
      </c>
      <c r="BM226" s="134" t="s">
        <v>359</v>
      </c>
    </row>
    <row r="227" spans="2:47" s="1" customFormat="1" ht="12">
      <c r="B227" s="29"/>
      <c r="D227" s="136" t="s">
        <v>135</v>
      </c>
      <c r="F227" s="137" t="s">
        <v>360</v>
      </c>
      <c r="L227" s="29"/>
      <c r="M227" s="138"/>
      <c r="T227" s="49"/>
      <c r="AT227" s="17" t="s">
        <v>135</v>
      </c>
      <c r="AU227" s="17" t="s">
        <v>80</v>
      </c>
    </row>
    <row r="228" spans="2:65" s="1" customFormat="1" ht="16.5" customHeight="1">
      <c r="B228" s="123"/>
      <c r="C228" s="124" t="s">
        <v>361</v>
      </c>
      <c r="D228" s="124" t="s">
        <v>128</v>
      </c>
      <c r="E228" s="125" t="s">
        <v>362</v>
      </c>
      <c r="F228" s="126" t="s">
        <v>363</v>
      </c>
      <c r="G228" s="127" t="s">
        <v>249</v>
      </c>
      <c r="H228" s="128">
        <v>17</v>
      </c>
      <c r="I228" s="129"/>
      <c r="J228" s="129">
        <f>ROUND(I228*H228,2)</f>
        <v>0</v>
      </c>
      <c r="K228" s="126" t="s">
        <v>132</v>
      </c>
      <c r="L228" s="29"/>
      <c r="M228" s="130" t="s">
        <v>3</v>
      </c>
      <c r="N228" s="131" t="s">
        <v>41</v>
      </c>
      <c r="O228" s="132">
        <v>1.461</v>
      </c>
      <c r="P228" s="132">
        <f>O228*H228</f>
        <v>24.837</v>
      </c>
      <c r="Q228" s="132">
        <v>0</v>
      </c>
      <c r="R228" s="132">
        <f>Q228*H228</f>
        <v>0</v>
      </c>
      <c r="S228" s="132">
        <v>0</v>
      </c>
      <c r="T228" s="133">
        <f>S228*H228</f>
        <v>0</v>
      </c>
      <c r="AR228" s="134" t="s">
        <v>133</v>
      </c>
      <c r="AT228" s="134" t="s">
        <v>128</v>
      </c>
      <c r="AU228" s="134" t="s">
        <v>80</v>
      </c>
      <c r="AY228" s="17" t="s">
        <v>126</v>
      </c>
      <c r="BE228" s="135">
        <f>IF(N228="základní",J228,0)</f>
        <v>0</v>
      </c>
      <c r="BF228" s="135">
        <f>IF(N228="snížená",J228,0)</f>
        <v>0</v>
      </c>
      <c r="BG228" s="135">
        <f>IF(N228="zákl. přenesená",J228,0)</f>
        <v>0</v>
      </c>
      <c r="BH228" s="135">
        <f>IF(N228="sníž. přenesená",J228,0)</f>
        <v>0</v>
      </c>
      <c r="BI228" s="135">
        <f>IF(N228="nulová",J228,0)</f>
        <v>0</v>
      </c>
      <c r="BJ228" s="17" t="s">
        <v>78</v>
      </c>
      <c r="BK228" s="135">
        <f>ROUND(I228*H228,2)</f>
        <v>0</v>
      </c>
      <c r="BL228" s="17" t="s">
        <v>133</v>
      </c>
      <c r="BM228" s="134" t="s">
        <v>364</v>
      </c>
    </row>
    <row r="229" spans="2:47" s="1" customFormat="1" ht="12">
      <c r="B229" s="29"/>
      <c r="D229" s="136" t="s">
        <v>135</v>
      </c>
      <c r="F229" s="137" t="s">
        <v>365</v>
      </c>
      <c r="L229" s="29"/>
      <c r="M229" s="138"/>
      <c r="T229" s="49"/>
      <c r="AT229" s="17" t="s">
        <v>135</v>
      </c>
      <c r="AU229" s="17" t="s">
        <v>80</v>
      </c>
    </row>
    <row r="230" spans="2:65" s="1" customFormat="1" ht="24.2" customHeight="1">
      <c r="B230" s="123"/>
      <c r="C230" s="124" t="s">
        <v>366</v>
      </c>
      <c r="D230" s="124" t="s">
        <v>128</v>
      </c>
      <c r="E230" s="125" t="s">
        <v>367</v>
      </c>
      <c r="F230" s="126" t="s">
        <v>368</v>
      </c>
      <c r="G230" s="127" t="s">
        <v>249</v>
      </c>
      <c r="H230" s="128">
        <v>1530</v>
      </c>
      <c r="I230" s="129"/>
      <c r="J230" s="129">
        <f>ROUND(I230*H230,2)</f>
        <v>0</v>
      </c>
      <c r="K230" s="126" t="s">
        <v>132</v>
      </c>
      <c r="L230" s="29"/>
      <c r="M230" s="130" t="s">
        <v>3</v>
      </c>
      <c r="N230" s="131" t="s">
        <v>41</v>
      </c>
      <c r="O230" s="132">
        <v>0</v>
      </c>
      <c r="P230" s="132">
        <f>O230*H230</f>
        <v>0</v>
      </c>
      <c r="Q230" s="132">
        <v>0</v>
      </c>
      <c r="R230" s="132">
        <f>Q230*H230</f>
        <v>0</v>
      </c>
      <c r="S230" s="132">
        <v>0</v>
      </c>
      <c r="T230" s="133">
        <f>S230*H230</f>
        <v>0</v>
      </c>
      <c r="AR230" s="134" t="s">
        <v>133</v>
      </c>
      <c r="AT230" s="134" t="s">
        <v>128</v>
      </c>
      <c r="AU230" s="134" t="s">
        <v>80</v>
      </c>
      <c r="AY230" s="17" t="s">
        <v>126</v>
      </c>
      <c r="BE230" s="135">
        <f>IF(N230="základní",J230,0)</f>
        <v>0</v>
      </c>
      <c r="BF230" s="135">
        <f>IF(N230="snížená",J230,0)</f>
        <v>0</v>
      </c>
      <c r="BG230" s="135">
        <f>IF(N230="zákl. přenesená",J230,0)</f>
        <v>0</v>
      </c>
      <c r="BH230" s="135">
        <f>IF(N230="sníž. přenesená",J230,0)</f>
        <v>0</v>
      </c>
      <c r="BI230" s="135">
        <f>IF(N230="nulová",J230,0)</f>
        <v>0</v>
      </c>
      <c r="BJ230" s="17" t="s">
        <v>78</v>
      </c>
      <c r="BK230" s="135">
        <f>ROUND(I230*H230,2)</f>
        <v>0</v>
      </c>
      <c r="BL230" s="17" t="s">
        <v>133</v>
      </c>
      <c r="BM230" s="134" t="s">
        <v>369</v>
      </c>
    </row>
    <row r="231" spans="2:47" s="1" customFormat="1" ht="12">
      <c r="B231" s="29"/>
      <c r="D231" s="136" t="s">
        <v>135</v>
      </c>
      <c r="F231" s="137" t="s">
        <v>370</v>
      </c>
      <c r="L231" s="29"/>
      <c r="M231" s="138"/>
      <c r="T231" s="49"/>
      <c r="AT231" s="17" t="s">
        <v>135</v>
      </c>
      <c r="AU231" s="17" t="s">
        <v>80</v>
      </c>
    </row>
    <row r="232" spans="2:51" s="12" customFormat="1" ht="12">
      <c r="B232" s="139"/>
      <c r="D232" s="140" t="s">
        <v>137</v>
      </c>
      <c r="F232" s="142" t="s">
        <v>371</v>
      </c>
      <c r="H232" s="143">
        <v>1530</v>
      </c>
      <c r="L232" s="139"/>
      <c r="M232" s="144"/>
      <c r="T232" s="145"/>
      <c r="AT232" s="141" t="s">
        <v>137</v>
      </c>
      <c r="AU232" s="141" t="s">
        <v>80</v>
      </c>
      <c r="AV232" s="12" t="s">
        <v>80</v>
      </c>
      <c r="AW232" s="12" t="s">
        <v>4</v>
      </c>
      <c r="AX232" s="12" t="s">
        <v>78</v>
      </c>
      <c r="AY232" s="141" t="s">
        <v>126</v>
      </c>
    </row>
    <row r="233" spans="2:65" s="1" customFormat="1" ht="21.75" customHeight="1">
      <c r="B233" s="123"/>
      <c r="C233" s="124" t="s">
        <v>372</v>
      </c>
      <c r="D233" s="124" t="s">
        <v>128</v>
      </c>
      <c r="E233" s="125" t="s">
        <v>373</v>
      </c>
      <c r="F233" s="126" t="s">
        <v>374</v>
      </c>
      <c r="G233" s="127" t="s">
        <v>171</v>
      </c>
      <c r="H233" s="128">
        <v>397.568</v>
      </c>
      <c r="I233" s="129"/>
      <c r="J233" s="129">
        <f>ROUND(I233*H233,2)</f>
        <v>0</v>
      </c>
      <c r="K233" s="126" t="s">
        <v>132</v>
      </c>
      <c r="L233" s="29"/>
      <c r="M233" s="130" t="s">
        <v>3</v>
      </c>
      <c r="N233" s="131" t="s">
        <v>41</v>
      </c>
      <c r="O233" s="132">
        <v>0.125</v>
      </c>
      <c r="P233" s="132">
        <f>O233*H233</f>
        <v>49.696</v>
      </c>
      <c r="Q233" s="132">
        <v>0</v>
      </c>
      <c r="R233" s="132">
        <f>Q233*H233</f>
        <v>0</v>
      </c>
      <c r="S233" s="132">
        <v>0</v>
      </c>
      <c r="T233" s="133">
        <f>S233*H233</f>
        <v>0</v>
      </c>
      <c r="AR233" s="134" t="s">
        <v>133</v>
      </c>
      <c r="AT233" s="134" t="s">
        <v>128</v>
      </c>
      <c r="AU233" s="134" t="s">
        <v>80</v>
      </c>
      <c r="AY233" s="17" t="s">
        <v>126</v>
      </c>
      <c r="BE233" s="135">
        <f>IF(N233="základní",J233,0)</f>
        <v>0</v>
      </c>
      <c r="BF233" s="135">
        <f>IF(N233="snížená",J233,0)</f>
        <v>0</v>
      </c>
      <c r="BG233" s="135">
        <f>IF(N233="zákl. přenesená",J233,0)</f>
        <v>0</v>
      </c>
      <c r="BH233" s="135">
        <f>IF(N233="sníž. přenesená",J233,0)</f>
        <v>0</v>
      </c>
      <c r="BI233" s="135">
        <f>IF(N233="nulová",J233,0)</f>
        <v>0</v>
      </c>
      <c r="BJ233" s="17" t="s">
        <v>78</v>
      </c>
      <c r="BK233" s="135">
        <f>ROUND(I233*H233,2)</f>
        <v>0</v>
      </c>
      <c r="BL233" s="17" t="s">
        <v>133</v>
      </c>
      <c r="BM233" s="134" t="s">
        <v>375</v>
      </c>
    </row>
    <row r="234" spans="2:47" s="1" customFormat="1" ht="12">
      <c r="B234" s="29"/>
      <c r="D234" s="136" t="s">
        <v>135</v>
      </c>
      <c r="F234" s="137" t="s">
        <v>376</v>
      </c>
      <c r="L234" s="29"/>
      <c r="M234" s="138"/>
      <c r="T234" s="49"/>
      <c r="AT234" s="17" t="s">
        <v>135</v>
      </c>
      <c r="AU234" s="17" t="s">
        <v>80</v>
      </c>
    </row>
    <row r="235" spans="2:65" s="1" customFormat="1" ht="24.2" customHeight="1">
      <c r="B235" s="123"/>
      <c r="C235" s="124" t="s">
        <v>377</v>
      </c>
      <c r="D235" s="124" t="s">
        <v>128</v>
      </c>
      <c r="E235" s="125" t="s">
        <v>378</v>
      </c>
      <c r="F235" s="126" t="s">
        <v>379</v>
      </c>
      <c r="G235" s="127" t="s">
        <v>171</v>
      </c>
      <c r="H235" s="128">
        <v>7553.792</v>
      </c>
      <c r="I235" s="129"/>
      <c r="J235" s="129">
        <f>ROUND(I235*H235,2)</f>
        <v>0</v>
      </c>
      <c r="K235" s="126" t="s">
        <v>132</v>
      </c>
      <c r="L235" s="29"/>
      <c r="M235" s="130" t="s">
        <v>3</v>
      </c>
      <c r="N235" s="131" t="s">
        <v>41</v>
      </c>
      <c r="O235" s="132">
        <v>0.006</v>
      </c>
      <c r="P235" s="132">
        <f>O235*H235</f>
        <v>45.322752</v>
      </c>
      <c r="Q235" s="132">
        <v>0</v>
      </c>
      <c r="R235" s="132">
        <f>Q235*H235</f>
        <v>0</v>
      </c>
      <c r="S235" s="132">
        <v>0</v>
      </c>
      <c r="T235" s="133">
        <f>S235*H235</f>
        <v>0</v>
      </c>
      <c r="AR235" s="134" t="s">
        <v>133</v>
      </c>
      <c r="AT235" s="134" t="s">
        <v>128</v>
      </c>
      <c r="AU235" s="134" t="s">
        <v>80</v>
      </c>
      <c r="AY235" s="17" t="s">
        <v>126</v>
      </c>
      <c r="BE235" s="135">
        <f>IF(N235="základní",J235,0)</f>
        <v>0</v>
      </c>
      <c r="BF235" s="135">
        <f>IF(N235="snížená",J235,0)</f>
        <v>0</v>
      </c>
      <c r="BG235" s="135">
        <f>IF(N235="zákl. přenesená",J235,0)</f>
        <v>0</v>
      </c>
      <c r="BH235" s="135">
        <f>IF(N235="sníž. přenesená",J235,0)</f>
        <v>0</v>
      </c>
      <c r="BI235" s="135">
        <f>IF(N235="nulová",J235,0)</f>
        <v>0</v>
      </c>
      <c r="BJ235" s="17" t="s">
        <v>78</v>
      </c>
      <c r="BK235" s="135">
        <f>ROUND(I235*H235,2)</f>
        <v>0</v>
      </c>
      <c r="BL235" s="17" t="s">
        <v>133</v>
      </c>
      <c r="BM235" s="134" t="s">
        <v>380</v>
      </c>
    </row>
    <row r="236" spans="2:47" s="1" customFormat="1" ht="12">
      <c r="B236" s="29"/>
      <c r="D236" s="136" t="s">
        <v>135</v>
      </c>
      <c r="F236" s="137" t="s">
        <v>381</v>
      </c>
      <c r="L236" s="29"/>
      <c r="M236" s="138"/>
      <c r="T236" s="49"/>
      <c r="AT236" s="17" t="s">
        <v>135</v>
      </c>
      <c r="AU236" s="17" t="s">
        <v>80</v>
      </c>
    </row>
    <row r="237" spans="2:51" s="12" customFormat="1" ht="12">
      <c r="B237" s="139"/>
      <c r="D237" s="140" t="s">
        <v>137</v>
      </c>
      <c r="F237" s="142" t="s">
        <v>382</v>
      </c>
      <c r="H237" s="143">
        <v>7553.792</v>
      </c>
      <c r="L237" s="139"/>
      <c r="M237" s="144"/>
      <c r="T237" s="145"/>
      <c r="AT237" s="141" t="s">
        <v>137</v>
      </c>
      <c r="AU237" s="141" t="s">
        <v>80</v>
      </c>
      <c r="AV237" s="12" t="s">
        <v>80</v>
      </c>
      <c r="AW237" s="12" t="s">
        <v>4</v>
      </c>
      <c r="AX237" s="12" t="s">
        <v>78</v>
      </c>
      <c r="AY237" s="141" t="s">
        <v>126</v>
      </c>
    </row>
    <row r="238" spans="2:65" s="1" customFormat="1" ht="24.2" customHeight="1">
      <c r="B238" s="123"/>
      <c r="C238" s="124" t="s">
        <v>383</v>
      </c>
      <c r="D238" s="124" t="s">
        <v>128</v>
      </c>
      <c r="E238" s="125" t="s">
        <v>384</v>
      </c>
      <c r="F238" s="126" t="s">
        <v>385</v>
      </c>
      <c r="G238" s="127" t="s">
        <v>171</v>
      </c>
      <c r="H238" s="128">
        <v>397.568</v>
      </c>
      <c r="I238" s="129"/>
      <c r="J238" s="129">
        <f>ROUND(I238*H238,2)</f>
        <v>0</v>
      </c>
      <c r="K238" s="126" t="s">
        <v>132</v>
      </c>
      <c r="L238" s="29"/>
      <c r="M238" s="130" t="s">
        <v>3</v>
      </c>
      <c r="N238" s="131" t="s">
        <v>41</v>
      </c>
      <c r="O238" s="132">
        <v>0</v>
      </c>
      <c r="P238" s="132">
        <f>O238*H238</f>
        <v>0</v>
      </c>
      <c r="Q238" s="132">
        <v>0</v>
      </c>
      <c r="R238" s="132">
        <f>Q238*H238</f>
        <v>0</v>
      </c>
      <c r="S238" s="132">
        <v>0</v>
      </c>
      <c r="T238" s="133">
        <f>S238*H238</f>
        <v>0</v>
      </c>
      <c r="AR238" s="134" t="s">
        <v>133</v>
      </c>
      <c r="AT238" s="134" t="s">
        <v>128</v>
      </c>
      <c r="AU238" s="134" t="s">
        <v>80</v>
      </c>
      <c r="AY238" s="17" t="s">
        <v>126</v>
      </c>
      <c r="BE238" s="135">
        <f>IF(N238="základní",J238,0)</f>
        <v>0</v>
      </c>
      <c r="BF238" s="135">
        <f>IF(N238="snížená",J238,0)</f>
        <v>0</v>
      </c>
      <c r="BG238" s="135">
        <f>IF(N238="zákl. přenesená",J238,0)</f>
        <v>0</v>
      </c>
      <c r="BH238" s="135">
        <f>IF(N238="sníž. přenesená",J238,0)</f>
        <v>0</v>
      </c>
      <c r="BI238" s="135">
        <f>IF(N238="nulová",J238,0)</f>
        <v>0</v>
      </c>
      <c r="BJ238" s="17" t="s">
        <v>78</v>
      </c>
      <c r="BK238" s="135">
        <f>ROUND(I238*H238,2)</f>
        <v>0</v>
      </c>
      <c r="BL238" s="17" t="s">
        <v>133</v>
      </c>
      <c r="BM238" s="134" t="s">
        <v>386</v>
      </c>
    </row>
    <row r="239" spans="2:47" s="1" customFormat="1" ht="12">
      <c r="B239" s="29"/>
      <c r="D239" s="136" t="s">
        <v>135</v>
      </c>
      <c r="F239" s="137" t="s">
        <v>387</v>
      </c>
      <c r="L239" s="29"/>
      <c r="M239" s="138"/>
      <c r="T239" s="49"/>
      <c r="AT239" s="17" t="s">
        <v>135</v>
      </c>
      <c r="AU239" s="17" t="s">
        <v>80</v>
      </c>
    </row>
    <row r="240" spans="2:63" s="11" customFormat="1" ht="25.9" customHeight="1">
      <c r="B240" s="112"/>
      <c r="D240" s="113" t="s">
        <v>69</v>
      </c>
      <c r="E240" s="114" t="s">
        <v>388</v>
      </c>
      <c r="F240" s="114" t="s">
        <v>389</v>
      </c>
      <c r="J240" s="115">
        <f>BK240</f>
        <v>0</v>
      </c>
      <c r="L240" s="112"/>
      <c r="M240" s="116"/>
      <c r="P240" s="117">
        <f>P241+P252+P254+P256+P259+P261+P287+P323+P339+P351</f>
        <v>962.627444</v>
      </c>
      <c r="R240" s="117">
        <f>R241+R252+R254+R256+R259+R261+R287+R323+R339+R351</f>
        <v>3.4332203999999997</v>
      </c>
      <c r="T240" s="118">
        <f>T241+T252+T254+T256+T259+T261+T287+T323+T339+T351</f>
        <v>111.02527258</v>
      </c>
      <c r="AR240" s="113" t="s">
        <v>80</v>
      </c>
      <c r="AT240" s="119" t="s">
        <v>69</v>
      </c>
      <c r="AU240" s="119" t="s">
        <v>70</v>
      </c>
      <c r="AY240" s="113" t="s">
        <v>126</v>
      </c>
      <c r="BK240" s="120">
        <f>BK241+BK252+BK254+BK256+BK259+BK261+BK287+BK323+BK339+BK351</f>
        <v>0</v>
      </c>
    </row>
    <row r="241" spans="2:63" s="11" customFormat="1" ht="22.7" customHeight="1">
      <c r="B241" s="112"/>
      <c r="D241" s="113" t="s">
        <v>69</v>
      </c>
      <c r="E241" s="121" t="s">
        <v>390</v>
      </c>
      <c r="F241" s="121" t="s">
        <v>391</v>
      </c>
      <c r="J241" s="122">
        <f>BK241</f>
        <v>0</v>
      </c>
      <c r="L241" s="112"/>
      <c r="M241" s="116"/>
      <c r="P241" s="117">
        <f>SUM(P242:P251)</f>
        <v>96.99725</v>
      </c>
      <c r="R241" s="117">
        <f>SUM(R242:R251)</f>
        <v>3.2406803999999996</v>
      </c>
      <c r="T241" s="118">
        <f>SUM(T242:T251)</f>
        <v>0.47850000000000004</v>
      </c>
      <c r="AR241" s="113" t="s">
        <v>80</v>
      </c>
      <c r="AT241" s="119" t="s">
        <v>69</v>
      </c>
      <c r="AU241" s="119" t="s">
        <v>78</v>
      </c>
      <c r="AY241" s="113" t="s">
        <v>126</v>
      </c>
      <c r="BK241" s="120">
        <f>SUM(BK242:BK251)</f>
        <v>0</v>
      </c>
    </row>
    <row r="242" spans="2:65" s="1" customFormat="1" ht="21.75" customHeight="1">
      <c r="B242" s="123"/>
      <c r="C242" s="124" t="s">
        <v>392</v>
      </c>
      <c r="D242" s="124" t="s">
        <v>128</v>
      </c>
      <c r="E242" s="125" t="s">
        <v>393</v>
      </c>
      <c r="F242" s="126" t="s">
        <v>394</v>
      </c>
      <c r="G242" s="127" t="s">
        <v>131</v>
      </c>
      <c r="H242" s="128">
        <v>29</v>
      </c>
      <c r="I242" s="129"/>
      <c r="J242" s="129">
        <f>ROUND(I242*H242,2)</f>
        <v>0</v>
      </c>
      <c r="K242" s="126" t="s">
        <v>132</v>
      </c>
      <c r="L242" s="29"/>
      <c r="M242" s="130" t="s">
        <v>3</v>
      </c>
      <c r="N242" s="131" t="s">
        <v>41</v>
      </c>
      <c r="O242" s="132">
        <v>0.098</v>
      </c>
      <c r="P242" s="132">
        <f>O242*H242</f>
        <v>2.842</v>
      </c>
      <c r="Q242" s="132">
        <v>0</v>
      </c>
      <c r="R242" s="132">
        <f>Q242*H242</f>
        <v>0</v>
      </c>
      <c r="S242" s="132">
        <v>0.0165</v>
      </c>
      <c r="T242" s="133">
        <f>S242*H242</f>
        <v>0.47850000000000004</v>
      </c>
      <c r="AR242" s="134" t="s">
        <v>221</v>
      </c>
      <c r="AT242" s="134" t="s">
        <v>128</v>
      </c>
      <c r="AU242" s="134" t="s">
        <v>80</v>
      </c>
      <c r="AY242" s="17" t="s">
        <v>126</v>
      </c>
      <c r="BE242" s="135">
        <f>IF(N242="základní",J242,0)</f>
        <v>0</v>
      </c>
      <c r="BF242" s="135">
        <f>IF(N242="snížená",J242,0)</f>
        <v>0</v>
      </c>
      <c r="BG242" s="135">
        <f>IF(N242="zákl. přenesená",J242,0)</f>
        <v>0</v>
      </c>
      <c r="BH242" s="135">
        <f>IF(N242="sníž. přenesená",J242,0)</f>
        <v>0</v>
      </c>
      <c r="BI242" s="135">
        <f>IF(N242="nulová",J242,0)</f>
        <v>0</v>
      </c>
      <c r="BJ242" s="17" t="s">
        <v>78</v>
      </c>
      <c r="BK242" s="135">
        <f>ROUND(I242*H242,2)</f>
        <v>0</v>
      </c>
      <c r="BL242" s="17" t="s">
        <v>221</v>
      </c>
      <c r="BM242" s="134" t="s">
        <v>395</v>
      </c>
    </row>
    <row r="243" spans="2:47" s="1" customFormat="1" ht="12">
      <c r="B243" s="29"/>
      <c r="D243" s="136" t="s">
        <v>135</v>
      </c>
      <c r="F243" s="137" t="s">
        <v>396</v>
      </c>
      <c r="L243" s="29"/>
      <c r="M243" s="138"/>
      <c r="T243" s="49"/>
      <c r="AT243" s="17" t="s">
        <v>135</v>
      </c>
      <c r="AU243" s="17" t="s">
        <v>80</v>
      </c>
    </row>
    <row r="244" spans="2:51" s="12" customFormat="1" ht="12">
      <c r="B244" s="139"/>
      <c r="D244" s="140" t="s">
        <v>137</v>
      </c>
      <c r="E244" s="141" t="s">
        <v>3</v>
      </c>
      <c r="F244" s="142" t="s">
        <v>397</v>
      </c>
      <c r="H244" s="143">
        <v>29</v>
      </c>
      <c r="L244" s="139"/>
      <c r="M244" s="144"/>
      <c r="T244" s="145"/>
      <c r="AT244" s="141" t="s">
        <v>137</v>
      </c>
      <c r="AU244" s="141" t="s">
        <v>80</v>
      </c>
      <c r="AV244" s="12" t="s">
        <v>80</v>
      </c>
      <c r="AW244" s="12" t="s">
        <v>32</v>
      </c>
      <c r="AX244" s="12" t="s">
        <v>78</v>
      </c>
      <c r="AY244" s="141" t="s">
        <v>126</v>
      </c>
    </row>
    <row r="245" spans="2:65" s="1" customFormat="1" ht="16.5" customHeight="1">
      <c r="B245" s="123"/>
      <c r="C245" s="124" t="s">
        <v>398</v>
      </c>
      <c r="D245" s="124" t="s">
        <v>128</v>
      </c>
      <c r="E245" s="125" t="s">
        <v>399</v>
      </c>
      <c r="F245" s="126" t="s">
        <v>400</v>
      </c>
      <c r="G245" s="127" t="s">
        <v>131</v>
      </c>
      <c r="H245" s="128">
        <v>544.25</v>
      </c>
      <c r="I245" s="129"/>
      <c r="J245" s="129">
        <f>ROUND(I245*H245,2)</f>
        <v>0</v>
      </c>
      <c r="K245" s="126" t="s">
        <v>132</v>
      </c>
      <c r="L245" s="29"/>
      <c r="M245" s="130" t="s">
        <v>3</v>
      </c>
      <c r="N245" s="131" t="s">
        <v>41</v>
      </c>
      <c r="O245" s="132">
        <v>0.173</v>
      </c>
      <c r="P245" s="132">
        <f>O245*H245</f>
        <v>94.15525</v>
      </c>
      <c r="Q245" s="132">
        <v>0.00036</v>
      </c>
      <c r="R245" s="132">
        <f>Q245*H245</f>
        <v>0.19593000000000002</v>
      </c>
      <c r="S245" s="132">
        <v>0</v>
      </c>
      <c r="T245" s="133">
        <f>S245*H245</f>
        <v>0</v>
      </c>
      <c r="AR245" s="134" t="s">
        <v>221</v>
      </c>
      <c r="AT245" s="134" t="s">
        <v>128</v>
      </c>
      <c r="AU245" s="134" t="s">
        <v>80</v>
      </c>
      <c r="AY245" s="17" t="s">
        <v>126</v>
      </c>
      <c r="BE245" s="135">
        <f>IF(N245="základní",J245,0)</f>
        <v>0</v>
      </c>
      <c r="BF245" s="135">
        <f>IF(N245="snížená",J245,0)</f>
        <v>0</v>
      </c>
      <c r="BG245" s="135">
        <f>IF(N245="zákl. přenesená",J245,0)</f>
        <v>0</v>
      </c>
      <c r="BH245" s="135">
        <f>IF(N245="sníž. přenesená",J245,0)</f>
        <v>0</v>
      </c>
      <c r="BI245" s="135">
        <f>IF(N245="nulová",J245,0)</f>
        <v>0</v>
      </c>
      <c r="BJ245" s="17" t="s">
        <v>78</v>
      </c>
      <c r="BK245" s="135">
        <f>ROUND(I245*H245,2)</f>
        <v>0</v>
      </c>
      <c r="BL245" s="17" t="s">
        <v>221</v>
      </c>
      <c r="BM245" s="134" t="s">
        <v>401</v>
      </c>
    </row>
    <row r="246" spans="2:47" s="1" customFormat="1" ht="12">
      <c r="B246" s="29"/>
      <c r="D246" s="136" t="s">
        <v>135</v>
      </c>
      <c r="F246" s="137" t="s">
        <v>402</v>
      </c>
      <c r="L246" s="29"/>
      <c r="M246" s="138"/>
      <c r="T246" s="49"/>
      <c r="AT246" s="17" t="s">
        <v>135</v>
      </c>
      <c r="AU246" s="17" t="s">
        <v>80</v>
      </c>
    </row>
    <row r="247" spans="2:51" s="12" customFormat="1" ht="12">
      <c r="B247" s="139"/>
      <c r="D247" s="140" t="s">
        <v>137</v>
      </c>
      <c r="E247" s="141" t="s">
        <v>3</v>
      </c>
      <c r="F247" s="142" t="s">
        <v>403</v>
      </c>
      <c r="H247" s="143">
        <v>544.25</v>
      </c>
      <c r="L247" s="139"/>
      <c r="M247" s="144"/>
      <c r="T247" s="145"/>
      <c r="AT247" s="141" t="s">
        <v>137</v>
      </c>
      <c r="AU247" s="141" t="s">
        <v>80</v>
      </c>
      <c r="AV247" s="12" t="s">
        <v>80</v>
      </c>
      <c r="AW247" s="12" t="s">
        <v>32</v>
      </c>
      <c r="AX247" s="12" t="s">
        <v>78</v>
      </c>
      <c r="AY247" s="141" t="s">
        <v>126</v>
      </c>
    </row>
    <row r="248" spans="2:65" s="1" customFormat="1" ht="24.2" customHeight="1">
      <c r="B248" s="123"/>
      <c r="C248" s="152" t="s">
        <v>404</v>
      </c>
      <c r="D248" s="152" t="s">
        <v>405</v>
      </c>
      <c r="E248" s="153" t="s">
        <v>406</v>
      </c>
      <c r="F248" s="154" t="s">
        <v>407</v>
      </c>
      <c r="G248" s="155" t="s">
        <v>131</v>
      </c>
      <c r="H248" s="156">
        <v>634.323</v>
      </c>
      <c r="I248" s="157"/>
      <c r="J248" s="157">
        <f>ROUND(I248*H248,2)</f>
        <v>0</v>
      </c>
      <c r="K248" s="154" t="s">
        <v>132</v>
      </c>
      <c r="L248" s="158"/>
      <c r="M248" s="159" t="s">
        <v>3</v>
      </c>
      <c r="N248" s="160" t="s">
        <v>41</v>
      </c>
      <c r="O248" s="132">
        <v>0</v>
      </c>
      <c r="P248" s="132">
        <f>O248*H248</f>
        <v>0</v>
      </c>
      <c r="Q248" s="132">
        <v>0.0048</v>
      </c>
      <c r="R248" s="132">
        <f>Q248*H248</f>
        <v>3.0447503999999994</v>
      </c>
      <c r="S248" s="132">
        <v>0</v>
      </c>
      <c r="T248" s="133">
        <f>S248*H248</f>
        <v>0</v>
      </c>
      <c r="AR248" s="134" t="s">
        <v>325</v>
      </c>
      <c r="AT248" s="134" t="s">
        <v>405</v>
      </c>
      <c r="AU248" s="134" t="s">
        <v>80</v>
      </c>
      <c r="AY248" s="17" t="s">
        <v>126</v>
      </c>
      <c r="BE248" s="135">
        <f>IF(N248="základní",J248,0)</f>
        <v>0</v>
      </c>
      <c r="BF248" s="135">
        <f>IF(N248="snížená",J248,0)</f>
        <v>0</v>
      </c>
      <c r="BG248" s="135">
        <f>IF(N248="zákl. přenesená",J248,0)</f>
        <v>0</v>
      </c>
      <c r="BH248" s="135">
        <f>IF(N248="sníž. přenesená",J248,0)</f>
        <v>0</v>
      </c>
      <c r="BI248" s="135">
        <f>IF(N248="nulová",J248,0)</f>
        <v>0</v>
      </c>
      <c r="BJ248" s="17" t="s">
        <v>78</v>
      </c>
      <c r="BK248" s="135">
        <f>ROUND(I248*H248,2)</f>
        <v>0</v>
      </c>
      <c r="BL248" s="17" t="s">
        <v>221</v>
      </c>
      <c r="BM248" s="134" t="s">
        <v>408</v>
      </c>
    </row>
    <row r="249" spans="2:51" s="12" customFormat="1" ht="12">
      <c r="B249" s="139"/>
      <c r="D249" s="140" t="s">
        <v>137</v>
      </c>
      <c r="F249" s="142" t="s">
        <v>409</v>
      </c>
      <c r="H249" s="143">
        <v>634.323</v>
      </c>
      <c r="L249" s="139"/>
      <c r="M249" s="144"/>
      <c r="T249" s="145"/>
      <c r="AT249" s="141" t="s">
        <v>137</v>
      </c>
      <c r="AU249" s="141" t="s">
        <v>80</v>
      </c>
      <c r="AV249" s="12" t="s">
        <v>80</v>
      </c>
      <c r="AW249" s="12" t="s">
        <v>4</v>
      </c>
      <c r="AX249" s="12" t="s">
        <v>78</v>
      </c>
      <c r="AY249" s="141" t="s">
        <v>126</v>
      </c>
    </row>
    <row r="250" spans="2:65" s="1" customFormat="1" ht="24.2" customHeight="1">
      <c r="B250" s="123"/>
      <c r="C250" s="124" t="s">
        <v>410</v>
      </c>
      <c r="D250" s="124" t="s">
        <v>128</v>
      </c>
      <c r="E250" s="125" t="s">
        <v>411</v>
      </c>
      <c r="F250" s="126" t="s">
        <v>412</v>
      </c>
      <c r="G250" s="127" t="s">
        <v>413</v>
      </c>
      <c r="H250" s="128">
        <v>1404.341</v>
      </c>
      <c r="I250" s="129"/>
      <c r="J250" s="129">
        <f>ROUND(I250*H250,2)</f>
        <v>0</v>
      </c>
      <c r="K250" s="126" t="s">
        <v>132</v>
      </c>
      <c r="L250" s="29"/>
      <c r="M250" s="130" t="s">
        <v>3</v>
      </c>
      <c r="N250" s="131" t="s">
        <v>41</v>
      </c>
      <c r="O250" s="132">
        <v>0</v>
      </c>
      <c r="P250" s="132">
        <f>O250*H250</f>
        <v>0</v>
      </c>
      <c r="Q250" s="132">
        <v>0</v>
      </c>
      <c r="R250" s="132">
        <f>Q250*H250</f>
        <v>0</v>
      </c>
      <c r="S250" s="132">
        <v>0</v>
      </c>
      <c r="T250" s="133">
        <f>S250*H250</f>
        <v>0</v>
      </c>
      <c r="AR250" s="134" t="s">
        <v>221</v>
      </c>
      <c r="AT250" s="134" t="s">
        <v>128</v>
      </c>
      <c r="AU250" s="134" t="s">
        <v>80</v>
      </c>
      <c r="AY250" s="17" t="s">
        <v>126</v>
      </c>
      <c r="BE250" s="135">
        <f>IF(N250="základní",J250,0)</f>
        <v>0</v>
      </c>
      <c r="BF250" s="135">
        <f>IF(N250="snížená",J250,0)</f>
        <v>0</v>
      </c>
      <c r="BG250" s="135">
        <f>IF(N250="zákl. přenesená",J250,0)</f>
        <v>0</v>
      </c>
      <c r="BH250" s="135">
        <f>IF(N250="sníž. přenesená",J250,0)</f>
        <v>0</v>
      </c>
      <c r="BI250" s="135">
        <f>IF(N250="nulová",J250,0)</f>
        <v>0</v>
      </c>
      <c r="BJ250" s="17" t="s">
        <v>78</v>
      </c>
      <c r="BK250" s="135">
        <f>ROUND(I250*H250,2)</f>
        <v>0</v>
      </c>
      <c r="BL250" s="17" t="s">
        <v>221</v>
      </c>
      <c r="BM250" s="134" t="s">
        <v>414</v>
      </c>
    </row>
    <row r="251" spans="2:47" s="1" customFormat="1" ht="12">
      <c r="B251" s="29"/>
      <c r="D251" s="136" t="s">
        <v>135</v>
      </c>
      <c r="F251" s="137" t="s">
        <v>415</v>
      </c>
      <c r="L251" s="29"/>
      <c r="M251" s="138"/>
      <c r="T251" s="49"/>
      <c r="AT251" s="17" t="s">
        <v>135</v>
      </c>
      <c r="AU251" s="17" t="s">
        <v>80</v>
      </c>
    </row>
    <row r="252" spans="2:63" s="11" customFormat="1" ht="22.7" customHeight="1">
      <c r="B252" s="112"/>
      <c r="D252" s="113" t="s">
        <v>69</v>
      </c>
      <c r="E252" s="121" t="s">
        <v>416</v>
      </c>
      <c r="F252" s="121" t="s">
        <v>417</v>
      </c>
      <c r="J252" s="122">
        <f>BK252</f>
        <v>0</v>
      </c>
      <c r="L252" s="112"/>
      <c r="M252" s="116"/>
      <c r="P252" s="117">
        <f>P253</f>
        <v>0</v>
      </c>
      <c r="R252" s="117">
        <f>R253</f>
        <v>0</v>
      </c>
      <c r="T252" s="118">
        <f>T253</f>
        <v>0</v>
      </c>
      <c r="AR252" s="113" t="s">
        <v>80</v>
      </c>
      <c r="AT252" s="119" t="s">
        <v>69</v>
      </c>
      <c r="AU252" s="119" t="s">
        <v>78</v>
      </c>
      <c r="AY252" s="113" t="s">
        <v>126</v>
      </c>
      <c r="BK252" s="120">
        <f>BK253</f>
        <v>0</v>
      </c>
    </row>
    <row r="253" spans="2:65" s="1" customFormat="1" ht="16.5" customHeight="1">
      <c r="B253" s="123"/>
      <c r="C253" s="124" t="s">
        <v>418</v>
      </c>
      <c r="D253" s="124" t="s">
        <v>128</v>
      </c>
      <c r="E253" s="125" t="s">
        <v>419</v>
      </c>
      <c r="F253" s="126" t="s">
        <v>420</v>
      </c>
      <c r="G253" s="127" t="s">
        <v>183</v>
      </c>
      <c r="H253" s="128">
        <v>1</v>
      </c>
      <c r="I253" s="129"/>
      <c r="J253" s="129">
        <f>ROUND(I253*H253,2)</f>
        <v>0</v>
      </c>
      <c r="K253" s="126" t="s">
        <v>3</v>
      </c>
      <c r="L253" s="29"/>
      <c r="M253" s="130" t="s">
        <v>3</v>
      </c>
      <c r="N253" s="131" t="s">
        <v>41</v>
      </c>
      <c r="O253" s="132">
        <v>0</v>
      </c>
      <c r="P253" s="132">
        <f>O253*H253</f>
        <v>0</v>
      </c>
      <c r="Q253" s="132">
        <v>0</v>
      </c>
      <c r="R253" s="132">
        <f>Q253*H253</f>
        <v>0</v>
      </c>
      <c r="S253" s="132">
        <v>0</v>
      </c>
      <c r="T253" s="133">
        <f>S253*H253</f>
        <v>0</v>
      </c>
      <c r="AR253" s="134" t="s">
        <v>221</v>
      </c>
      <c r="AT253" s="134" t="s">
        <v>128</v>
      </c>
      <c r="AU253" s="134" t="s">
        <v>80</v>
      </c>
      <c r="AY253" s="17" t="s">
        <v>126</v>
      </c>
      <c r="BE253" s="135">
        <f>IF(N253="základní",J253,0)</f>
        <v>0</v>
      </c>
      <c r="BF253" s="135">
        <f>IF(N253="snížená",J253,0)</f>
        <v>0</v>
      </c>
      <c r="BG253" s="135">
        <f>IF(N253="zákl. přenesená",J253,0)</f>
        <v>0</v>
      </c>
      <c r="BH253" s="135">
        <f>IF(N253="sníž. přenesená",J253,0)</f>
        <v>0</v>
      </c>
      <c r="BI253" s="135">
        <f>IF(N253="nulová",J253,0)</f>
        <v>0</v>
      </c>
      <c r="BJ253" s="17" t="s">
        <v>78</v>
      </c>
      <c r="BK253" s="135">
        <f>ROUND(I253*H253,2)</f>
        <v>0</v>
      </c>
      <c r="BL253" s="17" t="s">
        <v>221</v>
      </c>
      <c r="BM253" s="134" t="s">
        <v>421</v>
      </c>
    </row>
    <row r="254" spans="2:63" s="11" customFormat="1" ht="22.7" customHeight="1">
      <c r="B254" s="112"/>
      <c r="D254" s="113" t="s">
        <v>69</v>
      </c>
      <c r="E254" s="121" t="s">
        <v>422</v>
      </c>
      <c r="F254" s="121" t="s">
        <v>423</v>
      </c>
      <c r="J254" s="122">
        <f>BK254</f>
        <v>0</v>
      </c>
      <c r="L254" s="112"/>
      <c r="M254" s="116"/>
      <c r="P254" s="117">
        <f>P255</f>
        <v>0</v>
      </c>
      <c r="R254" s="117">
        <f>R255</f>
        <v>0</v>
      </c>
      <c r="T254" s="118">
        <f>T255</f>
        <v>0</v>
      </c>
      <c r="AR254" s="113" t="s">
        <v>80</v>
      </c>
      <c r="AT254" s="119" t="s">
        <v>69</v>
      </c>
      <c r="AU254" s="119" t="s">
        <v>78</v>
      </c>
      <c r="AY254" s="113" t="s">
        <v>126</v>
      </c>
      <c r="BK254" s="120">
        <f>BK255</f>
        <v>0</v>
      </c>
    </row>
    <row r="255" spans="2:65" s="1" customFormat="1" ht="16.5" customHeight="1">
      <c r="B255" s="123"/>
      <c r="C255" s="124" t="s">
        <v>424</v>
      </c>
      <c r="D255" s="124" t="s">
        <v>128</v>
      </c>
      <c r="E255" s="125" t="s">
        <v>425</v>
      </c>
      <c r="F255" s="126" t="s">
        <v>426</v>
      </c>
      <c r="G255" s="127" t="s">
        <v>183</v>
      </c>
      <c r="H255" s="128">
        <v>1</v>
      </c>
      <c r="I255" s="129"/>
      <c r="J255" s="129">
        <f>ROUND(I255*H255,2)</f>
        <v>0</v>
      </c>
      <c r="K255" s="126" t="s">
        <v>3</v>
      </c>
      <c r="L255" s="29"/>
      <c r="M255" s="130" t="s">
        <v>3</v>
      </c>
      <c r="N255" s="131" t="s">
        <v>41</v>
      </c>
      <c r="O255" s="132">
        <v>0</v>
      </c>
      <c r="P255" s="132">
        <f>O255*H255</f>
        <v>0</v>
      </c>
      <c r="Q255" s="132">
        <v>0</v>
      </c>
      <c r="R255" s="132">
        <f>Q255*H255</f>
        <v>0</v>
      </c>
      <c r="S255" s="132">
        <v>0</v>
      </c>
      <c r="T255" s="133">
        <f>S255*H255</f>
        <v>0</v>
      </c>
      <c r="AR255" s="134" t="s">
        <v>221</v>
      </c>
      <c r="AT255" s="134" t="s">
        <v>128</v>
      </c>
      <c r="AU255" s="134" t="s">
        <v>80</v>
      </c>
      <c r="AY255" s="17" t="s">
        <v>126</v>
      </c>
      <c r="BE255" s="135">
        <f>IF(N255="základní",J255,0)</f>
        <v>0</v>
      </c>
      <c r="BF255" s="135">
        <f>IF(N255="snížená",J255,0)</f>
        <v>0</v>
      </c>
      <c r="BG255" s="135">
        <f>IF(N255="zákl. přenesená",J255,0)</f>
        <v>0</v>
      </c>
      <c r="BH255" s="135">
        <f>IF(N255="sníž. přenesená",J255,0)</f>
        <v>0</v>
      </c>
      <c r="BI255" s="135">
        <f>IF(N255="nulová",J255,0)</f>
        <v>0</v>
      </c>
      <c r="BJ255" s="17" t="s">
        <v>78</v>
      </c>
      <c r="BK255" s="135">
        <f>ROUND(I255*H255,2)</f>
        <v>0</v>
      </c>
      <c r="BL255" s="17" t="s">
        <v>221</v>
      </c>
      <c r="BM255" s="134" t="s">
        <v>427</v>
      </c>
    </row>
    <row r="256" spans="2:63" s="11" customFormat="1" ht="22.7" customHeight="1">
      <c r="B256" s="112"/>
      <c r="D256" s="113" t="s">
        <v>69</v>
      </c>
      <c r="E256" s="121" t="s">
        <v>428</v>
      </c>
      <c r="F256" s="121" t="s">
        <v>429</v>
      </c>
      <c r="J256" s="122">
        <f>BK256</f>
        <v>0</v>
      </c>
      <c r="L256" s="112"/>
      <c r="M256" s="116"/>
      <c r="P256" s="117">
        <f>SUM(P257:P258)</f>
        <v>0</v>
      </c>
      <c r="R256" s="117">
        <f>SUM(R257:R258)</f>
        <v>0</v>
      </c>
      <c r="T256" s="118">
        <f>SUM(T257:T258)</f>
        <v>0</v>
      </c>
      <c r="AR256" s="113" t="s">
        <v>80</v>
      </c>
      <c r="AT256" s="119" t="s">
        <v>69</v>
      </c>
      <c r="AU256" s="119" t="s">
        <v>78</v>
      </c>
      <c r="AY256" s="113" t="s">
        <v>126</v>
      </c>
      <c r="BK256" s="120">
        <f>SUM(BK257:BK258)</f>
        <v>0</v>
      </c>
    </row>
    <row r="257" spans="2:65" s="1" customFormat="1" ht="16.5" customHeight="1">
      <c r="B257" s="123"/>
      <c r="C257" s="124" t="s">
        <v>430</v>
      </c>
      <c r="D257" s="124" t="s">
        <v>128</v>
      </c>
      <c r="E257" s="125" t="s">
        <v>431</v>
      </c>
      <c r="F257" s="126" t="s">
        <v>432</v>
      </c>
      <c r="G257" s="127" t="s">
        <v>183</v>
      </c>
      <c r="H257" s="128">
        <v>1</v>
      </c>
      <c r="I257" s="129"/>
      <c r="J257" s="129">
        <f>ROUND(I257*H257,2)</f>
        <v>0</v>
      </c>
      <c r="K257" s="126" t="s">
        <v>3</v>
      </c>
      <c r="L257" s="29"/>
      <c r="M257" s="130" t="s">
        <v>3</v>
      </c>
      <c r="N257" s="131" t="s">
        <v>41</v>
      </c>
      <c r="O257" s="132">
        <v>0</v>
      </c>
      <c r="P257" s="132">
        <f>O257*H257</f>
        <v>0</v>
      </c>
      <c r="Q257" s="132">
        <v>0</v>
      </c>
      <c r="R257" s="132">
        <f>Q257*H257</f>
        <v>0</v>
      </c>
      <c r="S257" s="132">
        <v>0</v>
      </c>
      <c r="T257" s="133">
        <f>S257*H257</f>
        <v>0</v>
      </c>
      <c r="AR257" s="134" t="s">
        <v>221</v>
      </c>
      <c r="AT257" s="134" t="s">
        <v>128</v>
      </c>
      <c r="AU257" s="134" t="s">
        <v>80</v>
      </c>
      <c r="AY257" s="17" t="s">
        <v>126</v>
      </c>
      <c r="BE257" s="135">
        <f>IF(N257="základní",J257,0)</f>
        <v>0</v>
      </c>
      <c r="BF257" s="135">
        <f>IF(N257="snížená",J257,0)</f>
        <v>0</v>
      </c>
      <c r="BG257" s="135">
        <f>IF(N257="zákl. přenesená",J257,0)</f>
        <v>0</v>
      </c>
      <c r="BH257" s="135">
        <f>IF(N257="sníž. přenesená",J257,0)</f>
        <v>0</v>
      </c>
      <c r="BI257" s="135">
        <f>IF(N257="nulová",J257,0)</f>
        <v>0</v>
      </c>
      <c r="BJ257" s="17" t="s">
        <v>78</v>
      </c>
      <c r="BK257" s="135">
        <f>ROUND(I257*H257,2)</f>
        <v>0</v>
      </c>
      <c r="BL257" s="17" t="s">
        <v>221</v>
      </c>
      <c r="BM257" s="134" t="s">
        <v>433</v>
      </c>
    </row>
    <row r="258" spans="2:65" s="1" customFormat="1" ht="16.5" customHeight="1">
      <c r="B258" s="123"/>
      <c r="C258" s="124" t="s">
        <v>434</v>
      </c>
      <c r="D258" s="124" t="s">
        <v>128</v>
      </c>
      <c r="E258" s="125" t="s">
        <v>435</v>
      </c>
      <c r="F258" s="126" t="s">
        <v>436</v>
      </c>
      <c r="G258" s="127" t="s">
        <v>183</v>
      </c>
      <c r="H258" s="128">
        <v>1</v>
      </c>
      <c r="I258" s="129"/>
      <c r="J258" s="129">
        <f>ROUND(I258*H258,2)</f>
        <v>0</v>
      </c>
      <c r="K258" s="126" t="s">
        <v>3</v>
      </c>
      <c r="L258" s="29"/>
      <c r="M258" s="130" t="s">
        <v>3</v>
      </c>
      <c r="N258" s="131" t="s">
        <v>41</v>
      </c>
      <c r="O258" s="132">
        <v>0</v>
      </c>
      <c r="P258" s="132">
        <f>O258*H258</f>
        <v>0</v>
      </c>
      <c r="Q258" s="132">
        <v>0</v>
      </c>
      <c r="R258" s="132">
        <f>Q258*H258</f>
        <v>0</v>
      </c>
      <c r="S258" s="132">
        <v>0</v>
      </c>
      <c r="T258" s="133">
        <f>S258*H258</f>
        <v>0</v>
      </c>
      <c r="AR258" s="134" t="s">
        <v>221</v>
      </c>
      <c r="AT258" s="134" t="s">
        <v>128</v>
      </c>
      <c r="AU258" s="134" t="s">
        <v>80</v>
      </c>
      <c r="AY258" s="17" t="s">
        <v>126</v>
      </c>
      <c r="BE258" s="135">
        <f>IF(N258="základní",J258,0)</f>
        <v>0</v>
      </c>
      <c r="BF258" s="135">
        <f>IF(N258="snížená",J258,0)</f>
        <v>0</v>
      </c>
      <c r="BG258" s="135">
        <f>IF(N258="zákl. přenesená",J258,0)</f>
        <v>0</v>
      </c>
      <c r="BH258" s="135">
        <f>IF(N258="sníž. přenesená",J258,0)</f>
        <v>0</v>
      </c>
      <c r="BI258" s="135">
        <f>IF(N258="nulová",J258,0)</f>
        <v>0</v>
      </c>
      <c r="BJ258" s="17" t="s">
        <v>78</v>
      </c>
      <c r="BK258" s="135">
        <f>ROUND(I258*H258,2)</f>
        <v>0</v>
      </c>
      <c r="BL258" s="17" t="s">
        <v>221</v>
      </c>
      <c r="BM258" s="134" t="s">
        <v>437</v>
      </c>
    </row>
    <row r="259" spans="2:63" s="11" customFormat="1" ht="22.7" customHeight="1">
      <c r="B259" s="112"/>
      <c r="D259" s="113" t="s">
        <v>69</v>
      </c>
      <c r="E259" s="121" t="s">
        <v>438</v>
      </c>
      <c r="F259" s="121" t="s">
        <v>439</v>
      </c>
      <c r="J259" s="122">
        <f>BK259</f>
        <v>0</v>
      </c>
      <c r="L259" s="112"/>
      <c r="M259" s="116"/>
      <c r="P259" s="117">
        <f>P260</f>
        <v>0</v>
      </c>
      <c r="R259" s="117">
        <f>R260</f>
        <v>0</v>
      </c>
      <c r="T259" s="118">
        <f>T260</f>
        <v>0</v>
      </c>
      <c r="AR259" s="113" t="s">
        <v>80</v>
      </c>
      <c r="AT259" s="119" t="s">
        <v>69</v>
      </c>
      <c r="AU259" s="119" t="s">
        <v>78</v>
      </c>
      <c r="AY259" s="113" t="s">
        <v>126</v>
      </c>
      <c r="BK259" s="120">
        <f>BK260</f>
        <v>0</v>
      </c>
    </row>
    <row r="260" spans="2:65" s="1" customFormat="1" ht="16.5" customHeight="1">
      <c r="B260" s="123"/>
      <c r="C260" s="124" t="s">
        <v>440</v>
      </c>
      <c r="D260" s="124" t="s">
        <v>128</v>
      </c>
      <c r="E260" s="125" t="s">
        <v>441</v>
      </c>
      <c r="F260" s="126" t="s">
        <v>442</v>
      </c>
      <c r="G260" s="127" t="s">
        <v>183</v>
      </c>
      <c r="H260" s="128">
        <v>1</v>
      </c>
      <c r="I260" s="129"/>
      <c r="J260" s="129">
        <f>ROUND(I260*H260,2)</f>
        <v>0</v>
      </c>
      <c r="K260" s="126" t="s">
        <v>3</v>
      </c>
      <c r="L260" s="29"/>
      <c r="M260" s="130" t="s">
        <v>3</v>
      </c>
      <c r="N260" s="131" t="s">
        <v>41</v>
      </c>
      <c r="O260" s="132">
        <v>0</v>
      </c>
      <c r="P260" s="132">
        <f>O260*H260</f>
        <v>0</v>
      </c>
      <c r="Q260" s="132">
        <v>0</v>
      </c>
      <c r="R260" s="132">
        <f>Q260*H260</f>
        <v>0</v>
      </c>
      <c r="S260" s="132">
        <v>0</v>
      </c>
      <c r="T260" s="133">
        <f>S260*H260</f>
        <v>0</v>
      </c>
      <c r="AR260" s="134" t="s">
        <v>221</v>
      </c>
      <c r="AT260" s="134" t="s">
        <v>128</v>
      </c>
      <c r="AU260" s="134" t="s">
        <v>80</v>
      </c>
      <c r="AY260" s="17" t="s">
        <v>126</v>
      </c>
      <c r="BE260" s="135">
        <f>IF(N260="základní",J260,0)</f>
        <v>0</v>
      </c>
      <c r="BF260" s="135">
        <f>IF(N260="snížená",J260,0)</f>
        <v>0</v>
      </c>
      <c r="BG260" s="135">
        <f>IF(N260="zákl. přenesená",J260,0)</f>
        <v>0</v>
      </c>
      <c r="BH260" s="135">
        <f>IF(N260="sníž. přenesená",J260,0)</f>
        <v>0</v>
      </c>
      <c r="BI260" s="135">
        <f>IF(N260="nulová",J260,0)</f>
        <v>0</v>
      </c>
      <c r="BJ260" s="17" t="s">
        <v>78</v>
      </c>
      <c r="BK260" s="135">
        <f>ROUND(I260*H260,2)</f>
        <v>0</v>
      </c>
      <c r="BL260" s="17" t="s">
        <v>221</v>
      </c>
      <c r="BM260" s="134" t="s">
        <v>443</v>
      </c>
    </row>
    <row r="261" spans="2:63" s="11" customFormat="1" ht="22.7" customHeight="1">
      <c r="B261" s="112"/>
      <c r="D261" s="113" t="s">
        <v>69</v>
      </c>
      <c r="E261" s="121" t="s">
        <v>444</v>
      </c>
      <c r="F261" s="121" t="s">
        <v>445</v>
      </c>
      <c r="J261" s="122">
        <f>BK261</f>
        <v>0</v>
      </c>
      <c r="L261" s="112"/>
      <c r="M261" s="116"/>
      <c r="P261" s="117">
        <f>SUM(P262:P286)</f>
        <v>446.0571</v>
      </c>
      <c r="R261" s="117">
        <f>SUM(R262:R286)</f>
        <v>0</v>
      </c>
      <c r="T261" s="118">
        <f>SUM(T262:T286)</f>
        <v>70.91312</v>
      </c>
      <c r="AR261" s="113" t="s">
        <v>80</v>
      </c>
      <c r="AT261" s="119" t="s">
        <v>69</v>
      </c>
      <c r="AU261" s="119" t="s">
        <v>78</v>
      </c>
      <c r="AY261" s="113" t="s">
        <v>126</v>
      </c>
      <c r="BK261" s="120">
        <f>SUM(BK262:BK286)</f>
        <v>0</v>
      </c>
    </row>
    <row r="262" spans="2:65" s="1" customFormat="1" ht="24.2" customHeight="1">
      <c r="B262" s="123"/>
      <c r="C262" s="124" t="s">
        <v>446</v>
      </c>
      <c r="D262" s="124" t="s">
        <v>128</v>
      </c>
      <c r="E262" s="125" t="s">
        <v>447</v>
      </c>
      <c r="F262" s="126" t="s">
        <v>448</v>
      </c>
      <c r="G262" s="127" t="s">
        <v>249</v>
      </c>
      <c r="H262" s="128">
        <v>1321.13</v>
      </c>
      <c r="I262" s="129"/>
      <c r="J262" s="129">
        <f>ROUND(I262*H262,2)</f>
        <v>0</v>
      </c>
      <c r="K262" s="126" t="s">
        <v>132</v>
      </c>
      <c r="L262" s="29"/>
      <c r="M262" s="130" t="s">
        <v>3</v>
      </c>
      <c r="N262" s="131" t="s">
        <v>41</v>
      </c>
      <c r="O262" s="132">
        <v>0.17</v>
      </c>
      <c r="P262" s="132">
        <f>O262*H262</f>
        <v>224.59210000000004</v>
      </c>
      <c r="Q262" s="132">
        <v>0</v>
      </c>
      <c r="R262" s="132">
        <f>Q262*H262</f>
        <v>0</v>
      </c>
      <c r="S262" s="132">
        <v>0.024</v>
      </c>
      <c r="T262" s="133">
        <f>S262*H262</f>
        <v>31.707120000000003</v>
      </c>
      <c r="AR262" s="134" t="s">
        <v>221</v>
      </c>
      <c r="AT262" s="134" t="s">
        <v>128</v>
      </c>
      <c r="AU262" s="134" t="s">
        <v>80</v>
      </c>
      <c r="AY262" s="17" t="s">
        <v>126</v>
      </c>
      <c r="BE262" s="135">
        <f>IF(N262="základní",J262,0)</f>
        <v>0</v>
      </c>
      <c r="BF262" s="135">
        <f>IF(N262="snížená",J262,0)</f>
        <v>0</v>
      </c>
      <c r="BG262" s="135">
        <f>IF(N262="zákl. přenesená",J262,0)</f>
        <v>0</v>
      </c>
      <c r="BH262" s="135">
        <f>IF(N262="sníž. přenesená",J262,0)</f>
        <v>0</v>
      </c>
      <c r="BI262" s="135">
        <f>IF(N262="nulová",J262,0)</f>
        <v>0</v>
      </c>
      <c r="BJ262" s="17" t="s">
        <v>78</v>
      </c>
      <c r="BK262" s="135">
        <f>ROUND(I262*H262,2)</f>
        <v>0</v>
      </c>
      <c r="BL262" s="17" t="s">
        <v>221</v>
      </c>
      <c r="BM262" s="134" t="s">
        <v>449</v>
      </c>
    </row>
    <row r="263" spans="2:47" s="1" customFormat="1" ht="12">
      <c r="B263" s="29"/>
      <c r="D263" s="136" t="s">
        <v>135</v>
      </c>
      <c r="F263" s="137" t="s">
        <v>450</v>
      </c>
      <c r="L263" s="29"/>
      <c r="M263" s="138"/>
      <c r="T263" s="49"/>
      <c r="AT263" s="17" t="s">
        <v>135</v>
      </c>
      <c r="AU263" s="17" t="s">
        <v>80</v>
      </c>
    </row>
    <row r="264" spans="2:51" s="12" customFormat="1" ht="22.5">
      <c r="B264" s="139"/>
      <c r="D264" s="140" t="s">
        <v>137</v>
      </c>
      <c r="E264" s="141" t="s">
        <v>3</v>
      </c>
      <c r="F264" s="142" t="s">
        <v>451</v>
      </c>
      <c r="H264" s="143">
        <v>1161.1</v>
      </c>
      <c r="L264" s="139"/>
      <c r="M264" s="144"/>
      <c r="T264" s="145"/>
      <c r="AT264" s="141" t="s">
        <v>137</v>
      </c>
      <c r="AU264" s="141" t="s">
        <v>80</v>
      </c>
      <c r="AV264" s="12" t="s">
        <v>80</v>
      </c>
      <c r="AW264" s="12" t="s">
        <v>32</v>
      </c>
      <c r="AX264" s="12" t="s">
        <v>70</v>
      </c>
      <c r="AY264" s="141" t="s">
        <v>126</v>
      </c>
    </row>
    <row r="265" spans="2:51" s="12" customFormat="1" ht="12">
      <c r="B265" s="139"/>
      <c r="D265" s="140" t="s">
        <v>137</v>
      </c>
      <c r="E265" s="141" t="s">
        <v>3</v>
      </c>
      <c r="F265" s="142" t="s">
        <v>452</v>
      </c>
      <c r="H265" s="143">
        <v>160.03</v>
      </c>
      <c r="L265" s="139"/>
      <c r="M265" s="144"/>
      <c r="T265" s="145"/>
      <c r="AT265" s="141" t="s">
        <v>137</v>
      </c>
      <c r="AU265" s="141" t="s">
        <v>80</v>
      </c>
      <c r="AV265" s="12" t="s">
        <v>80</v>
      </c>
      <c r="AW265" s="12" t="s">
        <v>32</v>
      </c>
      <c r="AX265" s="12" t="s">
        <v>70</v>
      </c>
      <c r="AY265" s="141" t="s">
        <v>126</v>
      </c>
    </row>
    <row r="266" spans="2:51" s="13" customFormat="1" ht="12">
      <c r="B266" s="146"/>
      <c r="D266" s="140" t="s">
        <v>137</v>
      </c>
      <c r="E266" s="147" t="s">
        <v>3</v>
      </c>
      <c r="F266" s="148" t="s">
        <v>151</v>
      </c>
      <c r="H266" s="149">
        <v>1321.13</v>
      </c>
      <c r="L266" s="146"/>
      <c r="M266" s="150"/>
      <c r="T266" s="151"/>
      <c r="AT266" s="147" t="s">
        <v>137</v>
      </c>
      <c r="AU266" s="147" t="s">
        <v>80</v>
      </c>
      <c r="AV266" s="13" t="s">
        <v>133</v>
      </c>
      <c r="AW266" s="13" t="s">
        <v>32</v>
      </c>
      <c r="AX266" s="13" t="s">
        <v>78</v>
      </c>
      <c r="AY266" s="147" t="s">
        <v>126</v>
      </c>
    </row>
    <row r="267" spans="2:65" s="1" customFormat="1" ht="24.2" customHeight="1">
      <c r="B267" s="123"/>
      <c r="C267" s="124" t="s">
        <v>453</v>
      </c>
      <c r="D267" s="124" t="s">
        <v>128</v>
      </c>
      <c r="E267" s="125" t="s">
        <v>454</v>
      </c>
      <c r="F267" s="126" t="s">
        <v>455</v>
      </c>
      <c r="G267" s="127" t="s">
        <v>249</v>
      </c>
      <c r="H267" s="128">
        <v>48</v>
      </c>
      <c r="I267" s="129"/>
      <c r="J267" s="129">
        <f>ROUND(I267*H267,2)</f>
        <v>0</v>
      </c>
      <c r="K267" s="126" t="s">
        <v>132</v>
      </c>
      <c r="L267" s="29"/>
      <c r="M267" s="130" t="s">
        <v>3</v>
      </c>
      <c r="N267" s="131" t="s">
        <v>41</v>
      </c>
      <c r="O267" s="132">
        <v>0.2</v>
      </c>
      <c r="P267" s="132">
        <f>O267*H267</f>
        <v>9.600000000000001</v>
      </c>
      <c r="Q267" s="132">
        <v>0</v>
      </c>
      <c r="R267" s="132">
        <f>Q267*H267</f>
        <v>0</v>
      </c>
      <c r="S267" s="132">
        <v>0.032</v>
      </c>
      <c r="T267" s="133">
        <f>S267*H267</f>
        <v>1.536</v>
      </c>
      <c r="AR267" s="134" t="s">
        <v>221</v>
      </c>
      <c r="AT267" s="134" t="s">
        <v>128</v>
      </c>
      <c r="AU267" s="134" t="s">
        <v>80</v>
      </c>
      <c r="AY267" s="17" t="s">
        <v>126</v>
      </c>
      <c r="BE267" s="135">
        <f>IF(N267="základní",J267,0)</f>
        <v>0</v>
      </c>
      <c r="BF267" s="135">
        <f>IF(N267="snížená",J267,0)</f>
        <v>0</v>
      </c>
      <c r="BG267" s="135">
        <f>IF(N267="zákl. přenesená",J267,0)</f>
        <v>0</v>
      </c>
      <c r="BH267" s="135">
        <f>IF(N267="sníž. přenesená",J267,0)</f>
        <v>0</v>
      </c>
      <c r="BI267" s="135">
        <f>IF(N267="nulová",J267,0)</f>
        <v>0</v>
      </c>
      <c r="BJ267" s="17" t="s">
        <v>78</v>
      </c>
      <c r="BK267" s="135">
        <f>ROUND(I267*H267,2)</f>
        <v>0</v>
      </c>
      <c r="BL267" s="17" t="s">
        <v>221</v>
      </c>
      <c r="BM267" s="134" t="s">
        <v>456</v>
      </c>
    </row>
    <row r="268" spans="2:47" s="1" customFormat="1" ht="12">
      <c r="B268" s="29"/>
      <c r="D268" s="136" t="s">
        <v>135</v>
      </c>
      <c r="F268" s="137" t="s">
        <v>457</v>
      </c>
      <c r="L268" s="29"/>
      <c r="M268" s="138"/>
      <c r="T268" s="49"/>
      <c r="AT268" s="17" t="s">
        <v>135</v>
      </c>
      <c r="AU268" s="17" t="s">
        <v>80</v>
      </c>
    </row>
    <row r="269" spans="2:51" s="12" customFormat="1" ht="12">
      <c r="B269" s="139"/>
      <c r="D269" s="140" t="s">
        <v>137</v>
      </c>
      <c r="E269" s="141" t="s">
        <v>3</v>
      </c>
      <c r="F269" s="142" t="s">
        <v>458</v>
      </c>
      <c r="H269" s="143">
        <v>48</v>
      </c>
      <c r="L269" s="139"/>
      <c r="M269" s="144"/>
      <c r="T269" s="145"/>
      <c r="AT269" s="141" t="s">
        <v>137</v>
      </c>
      <c r="AU269" s="141" t="s">
        <v>80</v>
      </c>
      <c r="AV269" s="12" t="s">
        <v>80</v>
      </c>
      <c r="AW269" s="12" t="s">
        <v>32</v>
      </c>
      <c r="AX269" s="12" t="s">
        <v>78</v>
      </c>
      <c r="AY269" s="141" t="s">
        <v>126</v>
      </c>
    </row>
    <row r="270" spans="2:65" s="1" customFormat="1" ht="24.2" customHeight="1">
      <c r="B270" s="123"/>
      <c r="C270" s="124" t="s">
        <v>459</v>
      </c>
      <c r="D270" s="124" t="s">
        <v>128</v>
      </c>
      <c r="E270" s="125" t="s">
        <v>460</v>
      </c>
      <c r="F270" s="126" t="s">
        <v>461</v>
      </c>
      <c r="G270" s="127" t="s">
        <v>131</v>
      </c>
      <c r="H270" s="128">
        <v>29</v>
      </c>
      <c r="I270" s="129"/>
      <c r="J270" s="129">
        <f>ROUND(I270*H270,2)</f>
        <v>0</v>
      </c>
      <c r="K270" s="126" t="s">
        <v>132</v>
      </c>
      <c r="L270" s="29"/>
      <c r="M270" s="130" t="s">
        <v>3</v>
      </c>
      <c r="N270" s="131" t="s">
        <v>41</v>
      </c>
      <c r="O270" s="132">
        <v>0.14</v>
      </c>
      <c r="P270" s="132">
        <f>O270*H270</f>
        <v>4.0600000000000005</v>
      </c>
      <c r="Q270" s="132">
        <v>0</v>
      </c>
      <c r="R270" s="132">
        <f>Q270*H270</f>
        <v>0</v>
      </c>
      <c r="S270" s="132">
        <v>0.031</v>
      </c>
      <c r="T270" s="133">
        <f>S270*H270</f>
        <v>0.899</v>
      </c>
      <c r="AR270" s="134" t="s">
        <v>221</v>
      </c>
      <c r="AT270" s="134" t="s">
        <v>128</v>
      </c>
      <c r="AU270" s="134" t="s">
        <v>80</v>
      </c>
      <c r="AY270" s="17" t="s">
        <v>126</v>
      </c>
      <c r="BE270" s="135">
        <f>IF(N270="základní",J270,0)</f>
        <v>0</v>
      </c>
      <c r="BF270" s="135">
        <f>IF(N270="snížená",J270,0)</f>
        <v>0</v>
      </c>
      <c r="BG270" s="135">
        <f>IF(N270="zákl. přenesená",J270,0)</f>
        <v>0</v>
      </c>
      <c r="BH270" s="135">
        <f>IF(N270="sníž. přenesená",J270,0)</f>
        <v>0</v>
      </c>
      <c r="BI270" s="135">
        <f>IF(N270="nulová",J270,0)</f>
        <v>0</v>
      </c>
      <c r="BJ270" s="17" t="s">
        <v>78</v>
      </c>
      <c r="BK270" s="135">
        <f>ROUND(I270*H270,2)</f>
        <v>0</v>
      </c>
      <c r="BL270" s="17" t="s">
        <v>221</v>
      </c>
      <c r="BM270" s="134" t="s">
        <v>462</v>
      </c>
    </row>
    <row r="271" spans="2:47" s="1" customFormat="1" ht="12">
      <c r="B271" s="29"/>
      <c r="D271" s="136" t="s">
        <v>135</v>
      </c>
      <c r="F271" s="137" t="s">
        <v>463</v>
      </c>
      <c r="L271" s="29"/>
      <c r="M271" s="138"/>
      <c r="T271" s="49"/>
      <c r="AT271" s="17" t="s">
        <v>135</v>
      </c>
      <c r="AU271" s="17" t="s">
        <v>80</v>
      </c>
    </row>
    <row r="272" spans="2:51" s="12" customFormat="1" ht="12">
      <c r="B272" s="139"/>
      <c r="D272" s="140" t="s">
        <v>137</v>
      </c>
      <c r="E272" s="141" t="s">
        <v>3</v>
      </c>
      <c r="F272" s="142" t="s">
        <v>397</v>
      </c>
      <c r="H272" s="143">
        <v>29</v>
      </c>
      <c r="L272" s="139"/>
      <c r="M272" s="144"/>
      <c r="T272" s="145"/>
      <c r="AT272" s="141" t="s">
        <v>137</v>
      </c>
      <c r="AU272" s="141" t="s">
        <v>80</v>
      </c>
      <c r="AV272" s="12" t="s">
        <v>80</v>
      </c>
      <c r="AW272" s="12" t="s">
        <v>32</v>
      </c>
      <c r="AX272" s="12" t="s">
        <v>78</v>
      </c>
      <c r="AY272" s="141" t="s">
        <v>126</v>
      </c>
    </row>
    <row r="273" spans="2:65" s="1" customFormat="1" ht="24.2" customHeight="1">
      <c r="B273" s="123"/>
      <c r="C273" s="124" t="s">
        <v>464</v>
      </c>
      <c r="D273" s="124" t="s">
        <v>128</v>
      </c>
      <c r="E273" s="125" t="s">
        <v>465</v>
      </c>
      <c r="F273" s="126" t="s">
        <v>466</v>
      </c>
      <c r="G273" s="127" t="s">
        <v>131</v>
      </c>
      <c r="H273" s="128">
        <v>819</v>
      </c>
      <c r="I273" s="129"/>
      <c r="J273" s="129">
        <f>ROUND(I273*H273,2)</f>
        <v>0</v>
      </c>
      <c r="K273" s="126" t="s">
        <v>132</v>
      </c>
      <c r="L273" s="29"/>
      <c r="M273" s="130" t="s">
        <v>3</v>
      </c>
      <c r="N273" s="131" t="s">
        <v>41</v>
      </c>
      <c r="O273" s="132">
        <v>0.05</v>
      </c>
      <c r="P273" s="132">
        <f>O273*H273</f>
        <v>40.95</v>
      </c>
      <c r="Q273" s="132">
        <v>0</v>
      </c>
      <c r="R273" s="132">
        <f>Q273*H273</f>
        <v>0</v>
      </c>
      <c r="S273" s="132">
        <v>0.005</v>
      </c>
      <c r="T273" s="133">
        <f>S273*H273</f>
        <v>4.095</v>
      </c>
      <c r="AR273" s="134" t="s">
        <v>221</v>
      </c>
      <c r="AT273" s="134" t="s">
        <v>128</v>
      </c>
      <c r="AU273" s="134" t="s">
        <v>80</v>
      </c>
      <c r="AY273" s="17" t="s">
        <v>126</v>
      </c>
      <c r="BE273" s="135">
        <f>IF(N273="základní",J273,0)</f>
        <v>0</v>
      </c>
      <c r="BF273" s="135">
        <f>IF(N273="snížená",J273,0)</f>
        <v>0</v>
      </c>
      <c r="BG273" s="135">
        <f>IF(N273="zákl. přenesená",J273,0)</f>
        <v>0</v>
      </c>
      <c r="BH273" s="135">
        <f>IF(N273="sníž. přenesená",J273,0)</f>
        <v>0</v>
      </c>
      <c r="BI273" s="135">
        <f>IF(N273="nulová",J273,0)</f>
        <v>0</v>
      </c>
      <c r="BJ273" s="17" t="s">
        <v>78</v>
      </c>
      <c r="BK273" s="135">
        <f>ROUND(I273*H273,2)</f>
        <v>0</v>
      </c>
      <c r="BL273" s="17" t="s">
        <v>221</v>
      </c>
      <c r="BM273" s="134" t="s">
        <v>467</v>
      </c>
    </row>
    <row r="274" spans="2:47" s="1" customFormat="1" ht="12">
      <c r="B274" s="29"/>
      <c r="D274" s="136" t="s">
        <v>135</v>
      </c>
      <c r="F274" s="137" t="s">
        <v>468</v>
      </c>
      <c r="L274" s="29"/>
      <c r="M274" s="138"/>
      <c r="T274" s="49"/>
      <c r="AT274" s="17" t="s">
        <v>135</v>
      </c>
      <c r="AU274" s="17" t="s">
        <v>80</v>
      </c>
    </row>
    <row r="275" spans="2:51" s="12" customFormat="1" ht="12">
      <c r="B275" s="139"/>
      <c r="D275" s="140" t="s">
        <v>137</v>
      </c>
      <c r="E275" s="141" t="s">
        <v>3</v>
      </c>
      <c r="F275" s="142" t="s">
        <v>469</v>
      </c>
      <c r="H275" s="143">
        <v>790</v>
      </c>
      <c r="L275" s="139"/>
      <c r="M275" s="144"/>
      <c r="T275" s="145"/>
      <c r="AT275" s="141" t="s">
        <v>137</v>
      </c>
      <c r="AU275" s="141" t="s">
        <v>80</v>
      </c>
      <c r="AV275" s="12" t="s">
        <v>80</v>
      </c>
      <c r="AW275" s="12" t="s">
        <v>32</v>
      </c>
      <c r="AX275" s="12" t="s">
        <v>70</v>
      </c>
      <c r="AY275" s="141" t="s">
        <v>126</v>
      </c>
    </row>
    <row r="276" spans="2:51" s="12" customFormat="1" ht="12">
      <c r="B276" s="139"/>
      <c r="D276" s="140" t="s">
        <v>137</v>
      </c>
      <c r="E276" s="141" t="s">
        <v>3</v>
      </c>
      <c r="F276" s="142" t="s">
        <v>397</v>
      </c>
      <c r="H276" s="143">
        <v>29</v>
      </c>
      <c r="L276" s="139"/>
      <c r="M276" s="144"/>
      <c r="T276" s="145"/>
      <c r="AT276" s="141" t="s">
        <v>137</v>
      </c>
      <c r="AU276" s="141" t="s">
        <v>80</v>
      </c>
      <c r="AV276" s="12" t="s">
        <v>80</v>
      </c>
      <c r="AW276" s="12" t="s">
        <v>32</v>
      </c>
      <c r="AX276" s="12" t="s">
        <v>70</v>
      </c>
      <c r="AY276" s="141" t="s">
        <v>126</v>
      </c>
    </row>
    <row r="277" spans="2:51" s="13" customFormat="1" ht="12">
      <c r="B277" s="146"/>
      <c r="D277" s="140" t="s">
        <v>137</v>
      </c>
      <c r="E277" s="147" t="s">
        <v>3</v>
      </c>
      <c r="F277" s="148" t="s">
        <v>151</v>
      </c>
      <c r="H277" s="149">
        <v>819</v>
      </c>
      <c r="L277" s="146"/>
      <c r="M277" s="150"/>
      <c r="T277" s="151"/>
      <c r="AT277" s="147" t="s">
        <v>137</v>
      </c>
      <c r="AU277" s="147" t="s">
        <v>80</v>
      </c>
      <c r="AV277" s="13" t="s">
        <v>133</v>
      </c>
      <c r="AW277" s="13" t="s">
        <v>32</v>
      </c>
      <c r="AX277" s="13" t="s">
        <v>78</v>
      </c>
      <c r="AY277" s="147" t="s">
        <v>126</v>
      </c>
    </row>
    <row r="278" spans="2:65" s="1" customFormat="1" ht="16.5" customHeight="1">
      <c r="B278" s="123"/>
      <c r="C278" s="124" t="s">
        <v>470</v>
      </c>
      <c r="D278" s="124" t="s">
        <v>128</v>
      </c>
      <c r="E278" s="125" t="s">
        <v>471</v>
      </c>
      <c r="F278" s="126" t="s">
        <v>472</v>
      </c>
      <c r="G278" s="127" t="s">
        <v>131</v>
      </c>
      <c r="H278" s="128">
        <v>544.25</v>
      </c>
      <c r="I278" s="129"/>
      <c r="J278" s="129">
        <f>ROUND(I278*H278,2)</f>
        <v>0</v>
      </c>
      <c r="K278" s="126" t="s">
        <v>132</v>
      </c>
      <c r="L278" s="29"/>
      <c r="M278" s="130" t="s">
        <v>3</v>
      </c>
      <c r="N278" s="131" t="s">
        <v>41</v>
      </c>
      <c r="O278" s="132">
        <v>0.14</v>
      </c>
      <c r="P278" s="132">
        <f>O278*H278</f>
        <v>76.19500000000001</v>
      </c>
      <c r="Q278" s="132">
        <v>0</v>
      </c>
      <c r="R278" s="132">
        <f>Q278*H278</f>
        <v>0</v>
      </c>
      <c r="S278" s="132">
        <v>0.016</v>
      </c>
      <c r="T278" s="133">
        <f>S278*H278</f>
        <v>8.708</v>
      </c>
      <c r="AR278" s="134" t="s">
        <v>221</v>
      </c>
      <c r="AT278" s="134" t="s">
        <v>128</v>
      </c>
      <c r="AU278" s="134" t="s">
        <v>80</v>
      </c>
      <c r="AY278" s="17" t="s">
        <v>126</v>
      </c>
      <c r="BE278" s="135">
        <f>IF(N278="základní",J278,0)</f>
        <v>0</v>
      </c>
      <c r="BF278" s="135">
        <f>IF(N278="snížená",J278,0)</f>
        <v>0</v>
      </c>
      <c r="BG278" s="135">
        <f>IF(N278="zákl. přenesená",J278,0)</f>
        <v>0</v>
      </c>
      <c r="BH278" s="135">
        <f>IF(N278="sníž. přenesená",J278,0)</f>
        <v>0</v>
      </c>
      <c r="BI278" s="135">
        <f>IF(N278="nulová",J278,0)</f>
        <v>0</v>
      </c>
      <c r="BJ278" s="17" t="s">
        <v>78</v>
      </c>
      <c r="BK278" s="135">
        <f>ROUND(I278*H278,2)</f>
        <v>0</v>
      </c>
      <c r="BL278" s="17" t="s">
        <v>221</v>
      </c>
      <c r="BM278" s="134" t="s">
        <v>473</v>
      </c>
    </row>
    <row r="279" spans="2:47" s="1" customFormat="1" ht="12">
      <c r="B279" s="29"/>
      <c r="D279" s="136" t="s">
        <v>135</v>
      </c>
      <c r="F279" s="137" t="s">
        <v>474</v>
      </c>
      <c r="L279" s="29"/>
      <c r="M279" s="138"/>
      <c r="T279" s="49"/>
      <c r="AT279" s="17" t="s">
        <v>135</v>
      </c>
      <c r="AU279" s="17" t="s">
        <v>80</v>
      </c>
    </row>
    <row r="280" spans="2:51" s="12" customFormat="1" ht="12">
      <c r="B280" s="139"/>
      <c r="D280" s="140" t="s">
        <v>137</v>
      </c>
      <c r="E280" s="141" t="s">
        <v>3</v>
      </c>
      <c r="F280" s="142" t="s">
        <v>475</v>
      </c>
      <c r="H280" s="143">
        <v>544.25</v>
      </c>
      <c r="L280" s="139"/>
      <c r="M280" s="144"/>
      <c r="T280" s="145"/>
      <c r="AT280" s="141" t="s">
        <v>137</v>
      </c>
      <c r="AU280" s="141" t="s">
        <v>80</v>
      </c>
      <c r="AV280" s="12" t="s">
        <v>80</v>
      </c>
      <c r="AW280" s="12" t="s">
        <v>32</v>
      </c>
      <c r="AX280" s="12" t="s">
        <v>78</v>
      </c>
      <c r="AY280" s="141" t="s">
        <v>126</v>
      </c>
    </row>
    <row r="281" spans="2:65" s="1" customFormat="1" ht="21.75" customHeight="1">
      <c r="B281" s="123"/>
      <c r="C281" s="124" t="s">
        <v>476</v>
      </c>
      <c r="D281" s="124" t="s">
        <v>128</v>
      </c>
      <c r="E281" s="125" t="s">
        <v>477</v>
      </c>
      <c r="F281" s="126" t="s">
        <v>478</v>
      </c>
      <c r="G281" s="127" t="s">
        <v>131</v>
      </c>
      <c r="H281" s="128">
        <v>157</v>
      </c>
      <c r="I281" s="129"/>
      <c r="J281" s="129">
        <f>ROUND(I281*H281,2)</f>
        <v>0</v>
      </c>
      <c r="K281" s="126" t="s">
        <v>132</v>
      </c>
      <c r="L281" s="29"/>
      <c r="M281" s="130" t="s">
        <v>3</v>
      </c>
      <c r="N281" s="131" t="s">
        <v>41</v>
      </c>
      <c r="O281" s="132">
        <v>0.106</v>
      </c>
      <c r="P281" s="132">
        <f>O281*H281</f>
        <v>16.642</v>
      </c>
      <c r="Q281" s="132">
        <v>0</v>
      </c>
      <c r="R281" s="132">
        <f>Q281*H281</f>
        <v>0</v>
      </c>
      <c r="S281" s="132">
        <v>0.014</v>
      </c>
      <c r="T281" s="133">
        <f>S281*H281</f>
        <v>2.198</v>
      </c>
      <c r="AR281" s="134" t="s">
        <v>221</v>
      </c>
      <c r="AT281" s="134" t="s">
        <v>128</v>
      </c>
      <c r="AU281" s="134" t="s">
        <v>80</v>
      </c>
      <c r="AY281" s="17" t="s">
        <v>126</v>
      </c>
      <c r="BE281" s="135">
        <f>IF(N281="základní",J281,0)</f>
        <v>0</v>
      </c>
      <c r="BF281" s="135">
        <f>IF(N281="snížená",J281,0)</f>
        <v>0</v>
      </c>
      <c r="BG281" s="135">
        <f>IF(N281="zákl. přenesená",J281,0)</f>
        <v>0</v>
      </c>
      <c r="BH281" s="135">
        <f>IF(N281="sníž. přenesená",J281,0)</f>
        <v>0</v>
      </c>
      <c r="BI281" s="135">
        <f>IF(N281="nulová",J281,0)</f>
        <v>0</v>
      </c>
      <c r="BJ281" s="17" t="s">
        <v>78</v>
      </c>
      <c r="BK281" s="135">
        <f>ROUND(I281*H281,2)</f>
        <v>0</v>
      </c>
      <c r="BL281" s="17" t="s">
        <v>221</v>
      </c>
      <c r="BM281" s="134" t="s">
        <v>479</v>
      </c>
    </row>
    <row r="282" spans="2:47" s="1" customFormat="1" ht="12">
      <c r="B282" s="29"/>
      <c r="D282" s="136" t="s">
        <v>135</v>
      </c>
      <c r="F282" s="137" t="s">
        <v>480</v>
      </c>
      <c r="L282" s="29"/>
      <c r="M282" s="138"/>
      <c r="T282" s="49"/>
      <c r="AT282" s="17" t="s">
        <v>135</v>
      </c>
      <c r="AU282" s="17" t="s">
        <v>80</v>
      </c>
    </row>
    <row r="283" spans="2:51" s="12" customFormat="1" ht="12">
      <c r="B283" s="139"/>
      <c r="D283" s="140" t="s">
        <v>137</v>
      </c>
      <c r="E283" s="141" t="s">
        <v>3</v>
      </c>
      <c r="F283" s="142" t="s">
        <v>341</v>
      </c>
      <c r="H283" s="143">
        <v>157</v>
      </c>
      <c r="L283" s="139"/>
      <c r="M283" s="144"/>
      <c r="T283" s="145"/>
      <c r="AT283" s="141" t="s">
        <v>137</v>
      </c>
      <c r="AU283" s="141" t="s">
        <v>80</v>
      </c>
      <c r="AV283" s="12" t="s">
        <v>80</v>
      </c>
      <c r="AW283" s="12" t="s">
        <v>32</v>
      </c>
      <c r="AX283" s="12" t="s">
        <v>78</v>
      </c>
      <c r="AY283" s="141" t="s">
        <v>126</v>
      </c>
    </row>
    <row r="284" spans="2:65" s="1" customFormat="1" ht="21.75" customHeight="1">
      <c r="B284" s="123"/>
      <c r="C284" s="124" t="s">
        <v>481</v>
      </c>
      <c r="D284" s="124" t="s">
        <v>128</v>
      </c>
      <c r="E284" s="125" t="s">
        <v>482</v>
      </c>
      <c r="F284" s="126" t="s">
        <v>483</v>
      </c>
      <c r="G284" s="127" t="s">
        <v>131</v>
      </c>
      <c r="H284" s="128">
        <v>544.25</v>
      </c>
      <c r="I284" s="129"/>
      <c r="J284" s="129">
        <f>ROUND(I284*H284,2)</f>
        <v>0</v>
      </c>
      <c r="K284" s="126" t="s">
        <v>132</v>
      </c>
      <c r="L284" s="29"/>
      <c r="M284" s="130" t="s">
        <v>3</v>
      </c>
      <c r="N284" s="131" t="s">
        <v>41</v>
      </c>
      <c r="O284" s="132">
        <v>0.136</v>
      </c>
      <c r="P284" s="132">
        <f>O284*H284</f>
        <v>74.018</v>
      </c>
      <c r="Q284" s="132">
        <v>0</v>
      </c>
      <c r="R284" s="132">
        <f>Q284*H284</f>
        <v>0</v>
      </c>
      <c r="S284" s="132">
        <v>0.04</v>
      </c>
      <c r="T284" s="133">
        <f>S284*H284</f>
        <v>21.77</v>
      </c>
      <c r="AR284" s="134" t="s">
        <v>221</v>
      </c>
      <c r="AT284" s="134" t="s">
        <v>128</v>
      </c>
      <c r="AU284" s="134" t="s">
        <v>80</v>
      </c>
      <c r="AY284" s="17" t="s">
        <v>126</v>
      </c>
      <c r="BE284" s="135">
        <f>IF(N284="základní",J284,0)</f>
        <v>0</v>
      </c>
      <c r="BF284" s="135">
        <f>IF(N284="snížená",J284,0)</f>
        <v>0</v>
      </c>
      <c r="BG284" s="135">
        <f>IF(N284="zákl. přenesená",J284,0)</f>
        <v>0</v>
      </c>
      <c r="BH284" s="135">
        <f>IF(N284="sníž. přenesená",J284,0)</f>
        <v>0</v>
      </c>
      <c r="BI284" s="135">
        <f>IF(N284="nulová",J284,0)</f>
        <v>0</v>
      </c>
      <c r="BJ284" s="17" t="s">
        <v>78</v>
      </c>
      <c r="BK284" s="135">
        <f>ROUND(I284*H284,2)</f>
        <v>0</v>
      </c>
      <c r="BL284" s="17" t="s">
        <v>221</v>
      </c>
      <c r="BM284" s="134" t="s">
        <v>484</v>
      </c>
    </row>
    <row r="285" spans="2:47" s="1" customFormat="1" ht="12">
      <c r="B285" s="29"/>
      <c r="D285" s="136" t="s">
        <v>135</v>
      </c>
      <c r="F285" s="137" t="s">
        <v>485</v>
      </c>
      <c r="L285" s="29"/>
      <c r="M285" s="138"/>
      <c r="T285" s="49"/>
      <c r="AT285" s="17" t="s">
        <v>135</v>
      </c>
      <c r="AU285" s="17" t="s">
        <v>80</v>
      </c>
    </row>
    <row r="286" spans="2:51" s="12" customFormat="1" ht="12">
      <c r="B286" s="139"/>
      <c r="D286" s="140" t="s">
        <v>137</v>
      </c>
      <c r="E286" s="141" t="s">
        <v>3</v>
      </c>
      <c r="F286" s="142" t="s">
        <v>486</v>
      </c>
      <c r="H286" s="143">
        <v>544.25</v>
      </c>
      <c r="L286" s="139"/>
      <c r="M286" s="144"/>
      <c r="T286" s="145"/>
      <c r="AT286" s="141" t="s">
        <v>137</v>
      </c>
      <c r="AU286" s="141" t="s">
        <v>80</v>
      </c>
      <c r="AV286" s="12" t="s">
        <v>80</v>
      </c>
      <c r="AW286" s="12" t="s">
        <v>32</v>
      </c>
      <c r="AX286" s="12" t="s">
        <v>78</v>
      </c>
      <c r="AY286" s="141" t="s">
        <v>126</v>
      </c>
    </row>
    <row r="287" spans="2:63" s="11" customFormat="1" ht="22.7" customHeight="1">
      <c r="B287" s="112"/>
      <c r="D287" s="113" t="s">
        <v>69</v>
      </c>
      <c r="E287" s="121" t="s">
        <v>487</v>
      </c>
      <c r="F287" s="121" t="s">
        <v>488</v>
      </c>
      <c r="J287" s="122">
        <f>BK287</f>
        <v>0</v>
      </c>
      <c r="L287" s="112"/>
      <c r="M287" s="116"/>
      <c r="P287" s="117">
        <f>SUM(P288:P322)</f>
        <v>137.317354</v>
      </c>
      <c r="R287" s="117">
        <f>SUM(R288:R322)</f>
        <v>0.07788</v>
      </c>
      <c r="T287" s="118">
        <f>SUM(T288:T322)</f>
        <v>1.33881418</v>
      </c>
      <c r="AR287" s="113" t="s">
        <v>80</v>
      </c>
      <c r="AT287" s="119" t="s">
        <v>69</v>
      </c>
      <c r="AU287" s="119" t="s">
        <v>78</v>
      </c>
      <c r="AY287" s="113" t="s">
        <v>126</v>
      </c>
      <c r="BK287" s="120">
        <f>SUM(BK288:BK322)</f>
        <v>0</v>
      </c>
    </row>
    <row r="288" spans="2:65" s="1" customFormat="1" ht="16.5" customHeight="1">
      <c r="B288" s="123"/>
      <c r="C288" s="124" t="s">
        <v>489</v>
      </c>
      <c r="D288" s="124" t="s">
        <v>128</v>
      </c>
      <c r="E288" s="125" t="s">
        <v>490</v>
      </c>
      <c r="F288" s="126" t="s">
        <v>491</v>
      </c>
      <c r="G288" s="127" t="s">
        <v>249</v>
      </c>
      <c r="H288" s="128">
        <v>51</v>
      </c>
      <c r="I288" s="129"/>
      <c r="J288" s="129">
        <f>ROUND(I288*H288,2)</f>
        <v>0</v>
      </c>
      <c r="K288" s="126" t="s">
        <v>132</v>
      </c>
      <c r="L288" s="29"/>
      <c r="M288" s="130" t="s">
        <v>3</v>
      </c>
      <c r="N288" s="131" t="s">
        <v>41</v>
      </c>
      <c r="O288" s="132">
        <v>0.119</v>
      </c>
      <c r="P288" s="132">
        <f>O288*H288</f>
        <v>6.069</v>
      </c>
      <c r="Q288" s="132">
        <v>0</v>
      </c>
      <c r="R288" s="132">
        <f>Q288*H288</f>
        <v>0</v>
      </c>
      <c r="S288" s="132">
        <v>0.00348</v>
      </c>
      <c r="T288" s="133">
        <f>S288*H288</f>
        <v>0.17748</v>
      </c>
      <c r="AR288" s="134" t="s">
        <v>221</v>
      </c>
      <c r="AT288" s="134" t="s">
        <v>128</v>
      </c>
      <c r="AU288" s="134" t="s">
        <v>80</v>
      </c>
      <c r="AY288" s="17" t="s">
        <v>126</v>
      </c>
      <c r="BE288" s="135">
        <f>IF(N288="základní",J288,0)</f>
        <v>0</v>
      </c>
      <c r="BF288" s="135">
        <f>IF(N288="snížená",J288,0)</f>
        <v>0</v>
      </c>
      <c r="BG288" s="135">
        <f>IF(N288="zákl. přenesená",J288,0)</f>
        <v>0</v>
      </c>
      <c r="BH288" s="135">
        <f>IF(N288="sníž. přenesená",J288,0)</f>
        <v>0</v>
      </c>
      <c r="BI288" s="135">
        <f>IF(N288="nulová",J288,0)</f>
        <v>0</v>
      </c>
      <c r="BJ288" s="17" t="s">
        <v>78</v>
      </c>
      <c r="BK288" s="135">
        <f>ROUND(I288*H288,2)</f>
        <v>0</v>
      </c>
      <c r="BL288" s="17" t="s">
        <v>221</v>
      </c>
      <c r="BM288" s="134" t="s">
        <v>492</v>
      </c>
    </row>
    <row r="289" spans="2:47" s="1" customFormat="1" ht="12">
      <c r="B289" s="29"/>
      <c r="D289" s="136" t="s">
        <v>135</v>
      </c>
      <c r="F289" s="137" t="s">
        <v>493</v>
      </c>
      <c r="L289" s="29"/>
      <c r="M289" s="138"/>
      <c r="T289" s="49"/>
      <c r="AT289" s="17" t="s">
        <v>135</v>
      </c>
      <c r="AU289" s="17" t="s">
        <v>80</v>
      </c>
    </row>
    <row r="290" spans="2:51" s="12" customFormat="1" ht="12">
      <c r="B290" s="139"/>
      <c r="D290" s="140" t="s">
        <v>137</v>
      </c>
      <c r="E290" s="141" t="s">
        <v>3</v>
      </c>
      <c r="F290" s="142" t="s">
        <v>494</v>
      </c>
      <c r="H290" s="143">
        <v>51</v>
      </c>
      <c r="L290" s="139"/>
      <c r="M290" s="144"/>
      <c r="T290" s="145"/>
      <c r="AT290" s="141" t="s">
        <v>137</v>
      </c>
      <c r="AU290" s="141" t="s">
        <v>80</v>
      </c>
      <c r="AV290" s="12" t="s">
        <v>80</v>
      </c>
      <c r="AW290" s="12" t="s">
        <v>32</v>
      </c>
      <c r="AX290" s="12" t="s">
        <v>78</v>
      </c>
      <c r="AY290" s="141" t="s">
        <v>126</v>
      </c>
    </row>
    <row r="291" spans="2:65" s="1" customFormat="1" ht="16.5" customHeight="1">
      <c r="B291" s="123"/>
      <c r="C291" s="124" t="s">
        <v>495</v>
      </c>
      <c r="D291" s="124" t="s">
        <v>128</v>
      </c>
      <c r="E291" s="125" t="s">
        <v>496</v>
      </c>
      <c r="F291" s="126" t="s">
        <v>497</v>
      </c>
      <c r="G291" s="127" t="s">
        <v>249</v>
      </c>
      <c r="H291" s="128">
        <v>14</v>
      </c>
      <c r="I291" s="129"/>
      <c r="J291" s="129">
        <f>ROUND(I291*H291,2)</f>
        <v>0</v>
      </c>
      <c r="K291" s="126" t="s">
        <v>132</v>
      </c>
      <c r="L291" s="29"/>
      <c r="M291" s="130" t="s">
        <v>3</v>
      </c>
      <c r="N291" s="131" t="s">
        <v>41</v>
      </c>
      <c r="O291" s="132">
        <v>0.43</v>
      </c>
      <c r="P291" s="132">
        <f>O291*H291</f>
        <v>6.02</v>
      </c>
      <c r="Q291" s="132">
        <v>0</v>
      </c>
      <c r="R291" s="132">
        <f>Q291*H291</f>
        <v>0</v>
      </c>
      <c r="S291" s="132">
        <v>0.00191</v>
      </c>
      <c r="T291" s="133">
        <f>S291*H291</f>
        <v>0.02674</v>
      </c>
      <c r="AR291" s="134" t="s">
        <v>221</v>
      </c>
      <c r="AT291" s="134" t="s">
        <v>128</v>
      </c>
      <c r="AU291" s="134" t="s">
        <v>80</v>
      </c>
      <c r="AY291" s="17" t="s">
        <v>126</v>
      </c>
      <c r="BE291" s="135">
        <f>IF(N291="základní",J291,0)</f>
        <v>0</v>
      </c>
      <c r="BF291" s="135">
        <f>IF(N291="snížená",J291,0)</f>
        <v>0</v>
      </c>
      <c r="BG291" s="135">
        <f>IF(N291="zákl. přenesená",J291,0)</f>
        <v>0</v>
      </c>
      <c r="BH291" s="135">
        <f>IF(N291="sníž. přenesená",J291,0)</f>
        <v>0</v>
      </c>
      <c r="BI291" s="135">
        <f>IF(N291="nulová",J291,0)</f>
        <v>0</v>
      </c>
      <c r="BJ291" s="17" t="s">
        <v>78</v>
      </c>
      <c r="BK291" s="135">
        <f>ROUND(I291*H291,2)</f>
        <v>0</v>
      </c>
      <c r="BL291" s="17" t="s">
        <v>221</v>
      </c>
      <c r="BM291" s="134" t="s">
        <v>498</v>
      </c>
    </row>
    <row r="292" spans="2:47" s="1" customFormat="1" ht="12">
      <c r="B292" s="29"/>
      <c r="D292" s="136" t="s">
        <v>135</v>
      </c>
      <c r="F292" s="137" t="s">
        <v>499</v>
      </c>
      <c r="L292" s="29"/>
      <c r="M292" s="138"/>
      <c r="T292" s="49"/>
      <c r="AT292" s="17" t="s">
        <v>135</v>
      </c>
      <c r="AU292" s="17" t="s">
        <v>80</v>
      </c>
    </row>
    <row r="293" spans="2:51" s="12" customFormat="1" ht="12">
      <c r="B293" s="139"/>
      <c r="D293" s="140" t="s">
        <v>137</v>
      </c>
      <c r="E293" s="141" t="s">
        <v>3</v>
      </c>
      <c r="F293" s="142" t="s">
        <v>500</v>
      </c>
      <c r="H293" s="143">
        <v>14</v>
      </c>
      <c r="L293" s="139"/>
      <c r="M293" s="144"/>
      <c r="T293" s="145"/>
      <c r="AT293" s="141" t="s">
        <v>137</v>
      </c>
      <c r="AU293" s="141" t="s">
        <v>80</v>
      </c>
      <c r="AV293" s="12" t="s">
        <v>80</v>
      </c>
      <c r="AW293" s="12" t="s">
        <v>32</v>
      </c>
      <c r="AX293" s="12" t="s">
        <v>78</v>
      </c>
      <c r="AY293" s="141" t="s">
        <v>126</v>
      </c>
    </row>
    <row r="294" spans="2:65" s="1" customFormat="1" ht="16.5" customHeight="1">
      <c r="B294" s="123"/>
      <c r="C294" s="124" t="s">
        <v>501</v>
      </c>
      <c r="D294" s="124" t="s">
        <v>128</v>
      </c>
      <c r="E294" s="125" t="s">
        <v>502</v>
      </c>
      <c r="F294" s="126" t="s">
        <v>503</v>
      </c>
      <c r="G294" s="127" t="s">
        <v>249</v>
      </c>
      <c r="H294" s="128">
        <v>3.16</v>
      </c>
      <c r="I294" s="129"/>
      <c r="J294" s="129">
        <f>ROUND(I294*H294,2)</f>
        <v>0</v>
      </c>
      <c r="K294" s="126" t="s">
        <v>132</v>
      </c>
      <c r="L294" s="29"/>
      <c r="M294" s="130" t="s">
        <v>3</v>
      </c>
      <c r="N294" s="131" t="s">
        <v>41</v>
      </c>
      <c r="O294" s="132">
        <v>0.195</v>
      </c>
      <c r="P294" s="132">
        <f>O294*H294</f>
        <v>0.6162000000000001</v>
      </c>
      <c r="Q294" s="132">
        <v>0</v>
      </c>
      <c r="R294" s="132">
        <f>Q294*H294</f>
        <v>0</v>
      </c>
      <c r="S294" s="132">
        <v>0.00167</v>
      </c>
      <c r="T294" s="133">
        <f>S294*H294</f>
        <v>0.0052772</v>
      </c>
      <c r="AR294" s="134" t="s">
        <v>221</v>
      </c>
      <c r="AT294" s="134" t="s">
        <v>128</v>
      </c>
      <c r="AU294" s="134" t="s">
        <v>80</v>
      </c>
      <c r="AY294" s="17" t="s">
        <v>126</v>
      </c>
      <c r="BE294" s="135">
        <f>IF(N294="základní",J294,0)</f>
        <v>0</v>
      </c>
      <c r="BF294" s="135">
        <f>IF(N294="snížená",J294,0)</f>
        <v>0</v>
      </c>
      <c r="BG294" s="135">
        <f>IF(N294="zákl. přenesená",J294,0)</f>
        <v>0</v>
      </c>
      <c r="BH294" s="135">
        <f>IF(N294="sníž. přenesená",J294,0)</f>
        <v>0</v>
      </c>
      <c r="BI294" s="135">
        <f>IF(N294="nulová",J294,0)</f>
        <v>0</v>
      </c>
      <c r="BJ294" s="17" t="s">
        <v>78</v>
      </c>
      <c r="BK294" s="135">
        <f>ROUND(I294*H294,2)</f>
        <v>0</v>
      </c>
      <c r="BL294" s="17" t="s">
        <v>221</v>
      </c>
      <c r="BM294" s="134" t="s">
        <v>504</v>
      </c>
    </row>
    <row r="295" spans="2:47" s="1" customFormat="1" ht="12">
      <c r="B295" s="29"/>
      <c r="D295" s="136" t="s">
        <v>135</v>
      </c>
      <c r="F295" s="137" t="s">
        <v>505</v>
      </c>
      <c r="L295" s="29"/>
      <c r="M295" s="138"/>
      <c r="T295" s="49"/>
      <c r="AT295" s="17" t="s">
        <v>135</v>
      </c>
      <c r="AU295" s="17" t="s">
        <v>80</v>
      </c>
    </row>
    <row r="296" spans="2:51" s="12" customFormat="1" ht="12">
      <c r="B296" s="139"/>
      <c r="D296" s="140" t="s">
        <v>137</v>
      </c>
      <c r="E296" s="141" t="s">
        <v>3</v>
      </c>
      <c r="F296" s="142" t="s">
        <v>506</v>
      </c>
      <c r="H296" s="143">
        <v>1.27</v>
      </c>
      <c r="L296" s="139"/>
      <c r="M296" s="144"/>
      <c r="T296" s="145"/>
      <c r="AT296" s="141" t="s">
        <v>137</v>
      </c>
      <c r="AU296" s="141" t="s">
        <v>80</v>
      </c>
      <c r="AV296" s="12" t="s">
        <v>80</v>
      </c>
      <c r="AW296" s="12" t="s">
        <v>32</v>
      </c>
      <c r="AX296" s="12" t="s">
        <v>70</v>
      </c>
      <c r="AY296" s="141" t="s">
        <v>126</v>
      </c>
    </row>
    <row r="297" spans="2:51" s="12" customFormat="1" ht="12">
      <c r="B297" s="139"/>
      <c r="D297" s="140" t="s">
        <v>137</v>
      </c>
      <c r="E297" s="141" t="s">
        <v>3</v>
      </c>
      <c r="F297" s="142" t="s">
        <v>507</v>
      </c>
      <c r="H297" s="143">
        <v>0.95</v>
      </c>
      <c r="L297" s="139"/>
      <c r="M297" s="144"/>
      <c r="T297" s="145"/>
      <c r="AT297" s="141" t="s">
        <v>137</v>
      </c>
      <c r="AU297" s="141" t="s">
        <v>80</v>
      </c>
      <c r="AV297" s="12" t="s">
        <v>80</v>
      </c>
      <c r="AW297" s="12" t="s">
        <v>32</v>
      </c>
      <c r="AX297" s="12" t="s">
        <v>70</v>
      </c>
      <c r="AY297" s="141" t="s">
        <v>126</v>
      </c>
    </row>
    <row r="298" spans="2:51" s="12" customFormat="1" ht="12">
      <c r="B298" s="139"/>
      <c r="D298" s="140" t="s">
        <v>137</v>
      </c>
      <c r="E298" s="141" t="s">
        <v>3</v>
      </c>
      <c r="F298" s="142" t="s">
        <v>508</v>
      </c>
      <c r="H298" s="143">
        <v>0.94</v>
      </c>
      <c r="L298" s="139"/>
      <c r="M298" s="144"/>
      <c r="T298" s="145"/>
      <c r="AT298" s="141" t="s">
        <v>137</v>
      </c>
      <c r="AU298" s="141" t="s">
        <v>80</v>
      </c>
      <c r="AV298" s="12" t="s">
        <v>80</v>
      </c>
      <c r="AW298" s="12" t="s">
        <v>32</v>
      </c>
      <c r="AX298" s="12" t="s">
        <v>70</v>
      </c>
      <c r="AY298" s="141" t="s">
        <v>126</v>
      </c>
    </row>
    <row r="299" spans="2:51" s="13" customFormat="1" ht="12">
      <c r="B299" s="146"/>
      <c r="D299" s="140" t="s">
        <v>137</v>
      </c>
      <c r="E299" s="147" t="s">
        <v>3</v>
      </c>
      <c r="F299" s="148" t="s">
        <v>151</v>
      </c>
      <c r="H299" s="149">
        <v>3.16</v>
      </c>
      <c r="L299" s="146"/>
      <c r="M299" s="150"/>
      <c r="T299" s="151"/>
      <c r="AT299" s="147" t="s">
        <v>137</v>
      </c>
      <c r="AU299" s="147" t="s">
        <v>80</v>
      </c>
      <c r="AV299" s="13" t="s">
        <v>133</v>
      </c>
      <c r="AW299" s="13" t="s">
        <v>32</v>
      </c>
      <c r="AX299" s="13" t="s">
        <v>78</v>
      </c>
      <c r="AY299" s="147" t="s">
        <v>126</v>
      </c>
    </row>
    <row r="300" spans="2:65" s="1" customFormat="1" ht="16.5" customHeight="1">
      <c r="B300" s="123"/>
      <c r="C300" s="124" t="s">
        <v>509</v>
      </c>
      <c r="D300" s="124" t="s">
        <v>128</v>
      </c>
      <c r="E300" s="125" t="s">
        <v>510</v>
      </c>
      <c r="F300" s="126" t="s">
        <v>511</v>
      </c>
      <c r="G300" s="127" t="s">
        <v>249</v>
      </c>
      <c r="H300" s="128">
        <v>159.926</v>
      </c>
      <c r="I300" s="129"/>
      <c r="J300" s="129">
        <f>ROUND(I300*H300,2)</f>
        <v>0</v>
      </c>
      <c r="K300" s="126" t="s">
        <v>132</v>
      </c>
      <c r="L300" s="29"/>
      <c r="M300" s="130" t="s">
        <v>3</v>
      </c>
      <c r="N300" s="131" t="s">
        <v>41</v>
      </c>
      <c r="O300" s="132">
        <v>0.256</v>
      </c>
      <c r="P300" s="132">
        <f>O300*H300</f>
        <v>40.941055999999996</v>
      </c>
      <c r="Q300" s="132">
        <v>0</v>
      </c>
      <c r="R300" s="132">
        <f>Q300*H300</f>
        <v>0</v>
      </c>
      <c r="S300" s="132">
        <v>0.00223</v>
      </c>
      <c r="T300" s="133">
        <f>S300*H300</f>
        <v>0.35663498</v>
      </c>
      <c r="AR300" s="134" t="s">
        <v>133</v>
      </c>
      <c r="AT300" s="134" t="s">
        <v>128</v>
      </c>
      <c r="AU300" s="134" t="s">
        <v>80</v>
      </c>
      <c r="AY300" s="17" t="s">
        <v>126</v>
      </c>
      <c r="BE300" s="135">
        <f>IF(N300="základní",J300,0)</f>
        <v>0</v>
      </c>
      <c r="BF300" s="135">
        <f>IF(N300="snížená",J300,0)</f>
        <v>0</v>
      </c>
      <c r="BG300" s="135">
        <f>IF(N300="zákl. přenesená",J300,0)</f>
        <v>0</v>
      </c>
      <c r="BH300" s="135">
        <f>IF(N300="sníž. přenesená",J300,0)</f>
        <v>0</v>
      </c>
      <c r="BI300" s="135">
        <f>IF(N300="nulová",J300,0)</f>
        <v>0</v>
      </c>
      <c r="BJ300" s="17" t="s">
        <v>78</v>
      </c>
      <c r="BK300" s="135">
        <f>ROUND(I300*H300,2)</f>
        <v>0</v>
      </c>
      <c r="BL300" s="17" t="s">
        <v>133</v>
      </c>
      <c r="BM300" s="134" t="s">
        <v>512</v>
      </c>
    </row>
    <row r="301" spans="2:47" s="1" customFormat="1" ht="12">
      <c r="B301" s="29"/>
      <c r="D301" s="136" t="s">
        <v>135</v>
      </c>
      <c r="F301" s="137" t="s">
        <v>513</v>
      </c>
      <c r="L301" s="29"/>
      <c r="M301" s="138"/>
      <c r="T301" s="49"/>
      <c r="AT301" s="17" t="s">
        <v>135</v>
      </c>
      <c r="AU301" s="17" t="s">
        <v>80</v>
      </c>
    </row>
    <row r="302" spans="2:51" s="12" customFormat="1" ht="12">
      <c r="B302" s="139"/>
      <c r="D302" s="140" t="s">
        <v>137</v>
      </c>
      <c r="E302" s="141" t="s">
        <v>3</v>
      </c>
      <c r="F302" s="142" t="s">
        <v>514</v>
      </c>
      <c r="H302" s="143">
        <v>132.65</v>
      </c>
      <c r="L302" s="139"/>
      <c r="M302" s="144"/>
      <c r="T302" s="145"/>
      <c r="AT302" s="141" t="s">
        <v>137</v>
      </c>
      <c r="AU302" s="141" t="s">
        <v>80</v>
      </c>
      <c r="AV302" s="12" t="s">
        <v>80</v>
      </c>
      <c r="AW302" s="12" t="s">
        <v>32</v>
      </c>
      <c r="AX302" s="12" t="s">
        <v>70</v>
      </c>
      <c r="AY302" s="141" t="s">
        <v>126</v>
      </c>
    </row>
    <row r="303" spans="2:51" s="12" customFormat="1" ht="12">
      <c r="B303" s="139"/>
      <c r="D303" s="140" t="s">
        <v>137</v>
      </c>
      <c r="E303" s="141" t="s">
        <v>3</v>
      </c>
      <c r="F303" s="142" t="s">
        <v>257</v>
      </c>
      <c r="H303" s="143">
        <v>13.638</v>
      </c>
      <c r="L303" s="139"/>
      <c r="M303" s="144"/>
      <c r="T303" s="145"/>
      <c r="AT303" s="141" t="s">
        <v>137</v>
      </c>
      <c r="AU303" s="141" t="s">
        <v>80</v>
      </c>
      <c r="AV303" s="12" t="s">
        <v>80</v>
      </c>
      <c r="AW303" s="12" t="s">
        <v>32</v>
      </c>
      <c r="AX303" s="12" t="s">
        <v>70</v>
      </c>
      <c r="AY303" s="141" t="s">
        <v>126</v>
      </c>
    </row>
    <row r="304" spans="2:51" s="12" customFormat="1" ht="12">
      <c r="B304" s="139"/>
      <c r="D304" s="140" t="s">
        <v>137</v>
      </c>
      <c r="E304" s="141" t="s">
        <v>3</v>
      </c>
      <c r="F304" s="142" t="s">
        <v>258</v>
      </c>
      <c r="H304" s="143">
        <v>13.638</v>
      </c>
      <c r="L304" s="139"/>
      <c r="M304" s="144"/>
      <c r="T304" s="145"/>
      <c r="AT304" s="141" t="s">
        <v>137</v>
      </c>
      <c r="AU304" s="141" t="s">
        <v>80</v>
      </c>
      <c r="AV304" s="12" t="s">
        <v>80</v>
      </c>
      <c r="AW304" s="12" t="s">
        <v>32</v>
      </c>
      <c r="AX304" s="12" t="s">
        <v>70</v>
      </c>
      <c r="AY304" s="141" t="s">
        <v>126</v>
      </c>
    </row>
    <row r="305" spans="2:51" s="13" customFormat="1" ht="12">
      <c r="B305" s="146"/>
      <c r="D305" s="140" t="s">
        <v>137</v>
      </c>
      <c r="E305" s="147" t="s">
        <v>3</v>
      </c>
      <c r="F305" s="148" t="s">
        <v>151</v>
      </c>
      <c r="H305" s="149">
        <v>159.926</v>
      </c>
      <c r="L305" s="146"/>
      <c r="M305" s="150"/>
      <c r="T305" s="151"/>
      <c r="AT305" s="147" t="s">
        <v>137</v>
      </c>
      <c r="AU305" s="147" t="s">
        <v>80</v>
      </c>
      <c r="AV305" s="13" t="s">
        <v>133</v>
      </c>
      <c r="AW305" s="13" t="s">
        <v>32</v>
      </c>
      <c r="AX305" s="13" t="s">
        <v>78</v>
      </c>
      <c r="AY305" s="147" t="s">
        <v>126</v>
      </c>
    </row>
    <row r="306" spans="2:65" s="1" customFormat="1" ht="16.5" customHeight="1">
      <c r="B306" s="123"/>
      <c r="C306" s="124" t="s">
        <v>515</v>
      </c>
      <c r="D306" s="124" t="s">
        <v>128</v>
      </c>
      <c r="E306" s="125" t="s">
        <v>516</v>
      </c>
      <c r="F306" s="126" t="s">
        <v>517</v>
      </c>
      <c r="G306" s="127" t="s">
        <v>249</v>
      </c>
      <c r="H306" s="128">
        <v>34.752</v>
      </c>
      <c r="I306" s="129"/>
      <c r="J306" s="129">
        <f>ROUND(I306*H306,2)</f>
        <v>0</v>
      </c>
      <c r="K306" s="126" t="s">
        <v>132</v>
      </c>
      <c r="L306" s="29"/>
      <c r="M306" s="130" t="s">
        <v>3</v>
      </c>
      <c r="N306" s="131" t="s">
        <v>41</v>
      </c>
      <c r="O306" s="132">
        <v>0.179</v>
      </c>
      <c r="P306" s="132">
        <f>O306*H306</f>
        <v>6.220608</v>
      </c>
      <c r="Q306" s="132">
        <v>0</v>
      </c>
      <c r="R306" s="132">
        <f>Q306*H306</f>
        <v>0</v>
      </c>
      <c r="S306" s="132">
        <v>0.00175</v>
      </c>
      <c r="T306" s="133">
        <f>S306*H306</f>
        <v>0.06081600000000001</v>
      </c>
      <c r="AR306" s="134" t="s">
        <v>221</v>
      </c>
      <c r="AT306" s="134" t="s">
        <v>128</v>
      </c>
      <c r="AU306" s="134" t="s">
        <v>80</v>
      </c>
      <c r="AY306" s="17" t="s">
        <v>126</v>
      </c>
      <c r="BE306" s="135">
        <f>IF(N306="základní",J306,0)</f>
        <v>0</v>
      </c>
      <c r="BF306" s="135">
        <f>IF(N306="snížená",J306,0)</f>
        <v>0</v>
      </c>
      <c r="BG306" s="135">
        <f>IF(N306="zákl. přenesená",J306,0)</f>
        <v>0</v>
      </c>
      <c r="BH306" s="135">
        <f>IF(N306="sníž. přenesená",J306,0)</f>
        <v>0</v>
      </c>
      <c r="BI306" s="135">
        <f>IF(N306="nulová",J306,0)</f>
        <v>0</v>
      </c>
      <c r="BJ306" s="17" t="s">
        <v>78</v>
      </c>
      <c r="BK306" s="135">
        <f>ROUND(I306*H306,2)</f>
        <v>0</v>
      </c>
      <c r="BL306" s="17" t="s">
        <v>221</v>
      </c>
      <c r="BM306" s="134" t="s">
        <v>518</v>
      </c>
    </row>
    <row r="307" spans="2:47" s="1" customFormat="1" ht="12">
      <c r="B307" s="29"/>
      <c r="D307" s="136" t="s">
        <v>135</v>
      </c>
      <c r="F307" s="137" t="s">
        <v>519</v>
      </c>
      <c r="L307" s="29"/>
      <c r="M307" s="138"/>
      <c r="T307" s="49"/>
      <c r="AT307" s="17" t="s">
        <v>135</v>
      </c>
      <c r="AU307" s="17" t="s">
        <v>80</v>
      </c>
    </row>
    <row r="308" spans="2:51" s="12" customFormat="1" ht="12">
      <c r="B308" s="139"/>
      <c r="D308" s="140" t="s">
        <v>137</v>
      </c>
      <c r="E308" s="141" t="s">
        <v>3</v>
      </c>
      <c r="F308" s="142" t="s">
        <v>520</v>
      </c>
      <c r="H308" s="143">
        <v>34.752</v>
      </c>
      <c r="L308" s="139"/>
      <c r="M308" s="144"/>
      <c r="T308" s="145"/>
      <c r="AT308" s="141" t="s">
        <v>137</v>
      </c>
      <c r="AU308" s="141" t="s">
        <v>80</v>
      </c>
      <c r="AV308" s="12" t="s">
        <v>80</v>
      </c>
      <c r="AW308" s="12" t="s">
        <v>32</v>
      </c>
      <c r="AX308" s="12" t="s">
        <v>78</v>
      </c>
      <c r="AY308" s="141" t="s">
        <v>126</v>
      </c>
    </row>
    <row r="309" spans="2:65" s="1" customFormat="1" ht="16.5" customHeight="1">
      <c r="B309" s="123"/>
      <c r="C309" s="124" t="s">
        <v>521</v>
      </c>
      <c r="D309" s="124" t="s">
        <v>128</v>
      </c>
      <c r="E309" s="125" t="s">
        <v>522</v>
      </c>
      <c r="F309" s="126" t="s">
        <v>523</v>
      </c>
      <c r="G309" s="127" t="s">
        <v>249</v>
      </c>
      <c r="H309" s="128">
        <v>137.41</v>
      </c>
      <c r="I309" s="129"/>
      <c r="J309" s="129">
        <f>ROUND(I309*H309,2)</f>
        <v>0</v>
      </c>
      <c r="K309" s="126" t="s">
        <v>132</v>
      </c>
      <c r="L309" s="29"/>
      <c r="M309" s="130" t="s">
        <v>3</v>
      </c>
      <c r="N309" s="131" t="s">
        <v>41</v>
      </c>
      <c r="O309" s="132">
        <v>0.189</v>
      </c>
      <c r="P309" s="132">
        <f>O309*H309</f>
        <v>25.970489999999998</v>
      </c>
      <c r="Q309" s="132">
        <v>0</v>
      </c>
      <c r="R309" s="132">
        <f>Q309*H309</f>
        <v>0</v>
      </c>
      <c r="S309" s="132">
        <v>0.0026</v>
      </c>
      <c r="T309" s="133">
        <f>S309*H309</f>
        <v>0.357266</v>
      </c>
      <c r="AR309" s="134" t="s">
        <v>221</v>
      </c>
      <c r="AT309" s="134" t="s">
        <v>128</v>
      </c>
      <c r="AU309" s="134" t="s">
        <v>80</v>
      </c>
      <c r="AY309" s="17" t="s">
        <v>126</v>
      </c>
      <c r="BE309" s="135">
        <f>IF(N309="základní",J309,0)</f>
        <v>0</v>
      </c>
      <c r="BF309" s="135">
        <f>IF(N309="snížená",J309,0)</f>
        <v>0</v>
      </c>
      <c r="BG309" s="135">
        <f>IF(N309="zákl. přenesená",J309,0)</f>
        <v>0</v>
      </c>
      <c r="BH309" s="135">
        <f>IF(N309="sníž. přenesená",J309,0)</f>
        <v>0</v>
      </c>
      <c r="BI309" s="135">
        <f>IF(N309="nulová",J309,0)</f>
        <v>0</v>
      </c>
      <c r="BJ309" s="17" t="s">
        <v>78</v>
      </c>
      <c r="BK309" s="135">
        <f>ROUND(I309*H309,2)</f>
        <v>0</v>
      </c>
      <c r="BL309" s="17" t="s">
        <v>221</v>
      </c>
      <c r="BM309" s="134" t="s">
        <v>524</v>
      </c>
    </row>
    <row r="310" spans="2:47" s="1" customFormat="1" ht="12">
      <c r="B310" s="29"/>
      <c r="D310" s="136" t="s">
        <v>135</v>
      </c>
      <c r="F310" s="137" t="s">
        <v>525</v>
      </c>
      <c r="L310" s="29"/>
      <c r="M310" s="138"/>
      <c r="T310" s="49"/>
      <c r="AT310" s="17" t="s">
        <v>135</v>
      </c>
      <c r="AU310" s="17" t="s">
        <v>80</v>
      </c>
    </row>
    <row r="311" spans="2:51" s="12" customFormat="1" ht="12">
      <c r="B311" s="139"/>
      <c r="D311" s="140" t="s">
        <v>137</v>
      </c>
      <c r="E311" s="141" t="s">
        <v>3</v>
      </c>
      <c r="F311" s="142" t="s">
        <v>526</v>
      </c>
      <c r="H311" s="143">
        <v>137.41</v>
      </c>
      <c r="L311" s="139"/>
      <c r="M311" s="144"/>
      <c r="T311" s="145"/>
      <c r="AT311" s="141" t="s">
        <v>137</v>
      </c>
      <c r="AU311" s="141" t="s">
        <v>80</v>
      </c>
      <c r="AV311" s="12" t="s">
        <v>80</v>
      </c>
      <c r="AW311" s="12" t="s">
        <v>32</v>
      </c>
      <c r="AX311" s="12" t="s">
        <v>78</v>
      </c>
      <c r="AY311" s="141" t="s">
        <v>126</v>
      </c>
    </row>
    <row r="312" spans="2:65" s="1" customFormat="1" ht="16.5" customHeight="1">
      <c r="B312" s="123"/>
      <c r="C312" s="124" t="s">
        <v>527</v>
      </c>
      <c r="D312" s="124" t="s">
        <v>128</v>
      </c>
      <c r="E312" s="125" t="s">
        <v>528</v>
      </c>
      <c r="F312" s="126" t="s">
        <v>529</v>
      </c>
      <c r="G312" s="127" t="s">
        <v>249</v>
      </c>
      <c r="H312" s="128">
        <v>15</v>
      </c>
      <c r="I312" s="129"/>
      <c r="J312" s="129">
        <f>ROUND(I312*H312,2)</f>
        <v>0</v>
      </c>
      <c r="K312" s="126" t="s">
        <v>132</v>
      </c>
      <c r="L312" s="29"/>
      <c r="M312" s="130" t="s">
        <v>3</v>
      </c>
      <c r="N312" s="131" t="s">
        <v>41</v>
      </c>
      <c r="O312" s="132">
        <v>0.147</v>
      </c>
      <c r="P312" s="132">
        <f>O312*H312</f>
        <v>2.205</v>
      </c>
      <c r="Q312" s="132">
        <v>0</v>
      </c>
      <c r="R312" s="132">
        <f>Q312*H312</f>
        <v>0</v>
      </c>
      <c r="S312" s="132">
        <v>0.00394</v>
      </c>
      <c r="T312" s="133">
        <f>S312*H312</f>
        <v>0.0591</v>
      </c>
      <c r="AR312" s="134" t="s">
        <v>221</v>
      </c>
      <c r="AT312" s="134" t="s">
        <v>128</v>
      </c>
      <c r="AU312" s="134" t="s">
        <v>80</v>
      </c>
      <c r="AY312" s="17" t="s">
        <v>126</v>
      </c>
      <c r="BE312" s="135">
        <f>IF(N312="základní",J312,0)</f>
        <v>0</v>
      </c>
      <c r="BF312" s="135">
        <f>IF(N312="snížená",J312,0)</f>
        <v>0</v>
      </c>
      <c r="BG312" s="135">
        <f>IF(N312="zákl. přenesená",J312,0)</f>
        <v>0</v>
      </c>
      <c r="BH312" s="135">
        <f>IF(N312="sníž. přenesená",J312,0)</f>
        <v>0</v>
      </c>
      <c r="BI312" s="135">
        <f>IF(N312="nulová",J312,0)</f>
        <v>0</v>
      </c>
      <c r="BJ312" s="17" t="s">
        <v>78</v>
      </c>
      <c r="BK312" s="135">
        <f>ROUND(I312*H312,2)</f>
        <v>0</v>
      </c>
      <c r="BL312" s="17" t="s">
        <v>221</v>
      </c>
      <c r="BM312" s="134" t="s">
        <v>530</v>
      </c>
    </row>
    <row r="313" spans="2:47" s="1" customFormat="1" ht="12">
      <c r="B313" s="29"/>
      <c r="D313" s="136" t="s">
        <v>135</v>
      </c>
      <c r="F313" s="137" t="s">
        <v>531</v>
      </c>
      <c r="L313" s="29"/>
      <c r="M313" s="138"/>
      <c r="T313" s="49"/>
      <c r="AT313" s="17" t="s">
        <v>135</v>
      </c>
      <c r="AU313" s="17" t="s">
        <v>80</v>
      </c>
    </row>
    <row r="314" spans="2:51" s="12" customFormat="1" ht="12">
      <c r="B314" s="139"/>
      <c r="D314" s="140" t="s">
        <v>137</v>
      </c>
      <c r="E314" s="141" t="s">
        <v>3</v>
      </c>
      <c r="F314" s="142" t="s">
        <v>532</v>
      </c>
      <c r="H314" s="143">
        <v>15</v>
      </c>
      <c r="L314" s="139"/>
      <c r="M314" s="144"/>
      <c r="T314" s="145"/>
      <c r="AT314" s="141" t="s">
        <v>137</v>
      </c>
      <c r="AU314" s="141" t="s">
        <v>80</v>
      </c>
      <c r="AV314" s="12" t="s">
        <v>80</v>
      </c>
      <c r="AW314" s="12" t="s">
        <v>32</v>
      </c>
      <c r="AX314" s="12" t="s">
        <v>78</v>
      </c>
      <c r="AY314" s="141" t="s">
        <v>126</v>
      </c>
    </row>
    <row r="315" spans="2:65" s="1" customFormat="1" ht="16.5" customHeight="1">
      <c r="B315" s="123"/>
      <c r="C315" s="124" t="s">
        <v>533</v>
      </c>
      <c r="D315" s="124" t="s">
        <v>128</v>
      </c>
      <c r="E315" s="125" t="s">
        <v>534</v>
      </c>
      <c r="F315" s="126" t="s">
        <v>535</v>
      </c>
      <c r="G315" s="127" t="s">
        <v>249</v>
      </c>
      <c r="H315" s="128">
        <v>75</v>
      </c>
      <c r="I315" s="129"/>
      <c r="J315" s="129">
        <f>ROUND(I315*H315,2)</f>
        <v>0</v>
      </c>
      <c r="K315" s="126" t="s">
        <v>132</v>
      </c>
      <c r="L315" s="29"/>
      <c r="M315" s="130" t="s">
        <v>3</v>
      </c>
      <c r="N315" s="131" t="s">
        <v>41</v>
      </c>
      <c r="O315" s="132">
        <v>0.313</v>
      </c>
      <c r="P315" s="132">
        <f>O315*H315</f>
        <v>23.475</v>
      </c>
      <c r="Q315" s="132">
        <v>0</v>
      </c>
      <c r="R315" s="132">
        <f>Q315*H315</f>
        <v>0</v>
      </c>
      <c r="S315" s="132">
        <v>0.00394</v>
      </c>
      <c r="T315" s="133">
        <f>S315*H315</f>
        <v>0.2955</v>
      </c>
      <c r="AR315" s="134" t="s">
        <v>221</v>
      </c>
      <c r="AT315" s="134" t="s">
        <v>128</v>
      </c>
      <c r="AU315" s="134" t="s">
        <v>80</v>
      </c>
      <c r="AY315" s="17" t="s">
        <v>126</v>
      </c>
      <c r="BE315" s="135">
        <f>IF(N315="základní",J315,0)</f>
        <v>0</v>
      </c>
      <c r="BF315" s="135">
        <f>IF(N315="snížená",J315,0)</f>
        <v>0</v>
      </c>
      <c r="BG315" s="135">
        <f>IF(N315="zákl. přenesená",J315,0)</f>
        <v>0</v>
      </c>
      <c r="BH315" s="135">
        <f>IF(N315="sníž. přenesená",J315,0)</f>
        <v>0</v>
      </c>
      <c r="BI315" s="135">
        <f>IF(N315="nulová",J315,0)</f>
        <v>0</v>
      </c>
      <c r="BJ315" s="17" t="s">
        <v>78</v>
      </c>
      <c r="BK315" s="135">
        <f>ROUND(I315*H315,2)</f>
        <v>0</v>
      </c>
      <c r="BL315" s="17" t="s">
        <v>221</v>
      </c>
      <c r="BM315" s="134" t="s">
        <v>536</v>
      </c>
    </row>
    <row r="316" spans="2:47" s="1" customFormat="1" ht="12">
      <c r="B316" s="29"/>
      <c r="D316" s="136" t="s">
        <v>135</v>
      </c>
      <c r="F316" s="137" t="s">
        <v>537</v>
      </c>
      <c r="L316" s="29"/>
      <c r="M316" s="138"/>
      <c r="T316" s="49"/>
      <c r="AT316" s="17" t="s">
        <v>135</v>
      </c>
      <c r="AU316" s="17" t="s">
        <v>80</v>
      </c>
    </row>
    <row r="317" spans="2:51" s="12" customFormat="1" ht="12">
      <c r="B317" s="139"/>
      <c r="D317" s="140" t="s">
        <v>137</v>
      </c>
      <c r="E317" s="141" t="s">
        <v>3</v>
      </c>
      <c r="F317" s="142" t="s">
        <v>538</v>
      </c>
      <c r="H317" s="143">
        <v>75</v>
      </c>
      <c r="L317" s="139"/>
      <c r="M317" s="144"/>
      <c r="T317" s="145"/>
      <c r="AT317" s="141" t="s">
        <v>137</v>
      </c>
      <c r="AU317" s="141" t="s">
        <v>80</v>
      </c>
      <c r="AV317" s="12" t="s">
        <v>80</v>
      </c>
      <c r="AW317" s="12" t="s">
        <v>32</v>
      </c>
      <c r="AX317" s="12" t="s">
        <v>78</v>
      </c>
      <c r="AY317" s="141" t="s">
        <v>126</v>
      </c>
    </row>
    <row r="318" spans="2:65" s="1" customFormat="1" ht="16.5" customHeight="1">
      <c r="B318" s="123"/>
      <c r="C318" s="124" t="s">
        <v>539</v>
      </c>
      <c r="D318" s="124" t="s">
        <v>128</v>
      </c>
      <c r="E318" s="125" t="s">
        <v>540</v>
      </c>
      <c r="F318" s="126" t="s">
        <v>541</v>
      </c>
      <c r="G318" s="127" t="s">
        <v>249</v>
      </c>
      <c r="H318" s="128">
        <v>120</v>
      </c>
      <c r="I318" s="129"/>
      <c r="J318" s="129">
        <f>ROUND(I318*H318,2)</f>
        <v>0</v>
      </c>
      <c r="K318" s="126" t="s">
        <v>132</v>
      </c>
      <c r="L318" s="29"/>
      <c r="M318" s="130" t="s">
        <v>3</v>
      </c>
      <c r="N318" s="131" t="s">
        <v>41</v>
      </c>
      <c r="O318" s="132">
        <v>0.215</v>
      </c>
      <c r="P318" s="132">
        <f>O318*H318</f>
        <v>25.8</v>
      </c>
      <c r="Q318" s="132">
        <v>0</v>
      </c>
      <c r="R318" s="132">
        <f>Q318*H318</f>
        <v>0</v>
      </c>
      <c r="S318" s="132">
        <v>0</v>
      </c>
      <c r="T318" s="133">
        <f>S318*H318</f>
        <v>0</v>
      </c>
      <c r="AR318" s="134" t="s">
        <v>133</v>
      </c>
      <c r="AT318" s="134" t="s">
        <v>128</v>
      </c>
      <c r="AU318" s="134" t="s">
        <v>80</v>
      </c>
      <c r="AY318" s="17" t="s">
        <v>126</v>
      </c>
      <c r="BE318" s="135">
        <f>IF(N318="základní",J318,0)</f>
        <v>0</v>
      </c>
      <c r="BF318" s="135">
        <f>IF(N318="snížená",J318,0)</f>
        <v>0</v>
      </c>
      <c r="BG318" s="135">
        <f>IF(N318="zákl. přenesená",J318,0)</f>
        <v>0</v>
      </c>
      <c r="BH318" s="135">
        <f>IF(N318="sníž. přenesená",J318,0)</f>
        <v>0</v>
      </c>
      <c r="BI318" s="135">
        <f>IF(N318="nulová",J318,0)</f>
        <v>0</v>
      </c>
      <c r="BJ318" s="17" t="s">
        <v>78</v>
      </c>
      <c r="BK318" s="135">
        <f>ROUND(I318*H318,2)</f>
        <v>0</v>
      </c>
      <c r="BL318" s="17" t="s">
        <v>133</v>
      </c>
      <c r="BM318" s="134" t="s">
        <v>542</v>
      </c>
    </row>
    <row r="319" spans="2:47" s="1" customFormat="1" ht="12">
      <c r="B319" s="29"/>
      <c r="D319" s="136" t="s">
        <v>135</v>
      </c>
      <c r="F319" s="137" t="s">
        <v>543</v>
      </c>
      <c r="L319" s="29"/>
      <c r="M319" s="138"/>
      <c r="T319" s="49"/>
      <c r="AT319" s="17" t="s">
        <v>135</v>
      </c>
      <c r="AU319" s="17" t="s">
        <v>80</v>
      </c>
    </row>
    <row r="320" spans="2:51" s="12" customFormat="1" ht="12">
      <c r="B320" s="139"/>
      <c r="D320" s="140" t="s">
        <v>137</v>
      </c>
      <c r="E320" s="141" t="s">
        <v>3</v>
      </c>
      <c r="F320" s="142" t="s">
        <v>544</v>
      </c>
      <c r="H320" s="143">
        <v>120</v>
      </c>
      <c r="L320" s="139"/>
      <c r="M320" s="144"/>
      <c r="T320" s="145"/>
      <c r="AT320" s="141" t="s">
        <v>137</v>
      </c>
      <c r="AU320" s="141" t="s">
        <v>80</v>
      </c>
      <c r="AV320" s="12" t="s">
        <v>80</v>
      </c>
      <c r="AW320" s="12" t="s">
        <v>32</v>
      </c>
      <c r="AX320" s="12" t="s">
        <v>78</v>
      </c>
      <c r="AY320" s="141" t="s">
        <v>126</v>
      </c>
    </row>
    <row r="321" spans="2:65" s="1" customFormat="1" ht="16.5" customHeight="1">
      <c r="B321" s="123"/>
      <c r="C321" s="152" t="s">
        <v>545</v>
      </c>
      <c r="D321" s="152" t="s">
        <v>405</v>
      </c>
      <c r="E321" s="153" t="s">
        <v>546</v>
      </c>
      <c r="F321" s="154" t="s">
        <v>547</v>
      </c>
      <c r="G321" s="155" t="s">
        <v>249</v>
      </c>
      <c r="H321" s="156">
        <v>132</v>
      </c>
      <c r="I321" s="157"/>
      <c r="J321" s="157">
        <f>ROUND(I321*H321,2)</f>
        <v>0</v>
      </c>
      <c r="K321" s="154" t="s">
        <v>132</v>
      </c>
      <c r="L321" s="158"/>
      <c r="M321" s="159" t="s">
        <v>3</v>
      </c>
      <c r="N321" s="160" t="s">
        <v>41</v>
      </c>
      <c r="O321" s="132">
        <v>0</v>
      </c>
      <c r="P321" s="132">
        <f>O321*H321</f>
        <v>0</v>
      </c>
      <c r="Q321" s="132">
        <v>0.00059</v>
      </c>
      <c r="R321" s="132">
        <f>Q321*H321</f>
        <v>0.07788</v>
      </c>
      <c r="S321" s="132">
        <v>0</v>
      </c>
      <c r="T321" s="133">
        <f>S321*H321</f>
        <v>0</v>
      </c>
      <c r="AR321" s="134" t="s">
        <v>175</v>
      </c>
      <c r="AT321" s="134" t="s">
        <v>405</v>
      </c>
      <c r="AU321" s="134" t="s">
        <v>80</v>
      </c>
      <c r="AY321" s="17" t="s">
        <v>126</v>
      </c>
      <c r="BE321" s="135">
        <f>IF(N321="základní",J321,0)</f>
        <v>0</v>
      </c>
      <c r="BF321" s="135">
        <f>IF(N321="snížená",J321,0)</f>
        <v>0</v>
      </c>
      <c r="BG321" s="135">
        <f>IF(N321="zákl. přenesená",J321,0)</f>
        <v>0</v>
      </c>
      <c r="BH321" s="135">
        <f>IF(N321="sníž. přenesená",J321,0)</f>
        <v>0</v>
      </c>
      <c r="BI321" s="135">
        <f>IF(N321="nulová",J321,0)</f>
        <v>0</v>
      </c>
      <c r="BJ321" s="17" t="s">
        <v>78</v>
      </c>
      <c r="BK321" s="135">
        <f>ROUND(I321*H321,2)</f>
        <v>0</v>
      </c>
      <c r="BL321" s="17" t="s">
        <v>133</v>
      </c>
      <c r="BM321" s="134" t="s">
        <v>548</v>
      </c>
    </row>
    <row r="322" spans="2:51" s="12" customFormat="1" ht="12">
      <c r="B322" s="139"/>
      <c r="D322" s="140" t="s">
        <v>137</v>
      </c>
      <c r="F322" s="142" t="s">
        <v>549</v>
      </c>
      <c r="H322" s="143">
        <v>132</v>
      </c>
      <c r="L322" s="139"/>
      <c r="M322" s="144"/>
      <c r="T322" s="145"/>
      <c r="AT322" s="141" t="s">
        <v>137</v>
      </c>
      <c r="AU322" s="141" t="s">
        <v>80</v>
      </c>
      <c r="AV322" s="12" t="s">
        <v>80</v>
      </c>
      <c r="AW322" s="12" t="s">
        <v>4</v>
      </c>
      <c r="AX322" s="12" t="s">
        <v>78</v>
      </c>
      <c r="AY322" s="141" t="s">
        <v>126</v>
      </c>
    </row>
    <row r="323" spans="2:63" s="11" customFormat="1" ht="22.7" customHeight="1">
      <c r="B323" s="112"/>
      <c r="D323" s="113" t="s">
        <v>69</v>
      </c>
      <c r="E323" s="121" t="s">
        <v>550</v>
      </c>
      <c r="F323" s="121" t="s">
        <v>551</v>
      </c>
      <c r="J323" s="122">
        <f>BK323</f>
        <v>0</v>
      </c>
      <c r="L323" s="112"/>
      <c r="M323" s="116"/>
      <c r="P323" s="117">
        <f>SUM(P324:P338)</f>
        <v>267.54924</v>
      </c>
      <c r="R323" s="117">
        <f>SUM(R324:R338)</f>
        <v>0.11465999999999998</v>
      </c>
      <c r="T323" s="118">
        <f>SUM(T324:T338)</f>
        <v>36.642888400000004</v>
      </c>
      <c r="AR323" s="113" t="s">
        <v>80</v>
      </c>
      <c r="AT323" s="119" t="s">
        <v>69</v>
      </c>
      <c r="AU323" s="119" t="s">
        <v>78</v>
      </c>
      <c r="AY323" s="113" t="s">
        <v>126</v>
      </c>
      <c r="BK323" s="120">
        <f>SUM(BK324:BK338)</f>
        <v>0</v>
      </c>
    </row>
    <row r="324" spans="2:65" s="1" customFormat="1" ht="16.5" customHeight="1">
      <c r="B324" s="123"/>
      <c r="C324" s="124" t="s">
        <v>552</v>
      </c>
      <c r="D324" s="124" t="s">
        <v>128</v>
      </c>
      <c r="E324" s="125" t="s">
        <v>553</v>
      </c>
      <c r="F324" s="126" t="s">
        <v>554</v>
      </c>
      <c r="G324" s="127" t="s">
        <v>131</v>
      </c>
      <c r="H324" s="128">
        <v>790</v>
      </c>
      <c r="I324" s="129"/>
      <c r="J324" s="129">
        <f>ROUND(I324*H324,2)</f>
        <v>0</v>
      </c>
      <c r="K324" s="126" t="s">
        <v>132</v>
      </c>
      <c r="L324" s="29"/>
      <c r="M324" s="130" t="s">
        <v>3</v>
      </c>
      <c r="N324" s="131" t="s">
        <v>41</v>
      </c>
      <c r="O324" s="132">
        <v>0.248</v>
      </c>
      <c r="P324" s="132">
        <f>O324*H324</f>
        <v>195.92</v>
      </c>
      <c r="Q324" s="132">
        <v>0</v>
      </c>
      <c r="R324" s="132">
        <f>Q324*H324</f>
        <v>0</v>
      </c>
      <c r="S324" s="132">
        <v>0.0445</v>
      </c>
      <c r="T324" s="133">
        <f>S324*H324</f>
        <v>35.155</v>
      </c>
      <c r="AR324" s="134" t="s">
        <v>221</v>
      </c>
      <c r="AT324" s="134" t="s">
        <v>128</v>
      </c>
      <c r="AU324" s="134" t="s">
        <v>80</v>
      </c>
      <c r="AY324" s="17" t="s">
        <v>126</v>
      </c>
      <c r="BE324" s="135">
        <f>IF(N324="základní",J324,0)</f>
        <v>0</v>
      </c>
      <c r="BF324" s="135">
        <f>IF(N324="snížená",J324,0)</f>
        <v>0</v>
      </c>
      <c r="BG324" s="135">
        <f>IF(N324="zákl. přenesená",J324,0)</f>
        <v>0</v>
      </c>
      <c r="BH324" s="135">
        <f>IF(N324="sníž. přenesená",J324,0)</f>
        <v>0</v>
      </c>
      <c r="BI324" s="135">
        <f>IF(N324="nulová",J324,0)</f>
        <v>0</v>
      </c>
      <c r="BJ324" s="17" t="s">
        <v>78</v>
      </c>
      <c r="BK324" s="135">
        <f>ROUND(I324*H324,2)</f>
        <v>0</v>
      </c>
      <c r="BL324" s="17" t="s">
        <v>221</v>
      </c>
      <c r="BM324" s="134" t="s">
        <v>555</v>
      </c>
    </row>
    <row r="325" spans="2:47" s="1" customFormat="1" ht="12">
      <c r="B325" s="29"/>
      <c r="D325" s="136" t="s">
        <v>135</v>
      </c>
      <c r="F325" s="137" t="s">
        <v>556</v>
      </c>
      <c r="L325" s="29"/>
      <c r="M325" s="138"/>
      <c r="T325" s="49"/>
      <c r="AT325" s="17" t="s">
        <v>135</v>
      </c>
      <c r="AU325" s="17" t="s">
        <v>80</v>
      </c>
    </row>
    <row r="326" spans="2:51" s="12" customFormat="1" ht="12">
      <c r="B326" s="139"/>
      <c r="D326" s="140" t="s">
        <v>137</v>
      </c>
      <c r="E326" s="141" t="s">
        <v>3</v>
      </c>
      <c r="F326" s="142" t="s">
        <v>469</v>
      </c>
      <c r="H326" s="143">
        <v>790</v>
      </c>
      <c r="L326" s="139"/>
      <c r="M326" s="144"/>
      <c r="T326" s="145"/>
      <c r="AT326" s="141" t="s">
        <v>137</v>
      </c>
      <c r="AU326" s="141" t="s">
        <v>80</v>
      </c>
      <c r="AV326" s="12" t="s">
        <v>80</v>
      </c>
      <c r="AW326" s="12" t="s">
        <v>32</v>
      </c>
      <c r="AX326" s="12" t="s">
        <v>78</v>
      </c>
      <c r="AY326" s="141" t="s">
        <v>126</v>
      </c>
    </row>
    <row r="327" spans="2:65" s="1" customFormat="1" ht="16.5" customHeight="1">
      <c r="B327" s="123"/>
      <c r="C327" s="124" t="s">
        <v>557</v>
      </c>
      <c r="D327" s="124" t="s">
        <v>128</v>
      </c>
      <c r="E327" s="125" t="s">
        <v>558</v>
      </c>
      <c r="F327" s="126" t="s">
        <v>559</v>
      </c>
      <c r="G327" s="127" t="s">
        <v>131</v>
      </c>
      <c r="H327" s="128">
        <v>790</v>
      </c>
      <c r="I327" s="129"/>
      <c r="J327" s="129">
        <f>ROUND(I327*H327,2)</f>
        <v>0</v>
      </c>
      <c r="K327" s="126" t="s">
        <v>132</v>
      </c>
      <c r="L327" s="29"/>
      <c r="M327" s="130" t="s">
        <v>3</v>
      </c>
      <c r="N327" s="131" t="s">
        <v>41</v>
      </c>
      <c r="O327" s="132">
        <v>0.028</v>
      </c>
      <c r="P327" s="132">
        <f>O327*H327</f>
        <v>22.12</v>
      </c>
      <c r="Q327" s="132">
        <v>0</v>
      </c>
      <c r="R327" s="132">
        <f>Q327*H327</f>
        <v>0</v>
      </c>
      <c r="S327" s="132">
        <v>0</v>
      </c>
      <c r="T327" s="133">
        <f>S327*H327</f>
        <v>0</v>
      </c>
      <c r="AR327" s="134" t="s">
        <v>221</v>
      </c>
      <c r="AT327" s="134" t="s">
        <v>128</v>
      </c>
      <c r="AU327" s="134" t="s">
        <v>80</v>
      </c>
      <c r="AY327" s="17" t="s">
        <v>126</v>
      </c>
      <c r="BE327" s="135">
        <f>IF(N327="základní",J327,0)</f>
        <v>0</v>
      </c>
      <c r="BF327" s="135">
        <f>IF(N327="snížená",J327,0)</f>
        <v>0</v>
      </c>
      <c r="BG327" s="135">
        <f>IF(N327="zákl. přenesená",J327,0)</f>
        <v>0</v>
      </c>
      <c r="BH327" s="135">
        <f>IF(N327="sníž. přenesená",J327,0)</f>
        <v>0</v>
      </c>
      <c r="BI327" s="135">
        <f>IF(N327="nulová",J327,0)</f>
        <v>0</v>
      </c>
      <c r="BJ327" s="17" t="s">
        <v>78</v>
      </c>
      <c r="BK327" s="135">
        <f>ROUND(I327*H327,2)</f>
        <v>0</v>
      </c>
      <c r="BL327" s="17" t="s">
        <v>221</v>
      </c>
      <c r="BM327" s="134" t="s">
        <v>560</v>
      </c>
    </row>
    <row r="328" spans="2:47" s="1" customFormat="1" ht="12">
      <c r="B328" s="29"/>
      <c r="D328" s="136" t="s">
        <v>135</v>
      </c>
      <c r="F328" s="137" t="s">
        <v>561</v>
      </c>
      <c r="L328" s="29"/>
      <c r="M328" s="138"/>
      <c r="T328" s="49"/>
      <c r="AT328" s="17" t="s">
        <v>135</v>
      </c>
      <c r="AU328" s="17" t="s">
        <v>80</v>
      </c>
    </row>
    <row r="329" spans="2:65" s="1" customFormat="1" ht="16.5" customHeight="1">
      <c r="B329" s="123"/>
      <c r="C329" s="124" t="s">
        <v>562</v>
      </c>
      <c r="D329" s="124" t="s">
        <v>128</v>
      </c>
      <c r="E329" s="125" t="s">
        <v>563</v>
      </c>
      <c r="F329" s="126" t="s">
        <v>564</v>
      </c>
      <c r="G329" s="127" t="s">
        <v>249</v>
      </c>
      <c r="H329" s="128">
        <v>129.72</v>
      </c>
      <c r="I329" s="129"/>
      <c r="J329" s="129">
        <f>ROUND(I329*H329,2)</f>
        <v>0</v>
      </c>
      <c r="K329" s="126" t="s">
        <v>132</v>
      </c>
      <c r="L329" s="29"/>
      <c r="M329" s="130" t="s">
        <v>3</v>
      </c>
      <c r="N329" s="131" t="s">
        <v>41</v>
      </c>
      <c r="O329" s="132">
        <v>0.122</v>
      </c>
      <c r="P329" s="132">
        <f>O329*H329</f>
        <v>15.82584</v>
      </c>
      <c r="Q329" s="132">
        <v>0</v>
      </c>
      <c r="R329" s="132">
        <f>Q329*H329</f>
        <v>0</v>
      </c>
      <c r="S329" s="132">
        <v>0.01147</v>
      </c>
      <c r="T329" s="133">
        <f>S329*H329</f>
        <v>1.4878883999999999</v>
      </c>
      <c r="AR329" s="134" t="s">
        <v>221</v>
      </c>
      <c r="AT329" s="134" t="s">
        <v>128</v>
      </c>
      <c r="AU329" s="134" t="s">
        <v>80</v>
      </c>
      <c r="AY329" s="17" t="s">
        <v>126</v>
      </c>
      <c r="BE329" s="135">
        <f>IF(N329="základní",J329,0)</f>
        <v>0</v>
      </c>
      <c r="BF329" s="135">
        <f>IF(N329="snížená",J329,0)</f>
        <v>0</v>
      </c>
      <c r="BG329" s="135">
        <f>IF(N329="zákl. přenesená",J329,0)</f>
        <v>0</v>
      </c>
      <c r="BH329" s="135">
        <f>IF(N329="sníž. přenesená",J329,0)</f>
        <v>0</v>
      </c>
      <c r="BI329" s="135">
        <f>IF(N329="nulová",J329,0)</f>
        <v>0</v>
      </c>
      <c r="BJ329" s="17" t="s">
        <v>78</v>
      </c>
      <c r="BK329" s="135">
        <f>ROUND(I329*H329,2)</f>
        <v>0</v>
      </c>
      <c r="BL329" s="17" t="s">
        <v>221</v>
      </c>
      <c r="BM329" s="134" t="s">
        <v>565</v>
      </c>
    </row>
    <row r="330" spans="2:47" s="1" customFormat="1" ht="12">
      <c r="B330" s="29"/>
      <c r="D330" s="136" t="s">
        <v>135</v>
      </c>
      <c r="F330" s="137" t="s">
        <v>566</v>
      </c>
      <c r="L330" s="29"/>
      <c r="M330" s="138"/>
      <c r="T330" s="49"/>
      <c r="AT330" s="17" t="s">
        <v>135</v>
      </c>
      <c r="AU330" s="17" t="s">
        <v>80</v>
      </c>
    </row>
    <row r="331" spans="2:51" s="12" customFormat="1" ht="12">
      <c r="B331" s="139"/>
      <c r="D331" s="140" t="s">
        <v>137</v>
      </c>
      <c r="E331" s="141" t="s">
        <v>3</v>
      </c>
      <c r="F331" s="142" t="s">
        <v>567</v>
      </c>
      <c r="H331" s="143">
        <v>129.72</v>
      </c>
      <c r="L331" s="139"/>
      <c r="M331" s="144"/>
      <c r="T331" s="145"/>
      <c r="AT331" s="141" t="s">
        <v>137</v>
      </c>
      <c r="AU331" s="141" t="s">
        <v>80</v>
      </c>
      <c r="AV331" s="12" t="s">
        <v>80</v>
      </c>
      <c r="AW331" s="12" t="s">
        <v>32</v>
      </c>
      <c r="AX331" s="12" t="s">
        <v>78</v>
      </c>
      <c r="AY331" s="141" t="s">
        <v>126</v>
      </c>
    </row>
    <row r="332" spans="2:65" s="1" customFormat="1" ht="16.5" customHeight="1">
      <c r="B332" s="123"/>
      <c r="C332" s="124" t="s">
        <v>568</v>
      </c>
      <c r="D332" s="124" t="s">
        <v>128</v>
      </c>
      <c r="E332" s="125" t="s">
        <v>569</v>
      </c>
      <c r="F332" s="126" t="s">
        <v>559</v>
      </c>
      <c r="G332" s="127" t="s">
        <v>249</v>
      </c>
      <c r="H332" s="128">
        <v>129.72</v>
      </c>
      <c r="I332" s="129"/>
      <c r="J332" s="129">
        <f>ROUND(I332*H332,2)</f>
        <v>0</v>
      </c>
      <c r="K332" s="126" t="s">
        <v>132</v>
      </c>
      <c r="L332" s="29"/>
      <c r="M332" s="130" t="s">
        <v>3</v>
      </c>
      <c r="N332" s="131" t="s">
        <v>41</v>
      </c>
      <c r="O332" s="132">
        <v>0.045</v>
      </c>
      <c r="P332" s="132">
        <f>O332*H332</f>
        <v>5.8374</v>
      </c>
      <c r="Q332" s="132">
        <v>0</v>
      </c>
      <c r="R332" s="132">
        <f>Q332*H332</f>
        <v>0</v>
      </c>
      <c r="S332" s="132">
        <v>0</v>
      </c>
      <c r="T332" s="133">
        <f>S332*H332</f>
        <v>0</v>
      </c>
      <c r="AR332" s="134" t="s">
        <v>221</v>
      </c>
      <c r="AT332" s="134" t="s">
        <v>128</v>
      </c>
      <c r="AU332" s="134" t="s">
        <v>80</v>
      </c>
      <c r="AY332" s="17" t="s">
        <v>126</v>
      </c>
      <c r="BE332" s="135">
        <f>IF(N332="základní",J332,0)</f>
        <v>0</v>
      </c>
      <c r="BF332" s="135">
        <f>IF(N332="snížená",J332,0)</f>
        <v>0</v>
      </c>
      <c r="BG332" s="135">
        <f>IF(N332="zákl. přenesená",J332,0)</f>
        <v>0</v>
      </c>
      <c r="BH332" s="135">
        <f>IF(N332="sníž. přenesená",J332,0)</f>
        <v>0</v>
      </c>
      <c r="BI332" s="135">
        <f>IF(N332="nulová",J332,0)</f>
        <v>0</v>
      </c>
      <c r="BJ332" s="17" t="s">
        <v>78</v>
      </c>
      <c r="BK332" s="135">
        <f>ROUND(I332*H332,2)</f>
        <v>0</v>
      </c>
      <c r="BL332" s="17" t="s">
        <v>221</v>
      </c>
      <c r="BM332" s="134" t="s">
        <v>570</v>
      </c>
    </row>
    <row r="333" spans="2:47" s="1" customFormat="1" ht="12">
      <c r="B333" s="29"/>
      <c r="D333" s="136" t="s">
        <v>135</v>
      </c>
      <c r="F333" s="137" t="s">
        <v>571</v>
      </c>
      <c r="L333" s="29"/>
      <c r="M333" s="138"/>
      <c r="T333" s="49"/>
      <c r="AT333" s="17" t="s">
        <v>135</v>
      </c>
      <c r="AU333" s="17" t="s">
        <v>80</v>
      </c>
    </row>
    <row r="334" spans="2:65" s="1" customFormat="1" ht="16.5" customHeight="1">
      <c r="B334" s="123"/>
      <c r="C334" s="124" t="s">
        <v>572</v>
      </c>
      <c r="D334" s="124" t="s">
        <v>128</v>
      </c>
      <c r="E334" s="125" t="s">
        <v>573</v>
      </c>
      <c r="F334" s="126" t="s">
        <v>574</v>
      </c>
      <c r="G334" s="127" t="s">
        <v>131</v>
      </c>
      <c r="H334" s="128">
        <v>819</v>
      </c>
      <c r="I334" s="129"/>
      <c r="J334" s="129">
        <f>ROUND(I334*H334,2)</f>
        <v>0</v>
      </c>
      <c r="K334" s="126" t="s">
        <v>132</v>
      </c>
      <c r="L334" s="29"/>
      <c r="M334" s="130" t="s">
        <v>3</v>
      </c>
      <c r="N334" s="131" t="s">
        <v>41</v>
      </c>
      <c r="O334" s="132">
        <v>0.034</v>
      </c>
      <c r="P334" s="132">
        <f>O334*H334</f>
        <v>27.846000000000004</v>
      </c>
      <c r="Q334" s="132">
        <v>0.00014</v>
      </c>
      <c r="R334" s="132">
        <f>Q334*H334</f>
        <v>0.11465999999999998</v>
      </c>
      <c r="S334" s="132">
        <v>0</v>
      </c>
      <c r="T334" s="133">
        <f>S334*H334</f>
        <v>0</v>
      </c>
      <c r="AR334" s="134" t="s">
        <v>221</v>
      </c>
      <c r="AT334" s="134" t="s">
        <v>128</v>
      </c>
      <c r="AU334" s="134" t="s">
        <v>80</v>
      </c>
      <c r="AY334" s="17" t="s">
        <v>126</v>
      </c>
      <c r="BE334" s="135">
        <f>IF(N334="základní",J334,0)</f>
        <v>0</v>
      </c>
      <c r="BF334" s="135">
        <f>IF(N334="snížená",J334,0)</f>
        <v>0</v>
      </c>
      <c r="BG334" s="135">
        <f>IF(N334="zákl. přenesená",J334,0)</f>
        <v>0</v>
      </c>
      <c r="BH334" s="135">
        <f>IF(N334="sníž. přenesená",J334,0)</f>
        <v>0</v>
      </c>
      <c r="BI334" s="135">
        <f>IF(N334="nulová",J334,0)</f>
        <v>0</v>
      </c>
      <c r="BJ334" s="17" t="s">
        <v>78</v>
      </c>
      <c r="BK334" s="135">
        <f>ROUND(I334*H334,2)</f>
        <v>0</v>
      </c>
      <c r="BL334" s="17" t="s">
        <v>221</v>
      </c>
      <c r="BM334" s="134" t="s">
        <v>575</v>
      </c>
    </row>
    <row r="335" spans="2:47" s="1" customFormat="1" ht="12">
      <c r="B335" s="29"/>
      <c r="D335" s="136" t="s">
        <v>135</v>
      </c>
      <c r="F335" s="137" t="s">
        <v>576</v>
      </c>
      <c r="L335" s="29"/>
      <c r="M335" s="138"/>
      <c r="T335" s="49"/>
      <c r="AT335" s="17" t="s">
        <v>135</v>
      </c>
      <c r="AU335" s="17" t="s">
        <v>80</v>
      </c>
    </row>
    <row r="336" spans="2:51" s="12" customFormat="1" ht="12">
      <c r="B336" s="139"/>
      <c r="D336" s="140" t="s">
        <v>137</v>
      </c>
      <c r="E336" s="141" t="s">
        <v>3</v>
      </c>
      <c r="F336" s="142" t="s">
        <v>469</v>
      </c>
      <c r="H336" s="143">
        <v>790</v>
      </c>
      <c r="L336" s="139"/>
      <c r="M336" s="144"/>
      <c r="T336" s="145"/>
      <c r="AT336" s="141" t="s">
        <v>137</v>
      </c>
      <c r="AU336" s="141" t="s">
        <v>80</v>
      </c>
      <c r="AV336" s="12" t="s">
        <v>80</v>
      </c>
      <c r="AW336" s="12" t="s">
        <v>32</v>
      </c>
      <c r="AX336" s="12" t="s">
        <v>70</v>
      </c>
      <c r="AY336" s="141" t="s">
        <v>126</v>
      </c>
    </row>
    <row r="337" spans="2:51" s="12" customFormat="1" ht="12">
      <c r="B337" s="139"/>
      <c r="D337" s="140" t="s">
        <v>137</v>
      </c>
      <c r="E337" s="141" t="s">
        <v>3</v>
      </c>
      <c r="F337" s="142" t="s">
        <v>397</v>
      </c>
      <c r="H337" s="143">
        <v>29</v>
      </c>
      <c r="L337" s="139"/>
      <c r="M337" s="144"/>
      <c r="T337" s="145"/>
      <c r="AT337" s="141" t="s">
        <v>137</v>
      </c>
      <c r="AU337" s="141" t="s">
        <v>80</v>
      </c>
      <c r="AV337" s="12" t="s">
        <v>80</v>
      </c>
      <c r="AW337" s="12" t="s">
        <v>32</v>
      </c>
      <c r="AX337" s="12" t="s">
        <v>70</v>
      </c>
      <c r="AY337" s="141" t="s">
        <v>126</v>
      </c>
    </row>
    <row r="338" spans="2:51" s="13" customFormat="1" ht="12">
      <c r="B338" s="146"/>
      <c r="D338" s="140" t="s">
        <v>137</v>
      </c>
      <c r="E338" s="147" t="s">
        <v>3</v>
      </c>
      <c r="F338" s="148" t="s">
        <v>151</v>
      </c>
      <c r="H338" s="149">
        <v>819</v>
      </c>
      <c r="L338" s="146"/>
      <c r="M338" s="150"/>
      <c r="T338" s="151"/>
      <c r="AT338" s="147" t="s">
        <v>137</v>
      </c>
      <c r="AU338" s="147" t="s">
        <v>80</v>
      </c>
      <c r="AV338" s="13" t="s">
        <v>133</v>
      </c>
      <c r="AW338" s="13" t="s">
        <v>32</v>
      </c>
      <c r="AX338" s="13" t="s">
        <v>78</v>
      </c>
      <c r="AY338" s="147" t="s">
        <v>126</v>
      </c>
    </row>
    <row r="339" spans="2:63" s="11" customFormat="1" ht="22.7" customHeight="1">
      <c r="B339" s="112"/>
      <c r="D339" s="113" t="s">
        <v>69</v>
      </c>
      <c r="E339" s="121" t="s">
        <v>577</v>
      </c>
      <c r="F339" s="121" t="s">
        <v>578</v>
      </c>
      <c r="J339" s="122">
        <f>BK339</f>
        <v>0</v>
      </c>
      <c r="L339" s="112"/>
      <c r="M339" s="116"/>
      <c r="P339" s="117">
        <f>SUM(P340:P350)</f>
        <v>8.134</v>
      </c>
      <c r="R339" s="117">
        <f>SUM(R340:R350)</f>
        <v>0</v>
      </c>
      <c r="T339" s="118">
        <f>SUM(T340:T350)</f>
        <v>0.6812</v>
      </c>
      <c r="AR339" s="113" t="s">
        <v>80</v>
      </c>
      <c r="AT339" s="119" t="s">
        <v>69</v>
      </c>
      <c r="AU339" s="119" t="s">
        <v>78</v>
      </c>
      <c r="AY339" s="113" t="s">
        <v>126</v>
      </c>
      <c r="BK339" s="120">
        <f>SUM(BK340:BK350)</f>
        <v>0</v>
      </c>
    </row>
    <row r="340" spans="2:65" s="1" customFormat="1" ht="16.5" customHeight="1">
      <c r="B340" s="123"/>
      <c r="C340" s="124" t="s">
        <v>579</v>
      </c>
      <c r="D340" s="124" t="s">
        <v>128</v>
      </c>
      <c r="E340" s="125" t="s">
        <v>580</v>
      </c>
      <c r="F340" s="126" t="s">
        <v>581</v>
      </c>
      <c r="G340" s="127" t="s">
        <v>296</v>
      </c>
      <c r="H340" s="128">
        <v>2</v>
      </c>
      <c r="I340" s="129"/>
      <c r="J340" s="129">
        <f>ROUND(I340*H340,2)</f>
        <v>0</v>
      </c>
      <c r="K340" s="126" t="s">
        <v>132</v>
      </c>
      <c r="L340" s="29"/>
      <c r="M340" s="130" t="s">
        <v>3</v>
      </c>
      <c r="N340" s="131" t="s">
        <v>41</v>
      </c>
      <c r="O340" s="132">
        <v>0.099</v>
      </c>
      <c r="P340" s="132">
        <f>O340*H340</f>
        <v>0.198</v>
      </c>
      <c r="Q340" s="132">
        <v>0</v>
      </c>
      <c r="R340" s="132">
        <f>Q340*H340</f>
        <v>0</v>
      </c>
      <c r="S340" s="132">
        <v>0.004</v>
      </c>
      <c r="T340" s="133">
        <f>S340*H340</f>
        <v>0.008</v>
      </c>
      <c r="AR340" s="134" t="s">
        <v>221</v>
      </c>
      <c r="AT340" s="134" t="s">
        <v>128</v>
      </c>
      <c r="AU340" s="134" t="s">
        <v>80</v>
      </c>
      <c r="AY340" s="17" t="s">
        <v>126</v>
      </c>
      <c r="BE340" s="135">
        <f>IF(N340="základní",J340,0)</f>
        <v>0</v>
      </c>
      <c r="BF340" s="135">
        <f>IF(N340="snížená",J340,0)</f>
        <v>0</v>
      </c>
      <c r="BG340" s="135">
        <f>IF(N340="zákl. přenesená",J340,0)</f>
        <v>0</v>
      </c>
      <c r="BH340" s="135">
        <f>IF(N340="sníž. přenesená",J340,0)</f>
        <v>0</v>
      </c>
      <c r="BI340" s="135">
        <f>IF(N340="nulová",J340,0)</f>
        <v>0</v>
      </c>
      <c r="BJ340" s="17" t="s">
        <v>78</v>
      </c>
      <c r="BK340" s="135">
        <f>ROUND(I340*H340,2)</f>
        <v>0</v>
      </c>
      <c r="BL340" s="17" t="s">
        <v>221</v>
      </c>
      <c r="BM340" s="134" t="s">
        <v>582</v>
      </c>
    </row>
    <row r="341" spans="2:47" s="1" customFormat="1" ht="12">
      <c r="B341" s="29"/>
      <c r="D341" s="136" t="s">
        <v>135</v>
      </c>
      <c r="F341" s="137" t="s">
        <v>583</v>
      </c>
      <c r="L341" s="29"/>
      <c r="M341" s="138"/>
      <c r="T341" s="49"/>
      <c r="AT341" s="17" t="s">
        <v>135</v>
      </c>
      <c r="AU341" s="17" t="s">
        <v>80</v>
      </c>
    </row>
    <row r="342" spans="2:51" s="12" customFormat="1" ht="12">
      <c r="B342" s="139"/>
      <c r="D342" s="140" t="s">
        <v>137</v>
      </c>
      <c r="E342" s="141" t="s">
        <v>3</v>
      </c>
      <c r="F342" s="142" t="s">
        <v>584</v>
      </c>
      <c r="H342" s="143">
        <v>1</v>
      </c>
      <c r="L342" s="139"/>
      <c r="M342" s="144"/>
      <c r="T342" s="145"/>
      <c r="AT342" s="141" t="s">
        <v>137</v>
      </c>
      <c r="AU342" s="141" t="s">
        <v>80</v>
      </c>
      <c r="AV342" s="12" t="s">
        <v>80</v>
      </c>
      <c r="AW342" s="12" t="s">
        <v>32</v>
      </c>
      <c r="AX342" s="12" t="s">
        <v>70</v>
      </c>
      <c r="AY342" s="141" t="s">
        <v>126</v>
      </c>
    </row>
    <row r="343" spans="2:51" s="12" customFormat="1" ht="12">
      <c r="B343" s="139"/>
      <c r="D343" s="140" t="s">
        <v>137</v>
      </c>
      <c r="E343" s="141" t="s">
        <v>3</v>
      </c>
      <c r="F343" s="142" t="s">
        <v>585</v>
      </c>
      <c r="H343" s="143">
        <v>1</v>
      </c>
      <c r="L343" s="139"/>
      <c r="M343" s="144"/>
      <c r="T343" s="145"/>
      <c r="AT343" s="141" t="s">
        <v>137</v>
      </c>
      <c r="AU343" s="141" t="s">
        <v>80</v>
      </c>
      <c r="AV343" s="12" t="s">
        <v>80</v>
      </c>
      <c r="AW343" s="12" t="s">
        <v>32</v>
      </c>
      <c r="AX343" s="12" t="s">
        <v>70</v>
      </c>
      <c r="AY343" s="141" t="s">
        <v>126</v>
      </c>
    </row>
    <row r="344" spans="2:51" s="13" customFormat="1" ht="12">
      <c r="B344" s="146"/>
      <c r="D344" s="140" t="s">
        <v>137</v>
      </c>
      <c r="E344" s="147" t="s">
        <v>3</v>
      </c>
      <c r="F344" s="148" t="s">
        <v>151</v>
      </c>
      <c r="H344" s="149">
        <v>2</v>
      </c>
      <c r="L344" s="146"/>
      <c r="M344" s="150"/>
      <c r="T344" s="151"/>
      <c r="AT344" s="147" t="s">
        <v>137</v>
      </c>
      <c r="AU344" s="147" t="s">
        <v>80</v>
      </c>
      <c r="AV344" s="13" t="s">
        <v>133</v>
      </c>
      <c r="AW344" s="13" t="s">
        <v>32</v>
      </c>
      <c r="AX344" s="13" t="s">
        <v>78</v>
      </c>
      <c r="AY344" s="147" t="s">
        <v>126</v>
      </c>
    </row>
    <row r="345" spans="2:65" s="1" customFormat="1" ht="21.75" customHeight="1">
      <c r="B345" s="123"/>
      <c r="C345" s="124" t="s">
        <v>586</v>
      </c>
      <c r="D345" s="124" t="s">
        <v>128</v>
      </c>
      <c r="E345" s="125" t="s">
        <v>587</v>
      </c>
      <c r="F345" s="126" t="s">
        <v>588</v>
      </c>
      <c r="G345" s="127" t="s">
        <v>296</v>
      </c>
      <c r="H345" s="128">
        <v>1</v>
      </c>
      <c r="I345" s="129"/>
      <c r="J345" s="129">
        <f>ROUND(I345*H345,2)</f>
        <v>0</v>
      </c>
      <c r="K345" s="126" t="s">
        <v>132</v>
      </c>
      <c r="L345" s="29"/>
      <c r="M345" s="130" t="s">
        <v>3</v>
      </c>
      <c r="N345" s="131" t="s">
        <v>41</v>
      </c>
      <c r="O345" s="132">
        <v>0.16</v>
      </c>
      <c r="P345" s="132">
        <f>O345*H345</f>
        <v>0.16</v>
      </c>
      <c r="Q345" s="132">
        <v>0</v>
      </c>
      <c r="R345" s="132">
        <f>Q345*H345</f>
        <v>0</v>
      </c>
      <c r="S345" s="132">
        <v>0.006</v>
      </c>
      <c r="T345" s="133">
        <f>S345*H345</f>
        <v>0.006</v>
      </c>
      <c r="AR345" s="134" t="s">
        <v>221</v>
      </c>
      <c r="AT345" s="134" t="s">
        <v>128</v>
      </c>
      <c r="AU345" s="134" t="s">
        <v>80</v>
      </c>
      <c r="AY345" s="17" t="s">
        <v>126</v>
      </c>
      <c r="BE345" s="135">
        <f>IF(N345="základní",J345,0)</f>
        <v>0</v>
      </c>
      <c r="BF345" s="135">
        <f>IF(N345="snížená",J345,0)</f>
        <v>0</v>
      </c>
      <c r="BG345" s="135">
        <f>IF(N345="zákl. přenesená",J345,0)</f>
        <v>0</v>
      </c>
      <c r="BH345" s="135">
        <f>IF(N345="sníž. přenesená",J345,0)</f>
        <v>0</v>
      </c>
      <c r="BI345" s="135">
        <f>IF(N345="nulová",J345,0)</f>
        <v>0</v>
      </c>
      <c r="BJ345" s="17" t="s">
        <v>78</v>
      </c>
      <c r="BK345" s="135">
        <f>ROUND(I345*H345,2)</f>
        <v>0</v>
      </c>
      <c r="BL345" s="17" t="s">
        <v>221</v>
      </c>
      <c r="BM345" s="134" t="s">
        <v>589</v>
      </c>
    </row>
    <row r="346" spans="2:47" s="1" customFormat="1" ht="12">
      <c r="B346" s="29"/>
      <c r="D346" s="136" t="s">
        <v>135</v>
      </c>
      <c r="F346" s="137" t="s">
        <v>590</v>
      </c>
      <c r="L346" s="29"/>
      <c r="M346" s="138"/>
      <c r="T346" s="49"/>
      <c r="AT346" s="17" t="s">
        <v>135</v>
      </c>
      <c r="AU346" s="17" t="s">
        <v>80</v>
      </c>
    </row>
    <row r="347" spans="2:51" s="12" customFormat="1" ht="12">
      <c r="B347" s="139"/>
      <c r="D347" s="140" t="s">
        <v>137</v>
      </c>
      <c r="E347" s="141" t="s">
        <v>3</v>
      </c>
      <c r="F347" s="142" t="s">
        <v>591</v>
      </c>
      <c r="H347" s="143">
        <v>1</v>
      </c>
      <c r="L347" s="139"/>
      <c r="M347" s="144"/>
      <c r="T347" s="145"/>
      <c r="AT347" s="141" t="s">
        <v>137</v>
      </c>
      <c r="AU347" s="141" t="s">
        <v>80</v>
      </c>
      <c r="AV347" s="12" t="s">
        <v>80</v>
      </c>
      <c r="AW347" s="12" t="s">
        <v>32</v>
      </c>
      <c r="AX347" s="12" t="s">
        <v>78</v>
      </c>
      <c r="AY347" s="141" t="s">
        <v>126</v>
      </c>
    </row>
    <row r="348" spans="2:65" s="1" customFormat="1" ht="16.5" customHeight="1">
      <c r="B348" s="123"/>
      <c r="C348" s="124" t="s">
        <v>592</v>
      </c>
      <c r="D348" s="124" t="s">
        <v>128</v>
      </c>
      <c r="E348" s="125" t="s">
        <v>593</v>
      </c>
      <c r="F348" s="126" t="s">
        <v>594</v>
      </c>
      <c r="G348" s="127" t="s">
        <v>296</v>
      </c>
      <c r="H348" s="128">
        <v>16</v>
      </c>
      <c r="I348" s="129"/>
      <c r="J348" s="129">
        <f>ROUND(I348*H348,2)</f>
        <v>0</v>
      </c>
      <c r="K348" s="126" t="s">
        <v>132</v>
      </c>
      <c r="L348" s="29"/>
      <c r="M348" s="130" t="s">
        <v>3</v>
      </c>
      <c r="N348" s="131" t="s">
        <v>41</v>
      </c>
      <c r="O348" s="132">
        <v>0.486</v>
      </c>
      <c r="P348" s="132">
        <f>O348*H348</f>
        <v>7.776</v>
      </c>
      <c r="Q348" s="132">
        <v>0</v>
      </c>
      <c r="R348" s="132">
        <f>Q348*H348</f>
        <v>0</v>
      </c>
      <c r="S348" s="132">
        <v>0.0417</v>
      </c>
      <c r="T348" s="133">
        <f>S348*H348</f>
        <v>0.6672</v>
      </c>
      <c r="AR348" s="134" t="s">
        <v>221</v>
      </c>
      <c r="AT348" s="134" t="s">
        <v>128</v>
      </c>
      <c r="AU348" s="134" t="s">
        <v>80</v>
      </c>
      <c r="AY348" s="17" t="s">
        <v>126</v>
      </c>
      <c r="BE348" s="135">
        <f>IF(N348="základní",J348,0)</f>
        <v>0</v>
      </c>
      <c r="BF348" s="135">
        <f>IF(N348="snížená",J348,0)</f>
        <v>0</v>
      </c>
      <c r="BG348" s="135">
        <f>IF(N348="zákl. přenesená",J348,0)</f>
        <v>0</v>
      </c>
      <c r="BH348" s="135">
        <f>IF(N348="sníž. přenesená",J348,0)</f>
        <v>0</v>
      </c>
      <c r="BI348" s="135">
        <f>IF(N348="nulová",J348,0)</f>
        <v>0</v>
      </c>
      <c r="BJ348" s="17" t="s">
        <v>78</v>
      </c>
      <c r="BK348" s="135">
        <f>ROUND(I348*H348,2)</f>
        <v>0</v>
      </c>
      <c r="BL348" s="17" t="s">
        <v>221</v>
      </c>
      <c r="BM348" s="134" t="s">
        <v>595</v>
      </c>
    </row>
    <row r="349" spans="2:47" s="1" customFormat="1" ht="12">
      <c r="B349" s="29"/>
      <c r="D349" s="136" t="s">
        <v>135</v>
      </c>
      <c r="F349" s="137" t="s">
        <v>596</v>
      </c>
      <c r="L349" s="29"/>
      <c r="M349" s="138"/>
      <c r="T349" s="49"/>
      <c r="AT349" s="17" t="s">
        <v>135</v>
      </c>
      <c r="AU349" s="17" t="s">
        <v>80</v>
      </c>
    </row>
    <row r="350" spans="2:51" s="12" customFormat="1" ht="12">
      <c r="B350" s="139"/>
      <c r="D350" s="140" t="s">
        <v>137</v>
      </c>
      <c r="E350" s="141" t="s">
        <v>3</v>
      </c>
      <c r="F350" s="142" t="s">
        <v>597</v>
      </c>
      <c r="H350" s="143">
        <v>16</v>
      </c>
      <c r="L350" s="139"/>
      <c r="M350" s="144"/>
      <c r="T350" s="145"/>
      <c r="AT350" s="141" t="s">
        <v>137</v>
      </c>
      <c r="AU350" s="141" t="s">
        <v>80</v>
      </c>
      <c r="AV350" s="12" t="s">
        <v>80</v>
      </c>
      <c r="AW350" s="12" t="s">
        <v>32</v>
      </c>
      <c r="AX350" s="12" t="s">
        <v>78</v>
      </c>
      <c r="AY350" s="141" t="s">
        <v>126</v>
      </c>
    </row>
    <row r="351" spans="2:63" s="11" customFormat="1" ht="22.7" customHeight="1">
      <c r="B351" s="112"/>
      <c r="D351" s="113" t="s">
        <v>69</v>
      </c>
      <c r="E351" s="121" t="s">
        <v>598</v>
      </c>
      <c r="F351" s="121" t="s">
        <v>599</v>
      </c>
      <c r="J351" s="122">
        <f>BK351</f>
        <v>0</v>
      </c>
      <c r="L351" s="112"/>
      <c r="M351" s="116"/>
      <c r="P351" s="117">
        <f>SUM(P352:P354)</f>
        <v>6.5725</v>
      </c>
      <c r="R351" s="117">
        <f>SUM(R352:R354)</f>
        <v>0</v>
      </c>
      <c r="T351" s="118">
        <f>SUM(T352:T354)</f>
        <v>0.97075</v>
      </c>
      <c r="AR351" s="113" t="s">
        <v>80</v>
      </c>
      <c r="AT351" s="119" t="s">
        <v>69</v>
      </c>
      <c r="AU351" s="119" t="s">
        <v>78</v>
      </c>
      <c r="AY351" s="113" t="s">
        <v>126</v>
      </c>
      <c r="BK351" s="120">
        <f>SUM(BK352:BK354)</f>
        <v>0</v>
      </c>
    </row>
    <row r="352" spans="2:65" s="1" customFormat="1" ht="16.5" customHeight="1">
      <c r="B352" s="123"/>
      <c r="C352" s="124" t="s">
        <v>600</v>
      </c>
      <c r="D352" s="124" t="s">
        <v>128</v>
      </c>
      <c r="E352" s="125" t="s">
        <v>601</v>
      </c>
      <c r="F352" s="126" t="s">
        <v>602</v>
      </c>
      <c r="G352" s="127" t="s">
        <v>131</v>
      </c>
      <c r="H352" s="128">
        <v>27.5</v>
      </c>
      <c r="I352" s="129"/>
      <c r="J352" s="129">
        <f>ROUND(I352*H352,2)</f>
        <v>0</v>
      </c>
      <c r="K352" s="126" t="s">
        <v>132</v>
      </c>
      <c r="L352" s="29"/>
      <c r="M352" s="130" t="s">
        <v>3</v>
      </c>
      <c r="N352" s="131" t="s">
        <v>41</v>
      </c>
      <c r="O352" s="132">
        <v>0.239</v>
      </c>
      <c r="P352" s="132">
        <f>O352*H352</f>
        <v>6.5725</v>
      </c>
      <c r="Q352" s="132">
        <v>0</v>
      </c>
      <c r="R352" s="132">
        <f>Q352*H352</f>
        <v>0</v>
      </c>
      <c r="S352" s="132">
        <v>0.0353</v>
      </c>
      <c r="T352" s="133">
        <f>S352*H352</f>
        <v>0.97075</v>
      </c>
      <c r="AR352" s="134" t="s">
        <v>221</v>
      </c>
      <c r="AT352" s="134" t="s">
        <v>128</v>
      </c>
      <c r="AU352" s="134" t="s">
        <v>80</v>
      </c>
      <c r="AY352" s="17" t="s">
        <v>126</v>
      </c>
      <c r="BE352" s="135">
        <f>IF(N352="základní",J352,0)</f>
        <v>0</v>
      </c>
      <c r="BF352" s="135">
        <f>IF(N352="snížená",J352,0)</f>
        <v>0</v>
      </c>
      <c r="BG352" s="135">
        <f>IF(N352="zákl. přenesená",J352,0)</f>
        <v>0</v>
      </c>
      <c r="BH352" s="135">
        <f>IF(N352="sníž. přenesená",J352,0)</f>
        <v>0</v>
      </c>
      <c r="BI352" s="135">
        <f>IF(N352="nulová",J352,0)</f>
        <v>0</v>
      </c>
      <c r="BJ352" s="17" t="s">
        <v>78</v>
      </c>
      <c r="BK352" s="135">
        <f>ROUND(I352*H352,2)</f>
        <v>0</v>
      </c>
      <c r="BL352" s="17" t="s">
        <v>221</v>
      </c>
      <c r="BM352" s="134" t="s">
        <v>603</v>
      </c>
    </row>
    <row r="353" spans="2:47" s="1" customFormat="1" ht="12">
      <c r="B353" s="29"/>
      <c r="D353" s="136" t="s">
        <v>135</v>
      </c>
      <c r="F353" s="137" t="s">
        <v>604</v>
      </c>
      <c r="L353" s="29"/>
      <c r="M353" s="138"/>
      <c r="T353" s="49"/>
      <c r="AT353" s="17" t="s">
        <v>135</v>
      </c>
      <c r="AU353" s="17" t="s">
        <v>80</v>
      </c>
    </row>
    <row r="354" spans="2:51" s="12" customFormat="1" ht="12">
      <c r="B354" s="139"/>
      <c r="D354" s="140" t="s">
        <v>137</v>
      </c>
      <c r="E354" s="141" t="s">
        <v>3</v>
      </c>
      <c r="F354" s="142" t="s">
        <v>605</v>
      </c>
      <c r="H354" s="143">
        <v>27.5</v>
      </c>
      <c r="L354" s="139"/>
      <c r="M354" s="144"/>
      <c r="T354" s="145"/>
      <c r="AT354" s="141" t="s">
        <v>137</v>
      </c>
      <c r="AU354" s="141" t="s">
        <v>80</v>
      </c>
      <c r="AV354" s="12" t="s">
        <v>80</v>
      </c>
      <c r="AW354" s="12" t="s">
        <v>32</v>
      </c>
      <c r="AX354" s="12" t="s">
        <v>78</v>
      </c>
      <c r="AY354" s="141" t="s">
        <v>126</v>
      </c>
    </row>
    <row r="355" spans="2:63" s="11" customFormat="1" ht="25.9" customHeight="1">
      <c r="B355" s="112"/>
      <c r="D355" s="113" t="s">
        <v>69</v>
      </c>
      <c r="E355" s="114" t="s">
        <v>606</v>
      </c>
      <c r="F355" s="114" t="s">
        <v>85</v>
      </c>
      <c r="J355" s="115">
        <f>BK355</f>
        <v>0</v>
      </c>
      <c r="L355" s="112"/>
      <c r="M355" s="116"/>
      <c r="P355" s="117">
        <f>P356</f>
        <v>0</v>
      </c>
      <c r="R355" s="117">
        <f>R356</f>
        <v>0</v>
      </c>
      <c r="T355" s="118">
        <f>T356</f>
        <v>0</v>
      </c>
      <c r="AR355" s="113" t="s">
        <v>157</v>
      </c>
      <c r="AT355" s="119" t="s">
        <v>69</v>
      </c>
      <c r="AU355" s="119" t="s">
        <v>70</v>
      </c>
      <c r="AY355" s="113" t="s">
        <v>126</v>
      </c>
      <c r="BK355" s="120">
        <f>BK356</f>
        <v>0</v>
      </c>
    </row>
    <row r="356" spans="2:63" s="11" customFormat="1" ht="22.7" customHeight="1">
      <c r="B356" s="112"/>
      <c r="D356" s="113" t="s">
        <v>69</v>
      </c>
      <c r="E356" s="121" t="s">
        <v>607</v>
      </c>
      <c r="F356" s="121" t="s">
        <v>608</v>
      </c>
      <c r="J356" s="122">
        <f>BK356</f>
        <v>0</v>
      </c>
      <c r="L356" s="112"/>
      <c r="M356" s="116"/>
      <c r="P356" s="117">
        <f>SUM(P357:P358)</f>
        <v>0</v>
      </c>
      <c r="R356" s="117">
        <f>SUM(R357:R358)</f>
        <v>0</v>
      </c>
      <c r="T356" s="118">
        <f>SUM(T357:T358)</f>
        <v>0</v>
      </c>
      <c r="AR356" s="113" t="s">
        <v>157</v>
      </c>
      <c r="AT356" s="119" t="s">
        <v>69</v>
      </c>
      <c r="AU356" s="119" t="s">
        <v>78</v>
      </c>
      <c r="AY356" s="113" t="s">
        <v>126</v>
      </c>
      <c r="BK356" s="120">
        <f>SUM(BK357:BK358)</f>
        <v>0</v>
      </c>
    </row>
    <row r="357" spans="2:65" s="1" customFormat="1" ht="16.5" customHeight="1">
      <c r="B357" s="123"/>
      <c r="C357" s="124" t="s">
        <v>609</v>
      </c>
      <c r="D357" s="124" t="s">
        <v>128</v>
      </c>
      <c r="E357" s="125" t="s">
        <v>610</v>
      </c>
      <c r="F357" s="126" t="s">
        <v>611</v>
      </c>
      <c r="G357" s="127" t="s">
        <v>183</v>
      </c>
      <c r="H357" s="128">
        <v>1</v>
      </c>
      <c r="I357" s="129"/>
      <c r="J357" s="129">
        <f>ROUND(I357*H357,2)</f>
        <v>0</v>
      </c>
      <c r="K357" s="126" t="s">
        <v>132</v>
      </c>
      <c r="L357" s="29"/>
      <c r="M357" s="130" t="s">
        <v>3</v>
      </c>
      <c r="N357" s="131" t="s">
        <v>41</v>
      </c>
      <c r="O357" s="132">
        <v>0</v>
      </c>
      <c r="P357" s="132">
        <f>O357*H357</f>
        <v>0</v>
      </c>
      <c r="Q357" s="132">
        <v>0</v>
      </c>
      <c r="R357" s="132">
        <f>Q357*H357</f>
        <v>0</v>
      </c>
      <c r="S357" s="132">
        <v>0</v>
      </c>
      <c r="T357" s="133">
        <f>S357*H357</f>
        <v>0</v>
      </c>
      <c r="AR357" s="134" t="s">
        <v>612</v>
      </c>
      <c r="AT357" s="134" t="s">
        <v>128</v>
      </c>
      <c r="AU357" s="134" t="s">
        <v>80</v>
      </c>
      <c r="AY357" s="17" t="s">
        <v>126</v>
      </c>
      <c r="BE357" s="135">
        <f>IF(N357="základní",J357,0)</f>
        <v>0</v>
      </c>
      <c r="BF357" s="135">
        <f>IF(N357="snížená",J357,0)</f>
        <v>0</v>
      </c>
      <c r="BG357" s="135">
        <f>IF(N357="zákl. přenesená",J357,0)</f>
        <v>0</v>
      </c>
      <c r="BH357" s="135">
        <f>IF(N357="sníž. přenesená",J357,0)</f>
        <v>0</v>
      </c>
      <c r="BI357" s="135">
        <f>IF(N357="nulová",J357,0)</f>
        <v>0</v>
      </c>
      <c r="BJ357" s="17" t="s">
        <v>78</v>
      </c>
      <c r="BK357" s="135">
        <f>ROUND(I357*H357,2)</f>
        <v>0</v>
      </c>
      <c r="BL357" s="17" t="s">
        <v>612</v>
      </c>
      <c r="BM357" s="134" t="s">
        <v>613</v>
      </c>
    </row>
    <row r="358" spans="2:47" s="1" customFormat="1" ht="12">
      <c r="B358" s="29"/>
      <c r="D358" s="136" t="s">
        <v>135</v>
      </c>
      <c r="F358" s="137" t="s">
        <v>614</v>
      </c>
      <c r="L358" s="29"/>
      <c r="M358" s="161"/>
      <c r="N358" s="162"/>
      <c r="O358" s="162"/>
      <c r="P358" s="162"/>
      <c r="Q358" s="162"/>
      <c r="R358" s="162"/>
      <c r="S358" s="162"/>
      <c r="T358" s="163"/>
      <c r="AT358" s="17" t="s">
        <v>135</v>
      </c>
      <c r="AU358" s="17" t="s">
        <v>80</v>
      </c>
    </row>
    <row r="359" spans="2:12" s="1" customFormat="1" ht="6.95" customHeight="1"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29"/>
    </row>
  </sheetData>
  <autoFilter ref="C95:K358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2_02/113106123"/>
    <hyperlink ref="F103" r:id="rId2" display="https://podminky.urs.cz/item/CS_URS_2022_02/113107123"/>
    <hyperlink ref="F106" r:id="rId3" display="https://podminky.urs.cz/item/CS_URS_2022_02/132212131"/>
    <hyperlink ref="F111" r:id="rId4" display="https://podminky.urs.cz/item/CS_URS_2022_02/162751117"/>
    <hyperlink ref="F117" r:id="rId5" display="https://podminky.urs.cz/item/CS_URS_2022_02/162751119"/>
    <hyperlink ref="F120" r:id="rId6" display="https://podminky.urs.cz/item/CS_URS_2022_02/167111101"/>
    <hyperlink ref="F126" r:id="rId7" display="https://podminky.urs.cz/item/CS_URS_2022_02/171201221"/>
    <hyperlink ref="F129" r:id="rId8" display="https://podminky.urs.cz/item/CS_URS_2022_02/171251201"/>
    <hyperlink ref="F133" r:id="rId9" display="https://podminky.urs.cz/item/CS_URS_2022_02/943211112"/>
    <hyperlink ref="F136" r:id="rId10" display="https://podminky.urs.cz/item/CS_URS_2022_02/943211212"/>
    <hyperlink ref="F139" r:id="rId11" display="https://podminky.urs.cz/item/CS_URS_2022_02/943211812"/>
    <hyperlink ref="F141" r:id="rId12" display="https://podminky.urs.cz/item/CS_URS_2022_02/962031133"/>
    <hyperlink ref="F144" r:id="rId13" display="https://podminky.urs.cz/item/CS_URS_2022_02/962032230"/>
    <hyperlink ref="F149" r:id="rId14" display="https://podminky.urs.cz/item/CS_URS_2022_02/962032631"/>
    <hyperlink ref="F152" r:id="rId15" display="https://podminky.urs.cz/item/CS_URS_2022_02/964011221"/>
    <hyperlink ref="F155" r:id="rId16" display="https://podminky.urs.cz/item/CS_URS_2022_02/965041341"/>
    <hyperlink ref="F158" r:id="rId17" display="https://podminky.urs.cz/item/CS_URS_2022_02/965081113"/>
    <hyperlink ref="F163" r:id="rId18" display="https://podminky.urs.cz/item/CS_URS_2022_02/965082923"/>
    <hyperlink ref="F166" r:id="rId19" display="https://podminky.urs.cz/item/CS_URS_2022_02/966031313"/>
    <hyperlink ref="F169" r:id="rId20" display="https://podminky.urs.cz/item/CS_URS_2022_02/966031314"/>
    <hyperlink ref="F174" r:id="rId21" display="https://podminky.urs.cz/item/CS_URS_2022_02/967042712"/>
    <hyperlink ref="F177" r:id="rId22" display="https://podminky.urs.cz/item/CS_URS_2022_02/968062246"/>
    <hyperlink ref="F183" r:id="rId23" display="https://podminky.urs.cz/item/CS_URS_2022_02/968072455"/>
    <hyperlink ref="F186" r:id="rId24" display="https://podminky.urs.cz/item/CS_URS_2022_02/968072456"/>
    <hyperlink ref="F189" r:id="rId25" display="https://podminky.urs.cz/item/CS_URS_2022_02/973031151"/>
    <hyperlink ref="F195" r:id="rId26" display="https://podminky.urs.cz/item/CS_URS_2022_02/973031335"/>
    <hyperlink ref="F201" r:id="rId27" display="https://podminky.urs.cz/item/CS_URS_2022_02/975121321"/>
    <hyperlink ref="F204" r:id="rId28" display="https://podminky.urs.cz/item/CS_URS_2022_02/975121322"/>
    <hyperlink ref="F207" r:id="rId29" display="https://podminky.urs.cz/item/CS_URS_2022_02/975121323"/>
    <hyperlink ref="F209" r:id="rId30" display="https://podminky.urs.cz/item/CS_URS_2022_02/975121421"/>
    <hyperlink ref="F212" r:id="rId31" display="https://podminky.urs.cz/item/CS_URS_2022_02/975121422"/>
    <hyperlink ref="F215" r:id="rId32" display="https://podminky.urs.cz/item/CS_URS_2022_02/975121423"/>
    <hyperlink ref="F217" r:id="rId33" display="https://podminky.urs.cz/item/CS_URS_2022_02/978012191"/>
    <hyperlink ref="F220" r:id="rId34" display="https://podminky.urs.cz/item/CS_URS_2022_02/978013191"/>
    <hyperlink ref="F223" r:id="rId35" display="https://podminky.urs.cz/item/CS_URS_2022_02/978015391"/>
    <hyperlink ref="F227" r:id="rId36" display="https://podminky.urs.cz/item/CS_URS_2022_02/997013154"/>
    <hyperlink ref="F229" r:id="rId37" display="https://podminky.urs.cz/item/CS_URS_2022_02/997013312"/>
    <hyperlink ref="F231" r:id="rId38" display="https://podminky.urs.cz/item/CS_URS_2022_02/997013322"/>
    <hyperlink ref="F234" r:id="rId39" display="https://podminky.urs.cz/item/CS_URS_2022_02/997013501"/>
    <hyperlink ref="F236" r:id="rId40" display="https://podminky.urs.cz/item/CS_URS_2022_02/997013509"/>
    <hyperlink ref="F239" r:id="rId41" display="https://podminky.urs.cz/item/CS_URS_2022_02/997013631"/>
    <hyperlink ref="F243" r:id="rId42" display="https://podminky.urs.cz/item/CS_URS_2022_02/712340833"/>
    <hyperlink ref="F246" r:id="rId43" display="https://podminky.urs.cz/item/CS_URS_2022_02/712341659"/>
    <hyperlink ref="F251" r:id="rId44" display="https://podminky.urs.cz/item/CS_URS_2022_02/998712203"/>
    <hyperlink ref="F263" r:id="rId45" display="https://podminky.urs.cz/item/CS_URS_2022_02/762331813"/>
    <hyperlink ref="F268" r:id="rId46" display="https://podminky.urs.cz/item/CS_URS_2022_02/762331814"/>
    <hyperlink ref="F271" r:id="rId47" display="https://podminky.urs.cz/item/CS_URS_2022_02/762341832"/>
    <hyperlink ref="F274" r:id="rId48" display="https://podminky.urs.cz/item/CS_URS_2022_02/762342812"/>
    <hyperlink ref="F279" r:id="rId49" display="https://podminky.urs.cz/item/CS_URS_2022_02/762521811"/>
    <hyperlink ref="F282" r:id="rId50" display="https://podminky.urs.cz/item/CS_URS_2022_02/762841811"/>
    <hyperlink ref="F285" r:id="rId51" display="https://podminky.urs.cz/item/CS_URS_2022_02/762841812"/>
    <hyperlink ref="F289" r:id="rId52" display="https://podminky.urs.cz/item/CS_URS_2022_02/764001891"/>
    <hyperlink ref="F292" r:id="rId53" display="https://podminky.urs.cz/item/CS_URS_2022_02/764002841"/>
    <hyperlink ref="F295" r:id="rId54" display="https://podminky.urs.cz/item/CS_URS_2022_02/764002851"/>
    <hyperlink ref="F301" r:id="rId55" display="https://podminky.urs.cz/item/CS_URS_2022_02/764002861"/>
    <hyperlink ref="F307" r:id="rId56" display="https://podminky.urs.cz/item/CS_URS_2022_02/764002871"/>
    <hyperlink ref="F310" r:id="rId57" display="https://podminky.urs.cz/item/CS_URS_2022_02/764004801"/>
    <hyperlink ref="F313" r:id="rId58" display="https://podminky.urs.cz/item/CS_URS_2022_02/764004861"/>
    <hyperlink ref="F316" r:id="rId59" display="https://podminky.urs.cz/item/CS_URS_2022_02/764004863"/>
    <hyperlink ref="F319" r:id="rId60" display="https://podminky.urs.cz/item/CS_URS_2022_02/764508131"/>
    <hyperlink ref="F325" r:id="rId61" display="https://podminky.urs.cz/item/CS_URS_2022_02/765111801"/>
    <hyperlink ref="F328" r:id="rId62" display="https://podminky.urs.cz/item/CS_URS_2022_02/765111811"/>
    <hyperlink ref="F330" r:id="rId63" display="https://podminky.urs.cz/item/CS_URS_2022_02/765111861"/>
    <hyperlink ref="F333" r:id="rId64" display="https://podminky.urs.cz/item/CS_URS_2022_02/765111881"/>
    <hyperlink ref="F335" r:id="rId65" display="https://podminky.urs.cz/item/CS_URS_2022_02/765192001"/>
    <hyperlink ref="F341" r:id="rId66" display="https://podminky.urs.cz/item/CS_URS_2022_02/766441812"/>
    <hyperlink ref="F346" r:id="rId67" display="https://podminky.urs.cz/item/CS_URS_2022_02/766441822"/>
    <hyperlink ref="F349" r:id="rId68" display="https://podminky.urs.cz/item/CS_URS_2022_02/766674811"/>
    <hyperlink ref="F353" r:id="rId69" display="https://podminky.urs.cz/item/CS_URS_2022_02/771573810"/>
    <hyperlink ref="F358" r:id="rId70" display="https://podminky.urs.cz/item/CS_URS_2022_02/094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490" t="s">
        <v>6</v>
      </c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17" t="s">
        <v>83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87</v>
      </c>
      <c r="L4" s="20"/>
      <c r="M4" s="8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505" t="str">
        <f>'Rekapitulace stavby'!K6</f>
        <v>gymnáziu Hostivice - rekonstrukce gymnázia II.etapa</v>
      </c>
      <c r="F7" s="506"/>
      <c r="G7" s="506"/>
      <c r="H7" s="506"/>
      <c r="L7" s="20"/>
    </row>
    <row r="8" spans="2:12" s="1" customFormat="1" ht="12" customHeight="1">
      <c r="B8" s="29"/>
      <c r="D8" s="26" t="s">
        <v>88</v>
      </c>
      <c r="L8" s="29"/>
    </row>
    <row r="9" spans="2:12" s="1" customFormat="1" ht="16.5" customHeight="1">
      <c r="B9" s="29"/>
      <c r="E9" s="491" t="s">
        <v>615</v>
      </c>
      <c r="F9" s="504"/>
      <c r="G9" s="504"/>
      <c r="H9" s="504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17</v>
      </c>
      <c r="F11" s="24" t="s">
        <v>3</v>
      </c>
      <c r="I11" s="26" t="s">
        <v>18</v>
      </c>
      <c r="J11" s="24" t="s">
        <v>3</v>
      </c>
      <c r="L11" s="29"/>
    </row>
    <row r="12" spans="2:12" s="1" customFormat="1" ht="12" customHeight="1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9. 12. 2022</v>
      </c>
      <c r="L12" s="29"/>
    </row>
    <row r="13" spans="2:12" s="1" customFormat="1" ht="10.7" customHeight="1">
      <c r="B13" s="29"/>
      <c r="L13" s="29"/>
    </row>
    <row r="14" spans="2:12" s="1" customFormat="1" ht="12" customHeight="1">
      <c r="B14" s="29"/>
      <c r="D14" s="26" t="s">
        <v>23</v>
      </c>
      <c r="I14" s="26" t="s">
        <v>24</v>
      </c>
      <c r="J14" s="24" t="s">
        <v>3</v>
      </c>
      <c r="L14" s="29"/>
    </row>
    <row r="15" spans="2:12" s="1" customFormat="1" ht="18" customHeight="1">
      <c r="B15" s="29"/>
      <c r="E15" s="24" t="s">
        <v>25</v>
      </c>
      <c r="I15" s="26" t="s">
        <v>26</v>
      </c>
      <c r="J15" s="24" t="s">
        <v>3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27</v>
      </c>
      <c r="I17" s="26" t="s">
        <v>24</v>
      </c>
      <c r="J17" s="24" t="str">
        <f>'Rekapitulace stavby'!AN13</f>
        <v/>
      </c>
      <c r="L17" s="29"/>
    </row>
    <row r="18" spans="2:12" s="1" customFormat="1" ht="18" customHeight="1">
      <c r="B18" s="29"/>
      <c r="E18" s="471" t="str">
        <f>'Rekapitulace stavby'!E14</f>
        <v xml:space="preserve"> </v>
      </c>
      <c r="F18" s="471"/>
      <c r="G18" s="471"/>
      <c r="H18" s="471"/>
      <c r="I18" s="26" t="s">
        <v>26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29</v>
      </c>
      <c r="I20" s="26" t="s">
        <v>24</v>
      </c>
      <c r="J20" s="24" t="s">
        <v>30</v>
      </c>
      <c r="L20" s="29"/>
    </row>
    <row r="21" spans="2:12" s="1" customFormat="1" ht="18" customHeight="1">
      <c r="B21" s="29"/>
      <c r="E21" s="24" t="s">
        <v>31</v>
      </c>
      <c r="I21" s="26" t="s">
        <v>26</v>
      </c>
      <c r="J21" s="24" t="s">
        <v>3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33</v>
      </c>
      <c r="I23" s="26" t="s">
        <v>24</v>
      </c>
      <c r="J23" s="24" t="s">
        <v>3</v>
      </c>
      <c r="L23" s="29"/>
    </row>
    <row r="24" spans="2:12" s="1" customFormat="1" ht="18" customHeight="1">
      <c r="B24" s="29"/>
      <c r="E24" s="24" t="s">
        <v>31</v>
      </c>
      <c r="I24" s="26" t="s">
        <v>26</v>
      </c>
      <c r="J24" s="24" t="s">
        <v>3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34</v>
      </c>
      <c r="L26" s="29"/>
    </row>
    <row r="27" spans="2:12" s="7" customFormat="1" ht="16.5" customHeight="1">
      <c r="B27" s="82"/>
      <c r="E27" s="474" t="s">
        <v>3</v>
      </c>
      <c r="F27" s="474"/>
      <c r="G27" s="474"/>
      <c r="H27" s="474"/>
      <c r="L27" s="8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83" t="s">
        <v>36</v>
      </c>
      <c r="J30" s="59">
        <f>ROUND(J111,2)</f>
        <v>0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38</v>
      </c>
      <c r="I32" s="32" t="s">
        <v>37</v>
      </c>
      <c r="J32" s="32" t="s">
        <v>39</v>
      </c>
      <c r="L32" s="29"/>
    </row>
    <row r="33" spans="2:12" s="1" customFormat="1" ht="14.45" customHeight="1">
      <c r="B33" s="29"/>
      <c r="D33" s="84" t="s">
        <v>40</v>
      </c>
      <c r="E33" s="26" t="s">
        <v>41</v>
      </c>
      <c r="F33" s="85">
        <f>ROUND((SUM(BE111:BE1304)),2)</f>
        <v>0</v>
      </c>
      <c r="I33" s="86">
        <v>0.21</v>
      </c>
      <c r="J33" s="85">
        <f>ROUND(((SUM(BE111:BE1304))*I33),2)</f>
        <v>0</v>
      </c>
      <c r="L33" s="29"/>
    </row>
    <row r="34" spans="2:12" s="1" customFormat="1" ht="14.45" customHeight="1">
      <c r="B34" s="29"/>
      <c r="E34" s="26" t="s">
        <v>42</v>
      </c>
      <c r="F34" s="85">
        <f>ROUND((SUM(BF111:BF1304)),2)</f>
        <v>0</v>
      </c>
      <c r="I34" s="86">
        <v>0.15</v>
      </c>
      <c r="J34" s="85">
        <f>ROUND(((SUM(BF111:BF1304))*I34),2)</f>
        <v>0</v>
      </c>
      <c r="L34" s="29"/>
    </row>
    <row r="35" spans="2:12" s="1" customFormat="1" ht="14.45" customHeight="1" hidden="1">
      <c r="B35" s="29"/>
      <c r="E35" s="26" t="s">
        <v>43</v>
      </c>
      <c r="F35" s="85">
        <f>ROUND((SUM(BG111:BG1304)),2)</f>
        <v>0</v>
      </c>
      <c r="I35" s="86">
        <v>0.21</v>
      </c>
      <c r="J35" s="85">
        <f>0</f>
        <v>0</v>
      </c>
      <c r="L35" s="29"/>
    </row>
    <row r="36" spans="2:12" s="1" customFormat="1" ht="14.45" customHeight="1" hidden="1">
      <c r="B36" s="29"/>
      <c r="E36" s="26" t="s">
        <v>44</v>
      </c>
      <c r="F36" s="85">
        <f>ROUND((SUM(BH111:BH1304)),2)</f>
        <v>0</v>
      </c>
      <c r="I36" s="86">
        <v>0.15</v>
      </c>
      <c r="J36" s="85">
        <f>0</f>
        <v>0</v>
      </c>
      <c r="L36" s="29"/>
    </row>
    <row r="37" spans="2:12" s="1" customFormat="1" ht="14.45" customHeight="1" hidden="1">
      <c r="B37" s="29"/>
      <c r="E37" s="26" t="s">
        <v>45</v>
      </c>
      <c r="F37" s="85">
        <f>ROUND((SUM(BI111:BI1304)),2)</f>
        <v>0</v>
      </c>
      <c r="I37" s="86">
        <v>0</v>
      </c>
      <c r="J37" s="85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7"/>
      <c r="D39" s="88" t="s">
        <v>46</v>
      </c>
      <c r="E39" s="50"/>
      <c r="F39" s="50"/>
      <c r="G39" s="89" t="s">
        <v>47</v>
      </c>
      <c r="H39" s="90" t="s">
        <v>48</v>
      </c>
      <c r="I39" s="50"/>
      <c r="J39" s="91">
        <f>SUM(J30:J37)</f>
        <v>0</v>
      </c>
      <c r="K39" s="92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21" t="s">
        <v>90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6" t="s">
        <v>15</v>
      </c>
      <c r="L47" s="29"/>
    </row>
    <row r="48" spans="2:12" s="1" customFormat="1" ht="16.5" customHeight="1">
      <c r="B48" s="29"/>
      <c r="E48" s="505" t="str">
        <f>E7</f>
        <v>gymnáziu Hostivice - rekonstrukce gymnázia II.etapa</v>
      </c>
      <c r="F48" s="506"/>
      <c r="G48" s="506"/>
      <c r="H48" s="506"/>
      <c r="L48" s="29"/>
    </row>
    <row r="49" spans="2:12" s="1" customFormat="1" ht="12" customHeight="1">
      <c r="B49" s="29"/>
      <c r="C49" s="26" t="s">
        <v>88</v>
      </c>
      <c r="L49" s="29"/>
    </row>
    <row r="50" spans="2:12" s="1" customFormat="1" ht="16.5" customHeight="1">
      <c r="B50" s="29"/>
      <c r="E50" s="491" t="str">
        <f>E9</f>
        <v>02 - Nové konstrukce</v>
      </c>
      <c r="F50" s="504"/>
      <c r="G50" s="504"/>
      <c r="H50" s="504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6" t="s">
        <v>19</v>
      </c>
      <c r="F52" s="24" t="str">
        <f>F12</f>
        <v>Gymnázium Hostivice, Komenského 141</v>
      </c>
      <c r="I52" s="26" t="s">
        <v>21</v>
      </c>
      <c r="J52" s="46" t="str">
        <f>IF(J12="","",J12)</f>
        <v>9. 12. 2022</v>
      </c>
      <c r="L52" s="29"/>
    </row>
    <row r="53" spans="2:12" s="1" customFormat="1" ht="6.95" customHeight="1">
      <c r="B53" s="29"/>
      <c r="L53" s="29"/>
    </row>
    <row r="54" spans="2:12" s="1" customFormat="1" ht="15.2" customHeight="1">
      <c r="B54" s="29"/>
      <c r="C54" s="26" t="s">
        <v>23</v>
      </c>
      <c r="F54" s="24" t="str">
        <f>E15</f>
        <v>Středočeský kraj, Zborovská 81/11, Praha 5</v>
      </c>
      <c r="I54" s="26" t="s">
        <v>29</v>
      </c>
      <c r="J54" s="27" t="str">
        <f>E21</f>
        <v>Ing. Petr Petele</v>
      </c>
      <c r="L54" s="29"/>
    </row>
    <row r="55" spans="2:12" s="1" customFormat="1" ht="15.2" customHeight="1">
      <c r="B55" s="29"/>
      <c r="C55" s="26" t="s">
        <v>27</v>
      </c>
      <c r="F55" s="24" t="str">
        <f>IF(E18="","",E18)</f>
        <v xml:space="preserve"> </v>
      </c>
      <c r="I55" s="26" t="s">
        <v>33</v>
      </c>
      <c r="J55" s="27" t="str">
        <f>E24</f>
        <v>Ing. Petr Petele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3" t="s">
        <v>91</v>
      </c>
      <c r="D57" s="87"/>
      <c r="E57" s="87"/>
      <c r="F57" s="87"/>
      <c r="G57" s="87"/>
      <c r="H57" s="87"/>
      <c r="I57" s="87"/>
      <c r="J57" s="94" t="s">
        <v>92</v>
      </c>
      <c r="K57" s="87"/>
      <c r="L57" s="29"/>
    </row>
    <row r="58" spans="2:12" s="1" customFormat="1" ht="10.35" customHeight="1">
      <c r="B58" s="29"/>
      <c r="L58" s="29"/>
    </row>
    <row r="59" spans="2:47" s="1" customFormat="1" ht="22.7" customHeight="1">
      <c r="B59" s="29"/>
      <c r="C59" s="95" t="s">
        <v>68</v>
      </c>
      <c r="J59" s="59">
        <f>J111</f>
        <v>0</v>
      </c>
      <c r="L59" s="29"/>
      <c r="AU59" s="17" t="s">
        <v>93</v>
      </c>
    </row>
    <row r="60" spans="2:12" s="8" customFormat="1" ht="24.95" customHeight="1">
      <c r="B60" s="96"/>
      <c r="D60" s="97" t="s">
        <v>94</v>
      </c>
      <c r="E60" s="98"/>
      <c r="F60" s="98"/>
      <c r="G60" s="98"/>
      <c r="H60" s="98"/>
      <c r="I60" s="98"/>
      <c r="J60" s="99">
        <f>J112</f>
        <v>0</v>
      </c>
      <c r="L60" s="96"/>
    </row>
    <row r="61" spans="2:12" s="9" customFormat="1" ht="19.9" customHeight="1">
      <c r="B61" s="100"/>
      <c r="D61" s="101" t="s">
        <v>616</v>
      </c>
      <c r="E61" s="102"/>
      <c r="F61" s="102"/>
      <c r="G61" s="102"/>
      <c r="H61" s="102"/>
      <c r="I61" s="102"/>
      <c r="J61" s="103">
        <f>J113</f>
        <v>0</v>
      </c>
      <c r="L61" s="100"/>
    </row>
    <row r="62" spans="2:12" s="9" customFormat="1" ht="19.9" customHeight="1">
      <c r="B62" s="100"/>
      <c r="D62" s="101" t="s">
        <v>617</v>
      </c>
      <c r="E62" s="102"/>
      <c r="F62" s="102"/>
      <c r="G62" s="102"/>
      <c r="H62" s="102"/>
      <c r="I62" s="102"/>
      <c r="J62" s="103">
        <f>J145</f>
        <v>0</v>
      </c>
      <c r="L62" s="100"/>
    </row>
    <row r="63" spans="2:12" s="9" customFormat="1" ht="19.9" customHeight="1">
      <c r="B63" s="100"/>
      <c r="D63" s="101" t="s">
        <v>618</v>
      </c>
      <c r="E63" s="102"/>
      <c r="F63" s="102"/>
      <c r="G63" s="102"/>
      <c r="H63" s="102"/>
      <c r="I63" s="102"/>
      <c r="J63" s="103">
        <f>J183</f>
        <v>0</v>
      </c>
      <c r="L63" s="100"/>
    </row>
    <row r="64" spans="2:12" s="9" customFormat="1" ht="19.9" customHeight="1">
      <c r="B64" s="100"/>
      <c r="D64" s="101" t="s">
        <v>619</v>
      </c>
      <c r="E64" s="102"/>
      <c r="F64" s="102"/>
      <c r="G64" s="102"/>
      <c r="H64" s="102"/>
      <c r="I64" s="102"/>
      <c r="J64" s="103">
        <f>J232</f>
        <v>0</v>
      </c>
      <c r="L64" s="100"/>
    </row>
    <row r="65" spans="2:12" s="9" customFormat="1" ht="19.9" customHeight="1">
      <c r="B65" s="100"/>
      <c r="D65" s="101" t="s">
        <v>620</v>
      </c>
      <c r="E65" s="102"/>
      <c r="F65" s="102"/>
      <c r="G65" s="102"/>
      <c r="H65" s="102"/>
      <c r="I65" s="102"/>
      <c r="J65" s="103">
        <f>J241</f>
        <v>0</v>
      </c>
      <c r="L65" s="100"/>
    </row>
    <row r="66" spans="2:12" s="9" customFormat="1" ht="19.9" customHeight="1">
      <c r="B66" s="100"/>
      <c r="D66" s="101" t="s">
        <v>96</v>
      </c>
      <c r="E66" s="102"/>
      <c r="F66" s="102"/>
      <c r="G66" s="102"/>
      <c r="H66" s="102"/>
      <c r="I66" s="102"/>
      <c r="J66" s="103">
        <f>J372</f>
        <v>0</v>
      </c>
      <c r="L66" s="100"/>
    </row>
    <row r="67" spans="2:12" s="9" customFormat="1" ht="19.9" customHeight="1">
      <c r="B67" s="100"/>
      <c r="D67" s="101" t="s">
        <v>97</v>
      </c>
      <c r="E67" s="102"/>
      <c r="F67" s="102"/>
      <c r="G67" s="102"/>
      <c r="H67" s="102"/>
      <c r="I67" s="102"/>
      <c r="J67" s="103">
        <f>J415</f>
        <v>0</v>
      </c>
      <c r="L67" s="100"/>
    </row>
    <row r="68" spans="2:12" s="9" customFormat="1" ht="19.9" customHeight="1">
      <c r="B68" s="100"/>
      <c r="D68" s="101" t="s">
        <v>621</v>
      </c>
      <c r="E68" s="102"/>
      <c r="F68" s="102"/>
      <c r="G68" s="102"/>
      <c r="H68" s="102"/>
      <c r="I68" s="102"/>
      <c r="J68" s="103">
        <f>J425</f>
        <v>0</v>
      </c>
      <c r="L68" s="100"/>
    </row>
    <row r="69" spans="2:12" s="8" customFormat="1" ht="24.95" customHeight="1">
      <c r="B69" s="96"/>
      <c r="D69" s="97" t="s">
        <v>98</v>
      </c>
      <c r="E69" s="98"/>
      <c r="F69" s="98"/>
      <c r="G69" s="98"/>
      <c r="H69" s="98"/>
      <c r="I69" s="98"/>
      <c r="J69" s="99">
        <f>J428</f>
        <v>0</v>
      </c>
      <c r="L69" s="96"/>
    </row>
    <row r="70" spans="2:12" s="9" customFormat="1" ht="19.9" customHeight="1">
      <c r="B70" s="100"/>
      <c r="D70" s="101" t="s">
        <v>622</v>
      </c>
      <c r="E70" s="102"/>
      <c r="F70" s="102"/>
      <c r="G70" s="102"/>
      <c r="H70" s="102"/>
      <c r="I70" s="102"/>
      <c r="J70" s="103">
        <f>J429</f>
        <v>0</v>
      </c>
      <c r="L70" s="100"/>
    </row>
    <row r="71" spans="2:12" s="9" customFormat="1" ht="19.9" customHeight="1">
      <c r="B71" s="100"/>
      <c r="D71" s="101" t="s">
        <v>623</v>
      </c>
      <c r="E71" s="102"/>
      <c r="F71" s="102"/>
      <c r="G71" s="102"/>
      <c r="H71" s="102"/>
      <c r="I71" s="102"/>
      <c r="J71" s="103">
        <f>J442</f>
        <v>0</v>
      </c>
      <c r="L71" s="100"/>
    </row>
    <row r="72" spans="2:12" s="9" customFormat="1" ht="19.9" customHeight="1">
      <c r="B72" s="100"/>
      <c r="D72" s="101" t="s">
        <v>100</v>
      </c>
      <c r="E72" s="102"/>
      <c r="F72" s="102"/>
      <c r="G72" s="102"/>
      <c r="H72" s="102"/>
      <c r="I72" s="102"/>
      <c r="J72" s="103">
        <f>J497</f>
        <v>0</v>
      </c>
      <c r="L72" s="100"/>
    </row>
    <row r="73" spans="2:12" s="9" customFormat="1" ht="19.9" customHeight="1">
      <c r="B73" s="100"/>
      <c r="D73" s="101" t="s">
        <v>101</v>
      </c>
      <c r="E73" s="102"/>
      <c r="F73" s="102"/>
      <c r="G73" s="102"/>
      <c r="H73" s="102"/>
      <c r="I73" s="102"/>
      <c r="J73" s="103">
        <f>J501</f>
        <v>0</v>
      </c>
      <c r="L73" s="100"/>
    </row>
    <row r="74" spans="2:12" s="9" customFormat="1" ht="19.9" customHeight="1">
      <c r="B74" s="100"/>
      <c r="D74" s="101" t="s">
        <v>624</v>
      </c>
      <c r="E74" s="102"/>
      <c r="F74" s="102"/>
      <c r="G74" s="102"/>
      <c r="H74" s="102"/>
      <c r="I74" s="102"/>
      <c r="J74" s="103">
        <f>J504</f>
        <v>0</v>
      </c>
      <c r="L74" s="100"/>
    </row>
    <row r="75" spans="2:12" s="9" customFormat="1" ht="19.9" customHeight="1">
      <c r="B75" s="100"/>
      <c r="D75" s="101" t="s">
        <v>103</v>
      </c>
      <c r="E75" s="102"/>
      <c r="F75" s="102"/>
      <c r="G75" s="102"/>
      <c r="H75" s="102"/>
      <c r="I75" s="102"/>
      <c r="J75" s="103">
        <f>J508</f>
        <v>0</v>
      </c>
      <c r="L75" s="100"/>
    </row>
    <row r="76" spans="2:12" s="9" customFormat="1" ht="19.9" customHeight="1">
      <c r="B76" s="100"/>
      <c r="D76" s="101" t="s">
        <v>104</v>
      </c>
      <c r="E76" s="102"/>
      <c r="F76" s="102"/>
      <c r="G76" s="102"/>
      <c r="H76" s="102"/>
      <c r="I76" s="102"/>
      <c r="J76" s="103">
        <f>J511</f>
        <v>0</v>
      </c>
      <c r="L76" s="100"/>
    </row>
    <row r="77" spans="2:12" s="9" customFormat="1" ht="19.9" customHeight="1">
      <c r="B77" s="100"/>
      <c r="D77" s="101" t="s">
        <v>625</v>
      </c>
      <c r="E77" s="102"/>
      <c r="F77" s="102"/>
      <c r="G77" s="102"/>
      <c r="H77" s="102"/>
      <c r="I77" s="102"/>
      <c r="J77" s="103">
        <f>J623</f>
        <v>0</v>
      </c>
      <c r="L77" s="100"/>
    </row>
    <row r="78" spans="2:12" s="9" customFormat="1" ht="19.9" customHeight="1">
      <c r="B78" s="100"/>
      <c r="D78" s="101" t="s">
        <v>105</v>
      </c>
      <c r="E78" s="102"/>
      <c r="F78" s="102"/>
      <c r="G78" s="102"/>
      <c r="H78" s="102"/>
      <c r="I78" s="102"/>
      <c r="J78" s="103">
        <f>J688</f>
        <v>0</v>
      </c>
      <c r="L78" s="100"/>
    </row>
    <row r="79" spans="2:12" s="9" customFormat="1" ht="19.9" customHeight="1">
      <c r="B79" s="100"/>
      <c r="D79" s="101" t="s">
        <v>106</v>
      </c>
      <c r="E79" s="102"/>
      <c r="F79" s="102"/>
      <c r="G79" s="102"/>
      <c r="H79" s="102"/>
      <c r="I79" s="102"/>
      <c r="J79" s="103">
        <f>J745</f>
        <v>0</v>
      </c>
      <c r="L79" s="100"/>
    </row>
    <row r="80" spans="2:12" s="9" customFormat="1" ht="19.9" customHeight="1">
      <c r="B80" s="100"/>
      <c r="D80" s="101" t="s">
        <v>107</v>
      </c>
      <c r="E80" s="102"/>
      <c r="F80" s="102"/>
      <c r="G80" s="102"/>
      <c r="H80" s="102"/>
      <c r="I80" s="102"/>
      <c r="J80" s="103">
        <f>J828</f>
        <v>0</v>
      </c>
      <c r="L80" s="100"/>
    </row>
    <row r="81" spans="2:12" s="9" customFormat="1" ht="19.9" customHeight="1">
      <c r="B81" s="100"/>
      <c r="D81" s="101" t="s">
        <v>626</v>
      </c>
      <c r="E81" s="102"/>
      <c r="F81" s="102"/>
      <c r="G81" s="102"/>
      <c r="H81" s="102"/>
      <c r="I81" s="102"/>
      <c r="J81" s="103">
        <f>J904</f>
        <v>0</v>
      </c>
      <c r="L81" s="100"/>
    </row>
    <row r="82" spans="2:12" s="9" customFormat="1" ht="19.9" customHeight="1">
      <c r="B82" s="100"/>
      <c r="D82" s="101" t="s">
        <v>108</v>
      </c>
      <c r="E82" s="102"/>
      <c r="F82" s="102"/>
      <c r="G82" s="102"/>
      <c r="H82" s="102"/>
      <c r="I82" s="102"/>
      <c r="J82" s="103">
        <f>J1007</f>
        <v>0</v>
      </c>
      <c r="L82" s="100"/>
    </row>
    <row r="83" spans="2:12" s="9" customFormat="1" ht="19.9" customHeight="1">
      <c r="B83" s="100"/>
      <c r="D83" s="101" t="s">
        <v>627</v>
      </c>
      <c r="E83" s="102"/>
      <c r="F83" s="102"/>
      <c r="G83" s="102"/>
      <c r="H83" s="102"/>
      <c r="I83" s="102"/>
      <c r="J83" s="103">
        <f>J1104</f>
        <v>0</v>
      </c>
      <c r="L83" s="100"/>
    </row>
    <row r="84" spans="2:12" s="9" customFormat="1" ht="19.9" customHeight="1">
      <c r="B84" s="100"/>
      <c r="D84" s="101" t="s">
        <v>628</v>
      </c>
      <c r="E84" s="102"/>
      <c r="F84" s="102"/>
      <c r="G84" s="102"/>
      <c r="H84" s="102"/>
      <c r="I84" s="102"/>
      <c r="J84" s="103">
        <f>J1129</f>
        <v>0</v>
      </c>
      <c r="L84" s="100"/>
    </row>
    <row r="85" spans="2:12" s="9" customFormat="1" ht="19.9" customHeight="1">
      <c r="B85" s="100"/>
      <c r="D85" s="101" t="s">
        <v>629</v>
      </c>
      <c r="E85" s="102"/>
      <c r="F85" s="102"/>
      <c r="G85" s="102"/>
      <c r="H85" s="102"/>
      <c r="I85" s="102"/>
      <c r="J85" s="103">
        <f>J1147</f>
        <v>0</v>
      </c>
      <c r="L85" s="100"/>
    </row>
    <row r="86" spans="2:12" s="9" customFormat="1" ht="19.9" customHeight="1">
      <c r="B86" s="100"/>
      <c r="D86" s="101" t="s">
        <v>630</v>
      </c>
      <c r="E86" s="102"/>
      <c r="F86" s="102"/>
      <c r="G86" s="102"/>
      <c r="H86" s="102"/>
      <c r="I86" s="102"/>
      <c r="J86" s="103">
        <f>J1185</f>
        <v>0</v>
      </c>
      <c r="L86" s="100"/>
    </row>
    <row r="87" spans="2:12" s="9" customFormat="1" ht="19.9" customHeight="1">
      <c r="B87" s="100"/>
      <c r="D87" s="101" t="s">
        <v>631</v>
      </c>
      <c r="E87" s="102"/>
      <c r="F87" s="102"/>
      <c r="G87" s="102"/>
      <c r="H87" s="102"/>
      <c r="I87" s="102"/>
      <c r="J87" s="103">
        <f>J1193</f>
        <v>0</v>
      </c>
      <c r="L87" s="100"/>
    </row>
    <row r="88" spans="2:12" s="9" customFormat="1" ht="19.9" customHeight="1">
      <c r="B88" s="100"/>
      <c r="D88" s="101" t="s">
        <v>632</v>
      </c>
      <c r="E88" s="102"/>
      <c r="F88" s="102"/>
      <c r="G88" s="102"/>
      <c r="H88" s="102"/>
      <c r="I88" s="102"/>
      <c r="J88" s="103">
        <f>J1233</f>
        <v>0</v>
      </c>
      <c r="L88" s="100"/>
    </row>
    <row r="89" spans="2:12" s="9" customFormat="1" ht="19.9" customHeight="1">
      <c r="B89" s="100"/>
      <c r="D89" s="101" t="s">
        <v>633</v>
      </c>
      <c r="E89" s="102"/>
      <c r="F89" s="102"/>
      <c r="G89" s="102"/>
      <c r="H89" s="102"/>
      <c r="I89" s="102"/>
      <c r="J89" s="103">
        <f>J1285</f>
        <v>0</v>
      </c>
      <c r="L89" s="100"/>
    </row>
    <row r="90" spans="2:12" s="8" customFormat="1" ht="24.95" customHeight="1">
      <c r="B90" s="96"/>
      <c r="D90" s="97" t="s">
        <v>634</v>
      </c>
      <c r="E90" s="98"/>
      <c r="F90" s="98"/>
      <c r="G90" s="98"/>
      <c r="H90" s="98"/>
      <c r="I90" s="98"/>
      <c r="J90" s="99">
        <f>J1296</f>
        <v>0</v>
      </c>
      <c r="L90" s="96"/>
    </row>
    <row r="91" spans="2:12" s="8" customFormat="1" ht="24.95" customHeight="1">
      <c r="B91" s="96"/>
      <c r="D91" s="97" t="s">
        <v>635</v>
      </c>
      <c r="E91" s="98"/>
      <c r="F91" s="98"/>
      <c r="G91" s="98"/>
      <c r="H91" s="98"/>
      <c r="I91" s="98"/>
      <c r="J91" s="99">
        <f>J1300</f>
        <v>0</v>
      </c>
      <c r="L91" s="96"/>
    </row>
    <row r="92" spans="2:12" s="1" customFormat="1" ht="21.75" customHeight="1">
      <c r="B92" s="29"/>
      <c r="L92" s="29"/>
    </row>
    <row r="93" spans="2:12" s="1" customFormat="1" ht="6.95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29"/>
    </row>
    <row r="97" spans="2:12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29"/>
    </row>
    <row r="98" spans="2:12" s="1" customFormat="1" ht="24.95" customHeight="1">
      <c r="B98" s="29"/>
      <c r="C98" s="21" t="s">
        <v>111</v>
      </c>
      <c r="L98" s="29"/>
    </row>
    <row r="99" spans="2:12" s="1" customFormat="1" ht="6.95" customHeight="1">
      <c r="B99" s="29"/>
      <c r="L99" s="29"/>
    </row>
    <row r="100" spans="2:12" s="1" customFormat="1" ht="12" customHeight="1">
      <c r="B100" s="29"/>
      <c r="C100" s="26" t="s">
        <v>15</v>
      </c>
      <c r="L100" s="29"/>
    </row>
    <row r="101" spans="2:12" s="1" customFormat="1" ht="16.5" customHeight="1">
      <c r="B101" s="29"/>
      <c r="E101" s="505" t="str">
        <f>E7</f>
        <v>gymnáziu Hostivice - rekonstrukce gymnázia II.etapa</v>
      </c>
      <c r="F101" s="506"/>
      <c r="G101" s="506"/>
      <c r="H101" s="506"/>
      <c r="L101" s="29"/>
    </row>
    <row r="102" spans="2:12" s="1" customFormat="1" ht="12" customHeight="1">
      <c r="B102" s="29"/>
      <c r="C102" s="26" t="s">
        <v>88</v>
      </c>
      <c r="L102" s="29"/>
    </row>
    <row r="103" spans="2:12" s="1" customFormat="1" ht="16.5" customHeight="1">
      <c r="B103" s="29"/>
      <c r="E103" s="491" t="str">
        <f>E9</f>
        <v>02 - Nové konstrukce</v>
      </c>
      <c r="F103" s="504"/>
      <c r="G103" s="504"/>
      <c r="H103" s="504"/>
      <c r="L103" s="29"/>
    </row>
    <row r="104" spans="2:12" s="1" customFormat="1" ht="6.95" customHeight="1">
      <c r="B104" s="29"/>
      <c r="L104" s="29"/>
    </row>
    <row r="105" spans="2:12" s="1" customFormat="1" ht="12" customHeight="1">
      <c r="B105" s="29"/>
      <c r="C105" s="26" t="s">
        <v>19</v>
      </c>
      <c r="F105" s="24" t="str">
        <f>F12</f>
        <v>Gymnázium Hostivice, Komenského 141</v>
      </c>
      <c r="I105" s="26" t="s">
        <v>21</v>
      </c>
      <c r="J105" s="46" t="str">
        <f>IF(J12="","",J12)</f>
        <v>9. 12. 2022</v>
      </c>
      <c r="L105" s="29"/>
    </row>
    <row r="106" spans="2:12" s="1" customFormat="1" ht="6.95" customHeight="1">
      <c r="B106" s="29"/>
      <c r="L106" s="29"/>
    </row>
    <row r="107" spans="2:12" s="1" customFormat="1" ht="15.2" customHeight="1">
      <c r="B107" s="29"/>
      <c r="C107" s="26" t="s">
        <v>23</v>
      </c>
      <c r="F107" s="24" t="str">
        <f>E15</f>
        <v>Středočeský kraj, Zborovská 81/11, Praha 5</v>
      </c>
      <c r="I107" s="26" t="s">
        <v>29</v>
      </c>
      <c r="J107" s="27" t="str">
        <f>E21</f>
        <v>Ing. Petr Petele</v>
      </c>
      <c r="L107" s="29"/>
    </row>
    <row r="108" spans="2:12" s="1" customFormat="1" ht="15.2" customHeight="1">
      <c r="B108" s="29"/>
      <c r="C108" s="26" t="s">
        <v>27</v>
      </c>
      <c r="F108" s="24" t="str">
        <f>IF(E18="","",E18)</f>
        <v xml:space="preserve"> </v>
      </c>
      <c r="I108" s="26" t="s">
        <v>33</v>
      </c>
      <c r="J108" s="27" t="str">
        <f>E24</f>
        <v>Ing. Petr Petele</v>
      </c>
      <c r="L108" s="29"/>
    </row>
    <row r="109" spans="2:12" s="1" customFormat="1" ht="10.35" customHeight="1">
      <c r="B109" s="29"/>
      <c r="L109" s="29"/>
    </row>
    <row r="110" spans="2:20" s="10" customFormat="1" ht="29.25" customHeight="1">
      <c r="B110" s="104"/>
      <c r="C110" s="105" t="s">
        <v>112</v>
      </c>
      <c r="D110" s="106" t="s">
        <v>55</v>
      </c>
      <c r="E110" s="106" t="s">
        <v>51</v>
      </c>
      <c r="F110" s="106" t="s">
        <v>52</v>
      </c>
      <c r="G110" s="106" t="s">
        <v>113</v>
      </c>
      <c r="H110" s="106" t="s">
        <v>114</v>
      </c>
      <c r="I110" s="106" t="s">
        <v>115</v>
      </c>
      <c r="J110" s="106" t="s">
        <v>92</v>
      </c>
      <c r="K110" s="107" t="s">
        <v>116</v>
      </c>
      <c r="L110" s="104"/>
      <c r="M110" s="52" t="s">
        <v>3</v>
      </c>
      <c r="N110" s="53" t="s">
        <v>40</v>
      </c>
      <c r="O110" s="53" t="s">
        <v>117</v>
      </c>
      <c r="P110" s="53" t="s">
        <v>118</v>
      </c>
      <c r="Q110" s="53" t="s">
        <v>119</v>
      </c>
      <c r="R110" s="53" t="s">
        <v>120</v>
      </c>
      <c r="S110" s="53" t="s">
        <v>121</v>
      </c>
      <c r="T110" s="54" t="s">
        <v>122</v>
      </c>
    </row>
    <row r="111" spans="2:63" s="1" customFormat="1" ht="22.7" customHeight="1">
      <c r="B111" s="29"/>
      <c r="C111" s="57" t="s">
        <v>123</v>
      </c>
      <c r="J111" s="108">
        <f>BK111</f>
        <v>0</v>
      </c>
      <c r="L111" s="29"/>
      <c r="M111" s="55"/>
      <c r="N111" s="47"/>
      <c r="O111" s="47"/>
      <c r="P111" s="109">
        <f>P112+P428+P1296+P1300</f>
        <v>16122.37591</v>
      </c>
      <c r="Q111" s="47"/>
      <c r="R111" s="109">
        <f>R112+R428+R1296+R1300</f>
        <v>444.79848685999997</v>
      </c>
      <c r="S111" s="47"/>
      <c r="T111" s="110">
        <f>T112+T428+T1296+T1300</f>
        <v>24.698</v>
      </c>
      <c r="AT111" s="17" t="s">
        <v>69</v>
      </c>
      <c r="AU111" s="17" t="s">
        <v>93</v>
      </c>
      <c r="BK111" s="111">
        <f>BK112+BK428+BK1296+BK1300</f>
        <v>0</v>
      </c>
    </row>
    <row r="112" spans="2:63" s="11" customFormat="1" ht="25.9" customHeight="1">
      <c r="B112" s="112"/>
      <c r="D112" s="113" t="s">
        <v>69</v>
      </c>
      <c r="E112" s="114" t="s">
        <v>124</v>
      </c>
      <c r="F112" s="114" t="s">
        <v>125</v>
      </c>
      <c r="J112" s="115">
        <f>BK112</f>
        <v>0</v>
      </c>
      <c r="L112" s="112"/>
      <c r="M112" s="116"/>
      <c r="P112" s="117">
        <f>P113+P145+P183+P232+P241+P372+P415+P425</f>
        <v>3992.0378450000003</v>
      </c>
      <c r="R112" s="117">
        <f>R113+R145+R183+R232+R241+R372+R415+R425</f>
        <v>184.61241105</v>
      </c>
      <c r="T112" s="118">
        <f>T113+T145+T183+T232+T241+T372+T415+T425</f>
        <v>24.698</v>
      </c>
      <c r="AR112" s="113" t="s">
        <v>78</v>
      </c>
      <c r="AT112" s="119" t="s">
        <v>69</v>
      </c>
      <c r="AU112" s="119" t="s">
        <v>70</v>
      </c>
      <c r="AY112" s="113" t="s">
        <v>126</v>
      </c>
      <c r="BK112" s="120">
        <f>BK113+BK145+BK183+BK232+BK241+BK372+BK415+BK425</f>
        <v>0</v>
      </c>
    </row>
    <row r="113" spans="2:63" s="11" customFormat="1" ht="22.7" customHeight="1">
      <c r="B113" s="112"/>
      <c r="D113" s="113" t="s">
        <v>69</v>
      </c>
      <c r="E113" s="121" t="s">
        <v>80</v>
      </c>
      <c r="F113" s="121" t="s">
        <v>636</v>
      </c>
      <c r="J113" s="122">
        <f>BK113</f>
        <v>0</v>
      </c>
      <c r="L113" s="112"/>
      <c r="M113" s="116"/>
      <c r="P113" s="117">
        <f>SUM(P114:P144)</f>
        <v>17.666153</v>
      </c>
      <c r="R113" s="117">
        <f>SUM(R114:R144)</f>
        <v>12.93009156</v>
      </c>
      <c r="T113" s="118">
        <f>SUM(T114:T144)</f>
        <v>0</v>
      </c>
      <c r="AR113" s="113" t="s">
        <v>78</v>
      </c>
      <c r="AT113" s="119" t="s">
        <v>69</v>
      </c>
      <c r="AU113" s="119" t="s">
        <v>78</v>
      </c>
      <c r="AY113" s="113" t="s">
        <v>126</v>
      </c>
      <c r="BK113" s="120">
        <f>SUM(BK114:BK144)</f>
        <v>0</v>
      </c>
    </row>
    <row r="114" spans="2:65" s="1" customFormat="1" ht="21.75" customHeight="1">
      <c r="B114" s="123"/>
      <c r="C114" s="124" t="s">
        <v>78</v>
      </c>
      <c r="D114" s="124" t="s">
        <v>128</v>
      </c>
      <c r="E114" s="125" t="s">
        <v>637</v>
      </c>
      <c r="F114" s="126" t="s">
        <v>638</v>
      </c>
      <c r="G114" s="127" t="s">
        <v>131</v>
      </c>
      <c r="H114" s="128">
        <v>15.648</v>
      </c>
      <c r="I114" s="129"/>
      <c r="J114" s="129">
        <f>ROUND(I114*H114,2)</f>
        <v>0</v>
      </c>
      <c r="K114" s="126" t="s">
        <v>132</v>
      </c>
      <c r="L114" s="29"/>
      <c r="M114" s="130" t="s">
        <v>3</v>
      </c>
      <c r="N114" s="131" t="s">
        <v>41</v>
      </c>
      <c r="O114" s="132">
        <v>0.149</v>
      </c>
      <c r="P114" s="132">
        <f>O114*H114</f>
        <v>2.331552</v>
      </c>
      <c r="Q114" s="132">
        <v>0</v>
      </c>
      <c r="R114" s="132">
        <f>Q114*H114</f>
        <v>0</v>
      </c>
      <c r="S114" s="132">
        <v>0</v>
      </c>
      <c r="T114" s="133">
        <f>S114*H114</f>
        <v>0</v>
      </c>
      <c r="AR114" s="134" t="s">
        <v>133</v>
      </c>
      <c r="AT114" s="134" t="s">
        <v>128</v>
      </c>
      <c r="AU114" s="134" t="s">
        <v>80</v>
      </c>
      <c r="AY114" s="17" t="s">
        <v>126</v>
      </c>
      <c r="BE114" s="135">
        <f>IF(N114="základní",J114,0)</f>
        <v>0</v>
      </c>
      <c r="BF114" s="135">
        <f>IF(N114="snížená",J114,0)</f>
        <v>0</v>
      </c>
      <c r="BG114" s="135">
        <f>IF(N114="zákl. přenesená",J114,0)</f>
        <v>0</v>
      </c>
      <c r="BH114" s="135">
        <f>IF(N114="sníž. přenesená",J114,0)</f>
        <v>0</v>
      </c>
      <c r="BI114" s="135">
        <f>IF(N114="nulová",J114,0)</f>
        <v>0</v>
      </c>
      <c r="BJ114" s="17" t="s">
        <v>78</v>
      </c>
      <c r="BK114" s="135">
        <f>ROUND(I114*H114,2)</f>
        <v>0</v>
      </c>
      <c r="BL114" s="17" t="s">
        <v>133</v>
      </c>
      <c r="BM114" s="134" t="s">
        <v>639</v>
      </c>
    </row>
    <row r="115" spans="2:47" s="1" customFormat="1" ht="12">
      <c r="B115" s="29"/>
      <c r="D115" s="136" t="s">
        <v>135</v>
      </c>
      <c r="F115" s="137" t="s">
        <v>640</v>
      </c>
      <c r="L115" s="29"/>
      <c r="M115" s="138"/>
      <c r="T115" s="49"/>
      <c r="AT115" s="17" t="s">
        <v>135</v>
      </c>
      <c r="AU115" s="17" t="s">
        <v>80</v>
      </c>
    </row>
    <row r="116" spans="2:51" s="12" customFormat="1" ht="12">
      <c r="B116" s="139"/>
      <c r="D116" s="140" t="s">
        <v>137</v>
      </c>
      <c r="E116" s="141" t="s">
        <v>3</v>
      </c>
      <c r="F116" s="142" t="s">
        <v>641</v>
      </c>
      <c r="H116" s="143">
        <v>15.648</v>
      </c>
      <c r="L116" s="139"/>
      <c r="M116" s="144"/>
      <c r="T116" s="145"/>
      <c r="AT116" s="141" t="s">
        <v>137</v>
      </c>
      <c r="AU116" s="141" t="s">
        <v>80</v>
      </c>
      <c r="AV116" s="12" t="s">
        <v>80</v>
      </c>
      <c r="AW116" s="12" t="s">
        <v>32</v>
      </c>
      <c r="AX116" s="12" t="s">
        <v>78</v>
      </c>
      <c r="AY116" s="141" t="s">
        <v>126</v>
      </c>
    </row>
    <row r="117" spans="2:65" s="1" customFormat="1" ht="21.75" customHeight="1">
      <c r="B117" s="123"/>
      <c r="C117" s="124" t="s">
        <v>80</v>
      </c>
      <c r="D117" s="124" t="s">
        <v>128</v>
      </c>
      <c r="E117" s="125" t="s">
        <v>642</v>
      </c>
      <c r="F117" s="126" t="s">
        <v>643</v>
      </c>
      <c r="G117" s="127" t="s">
        <v>146</v>
      </c>
      <c r="H117" s="128">
        <v>2.347</v>
      </c>
      <c r="I117" s="129"/>
      <c r="J117" s="129">
        <f>ROUND(I117*H117,2)</f>
        <v>0</v>
      </c>
      <c r="K117" s="126" t="s">
        <v>132</v>
      </c>
      <c r="L117" s="29"/>
      <c r="M117" s="130" t="s">
        <v>3</v>
      </c>
      <c r="N117" s="131" t="s">
        <v>41</v>
      </c>
      <c r="O117" s="132">
        <v>0.629</v>
      </c>
      <c r="P117" s="132">
        <f>O117*H117</f>
        <v>1.476263</v>
      </c>
      <c r="Q117" s="132">
        <v>2.50187</v>
      </c>
      <c r="R117" s="132">
        <f>Q117*H117</f>
        <v>5.871888889999999</v>
      </c>
      <c r="S117" s="132">
        <v>0</v>
      </c>
      <c r="T117" s="133">
        <f>S117*H117</f>
        <v>0</v>
      </c>
      <c r="AR117" s="134" t="s">
        <v>133</v>
      </c>
      <c r="AT117" s="134" t="s">
        <v>128</v>
      </c>
      <c r="AU117" s="134" t="s">
        <v>80</v>
      </c>
      <c r="AY117" s="17" t="s">
        <v>126</v>
      </c>
      <c r="BE117" s="135">
        <f>IF(N117="základní",J117,0)</f>
        <v>0</v>
      </c>
      <c r="BF117" s="135">
        <f>IF(N117="snížená",J117,0)</f>
        <v>0</v>
      </c>
      <c r="BG117" s="135">
        <f>IF(N117="zákl. přenesená",J117,0)</f>
        <v>0</v>
      </c>
      <c r="BH117" s="135">
        <f>IF(N117="sníž. přenesená",J117,0)</f>
        <v>0</v>
      </c>
      <c r="BI117" s="135">
        <f>IF(N117="nulová",J117,0)</f>
        <v>0</v>
      </c>
      <c r="BJ117" s="17" t="s">
        <v>78</v>
      </c>
      <c r="BK117" s="135">
        <f>ROUND(I117*H117,2)</f>
        <v>0</v>
      </c>
      <c r="BL117" s="17" t="s">
        <v>133</v>
      </c>
      <c r="BM117" s="134" t="s">
        <v>644</v>
      </c>
    </row>
    <row r="118" spans="2:47" s="1" customFormat="1" ht="12">
      <c r="B118" s="29"/>
      <c r="D118" s="136" t="s">
        <v>135</v>
      </c>
      <c r="F118" s="137" t="s">
        <v>645</v>
      </c>
      <c r="L118" s="29"/>
      <c r="M118" s="138"/>
      <c r="T118" s="49"/>
      <c r="AT118" s="17" t="s">
        <v>135</v>
      </c>
      <c r="AU118" s="17" t="s">
        <v>80</v>
      </c>
    </row>
    <row r="119" spans="2:51" s="12" customFormat="1" ht="12">
      <c r="B119" s="139"/>
      <c r="D119" s="140" t="s">
        <v>137</v>
      </c>
      <c r="E119" s="141" t="s">
        <v>3</v>
      </c>
      <c r="F119" s="142" t="s">
        <v>646</v>
      </c>
      <c r="H119" s="143">
        <v>2.347</v>
      </c>
      <c r="L119" s="139"/>
      <c r="M119" s="144"/>
      <c r="T119" s="145"/>
      <c r="AT119" s="141" t="s">
        <v>137</v>
      </c>
      <c r="AU119" s="141" t="s">
        <v>80</v>
      </c>
      <c r="AV119" s="12" t="s">
        <v>80</v>
      </c>
      <c r="AW119" s="12" t="s">
        <v>32</v>
      </c>
      <c r="AX119" s="12" t="s">
        <v>78</v>
      </c>
      <c r="AY119" s="141" t="s">
        <v>126</v>
      </c>
    </row>
    <row r="120" spans="2:65" s="1" customFormat="1" ht="16.5" customHeight="1">
      <c r="B120" s="123"/>
      <c r="C120" s="124" t="s">
        <v>143</v>
      </c>
      <c r="D120" s="124" t="s">
        <v>128</v>
      </c>
      <c r="E120" s="125" t="s">
        <v>647</v>
      </c>
      <c r="F120" s="126" t="s">
        <v>648</v>
      </c>
      <c r="G120" s="127" t="s">
        <v>131</v>
      </c>
      <c r="H120" s="128">
        <v>0.782</v>
      </c>
      <c r="I120" s="129"/>
      <c r="J120" s="129">
        <f>ROUND(I120*H120,2)</f>
        <v>0</v>
      </c>
      <c r="K120" s="126" t="s">
        <v>132</v>
      </c>
      <c r="L120" s="29"/>
      <c r="M120" s="130" t="s">
        <v>3</v>
      </c>
      <c r="N120" s="131" t="s">
        <v>41</v>
      </c>
      <c r="O120" s="132">
        <v>0.3</v>
      </c>
      <c r="P120" s="132">
        <f>O120*H120</f>
        <v>0.2346</v>
      </c>
      <c r="Q120" s="132">
        <v>0.00247</v>
      </c>
      <c r="R120" s="132">
        <f>Q120*H120</f>
        <v>0.00193154</v>
      </c>
      <c r="S120" s="132">
        <v>0</v>
      </c>
      <c r="T120" s="133">
        <f>S120*H120</f>
        <v>0</v>
      </c>
      <c r="AR120" s="134" t="s">
        <v>133</v>
      </c>
      <c r="AT120" s="134" t="s">
        <v>128</v>
      </c>
      <c r="AU120" s="134" t="s">
        <v>80</v>
      </c>
      <c r="AY120" s="17" t="s">
        <v>126</v>
      </c>
      <c r="BE120" s="135">
        <f>IF(N120="základní",J120,0)</f>
        <v>0</v>
      </c>
      <c r="BF120" s="135">
        <f>IF(N120="snížená",J120,0)</f>
        <v>0</v>
      </c>
      <c r="BG120" s="135">
        <f>IF(N120="zákl. přenesená",J120,0)</f>
        <v>0</v>
      </c>
      <c r="BH120" s="135">
        <f>IF(N120="sníž. přenesená",J120,0)</f>
        <v>0</v>
      </c>
      <c r="BI120" s="135">
        <f>IF(N120="nulová",J120,0)</f>
        <v>0</v>
      </c>
      <c r="BJ120" s="17" t="s">
        <v>78</v>
      </c>
      <c r="BK120" s="135">
        <f>ROUND(I120*H120,2)</f>
        <v>0</v>
      </c>
      <c r="BL120" s="17" t="s">
        <v>133</v>
      </c>
      <c r="BM120" s="134" t="s">
        <v>649</v>
      </c>
    </row>
    <row r="121" spans="2:47" s="1" customFormat="1" ht="12">
      <c r="B121" s="29"/>
      <c r="D121" s="136" t="s">
        <v>135</v>
      </c>
      <c r="F121" s="137" t="s">
        <v>650</v>
      </c>
      <c r="L121" s="29"/>
      <c r="M121" s="138"/>
      <c r="T121" s="49"/>
      <c r="AT121" s="17" t="s">
        <v>135</v>
      </c>
      <c r="AU121" s="17" t="s">
        <v>80</v>
      </c>
    </row>
    <row r="122" spans="2:51" s="12" customFormat="1" ht="12">
      <c r="B122" s="139"/>
      <c r="D122" s="140" t="s">
        <v>137</v>
      </c>
      <c r="E122" s="141" t="s">
        <v>3</v>
      </c>
      <c r="F122" s="142" t="s">
        <v>651</v>
      </c>
      <c r="H122" s="143">
        <v>0.782</v>
      </c>
      <c r="L122" s="139"/>
      <c r="M122" s="144"/>
      <c r="T122" s="145"/>
      <c r="AT122" s="141" t="s">
        <v>137</v>
      </c>
      <c r="AU122" s="141" t="s">
        <v>80</v>
      </c>
      <c r="AV122" s="12" t="s">
        <v>80</v>
      </c>
      <c r="AW122" s="12" t="s">
        <v>32</v>
      </c>
      <c r="AX122" s="12" t="s">
        <v>78</v>
      </c>
      <c r="AY122" s="141" t="s">
        <v>126</v>
      </c>
    </row>
    <row r="123" spans="2:65" s="1" customFormat="1" ht="16.5" customHeight="1">
      <c r="B123" s="123"/>
      <c r="C123" s="124" t="s">
        <v>133</v>
      </c>
      <c r="D123" s="124" t="s">
        <v>128</v>
      </c>
      <c r="E123" s="125" t="s">
        <v>652</v>
      </c>
      <c r="F123" s="126" t="s">
        <v>653</v>
      </c>
      <c r="G123" s="127" t="s">
        <v>131</v>
      </c>
      <c r="H123" s="128">
        <v>0.782</v>
      </c>
      <c r="I123" s="129"/>
      <c r="J123" s="129">
        <f>ROUND(I123*H123,2)</f>
        <v>0</v>
      </c>
      <c r="K123" s="126" t="s">
        <v>132</v>
      </c>
      <c r="L123" s="29"/>
      <c r="M123" s="130" t="s">
        <v>3</v>
      </c>
      <c r="N123" s="131" t="s">
        <v>41</v>
      </c>
      <c r="O123" s="132">
        <v>0.152</v>
      </c>
      <c r="P123" s="132">
        <f>O123*H123</f>
        <v>0.118864</v>
      </c>
      <c r="Q123" s="132">
        <v>0</v>
      </c>
      <c r="R123" s="132">
        <f>Q123*H123</f>
        <v>0</v>
      </c>
      <c r="S123" s="132">
        <v>0</v>
      </c>
      <c r="T123" s="133">
        <f>S123*H123</f>
        <v>0</v>
      </c>
      <c r="AR123" s="134" t="s">
        <v>133</v>
      </c>
      <c r="AT123" s="134" t="s">
        <v>128</v>
      </c>
      <c r="AU123" s="134" t="s">
        <v>80</v>
      </c>
      <c r="AY123" s="17" t="s">
        <v>126</v>
      </c>
      <c r="BE123" s="135">
        <f>IF(N123="základní",J123,0)</f>
        <v>0</v>
      </c>
      <c r="BF123" s="135">
        <f>IF(N123="snížená",J123,0)</f>
        <v>0</v>
      </c>
      <c r="BG123" s="135">
        <f>IF(N123="zákl. přenesená",J123,0)</f>
        <v>0</v>
      </c>
      <c r="BH123" s="135">
        <f>IF(N123="sníž. přenesená",J123,0)</f>
        <v>0</v>
      </c>
      <c r="BI123" s="135">
        <f>IF(N123="nulová",J123,0)</f>
        <v>0</v>
      </c>
      <c r="BJ123" s="17" t="s">
        <v>78</v>
      </c>
      <c r="BK123" s="135">
        <f>ROUND(I123*H123,2)</f>
        <v>0</v>
      </c>
      <c r="BL123" s="17" t="s">
        <v>133</v>
      </c>
      <c r="BM123" s="134" t="s">
        <v>654</v>
      </c>
    </row>
    <row r="124" spans="2:47" s="1" customFormat="1" ht="12">
      <c r="B124" s="29"/>
      <c r="D124" s="136" t="s">
        <v>135</v>
      </c>
      <c r="F124" s="137" t="s">
        <v>655</v>
      </c>
      <c r="L124" s="29"/>
      <c r="M124" s="138"/>
      <c r="T124" s="49"/>
      <c r="AT124" s="17" t="s">
        <v>135</v>
      </c>
      <c r="AU124" s="17" t="s">
        <v>80</v>
      </c>
    </row>
    <row r="125" spans="2:65" s="1" customFormat="1" ht="16.5" customHeight="1">
      <c r="B125" s="123"/>
      <c r="C125" s="124" t="s">
        <v>157</v>
      </c>
      <c r="D125" s="124" t="s">
        <v>128</v>
      </c>
      <c r="E125" s="125" t="s">
        <v>656</v>
      </c>
      <c r="F125" s="126" t="s">
        <v>657</v>
      </c>
      <c r="G125" s="127" t="s">
        <v>171</v>
      </c>
      <c r="H125" s="128">
        <v>0.211</v>
      </c>
      <c r="I125" s="129"/>
      <c r="J125" s="129">
        <f>ROUND(I125*H125,2)</f>
        <v>0</v>
      </c>
      <c r="K125" s="126" t="s">
        <v>132</v>
      </c>
      <c r="L125" s="29"/>
      <c r="M125" s="130" t="s">
        <v>3</v>
      </c>
      <c r="N125" s="131" t="s">
        <v>41</v>
      </c>
      <c r="O125" s="132">
        <v>15.231</v>
      </c>
      <c r="P125" s="132">
        <f>O125*H125</f>
        <v>3.2137409999999997</v>
      </c>
      <c r="Q125" s="132">
        <v>1.06277</v>
      </c>
      <c r="R125" s="132">
        <f>Q125*H125</f>
        <v>0.22424447</v>
      </c>
      <c r="S125" s="132">
        <v>0</v>
      </c>
      <c r="T125" s="133">
        <f>S125*H125</f>
        <v>0</v>
      </c>
      <c r="AR125" s="134" t="s">
        <v>133</v>
      </c>
      <c r="AT125" s="134" t="s">
        <v>128</v>
      </c>
      <c r="AU125" s="134" t="s">
        <v>80</v>
      </c>
      <c r="AY125" s="17" t="s">
        <v>126</v>
      </c>
      <c r="BE125" s="135">
        <f>IF(N125="základní",J125,0)</f>
        <v>0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17" t="s">
        <v>78</v>
      </c>
      <c r="BK125" s="135">
        <f>ROUND(I125*H125,2)</f>
        <v>0</v>
      </c>
      <c r="BL125" s="17" t="s">
        <v>133</v>
      </c>
      <c r="BM125" s="134" t="s">
        <v>658</v>
      </c>
    </row>
    <row r="126" spans="2:47" s="1" customFormat="1" ht="12">
      <c r="B126" s="29"/>
      <c r="D126" s="136" t="s">
        <v>135</v>
      </c>
      <c r="F126" s="137" t="s">
        <v>659</v>
      </c>
      <c r="L126" s="29"/>
      <c r="M126" s="138"/>
      <c r="T126" s="49"/>
      <c r="AT126" s="17" t="s">
        <v>135</v>
      </c>
      <c r="AU126" s="17" t="s">
        <v>80</v>
      </c>
    </row>
    <row r="127" spans="2:51" s="14" customFormat="1" ht="12">
      <c r="B127" s="164"/>
      <c r="D127" s="140" t="s">
        <v>137</v>
      </c>
      <c r="E127" s="165" t="s">
        <v>3</v>
      </c>
      <c r="F127" s="166" t="s">
        <v>660</v>
      </c>
      <c r="H127" s="165" t="s">
        <v>3</v>
      </c>
      <c r="L127" s="164"/>
      <c r="M127" s="167"/>
      <c r="T127" s="168"/>
      <c r="AT127" s="165" t="s">
        <v>137</v>
      </c>
      <c r="AU127" s="165" t="s">
        <v>80</v>
      </c>
      <c r="AV127" s="14" t="s">
        <v>78</v>
      </c>
      <c r="AW127" s="14" t="s">
        <v>32</v>
      </c>
      <c r="AX127" s="14" t="s">
        <v>70</v>
      </c>
      <c r="AY127" s="165" t="s">
        <v>126</v>
      </c>
    </row>
    <row r="128" spans="2:51" s="12" customFormat="1" ht="12">
      <c r="B128" s="139"/>
      <c r="D128" s="140" t="s">
        <v>137</v>
      </c>
      <c r="E128" s="141" t="s">
        <v>3</v>
      </c>
      <c r="F128" s="142" t="s">
        <v>661</v>
      </c>
      <c r="H128" s="143">
        <v>0.211</v>
      </c>
      <c r="L128" s="139"/>
      <c r="M128" s="144"/>
      <c r="T128" s="145"/>
      <c r="AT128" s="141" t="s">
        <v>137</v>
      </c>
      <c r="AU128" s="141" t="s">
        <v>80</v>
      </c>
      <c r="AV128" s="12" t="s">
        <v>80</v>
      </c>
      <c r="AW128" s="12" t="s">
        <v>32</v>
      </c>
      <c r="AX128" s="12" t="s">
        <v>78</v>
      </c>
      <c r="AY128" s="141" t="s">
        <v>126</v>
      </c>
    </row>
    <row r="129" spans="2:65" s="1" customFormat="1" ht="21.75" customHeight="1">
      <c r="B129" s="123"/>
      <c r="C129" s="124" t="s">
        <v>163</v>
      </c>
      <c r="D129" s="124" t="s">
        <v>128</v>
      </c>
      <c r="E129" s="125" t="s">
        <v>662</v>
      </c>
      <c r="F129" s="126" t="s">
        <v>663</v>
      </c>
      <c r="G129" s="127" t="s">
        <v>146</v>
      </c>
      <c r="H129" s="128">
        <v>2.595</v>
      </c>
      <c r="I129" s="129"/>
      <c r="J129" s="129">
        <f>ROUND(I129*H129,2)</f>
        <v>0</v>
      </c>
      <c r="K129" s="126" t="s">
        <v>132</v>
      </c>
      <c r="L129" s="29"/>
      <c r="M129" s="130" t="s">
        <v>3</v>
      </c>
      <c r="N129" s="131" t="s">
        <v>41</v>
      </c>
      <c r="O129" s="132">
        <v>0.629</v>
      </c>
      <c r="P129" s="132">
        <f>O129*H129</f>
        <v>1.6322550000000002</v>
      </c>
      <c r="Q129" s="132">
        <v>2.50187</v>
      </c>
      <c r="R129" s="132">
        <f>Q129*H129</f>
        <v>6.49235265</v>
      </c>
      <c r="S129" s="132">
        <v>0</v>
      </c>
      <c r="T129" s="133">
        <f>S129*H129</f>
        <v>0</v>
      </c>
      <c r="AR129" s="134" t="s">
        <v>133</v>
      </c>
      <c r="AT129" s="134" t="s">
        <v>128</v>
      </c>
      <c r="AU129" s="134" t="s">
        <v>80</v>
      </c>
      <c r="AY129" s="17" t="s">
        <v>126</v>
      </c>
      <c r="BE129" s="135">
        <f>IF(N129="základní",J129,0)</f>
        <v>0</v>
      </c>
      <c r="BF129" s="135">
        <f>IF(N129="snížená",J129,0)</f>
        <v>0</v>
      </c>
      <c r="BG129" s="135">
        <f>IF(N129="zákl. přenesená",J129,0)</f>
        <v>0</v>
      </c>
      <c r="BH129" s="135">
        <f>IF(N129="sníž. přenesená",J129,0)</f>
        <v>0</v>
      </c>
      <c r="BI129" s="135">
        <f>IF(N129="nulová",J129,0)</f>
        <v>0</v>
      </c>
      <c r="BJ129" s="17" t="s">
        <v>78</v>
      </c>
      <c r="BK129" s="135">
        <f>ROUND(I129*H129,2)</f>
        <v>0</v>
      </c>
      <c r="BL129" s="17" t="s">
        <v>133</v>
      </c>
      <c r="BM129" s="134" t="s">
        <v>664</v>
      </c>
    </row>
    <row r="130" spans="2:47" s="1" customFormat="1" ht="12">
      <c r="B130" s="29"/>
      <c r="D130" s="136" t="s">
        <v>135</v>
      </c>
      <c r="F130" s="137" t="s">
        <v>665</v>
      </c>
      <c r="L130" s="29"/>
      <c r="M130" s="138"/>
      <c r="T130" s="49"/>
      <c r="AT130" s="17" t="s">
        <v>135</v>
      </c>
      <c r="AU130" s="17" t="s">
        <v>80</v>
      </c>
    </row>
    <row r="131" spans="2:51" s="12" customFormat="1" ht="12">
      <c r="B131" s="139"/>
      <c r="D131" s="140" t="s">
        <v>137</v>
      </c>
      <c r="E131" s="141" t="s">
        <v>3</v>
      </c>
      <c r="F131" s="142" t="s">
        <v>666</v>
      </c>
      <c r="H131" s="143">
        <v>1.878</v>
      </c>
      <c r="L131" s="139"/>
      <c r="M131" s="144"/>
      <c r="T131" s="145"/>
      <c r="AT131" s="141" t="s">
        <v>137</v>
      </c>
      <c r="AU131" s="141" t="s">
        <v>80</v>
      </c>
      <c r="AV131" s="12" t="s">
        <v>80</v>
      </c>
      <c r="AW131" s="12" t="s">
        <v>32</v>
      </c>
      <c r="AX131" s="12" t="s">
        <v>70</v>
      </c>
      <c r="AY131" s="141" t="s">
        <v>126</v>
      </c>
    </row>
    <row r="132" spans="2:51" s="12" customFormat="1" ht="12">
      <c r="B132" s="139"/>
      <c r="D132" s="140" t="s">
        <v>137</v>
      </c>
      <c r="E132" s="141" t="s">
        <v>3</v>
      </c>
      <c r="F132" s="142" t="s">
        <v>667</v>
      </c>
      <c r="H132" s="143">
        <v>0.717</v>
      </c>
      <c r="L132" s="139"/>
      <c r="M132" s="144"/>
      <c r="T132" s="145"/>
      <c r="AT132" s="141" t="s">
        <v>137</v>
      </c>
      <c r="AU132" s="141" t="s">
        <v>80</v>
      </c>
      <c r="AV132" s="12" t="s">
        <v>80</v>
      </c>
      <c r="AW132" s="12" t="s">
        <v>32</v>
      </c>
      <c r="AX132" s="12" t="s">
        <v>70</v>
      </c>
      <c r="AY132" s="141" t="s">
        <v>126</v>
      </c>
    </row>
    <row r="133" spans="2:51" s="13" customFormat="1" ht="12">
      <c r="B133" s="146"/>
      <c r="D133" s="140" t="s">
        <v>137</v>
      </c>
      <c r="E133" s="147" t="s">
        <v>3</v>
      </c>
      <c r="F133" s="148" t="s">
        <v>151</v>
      </c>
      <c r="H133" s="149">
        <v>2.5949999999999998</v>
      </c>
      <c r="L133" s="146"/>
      <c r="M133" s="150"/>
      <c r="T133" s="151"/>
      <c r="AT133" s="147" t="s">
        <v>137</v>
      </c>
      <c r="AU133" s="147" t="s">
        <v>80</v>
      </c>
      <c r="AV133" s="13" t="s">
        <v>133</v>
      </c>
      <c r="AW133" s="13" t="s">
        <v>32</v>
      </c>
      <c r="AX133" s="13" t="s">
        <v>78</v>
      </c>
      <c r="AY133" s="147" t="s">
        <v>126</v>
      </c>
    </row>
    <row r="134" spans="2:65" s="1" customFormat="1" ht="16.5" customHeight="1">
      <c r="B134" s="123"/>
      <c r="C134" s="124" t="s">
        <v>168</v>
      </c>
      <c r="D134" s="124" t="s">
        <v>128</v>
      </c>
      <c r="E134" s="125" t="s">
        <v>668</v>
      </c>
      <c r="F134" s="126" t="s">
        <v>669</v>
      </c>
      <c r="G134" s="127" t="s">
        <v>131</v>
      </c>
      <c r="H134" s="128">
        <v>3.651</v>
      </c>
      <c r="I134" s="129"/>
      <c r="J134" s="129">
        <f>ROUND(I134*H134,2)</f>
        <v>0</v>
      </c>
      <c r="K134" s="126" t="s">
        <v>132</v>
      </c>
      <c r="L134" s="29"/>
      <c r="M134" s="130" t="s">
        <v>3</v>
      </c>
      <c r="N134" s="131" t="s">
        <v>41</v>
      </c>
      <c r="O134" s="132">
        <v>0.247</v>
      </c>
      <c r="P134" s="132">
        <f>O134*H134</f>
        <v>0.901797</v>
      </c>
      <c r="Q134" s="132">
        <v>0.00269</v>
      </c>
      <c r="R134" s="132">
        <f>Q134*H134</f>
        <v>0.00982119</v>
      </c>
      <c r="S134" s="132">
        <v>0</v>
      </c>
      <c r="T134" s="133">
        <f>S134*H134</f>
        <v>0</v>
      </c>
      <c r="AR134" s="134" t="s">
        <v>133</v>
      </c>
      <c r="AT134" s="134" t="s">
        <v>128</v>
      </c>
      <c r="AU134" s="134" t="s">
        <v>80</v>
      </c>
      <c r="AY134" s="17" t="s">
        <v>126</v>
      </c>
      <c r="BE134" s="135">
        <f>IF(N134="základní",J134,0)</f>
        <v>0</v>
      </c>
      <c r="BF134" s="135">
        <f>IF(N134="snížená",J134,0)</f>
        <v>0</v>
      </c>
      <c r="BG134" s="135">
        <f>IF(N134="zákl. přenesená",J134,0)</f>
        <v>0</v>
      </c>
      <c r="BH134" s="135">
        <f>IF(N134="sníž. přenesená",J134,0)</f>
        <v>0</v>
      </c>
      <c r="BI134" s="135">
        <f>IF(N134="nulová",J134,0)</f>
        <v>0</v>
      </c>
      <c r="BJ134" s="17" t="s">
        <v>78</v>
      </c>
      <c r="BK134" s="135">
        <f>ROUND(I134*H134,2)</f>
        <v>0</v>
      </c>
      <c r="BL134" s="17" t="s">
        <v>133</v>
      </c>
      <c r="BM134" s="134" t="s">
        <v>670</v>
      </c>
    </row>
    <row r="135" spans="2:47" s="1" customFormat="1" ht="12">
      <c r="B135" s="29"/>
      <c r="D135" s="136" t="s">
        <v>135</v>
      </c>
      <c r="F135" s="137" t="s">
        <v>671</v>
      </c>
      <c r="L135" s="29"/>
      <c r="M135" s="138"/>
      <c r="T135" s="49"/>
      <c r="AT135" s="17" t="s">
        <v>135</v>
      </c>
      <c r="AU135" s="17" t="s">
        <v>80</v>
      </c>
    </row>
    <row r="136" spans="2:51" s="12" customFormat="1" ht="12">
      <c r="B136" s="139"/>
      <c r="D136" s="140" t="s">
        <v>137</v>
      </c>
      <c r="E136" s="141" t="s">
        <v>3</v>
      </c>
      <c r="F136" s="142" t="s">
        <v>672</v>
      </c>
      <c r="H136" s="143">
        <v>3.651</v>
      </c>
      <c r="L136" s="139"/>
      <c r="M136" s="144"/>
      <c r="T136" s="145"/>
      <c r="AT136" s="141" t="s">
        <v>137</v>
      </c>
      <c r="AU136" s="141" t="s">
        <v>80</v>
      </c>
      <c r="AV136" s="12" t="s">
        <v>80</v>
      </c>
      <c r="AW136" s="12" t="s">
        <v>32</v>
      </c>
      <c r="AX136" s="12" t="s">
        <v>78</v>
      </c>
      <c r="AY136" s="141" t="s">
        <v>126</v>
      </c>
    </row>
    <row r="137" spans="2:65" s="1" customFormat="1" ht="16.5" customHeight="1">
      <c r="B137" s="123"/>
      <c r="C137" s="124" t="s">
        <v>175</v>
      </c>
      <c r="D137" s="124" t="s">
        <v>128</v>
      </c>
      <c r="E137" s="125" t="s">
        <v>673</v>
      </c>
      <c r="F137" s="126" t="s">
        <v>674</v>
      </c>
      <c r="G137" s="127" t="s">
        <v>131</v>
      </c>
      <c r="H137" s="128">
        <v>3.651</v>
      </c>
      <c r="I137" s="129"/>
      <c r="J137" s="129">
        <f>ROUND(I137*H137,2)</f>
        <v>0</v>
      </c>
      <c r="K137" s="126" t="s">
        <v>132</v>
      </c>
      <c r="L137" s="29"/>
      <c r="M137" s="130" t="s">
        <v>3</v>
      </c>
      <c r="N137" s="131" t="s">
        <v>41</v>
      </c>
      <c r="O137" s="132">
        <v>0.083</v>
      </c>
      <c r="P137" s="132">
        <f>O137*H137</f>
        <v>0.303033</v>
      </c>
      <c r="Q137" s="132">
        <v>0</v>
      </c>
      <c r="R137" s="132">
        <f>Q137*H137</f>
        <v>0</v>
      </c>
      <c r="S137" s="132">
        <v>0</v>
      </c>
      <c r="T137" s="133">
        <f>S137*H137</f>
        <v>0</v>
      </c>
      <c r="AR137" s="134" t="s">
        <v>133</v>
      </c>
      <c r="AT137" s="134" t="s">
        <v>128</v>
      </c>
      <c r="AU137" s="134" t="s">
        <v>80</v>
      </c>
      <c r="AY137" s="17" t="s">
        <v>126</v>
      </c>
      <c r="BE137" s="135">
        <f>IF(N137="základní",J137,0)</f>
        <v>0</v>
      </c>
      <c r="BF137" s="135">
        <f>IF(N137="snížená",J137,0)</f>
        <v>0</v>
      </c>
      <c r="BG137" s="135">
        <f>IF(N137="zákl. přenesená",J137,0)</f>
        <v>0</v>
      </c>
      <c r="BH137" s="135">
        <f>IF(N137="sníž. přenesená",J137,0)</f>
        <v>0</v>
      </c>
      <c r="BI137" s="135">
        <f>IF(N137="nulová",J137,0)</f>
        <v>0</v>
      </c>
      <c r="BJ137" s="17" t="s">
        <v>78</v>
      </c>
      <c r="BK137" s="135">
        <f>ROUND(I137*H137,2)</f>
        <v>0</v>
      </c>
      <c r="BL137" s="17" t="s">
        <v>133</v>
      </c>
      <c r="BM137" s="134" t="s">
        <v>675</v>
      </c>
    </row>
    <row r="138" spans="2:47" s="1" customFormat="1" ht="12">
      <c r="B138" s="29"/>
      <c r="D138" s="136" t="s">
        <v>135</v>
      </c>
      <c r="F138" s="137" t="s">
        <v>676</v>
      </c>
      <c r="L138" s="29"/>
      <c r="M138" s="138"/>
      <c r="T138" s="49"/>
      <c r="AT138" s="17" t="s">
        <v>135</v>
      </c>
      <c r="AU138" s="17" t="s">
        <v>80</v>
      </c>
    </row>
    <row r="139" spans="2:65" s="1" customFormat="1" ht="16.5" customHeight="1">
      <c r="B139" s="123"/>
      <c r="C139" s="124" t="s">
        <v>180</v>
      </c>
      <c r="D139" s="124" t="s">
        <v>128</v>
      </c>
      <c r="E139" s="125" t="s">
        <v>677</v>
      </c>
      <c r="F139" s="126" t="s">
        <v>678</v>
      </c>
      <c r="G139" s="127" t="s">
        <v>171</v>
      </c>
      <c r="H139" s="128">
        <v>0.311</v>
      </c>
      <c r="I139" s="129"/>
      <c r="J139" s="129">
        <f>ROUND(I139*H139,2)</f>
        <v>0</v>
      </c>
      <c r="K139" s="126" t="s">
        <v>132</v>
      </c>
      <c r="L139" s="29"/>
      <c r="M139" s="130" t="s">
        <v>3</v>
      </c>
      <c r="N139" s="131" t="s">
        <v>41</v>
      </c>
      <c r="O139" s="132">
        <v>23.968</v>
      </c>
      <c r="P139" s="132">
        <f>O139*H139</f>
        <v>7.454048</v>
      </c>
      <c r="Q139" s="132">
        <v>1.06062</v>
      </c>
      <c r="R139" s="132">
        <f>Q139*H139</f>
        <v>0.32985282</v>
      </c>
      <c r="S139" s="132">
        <v>0</v>
      </c>
      <c r="T139" s="133">
        <f>S139*H139</f>
        <v>0</v>
      </c>
      <c r="AR139" s="134" t="s">
        <v>133</v>
      </c>
      <c r="AT139" s="134" t="s">
        <v>128</v>
      </c>
      <c r="AU139" s="134" t="s">
        <v>80</v>
      </c>
      <c r="AY139" s="17" t="s">
        <v>126</v>
      </c>
      <c r="BE139" s="135">
        <f>IF(N139="základní",J139,0)</f>
        <v>0</v>
      </c>
      <c r="BF139" s="135">
        <f>IF(N139="snížená",J139,0)</f>
        <v>0</v>
      </c>
      <c r="BG139" s="135">
        <f>IF(N139="zákl. přenesená",J139,0)</f>
        <v>0</v>
      </c>
      <c r="BH139" s="135">
        <f>IF(N139="sníž. přenesená",J139,0)</f>
        <v>0</v>
      </c>
      <c r="BI139" s="135">
        <f>IF(N139="nulová",J139,0)</f>
        <v>0</v>
      </c>
      <c r="BJ139" s="17" t="s">
        <v>78</v>
      </c>
      <c r="BK139" s="135">
        <f>ROUND(I139*H139,2)</f>
        <v>0</v>
      </c>
      <c r="BL139" s="17" t="s">
        <v>133</v>
      </c>
      <c r="BM139" s="134" t="s">
        <v>679</v>
      </c>
    </row>
    <row r="140" spans="2:47" s="1" customFormat="1" ht="12">
      <c r="B140" s="29"/>
      <c r="D140" s="136" t="s">
        <v>135</v>
      </c>
      <c r="F140" s="137" t="s">
        <v>680</v>
      </c>
      <c r="L140" s="29"/>
      <c r="M140" s="138"/>
      <c r="T140" s="49"/>
      <c r="AT140" s="17" t="s">
        <v>135</v>
      </c>
      <c r="AU140" s="17" t="s">
        <v>80</v>
      </c>
    </row>
    <row r="141" spans="2:51" s="14" customFormat="1" ht="12">
      <c r="B141" s="164"/>
      <c r="D141" s="140" t="s">
        <v>137</v>
      </c>
      <c r="E141" s="165" t="s">
        <v>3</v>
      </c>
      <c r="F141" s="166" t="s">
        <v>681</v>
      </c>
      <c r="H141" s="165" t="s">
        <v>3</v>
      </c>
      <c r="L141" s="164"/>
      <c r="M141" s="167"/>
      <c r="T141" s="168"/>
      <c r="AT141" s="165" t="s">
        <v>137</v>
      </c>
      <c r="AU141" s="165" t="s">
        <v>80</v>
      </c>
      <c r="AV141" s="14" t="s">
        <v>78</v>
      </c>
      <c r="AW141" s="14" t="s">
        <v>32</v>
      </c>
      <c r="AX141" s="14" t="s">
        <v>70</v>
      </c>
      <c r="AY141" s="165" t="s">
        <v>126</v>
      </c>
    </row>
    <row r="142" spans="2:51" s="12" customFormat="1" ht="12">
      <c r="B142" s="139"/>
      <c r="D142" s="140" t="s">
        <v>137</v>
      </c>
      <c r="E142" s="141" t="s">
        <v>3</v>
      </c>
      <c r="F142" s="142" t="s">
        <v>682</v>
      </c>
      <c r="H142" s="143">
        <v>0.225</v>
      </c>
      <c r="L142" s="139"/>
      <c r="M142" s="144"/>
      <c r="T142" s="145"/>
      <c r="AT142" s="141" t="s">
        <v>137</v>
      </c>
      <c r="AU142" s="141" t="s">
        <v>80</v>
      </c>
      <c r="AV142" s="12" t="s">
        <v>80</v>
      </c>
      <c r="AW142" s="12" t="s">
        <v>32</v>
      </c>
      <c r="AX142" s="12" t="s">
        <v>70</v>
      </c>
      <c r="AY142" s="141" t="s">
        <v>126</v>
      </c>
    </row>
    <row r="143" spans="2:51" s="12" customFormat="1" ht="12">
      <c r="B143" s="139"/>
      <c r="D143" s="140" t="s">
        <v>137</v>
      </c>
      <c r="E143" s="141" t="s">
        <v>3</v>
      </c>
      <c r="F143" s="142" t="s">
        <v>683</v>
      </c>
      <c r="H143" s="143">
        <v>0.086</v>
      </c>
      <c r="L143" s="139"/>
      <c r="M143" s="144"/>
      <c r="T143" s="145"/>
      <c r="AT143" s="141" t="s">
        <v>137</v>
      </c>
      <c r="AU143" s="141" t="s">
        <v>80</v>
      </c>
      <c r="AV143" s="12" t="s">
        <v>80</v>
      </c>
      <c r="AW143" s="12" t="s">
        <v>32</v>
      </c>
      <c r="AX143" s="12" t="s">
        <v>70</v>
      </c>
      <c r="AY143" s="141" t="s">
        <v>126</v>
      </c>
    </row>
    <row r="144" spans="2:51" s="13" customFormat="1" ht="12">
      <c r="B144" s="146"/>
      <c r="D144" s="140" t="s">
        <v>137</v>
      </c>
      <c r="E144" s="147" t="s">
        <v>3</v>
      </c>
      <c r="F144" s="148" t="s">
        <v>151</v>
      </c>
      <c r="H144" s="149">
        <v>0.311</v>
      </c>
      <c r="L144" s="146"/>
      <c r="M144" s="150"/>
      <c r="T144" s="151"/>
      <c r="AT144" s="147" t="s">
        <v>137</v>
      </c>
      <c r="AU144" s="147" t="s">
        <v>80</v>
      </c>
      <c r="AV144" s="13" t="s">
        <v>133</v>
      </c>
      <c r="AW144" s="13" t="s">
        <v>32</v>
      </c>
      <c r="AX144" s="13" t="s">
        <v>78</v>
      </c>
      <c r="AY144" s="147" t="s">
        <v>126</v>
      </c>
    </row>
    <row r="145" spans="2:63" s="11" customFormat="1" ht="22.7" customHeight="1">
      <c r="B145" s="112"/>
      <c r="D145" s="113" t="s">
        <v>69</v>
      </c>
      <c r="E145" s="121" t="s">
        <v>143</v>
      </c>
      <c r="F145" s="121" t="s">
        <v>684</v>
      </c>
      <c r="J145" s="122">
        <f>BK145</f>
        <v>0</v>
      </c>
      <c r="L145" s="112"/>
      <c r="M145" s="116"/>
      <c r="P145" s="117">
        <f>SUM(P146:P182)</f>
        <v>374.707626</v>
      </c>
      <c r="R145" s="117">
        <f>SUM(R146:R182)</f>
        <v>92.34380612</v>
      </c>
      <c r="T145" s="118">
        <f>SUM(T146:T182)</f>
        <v>0</v>
      </c>
      <c r="AR145" s="113" t="s">
        <v>78</v>
      </c>
      <c r="AT145" s="119" t="s">
        <v>69</v>
      </c>
      <c r="AU145" s="119" t="s">
        <v>78</v>
      </c>
      <c r="AY145" s="113" t="s">
        <v>126</v>
      </c>
      <c r="BK145" s="120">
        <f>SUM(BK146:BK182)</f>
        <v>0</v>
      </c>
    </row>
    <row r="146" spans="2:65" s="1" customFormat="1" ht="24.2" customHeight="1">
      <c r="B146" s="123"/>
      <c r="C146" s="124" t="s">
        <v>186</v>
      </c>
      <c r="D146" s="124" t="s">
        <v>128</v>
      </c>
      <c r="E146" s="125" t="s">
        <v>685</v>
      </c>
      <c r="F146" s="126" t="s">
        <v>686</v>
      </c>
      <c r="G146" s="127" t="s">
        <v>131</v>
      </c>
      <c r="H146" s="128">
        <v>20.394</v>
      </c>
      <c r="I146" s="129"/>
      <c r="J146" s="129">
        <f>ROUND(I146*H146,2)</f>
        <v>0</v>
      </c>
      <c r="K146" s="126" t="s">
        <v>132</v>
      </c>
      <c r="L146" s="29"/>
      <c r="M146" s="130" t="s">
        <v>3</v>
      </c>
      <c r="N146" s="131" t="s">
        <v>41</v>
      </c>
      <c r="O146" s="132">
        <v>1.04</v>
      </c>
      <c r="P146" s="132">
        <f>O146*H146</f>
        <v>21.20976</v>
      </c>
      <c r="Q146" s="132">
        <v>0.28868</v>
      </c>
      <c r="R146" s="132">
        <f>Q146*H146</f>
        <v>5.88733992</v>
      </c>
      <c r="S146" s="132">
        <v>0</v>
      </c>
      <c r="T146" s="133">
        <f>S146*H146</f>
        <v>0</v>
      </c>
      <c r="AR146" s="134" t="s">
        <v>133</v>
      </c>
      <c r="AT146" s="134" t="s">
        <v>128</v>
      </c>
      <c r="AU146" s="134" t="s">
        <v>80</v>
      </c>
      <c r="AY146" s="17" t="s">
        <v>126</v>
      </c>
      <c r="BE146" s="135">
        <f>IF(N146="základní",J146,0)</f>
        <v>0</v>
      </c>
      <c r="BF146" s="135">
        <f>IF(N146="snížená",J146,0)</f>
        <v>0</v>
      </c>
      <c r="BG146" s="135">
        <f>IF(N146="zákl. přenesená",J146,0)</f>
        <v>0</v>
      </c>
      <c r="BH146" s="135">
        <f>IF(N146="sníž. přenesená",J146,0)</f>
        <v>0</v>
      </c>
      <c r="BI146" s="135">
        <f>IF(N146="nulová",J146,0)</f>
        <v>0</v>
      </c>
      <c r="BJ146" s="17" t="s">
        <v>78</v>
      </c>
      <c r="BK146" s="135">
        <f>ROUND(I146*H146,2)</f>
        <v>0</v>
      </c>
      <c r="BL146" s="17" t="s">
        <v>133</v>
      </c>
      <c r="BM146" s="134" t="s">
        <v>687</v>
      </c>
    </row>
    <row r="147" spans="2:47" s="1" customFormat="1" ht="12">
      <c r="B147" s="29"/>
      <c r="D147" s="136" t="s">
        <v>135</v>
      </c>
      <c r="F147" s="137" t="s">
        <v>688</v>
      </c>
      <c r="L147" s="29"/>
      <c r="M147" s="138"/>
      <c r="T147" s="49"/>
      <c r="AT147" s="17" t="s">
        <v>135</v>
      </c>
      <c r="AU147" s="17" t="s">
        <v>80</v>
      </c>
    </row>
    <row r="148" spans="2:51" s="12" customFormat="1" ht="12">
      <c r="B148" s="139"/>
      <c r="D148" s="140" t="s">
        <v>137</v>
      </c>
      <c r="E148" s="141" t="s">
        <v>3</v>
      </c>
      <c r="F148" s="142" t="s">
        <v>689</v>
      </c>
      <c r="H148" s="143">
        <v>20.394</v>
      </c>
      <c r="L148" s="139"/>
      <c r="M148" s="144"/>
      <c r="T148" s="145"/>
      <c r="AT148" s="141" t="s">
        <v>137</v>
      </c>
      <c r="AU148" s="141" t="s">
        <v>80</v>
      </c>
      <c r="AV148" s="12" t="s">
        <v>80</v>
      </c>
      <c r="AW148" s="12" t="s">
        <v>32</v>
      </c>
      <c r="AX148" s="12" t="s">
        <v>78</v>
      </c>
      <c r="AY148" s="141" t="s">
        <v>126</v>
      </c>
    </row>
    <row r="149" spans="2:65" s="1" customFormat="1" ht="24.2" customHeight="1">
      <c r="B149" s="123"/>
      <c r="C149" s="124" t="s">
        <v>192</v>
      </c>
      <c r="D149" s="124" t="s">
        <v>128</v>
      </c>
      <c r="E149" s="125" t="s">
        <v>690</v>
      </c>
      <c r="F149" s="126" t="s">
        <v>691</v>
      </c>
      <c r="G149" s="127" t="s">
        <v>131</v>
      </c>
      <c r="H149" s="128">
        <v>4.87</v>
      </c>
      <c r="I149" s="129"/>
      <c r="J149" s="129">
        <f>ROUND(I149*H149,2)</f>
        <v>0</v>
      </c>
      <c r="K149" s="126" t="s">
        <v>132</v>
      </c>
      <c r="L149" s="29"/>
      <c r="M149" s="130" t="s">
        <v>3</v>
      </c>
      <c r="N149" s="131" t="s">
        <v>41</v>
      </c>
      <c r="O149" s="132">
        <v>1.48</v>
      </c>
      <c r="P149" s="132">
        <f>O149*H149</f>
        <v>7.2076</v>
      </c>
      <c r="Q149" s="132">
        <v>0.35648</v>
      </c>
      <c r="R149" s="132">
        <f>Q149*H149</f>
        <v>1.7360576</v>
      </c>
      <c r="S149" s="132">
        <v>0</v>
      </c>
      <c r="T149" s="133">
        <f>S149*H149</f>
        <v>0</v>
      </c>
      <c r="AR149" s="134" t="s">
        <v>133</v>
      </c>
      <c r="AT149" s="134" t="s">
        <v>128</v>
      </c>
      <c r="AU149" s="134" t="s">
        <v>80</v>
      </c>
      <c r="AY149" s="17" t="s">
        <v>126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7" t="s">
        <v>78</v>
      </c>
      <c r="BK149" s="135">
        <f>ROUND(I149*H149,2)</f>
        <v>0</v>
      </c>
      <c r="BL149" s="17" t="s">
        <v>133</v>
      </c>
      <c r="BM149" s="134" t="s">
        <v>692</v>
      </c>
    </row>
    <row r="150" spans="2:47" s="1" customFormat="1" ht="12">
      <c r="B150" s="29"/>
      <c r="D150" s="136" t="s">
        <v>135</v>
      </c>
      <c r="F150" s="137" t="s">
        <v>693</v>
      </c>
      <c r="L150" s="29"/>
      <c r="M150" s="138"/>
      <c r="T150" s="49"/>
      <c r="AT150" s="17" t="s">
        <v>135</v>
      </c>
      <c r="AU150" s="17" t="s">
        <v>80</v>
      </c>
    </row>
    <row r="151" spans="2:51" s="12" customFormat="1" ht="12">
      <c r="B151" s="139"/>
      <c r="D151" s="140" t="s">
        <v>137</v>
      </c>
      <c r="E151" s="141" t="s">
        <v>3</v>
      </c>
      <c r="F151" s="142" t="s">
        <v>694</v>
      </c>
      <c r="H151" s="143">
        <v>4.87</v>
      </c>
      <c r="L151" s="139"/>
      <c r="M151" s="144"/>
      <c r="T151" s="145"/>
      <c r="AT151" s="141" t="s">
        <v>137</v>
      </c>
      <c r="AU151" s="141" t="s">
        <v>80</v>
      </c>
      <c r="AV151" s="12" t="s">
        <v>80</v>
      </c>
      <c r="AW151" s="12" t="s">
        <v>32</v>
      </c>
      <c r="AX151" s="12" t="s">
        <v>78</v>
      </c>
      <c r="AY151" s="141" t="s">
        <v>126</v>
      </c>
    </row>
    <row r="152" spans="2:65" s="1" customFormat="1" ht="24.2" customHeight="1">
      <c r="B152" s="123"/>
      <c r="C152" s="124" t="s">
        <v>198</v>
      </c>
      <c r="D152" s="124" t="s">
        <v>128</v>
      </c>
      <c r="E152" s="125" t="s">
        <v>695</v>
      </c>
      <c r="F152" s="126" t="s">
        <v>696</v>
      </c>
      <c r="G152" s="127" t="s">
        <v>131</v>
      </c>
      <c r="H152" s="128">
        <v>149.278</v>
      </c>
      <c r="I152" s="129"/>
      <c r="J152" s="129">
        <f>ROUND(I152*H152,2)</f>
        <v>0</v>
      </c>
      <c r="K152" s="126" t="s">
        <v>132</v>
      </c>
      <c r="L152" s="29"/>
      <c r="M152" s="130" t="s">
        <v>3</v>
      </c>
      <c r="N152" s="131" t="s">
        <v>41</v>
      </c>
      <c r="O152" s="132">
        <v>0.822</v>
      </c>
      <c r="P152" s="132">
        <f>O152*H152</f>
        <v>122.70651599999998</v>
      </c>
      <c r="Q152" s="132">
        <v>0.21491</v>
      </c>
      <c r="R152" s="132">
        <f>Q152*H152</f>
        <v>32.081334979999994</v>
      </c>
      <c r="S152" s="132">
        <v>0</v>
      </c>
      <c r="T152" s="133">
        <f>S152*H152</f>
        <v>0</v>
      </c>
      <c r="AR152" s="134" t="s">
        <v>133</v>
      </c>
      <c r="AT152" s="134" t="s">
        <v>128</v>
      </c>
      <c r="AU152" s="134" t="s">
        <v>80</v>
      </c>
      <c r="AY152" s="17" t="s">
        <v>126</v>
      </c>
      <c r="BE152" s="135">
        <f>IF(N152="základní",J152,0)</f>
        <v>0</v>
      </c>
      <c r="BF152" s="135">
        <f>IF(N152="snížená",J152,0)</f>
        <v>0</v>
      </c>
      <c r="BG152" s="135">
        <f>IF(N152="zákl. přenesená",J152,0)</f>
        <v>0</v>
      </c>
      <c r="BH152" s="135">
        <f>IF(N152="sníž. přenesená",J152,0)</f>
        <v>0</v>
      </c>
      <c r="BI152" s="135">
        <f>IF(N152="nulová",J152,0)</f>
        <v>0</v>
      </c>
      <c r="BJ152" s="17" t="s">
        <v>78</v>
      </c>
      <c r="BK152" s="135">
        <f>ROUND(I152*H152,2)</f>
        <v>0</v>
      </c>
      <c r="BL152" s="17" t="s">
        <v>133</v>
      </c>
      <c r="BM152" s="134" t="s">
        <v>697</v>
      </c>
    </row>
    <row r="153" spans="2:47" s="1" customFormat="1" ht="12">
      <c r="B153" s="29"/>
      <c r="D153" s="136" t="s">
        <v>135</v>
      </c>
      <c r="F153" s="137" t="s">
        <v>698</v>
      </c>
      <c r="L153" s="29"/>
      <c r="M153" s="138"/>
      <c r="T153" s="49"/>
      <c r="AT153" s="17" t="s">
        <v>135</v>
      </c>
      <c r="AU153" s="17" t="s">
        <v>80</v>
      </c>
    </row>
    <row r="154" spans="2:51" s="12" customFormat="1" ht="12">
      <c r="B154" s="139"/>
      <c r="D154" s="140" t="s">
        <v>137</v>
      </c>
      <c r="E154" s="141" t="s">
        <v>3</v>
      </c>
      <c r="F154" s="142" t="s">
        <v>699</v>
      </c>
      <c r="H154" s="143">
        <v>149.278</v>
      </c>
      <c r="L154" s="139"/>
      <c r="M154" s="144"/>
      <c r="T154" s="145"/>
      <c r="AT154" s="141" t="s">
        <v>137</v>
      </c>
      <c r="AU154" s="141" t="s">
        <v>80</v>
      </c>
      <c r="AV154" s="12" t="s">
        <v>80</v>
      </c>
      <c r="AW154" s="12" t="s">
        <v>32</v>
      </c>
      <c r="AX154" s="12" t="s">
        <v>78</v>
      </c>
      <c r="AY154" s="141" t="s">
        <v>126</v>
      </c>
    </row>
    <row r="155" spans="2:65" s="1" customFormat="1" ht="37.7" customHeight="1">
      <c r="B155" s="123"/>
      <c r="C155" s="124" t="s">
        <v>203</v>
      </c>
      <c r="D155" s="124" t="s">
        <v>128</v>
      </c>
      <c r="E155" s="125" t="s">
        <v>700</v>
      </c>
      <c r="F155" s="126" t="s">
        <v>701</v>
      </c>
      <c r="G155" s="127" t="s">
        <v>131</v>
      </c>
      <c r="H155" s="128">
        <v>85.38</v>
      </c>
      <c r="I155" s="129"/>
      <c r="J155" s="129">
        <f>ROUND(I155*H155,2)</f>
        <v>0</v>
      </c>
      <c r="K155" s="126" t="s">
        <v>132</v>
      </c>
      <c r="L155" s="29"/>
      <c r="M155" s="130" t="s">
        <v>3</v>
      </c>
      <c r="N155" s="131" t="s">
        <v>41</v>
      </c>
      <c r="O155" s="132">
        <v>1.271</v>
      </c>
      <c r="P155" s="132">
        <f>O155*H155</f>
        <v>108.51797999999998</v>
      </c>
      <c r="Q155" s="132">
        <v>0.30797</v>
      </c>
      <c r="R155" s="132">
        <f>Q155*H155</f>
        <v>26.2944786</v>
      </c>
      <c r="S155" s="132">
        <v>0</v>
      </c>
      <c r="T155" s="133">
        <f>S155*H155</f>
        <v>0</v>
      </c>
      <c r="AR155" s="134" t="s">
        <v>133</v>
      </c>
      <c r="AT155" s="134" t="s">
        <v>128</v>
      </c>
      <c r="AU155" s="134" t="s">
        <v>80</v>
      </c>
      <c r="AY155" s="17" t="s">
        <v>126</v>
      </c>
      <c r="BE155" s="135">
        <f>IF(N155="základní",J155,0)</f>
        <v>0</v>
      </c>
      <c r="BF155" s="135">
        <f>IF(N155="snížená",J155,0)</f>
        <v>0</v>
      </c>
      <c r="BG155" s="135">
        <f>IF(N155="zákl. přenesená",J155,0)</f>
        <v>0</v>
      </c>
      <c r="BH155" s="135">
        <f>IF(N155="sníž. přenesená",J155,0)</f>
        <v>0</v>
      </c>
      <c r="BI155" s="135">
        <f>IF(N155="nulová",J155,0)</f>
        <v>0</v>
      </c>
      <c r="BJ155" s="17" t="s">
        <v>78</v>
      </c>
      <c r="BK155" s="135">
        <f>ROUND(I155*H155,2)</f>
        <v>0</v>
      </c>
      <c r="BL155" s="17" t="s">
        <v>133</v>
      </c>
      <c r="BM155" s="134" t="s">
        <v>702</v>
      </c>
    </row>
    <row r="156" spans="2:47" s="1" customFormat="1" ht="12">
      <c r="B156" s="29"/>
      <c r="D156" s="136" t="s">
        <v>135</v>
      </c>
      <c r="F156" s="137" t="s">
        <v>703</v>
      </c>
      <c r="L156" s="29"/>
      <c r="M156" s="138"/>
      <c r="T156" s="49"/>
      <c r="AT156" s="17" t="s">
        <v>135</v>
      </c>
      <c r="AU156" s="17" t="s">
        <v>80</v>
      </c>
    </row>
    <row r="157" spans="2:51" s="12" customFormat="1" ht="12">
      <c r="B157" s="139"/>
      <c r="D157" s="140" t="s">
        <v>137</v>
      </c>
      <c r="E157" s="141" t="s">
        <v>3</v>
      </c>
      <c r="F157" s="142" t="s">
        <v>704</v>
      </c>
      <c r="H157" s="143">
        <v>85.38</v>
      </c>
      <c r="L157" s="139"/>
      <c r="M157" s="144"/>
      <c r="T157" s="145"/>
      <c r="AT157" s="141" t="s">
        <v>137</v>
      </c>
      <c r="AU157" s="141" t="s">
        <v>80</v>
      </c>
      <c r="AV157" s="12" t="s">
        <v>80</v>
      </c>
      <c r="AW157" s="12" t="s">
        <v>32</v>
      </c>
      <c r="AX157" s="12" t="s">
        <v>78</v>
      </c>
      <c r="AY157" s="141" t="s">
        <v>126</v>
      </c>
    </row>
    <row r="158" spans="2:65" s="1" customFormat="1" ht="21.75" customHeight="1">
      <c r="B158" s="123"/>
      <c r="C158" s="124" t="s">
        <v>209</v>
      </c>
      <c r="D158" s="124" t="s">
        <v>128</v>
      </c>
      <c r="E158" s="125" t="s">
        <v>705</v>
      </c>
      <c r="F158" s="126" t="s">
        <v>706</v>
      </c>
      <c r="G158" s="127" t="s">
        <v>296</v>
      </c>
      <c r="H158" s="128">
        <v>15</v>
      </c>
      <c r="I158" s="129"/>
      <c r="J158" s="129">
        <f>ROUND(I158*H158,2)</f>
        <v>0</v>
      </c>
      <c r="K158" s="126" t="s">
        <v>132</v>
      </c>
      <c r="L158" s="29"/>
      <c r="M158" s="130" t="s">
        <v>3</v>
      </c>
      <c r="N158" s="131" t="s">
        <v>41</v>
      </c>
      <c r="O158" s="132">
        <v>0.253</v>
      </c>
      <c r="P158" s="132">
        <f>O158*H158</f>
        <v>3.795</v>
      </c>
      <c r="Q158" s="132">
        <v>0.04555</v>
      </c>
      <c r="R158" s="132">
        <f>Q158*H158</f>
        <v>0.68325</v>
      </c>
      <c r="S158" s="132">
        <v>0</v>
      </c>
      <c r="T158" s="133">
        <f>S158*H158</f>
        <v>0</v>
      </c>
      <c r="AR158" s="134" t="s">
        <v>133</v>
      </c>
      <c r="AT158" s="134" t="s">
        <v>128</v>
      </c>
      <c r="AU158" s="134" t="s">
        <v>80</v>
      </c>
      <c r="AY158" s="17" t="s">
        <v>126</v>
      </c>
      <c r="BE158" s="135">
        <f>IF(N158="základní",J158,0)</f>
        <v>0</v>
      </c>
      <c r="BF158" s="135">
        <f>IF(N158="snížená",J158,0)</f>
        <v>0</v>
      </c>
      <c r="BG158" s="135">
        <f>IF(N158="zákl. přenesená",J158,0)</f>
        <v>0</v>
      </c>
      <c r="BH158" s="135">
        <f>IF(N158="sníž. přenesená",J158,0)</f>
        <v>0</v>
      </c>
      <c r="BI158" s="135">
        <f>IF(N158="nulová",J158,0)</f>
        <v>0</v>
      </c>
      <c r="BJ158" s="17" t="s">
        <v>78</v>
      </c>
      <c r="BK158" s="135">
        <f>ROUND(I158*H158,2)</f>
        <v>0</v>
      </c>
      <c r="BL158" s="17" t="s">
        <v>133</v>
      </c>
      <c r="BM158" s="134" t="s">
        <v>707</v>
      </c>
    </row>
    <row r="159" spans="2:47" s="1" customFormat="1" ht="12">
      <c r="B159" s="29"/>
      <c r="D159" s="136" t="s">
        <v>135</v>
      </c>
      <c r="F159" s="137" t="s">
        <v>708</v>
      </c>
      <c r="L159" s="29"/>
      <c r="M159" s="138"/>
      <c r="T159" s="49"/>
      <c r="AT159" s="17" t="s">
        <v>135</v>
      </c>
      <c r="AU159" s="17" t="s">
        <v>80</v>
      </c>
    </row>
    <row r="160" spans="2:51" s="12" customFormat="1" ht="12">
      <c r="B160" s="139"/>
      <c r="D160" s="140" t="s">
        <v>137</v>
      </c>
      <c r="E160" s="141" t="s">
        <v>3</v>
      </c>
      <c r="F160" s="142" t="s">
        <v>709</v>
      </c>
      <c r="H160" s="143">
        <v>4</v>
      </c>
      <c r="L160" s="139"/>
      <c r="M160" s="144"/>
      <c r="T160" s="145"/>
      <c r="AT160" s="141" t="s">
        <v>137</v>
      </c>
      <c r="AU160" s="141" t="s">
        <v>80</v>
      </c>
      <c r="AV160" s="12" t="s">
        <v>80</v>
      </c>
      <c r="AW160" s="12" t="s">
        <v>32</v>
      </c>
      <c r="AX160" s="12" t="s">
        <v>70</v>
      </c>
      <c r="AY160" s="141" t="s">
        <v>126</v>
      </c>
    </row>
    <row r="161" spans="2:51" s="12" customFormat="1" ht="12">
      <c r="B161" s="139"/>
      <c r="D161" s="140" t="s">
        <v>137</v>
      </c>
      <c r="E161" s="141" t="s">
        <v>3</v>
      </c>
      <c r="F161" s="142" t="s">
        <v>710</v>
      </c>
      <c r="H161" s="143">
        <v>3</v>
      </c>
      <c r="L161" s="139"/>
      <c r="M161" s="144"/>
      <c r="T161" s="145"/>
      <c r="AT161" s="141" t="s">
        <v>137</v>
      </c>
      <c r="AU161" s="141" t="s">
        <v>80</v>
      </c>
      <c r="AV161" s="12" t="s">
        <v>80</v>
      </c>
      <c r="AW161" s="12" t="s">
        <v>32</v>
      </c>
      <c r="AX161" s="12" t="s">
        <v>70</v>
      </c>
      <c r="AY161" s="141" t="s">
        <v>126</v>
      </c>
    </row>
    <row r="162" spans="2:51" s="12" customFormat="1" ht="12">
      <c r="B162" s="139"/>
      <c r="D162" s="140" t="s">
        <v>137</v>
      </c>
      <c r="E162" s="141" t="s">
        <v>3</v>
      </c>
      <c r="F162" s="142" t="s">
        <v>711</v>
      </c>
      <c r="H162" s="143">
        <v>8</v>
      </c>
      <c r="L162" s="139"/>
      <c r="M162" s="144"/>
      <c r="T162" s="145"/>
      <c r="AT162" s="141" t="s">
        <v>137</v>
      </c>
      <c r="AU162" s="141" t="s">
        <v>80</v>
      </c>
      <c r="AV162" s="12" t="s">
        <v>80</v>
      </c>
      <c r="AW162" s="12" t="s">
        <v>32</v>
      </c>
      <c r="AX162" s="12" t="s">
        <v>70</v>
      </c>
      <c r="AY162" s="141" t="s">
        <v>126</v>
      </c>
    </row>
    <row r="163" spans="2:51" s="13" customFormat="1" ht="12">
      <c r="B163" s="146"/>
      <c r="D163" s="140" t="s">
        <v>137</v>
      </c>
      <c r="E163" s="147" t="s">
        <v>3</v>
      </c>
      <c r="F163" s="148" t="s">
        <v>151</v>
      </c>
      <c r="H163" s="149">
        <v>15</v>
      </c>
      <c r="L163" s="146"/>
      <c r="M163" s="150"/>
      <c r="T163" s="151"/>
      <c r="AT163" s="147" t="s">
        <v>137</v>
      </c>
      <c r="AU163" s="147" t="s">
        <v>80</v>
      </c>
      <c r="AV163" s="13" t="s">
        <v>133</v>
      </c>
      <c r="AW163" s="13" t="s">
        <v>32</v>
      </c>
      <c r="AX163" s="13" t="s">
        <v>78</v>
      </c>
      <c r="AY163" s="147" t="s">
        <v>126</v>
      </c>
    </row>
    <row r="164" spans="2:65" s="1" customFormat="1" ht="21.75" customHeight="1">
      <c r="B164" s="123"/>
      <c r="C164" s="124" t="s">
        <v>9</v>
      </c>
      <c r="D164" s="124" t="s">
        <v>128</v>
      </c>
      <c r="E164" s="125" t="s">
        <v>712</v>
      </c>
      <c r="F164" s="126" t="s">
        <v>713</v>
      </c>
      <c r="G164" s="127" t="s">
        <v>296</v>
      </c>
      <c r="H164" s="128">
        <v>26</v>
      </c>
      <c r="I164" s="129"/>
      <c r="J164" s="129">
        <f>ROUND(I164*H164,2)</f>
        <v>0</v>
      </c>
      <c r="K164" s="126" t="s">
        <v>132</v>
      </c>
      <c r="L164" s="29"/>
      <c r="M164" s="130" t="s">
        <v>3</v>
      </c>
      <c r="N164" s="131" t="s">
        <v>41</v>
      </c>
      <c r="O164" s="132">
        <v>0.26</v>
      </c>
      <c r="P164" s="132">
        <f>O164*H164</f>
        <v>6.76</v>
      </c>
      <c r="Q164" s="132">
        <v>0.05455</v>
      </c>
      <c r="R164" s="132">
        <f>Q164*H164</f>
        <v>1.4183000000000001</v>
      </c>
      <c r="S164" s="132">
        <v>0</v>
      </c>
      <c r="T164" s="133">
        <f>S164*H164</f>
        <v>0</v>
      </c>
      <c r="AR164" s="134" t="s">
        <v>133</v>
      </c>
      <c r="AT164" s="134" t="s">
        <v>128</v>
      </c>
      <c r="AU164" s="134" t="s">
        <v>80</v>
      </c>
      <c r="AY164" s="17" t="s">
        <v>126</v>
      </c>
      <c r="BE164" s="135">
        <f>IF(N164="základní",J164,0)</f>
        <v>0</v>
      </c>
      <c r="BF164" s="135">
        <f>IF(N164="snížená",J164,0)</f>
        <v>0</v>
      </c>
      <c r="BG164" s="135">
        <f>IF(N164="zákl. přenesená",J164,0)</f>
        <v>0</v>
      </c>
      <c r="BH164" s="135">
        <f>IF(N164="sníž. přenesená",J164,0)</f>
        <v>0</v>
      </c>
      <c r="BI164" s="135">
        <f>IF(N164="nulová",J164,0)</f>
        <v>0</v>
      </c>
      <c r="BJ164" s="17" t="s">
        <v>78</v>
      </c>
      <c r="BK164" s="135">
        <f>ROUND(I164*H164,2)</f>
        <v>0</v>
      </c>
      <c r="BL164" s="17" t="s">
        <v>133</v>
      </c>
      <c r="BM164" s="134" t="s">
        <v>714</v>
      </c>
    </row>
    <row r="165" spans="2:47" s="1" customFormat="1" ht="12">
      <c r="B165" s="29"/>
      <c r="D165" s="136" t="s">
        <v>135</v>
      </c>
      <c r="F165" s="137" t="s">
        <v>715</v>
      </c>
      <c r="L165" s="29"/>
      <c r="M165" s="138"/>
      <c r="T165" s="49"/>
      <c r="AT165" s="17" t="s">
        <v>135</v>
      </c>
      <c r="AU165" s="17" t="s">
        <v>80</v>
      </c>
    </row>
    <row r="166" spans="2:51" s="12" customFormat="1" ht="12">
      <c r="B166" s="139"/>
      <c r="D166" s="140" t="s">
        <v>137</v>
      </c>
      <c r="E166" s="141" t="s">
        <v>3</v>
      </c>
      <c r="F166" s="142" t="s">
        <v>716</v>
      </c>
      <c r="H166" s="143">
        <v>20</v>
      </c>
      <c r="L166" s="139"/>
      <c r="M166" s="144"/>
      <c r="T166" s="145"/>
      <c r="AT166" s="141" t="s">
        <v>137</v>
      </c>
      <c r="AU166" s="141" t="s">
        <v>80</v>
      </c>
      <c r="AV166" s="12" t="s">
        <v>80</v>
      </c>
      <c r="AW166" s="12" t="s">
        <v>32</v>
      </c>
      <c r="AX166" s="12" t="s">
        <v>70</v>
      </c>
      <c r="AY166" s="141" t="s">
        <v>126</v>
      </c>
    </row>
    <row r="167" spans="2:51" s="12" customFormat="1" ht="12">
      <c r="B167" s="139"/>
      <c r="D167" s="140" t="s">
        <v>137</v>
      </c>
      <c r="E167" s="141" t="s">
        <v>3</v>
      </c>
      <c r="F167" s="142" t="s">
        <v>717</v>
      </c>
      <c r="H167" s="143">
        <v>6</v>
      </c>
      <c r="L167" s="139"/>
      <c r="M167" s="144"/>
      <c r="T167" s="145"/>
      <c r="AT167" s="141" t="s">
        <v>137</v>
      </c>
      <c r="AU167" s="141" t="s">
        <v>80</v>
      </c>
      <c r="AV167" s="12" t="s">
        <v>80</v>
      </c>
      <c r="AW167" s="12" t="s">
        <v>32</v>
      </c>
      <c r="AX167" s="12" t="s">
        <v>70</v>
      </c>
      <c r="AY167" s="141" t="s">
        <v>126</v>
      </c>
    </row>
    <row r="168" spans="2:51" s="13" customFormat="1" ht="12">
      <c r="B168" s="146"/>
      <c r="D168" s="140" t="s">
        <v>137</v>
      </c>
      <c r="E168" s="147" t="s">
        <v>3</v>
      </c>
      <c r="F168" s="148" t="s">
        <v>151</v>
      </c>
      <c r="H168" s="149">
        <v>26</v>
      </c>
      <c r="L168" s="146"/>
      <c r="M168" s="150"/>
      <c r="T168" s="151"/>
      <c r="AT168" s="147" t="s">
        <v>137</v>
      </c>
      <c r="AU168" s="147" t="s">
        <v>80</v>
      </c>
      <c r="AV168" s="13" t="s">
        <v>133</v>
      </c>
      <c r="AW168" s="13" t="s">
        <v>32</v>
      </c>
      <c r="AX168" s="13" t="s">
        <v>78</v>
      </c>
      <c r="AY168" s="147" t="s">
        <v>126</v>
      </c>
    </row>
    <row r="169" spans="2:65" s="1" customFormat="1" ht="21.75" customHeight="1">
      <c r="B169" s="123"/>
      <c r="C169" s="124" t="s">
        <v>221</v>
      </c>
      <c r="D169" s="124" t="s">
        <v>128</v>
      </c>
      <c r="E169" s="125" t="s">
        <v>718</v>
      </c>
      <c r="F169" s="126" t="s">
        <v>719</v>
      </c>
      <c r="G169" s="127" t="s">
        <v>296</v>
      </c>
      <c r="H169" s="128">
        <v>5</v>
      </c>
      <c r="I169" s="129"/>
      <c r="J169" s="129">
        <f>ROUND(I169*H169,2)</f>
        <v>0</v>
      </c>
      <c r="K169" s="126" t="s">
        <v>132</v>
      </c>
      <c r="L169" s="29"/>
      <c r="M169" s="130" t="s">
        <v>3</v>
      </c>
      <c r="N169" s="131" t="s">
        <v>41</v>
      </c>
      <c r="O169" s="132">
        <v>0.35</v>
      </c>
      <c r="P169" s="132">
        <f>O169*H169</f>
        <v>1.75</v>
      </c>
      <c r="Q169" s="132">
        <v>0.08185</v>
      </c>
      <c r="R169" s="132">
        <f>Q169*H169</f>
        <v>0.40925</v>
      </c>
      <c r="S169" s="132">
        <v>0</v>
      </c>
      <c r="T169" s="133">
        <f>S169*H169</f>
        <v>0</v>
      </c>
      <c r="AR169" s="134" t="s">
        <v>133</v>
      </c>
      <c r="AT169" s="134" t="s">
        <v>128</v>
      </c>
      <c r="AU169" s="134" t="s">
        <v>80</v>
      </c>
      <c r="AY169" s="17" t="s">
        <v>126</v>
      </c>
      <c r="BE169" s="135">
        <f>IF(N169="základní",J169,0)</f>
        <v>0</v>
      </c>
      <c r="BF169" s="135">
        <f>IF(N169="snížená",J169,0)</f>
        <v>0</v>
      </c>
      <c r="BG169" s="135">
        <f>IF(N169="zákl. přenesená",J169,0)</f>
        <v>0</v>
      </c>
      <c r="BH169" s="135">
        <f>IF(N169="sníž. přenesená",J169,0)</f>
        <v>0</v>
      </c>
      <c r="BI169" s="135">
        <f>IF(N169="nulová",J169,0)</f>
        <v>0</v>
      </c>
      <c r="BJ169" s="17" t="s">
        <v>78</v>
      </c>
      <c r="BK169" s="135">
        <f>ROUND(I169*H169,2)</f>
        <v>0</v>
      </c>
      <c r="BL169" s="17" t="s">
        <v>133</v>
      </c>
      <c r="BM169" s="134" t="s">
        <v>720</v>
      </c>
    </row>
    <row r="170" spans="2:47" s="1" customFormat="1" ht="12">
      <c r="B170" s="29"/>
      <c r="D170" s="136" t="s">
        <v>135</v>
      </c>
      <c r="F170" s="137" t="s">
        <v>721</v>
      </c>
      <c r="L170" s="29"/>
      <c r="M170" s="138"/>
      <c r="T170" s="49"/>
      <c r="AT170" s="17" t="s">
        <v>135</v>
      </c>
      <c r="AU170" s="17" t="s">
        <v>80</v>
      </c>
    </row>
    <row r="171" spans="2:51" s="12" customFormat="1" ht="12">
      <c r="B171" s="139"/>
      <c r="D171" s="140" t="s">
        <v>137</v>
      </c>
      <c r="E171" s="141" t="s">
        <v>3</v>
      </c>
      <c r="F171" s="142" t="s">
        <v>722</v>
      </c>
      <c r="H171" s="143">
        <v>5</v>
      </c>
      <c r="L171" s="139"/>
      <c r="M171" s="144"/>
      <c r="T171" s="145"/>
      <c r="AT171" s="141" t="s">
        <v>137</v>
      </c>
      <c r="AU171" s="141" t="s">
        <v>80</v>
      </c>
      <c r="AV171" s="12" t="s">
        <v>80</v>
      </c>
      <c r="AW171" s="12" t="s">
        <v>32</v>
      </c>
      <c r="AX171" s="12" t="s">
        <v>78</v>
      </c>
      <c r="AY171" s="141" t="s">
        <v>126</v>
      </c>
    </row>
    <row r="172" spans="2:65" s="1" customFormat="1" ht="16.5" customHeight="1">
      <c r="B172" s="123"/>
      <c r="C172" s="124" t="s">
        <v>227</v>
      </c>
      <c r="D172" s="124" t="s">
        <v>128</v>
      </c>
      <c r="E172" s="125" t="s">
        <v>723</v>
      </c>
      <c r="F172" s="126" t="s">
        <v>724</v>
      </c>
      <c r="G172" s="127" t="s">
        <v>146</v>
      </c>
      <c r="H172" s="128">
        <v>12.201</v>
      </c>
      <c r="I172" s="129"/>
      <c r="J172" s="129">
        <f>ROUND(I172*H172,2)</f>
        <v>0</v>
      </c>
      <c r="K172" s="126" t="s">
        <v>132</v>
      </c>
      <c r="L172" s="29"/>
      <c r="M172" s="130" t="s">
        <v>3</v>
      </c>
      <c r="N172" s="131" t="s">
        <v>41</v>
      </c>
      <c r="O172" s="132">
        <v>6.77</v>
      </c>
      <c r="P172" s="132">
        <f>O172*H172</f>
        <v>82.60077</v>
      </c>
      <c r="Q172" s="132">
        <v>1.94302</v>
      </c>
      <c r="R172" s="132">
        <f>Q172*H172</f>
        <v>23.70678702</v>
      </c>
      <c r="S172" s="132">
        <v>0</v>
      </c>
      <c r="T172" s="133">
        <f>S172*H172</f>
        <v>0</v>
      </c>
      <c r="AR172" s="134" t="s">
        <v>133</v>
      </c>
      <c r="AT172" s="134" t="s">
        <v>128</v>
      </c>
      <c r="AU172" s="134" t="s">
        <v>80</v>
      </c>
      <c r="AY172" s="17" t="s">
        <v>126</v>
      </c>
      <c r="BE172" s="135">
        <f>IF(N172="základní",J172,0)</f>
        <v>0</v>
      </c>
      <c r="BF172" s="135">
        <f>IF(N172="snížená",J172,0)</f>
        <v>0</v>
      </c>
      <c r="BG172" s="135">
        <f>IF(N172="zákl. přenesená",J172,0)</f>
        <v>0</v>
      </c>
      <c r="BH172" s="135">
        <f>IF(N172="sníž. přenesená",J172,0)</f>
        <v>0</v>
      </c>
      <c r="BI172" s="135">
        <f>IF(N172="nulová",J172,0)</f>
        <v>0</v>
      </c>
      <c r="BJ172" s="17" t="s">
        <v>78</v>
      </c>
      <c r="BK172" s="135">
        <f>ROUND(I172*H172,2)</f>
        <v>0</v>
      </c>
      <c r="BL172" s="17" t="s">
        <v>133</v>
      </c>
      <c r="BM172" s="134" t="s">
        <v>725</v>
      </c>
    </row>
    <row r="173" spans="2:47" s="1" customFormat="1" ht="12">
      <c r="B173" s="29"/>
      <c r="D173" s="136" t="s">
        <v>135</v>
      </c>
      <c r="F173" s="137" t="s">
        <v>726</v>
      </c>
      <c r="L173" s="29"/>
      <c r="M173" s="138"/>
      <c r="T173" s="49"/>
      <c r="AT173" s="17" t="s">
        <v>135</v>
      </c>
      <c r="AU173" s="17" t="s">
        <v>80</v>
      </c>
    </row>
    <row r="174" spans="2:51" s="12" customFormat="1" ht="12">
      <c r="B174" s="139"/>
      <c r="D174" s="140" t="s">
        <v>137</v>
      </c>
      <c r="E174" s="141" t="s">
        <v>3</v>
      </c>
      <c r="F174" s="142" t="s">
        <v>727</v>
      </c>
      <c r="H174" s="143">
        <v>7.35</v>
      </c>
      <c r="L174" s="139"/>
      <c r="M174" s="144"/>
      <c r="T174" s="145"/>
      <c r="AT174" s="141" t="s">
        <v>137</v>
      </c>
      <c r="AU174" s="141" t="s">
        <v>80</v>
      </c>
      <c r="AV174" s="12" t="s">
        <v>80</v>
      </c>
      <c r="AW174" s="12" t="s">
        <v>32</v>
      </c>
      <c r="AX174" s="12" t="s">
        <v>70</v>
      </c>
      <c r="AY174" s="141" t="s">
        <v>126</v>
      </c>
    </row>
    <row r="175" spans="2:51" s="12" customFormat="1" ht="12">
      <c r="B175" s="139"/>
      <c r="D175" s="140" t="s">
        <v>137</v>
      </c>
      <c r="E175" s="141" t="s">
        <v>3</v>
      </c>
      <c r="F175" s="142" t="s">
        <v>728</v>
      </c>
      <c r="H175" s="143">
        <v>0.315</v>
      </c>
      <c r="L175" s="139"/>
      <c r="M175" s="144"/>
      <c r="T175" s="145"/>
      <c r="AT175" s="141" t="s">
        <v>137</v>
      </c>
      <c r="AU175" s="141" t="s">
        <v>80</v>
      </c>
      <c r="AV175" s="12" t="s">
        <v>80</v>
      </c>
      <c r="AW175" s="12" t="s">
        <v>32</v>
      </c>
      <c r="AX175" s="12" t="s">
        <v>70</v>
      </c>
      <c r="AY175" s="141" t="s">
        <v>126</v>
      </c>
    </row>
    <row r="176" spans="2:51" s="12" customFormat="1" ht="12">
      <c r="B176" s="139"/>
      <c r="D176" s="140" t="s">
        <v>137</v>
      </c>
      <c r="E176" s="141" t="s">
        <v>3</v>
      </c>
      <c r="F176" s="142" t="s">
        <v>729</v>
      </c>
      <c r="H176" s="143">
        <v>4.536</v>
      </c>
      <c r="L176" s="139"/>
      <c r="M176" s="144"/>
      <c r="T176" s="145"/>
      <c r="AT176" s="141" t="s">
        <v>137</v>
      </c>
      <c r="AU176" s="141" t="s">
        <v>80</v>
      </c>
      <c r="AV176" s="12" t="s">
        <v>80</v>
      </c>
      <c r="AW176" s="12" t="s">
        <v>32</v>
      </c>
      <c r="AX176" s="12" t="s">
        <v>70</v>
      </c>
      <c r="AY176" s="141" t="s">
        <v>126</v>
      </c>
    </row>
    <row r="177" spans="2:51" s="13" customFormat="1" ht="12">
      <c r="B177" s="146"/>
      <c r="D177" s="140" t="s">
        <v>137</v>
      </c>
      <c r="E177" s="147" t="s">
        <v>3</v>
      </c>
      <c r="F177" s="148" t="s">
        <v>151</v>
      </c>
      <c r="H177" s="149">
        <v>12.201</v>
      </c>
      <c r="L177" s="146"/>
      <c r="M177" s="150"/>
      <c r="T177" s="151"/>
      <c r="AT177" s="147" t="s">
        <v>137</v>
      </c>
      <c r="AU177" s="147" t="s">
        <v>80</v>
      </c>
      <c r="AV177" s="13" t="s">
        <v>133</v>
      </c>
      <c r="AW177" s="13" t="s">
        <v>32</v>
      </c>
      <c r="AX177" s="13" t="s">
        <v>78</v>
      </c>
      <c r="AY177" s="147" t="s">
        <v>126</v>
      </c>
    </row>
    <row r="178" spans="2:65" s="1" customFormat="1" ht="16.5" customHeight="1">
      <c r="B178" s="123"/>
      <c r="C178" s="124" t="s">
        <v>233</v>
      </c>
      <c r="D178" s="124" t="s">
        <v>128</v>
      </c>
      <c r="E178" s="125" t="s">
        <v>730</v>
      </c>
      <c r="F178" s="126" t="s">
        <v>731</v>
      </c>
      <c r="G178" s="127" t="s">
        <v>131</v>
      </c>
      <c r="H178" s="128">
        <v>50.4</v>
      </c>
      <c r="I178" s="129"/>
      <c r="J178" s="129">
        <f>ROUND(I178*H178,2)</f>
        <v>0</v>
      </c>
      <c r="K178" s="126" t="s">
        <v>132</v>
      </c>
      <c r="L178" s="29"/>
      <c r="M178" s="130" t="s">
        <v>3</v>
      </c>
      <c r="N178" s="131" t="s">
        <v>41</v>
      </c>
      <c r="O178" s="132">
        <v>0.4</v>
      </c>
      <c r="P178" s="132">
        <f>O178*H178</f>
        <v>20.16</v>
      </c>
      <c r="Q178" s="132">
        <v>0.00252</v>
      </c>
      <c r="R178" s="132">
        <f>Q178*H178</f>
        <v>0.127008</v>
      </c>
      <c r="S178" s="132">
        <v>0</v>
      </c>
      <c r="T178" s="133">
        <f>S178*H178</f>
        <v>0</v>
      </c>
      <c r="AR178" s="134" t="s">
        <v>133</v>
      </c>
      <c r="AT178" s="134" t="s">
        <v>128</v>
      </c>
      <c r="AU178" s="134" t="s">
        <v>80</v>
      </c>
      <c r="AY178" s="17" t="s">
        <v>126</v>
      </c>
      <c r="BE178" s="135">
        <f>IF(N178="základní",J178,0)</f>
        <v>0</v>
      </c>
      <c r="BF178" s="135">
        <f>IF(N178="snížená",J178,0)</f>
        <v>0</v>
      </c>
      <c r="BG178" s="135">
        <f>IF(N178="zákl. přenesená",J178,0)</f>
        <v>0</v>
      </c>
      <c r="BH178" s="135">
        <f>IF(N178="sníž. přenesená",J178,0)</f>
        <v>0</v>
      </c>
      <c r="BI178" s="135">
        <f>IF(N178="nulová",J178,0)</f>
        <v>0</v>
      </c>
      <c r="BJ178" s="17" t="s">
        <v>78</v>
      </c>
      <c r="BK178" s="135">
        <f>ROUND(I178*H178,2)</f>
        <v>0</v>
      </c>
      <c r="BL178" s="17" t="s">
        <v>133</v>
      </c>
      <c r="BM178" s="134" t="s">
        <v>732</v>
      </c>
    </row>
    <row r="179" spans="2:47" s="1" customFormat="1" ht="12">
      <c r="B179" s="29"/>
      <c r="D179" s="136" t="s">
        <v>135</v>
      </c>
      <c r="F179" s="137" t="s">
        <v>733</v>
      </c>
      <c r="L179" s="29"/>
      <c r="M179" s="138"/>
      <c r="T179" s="49"/>
      <c r="AT179" s="17" t="s">
        <v>135</v>
      </c>
      <c r="AU179" s="17" t="s">
        <v>80</v>
      </c>
    </row>
    <row r="180" spans="2:51" s="12" customFormat="1" ht="12">
      <c r="B180" s="139"/>
      <c r="D180" s="140" t="s">
        <v>137</v>
      </c>
      <c r="E180" s="141" t="s">
        <v>3</v>
      </c>
      <c r="F180" s="142" t="s">
        <v>716</v>
      </c>
      <c r="H180" s="143">
        <v>20</v>
      </c>
      <c r="L180" s="139"/>
      <c r="M180" s="144"/>
      <c r="T180" s="145"/>
      <c r="AT180" s="141" t="s">
        <v>137</v>
      </c>
      <c r="AU180" s="141" t="s">
        <v>80</v>
      </c>
      <c r="AV180" s="12" t="s">
        <v>80</v>
      </c>
      <c r="AW180" s="12" t="s">
        <v>32</v>
      </c>
      <c r="AX180" s="12" t="s">
        <v>70</v>
      </c>
      <c r="AY180" s="141" t="s">
        <v>126</v>
      </c>
    </row>
    <row r="181" spans="2:51" s="12" customFormat="1" ht="12">
      <c r="B181" s="139"/>
      <c r="D181" s="140" t="s">
        <v>137</v>
      </c>
      <c r="E181" s="141" t="s">
        <v>3</v>
      </c>
      <c r="F181" s="142" t="s">
        <v>734</v>
      </c>
      <c r="H181" s="143">
        <v>30.4</v>
      </c>
      <c r="L181" s="139"/>
      <c r="M181" s="144"/>
      <c r="T181" s="145"/>
      <c r="AT181" s="141" t="s">
        <v>137</v>
      </c>
      <c r="AU181" s="141" t="s">
        <v>80</v>
      </c>
      <c r="AV181" s="12" t="s">
        <v>80</v>
      </c>
      <c r="AW181" s="12" t="s">
        <v>32</v>
      </c>
      <c r="AX181" s="12" t="s">
        <v>70</v>
      </c>
      <c r="AY181" s="141" t="s">
        <v>126</v>
      </c>
    </row>
    <row r="182" spans="2:51" s="13" customFormat="1" ht="12">
      <c r="B182" s="146"/>
      <c r="D182" s="140" t="s">
        <v>137</v>
      </c>
      <c r="E182" s="147" t="s">
        <v>3</v>
      </c>
      <c r="F182" s="148" t="s">
        <v>151</v>
      </c>
      <c r="H182" s="149">
        <v>50.4</v>
      </c>
      <c r="L182" s="146"/>
      <c r="M182" s="150"/>
      <c r="T182" s="151"/>
      <c r="AT182" s="147" t="s">
        <v>137</v>
      </c>
      <c r="AU182" s="147" t="s">
        <v>80</v>
      </c>
      <c r="AV182" s="13" t="s">
        <v>133</v>
      </c>
      <c r="AW182" s="13" t="s">
        <v>32</v>
      </c>
      <c r="AX182" s="13" t="s">
        <v>78</v>
      </c>
      <c r="AY182" s="147" t="s">
        <v>126</v>
      </c>
    </row>
    <row r="183" spans="2:63" s="11" customFormat="1" ht="22.7" customHeight="1">
      <c r="B183" s="112"/>
      <c r="D183" s="113" t="s">
        <v>69</v>
      </c>
      <c r="E183" s="121" t="s">
        <v>133</v>
      </c>
      <c r="F183" s="121" t="s">
        <v>735</v>
      </c>
      <c r="J183" s="122">
        <f>BK183</f>
        <v>0</v>
      </c>
      <c r="L183" s="112"/>
      <c r="M183" s="116"/>
      <c r="P183" s="117">
        <f>SUM(P184:P231)</f>
        <v>161.37267799999998</v>
      </c>
      <c r="R183" s="117">
        <f>SUM(R184:R231)</f>
        <v>36.67774088</v>
      </c>
      <c r="T183" s="118">
        <f>SUM(T184:T231)</f>
        <v>0</v>
      </c>
      <c r="AR183" s="113" t="s">
        <v>78</v>
      </c>
      <c r="AT183" s="119" t="s">
        <v>69</v>
      </c>
      <c r="AU183" s="119" t="s">
        <v>78</v>
      </c>
      <c r="AY183" s="113" t="s">
        <v>126</v>
      </c>
      <c r="BK183" s="120">
        <f>SUM(BK184:BK231)</f>
        <v>0</v>
      </c>
    </row>
    <row r="184" spans="2:65" s="1" customFormat="1" ht="24.2" customHeight="1">
      <c r="B184" s="123"/>
      <c r="C184" s="124" t="s">
        <v>240</v>
      </c>
      <c r="D184" s="124" t="s">
        <v>128</v>
      </c>
      <c r="E184" s="125" t="s">
        <v>736</v>
      </c>
      <c r="F184" s="126" t="s">
        <v>737</v>
      </c>
      <c r="G184" s="127" t="s">
        <v>296</v>
      </c>
      <c r="H184" s="128">
        <v>141</v>
      </c>
      <c r="I184" s="129"/>
      <c r="J184" s="129">
        <f>ROUND(I184*H184,2)</f>
        <v>0</v>
      </c>
      <c r="K184" s="126" t="s">
        <v>132</v>
      </c>
      <c r="L184" s="29"/>
      <c r="M184" s="130" t="s">
        <v>3</v>
      </c>
      <c r="N184" s="131" t="s">
        <v>41</v>
      </c>
      <c r="O184" s="132">
        <v>0.353</v>
      </c>
      <c r="P184" s="132">
        <f>O184*H184</f>
        <v>49.772999999999996</v>
      </c>
      <c r="Q184" s="132">
        <v>0.00459</v>
      </c>
      <c r="R184" s="132">
        <f>Q184*H184</f>
        <v>0.64719</v>
      </c>
      <c r="S184" s="132">
        <v>0</v>
      </c>
      <c r="T184" s="133">
        <f>S184*H184</f>
        <v>0</v>
      </c>
      <c r="AR184" s="134" t="s">
        <v>133</v>
      </c>
      <c r="AT184" s="134" t="s">
        <v>128</v>
      </c>
      <c r="AU184" s="134" t="s">
        <v>80</v>
      </c>
      <c r="AY184" s="17" t="s">
        <v>126</v>
      </c>
      <c r="BE184" s="135">
        <f>IF(N184="základní",J184,0)</f>
        <v>0</v>
      </c>
      <c r="BF184" s="135">
        <f>IF(N184="snížená",J184,0)</f>
        <v>0</v>
      </c>
      <c r="BG184" s="135">
        <f>IF(N184="zákl. přenesená",J184,0)</f>
        <v>0</v>
      </c>
      <c r="BH184" s="135">
        <f>IF(N184="sníž. přenesená",J184,0)</f>
        <v>0</v>
      </c>
      <c r="BI184" s="135">
        <f>IF(N184="nulová",J184,0)</f>
        <v>0</v>
      </c>
      <c r="BJ184" s="17" t="s">
        <v>78</v>
      </c>
      <c r="BK184" s="135">
        <f>ROUND(I184*H184,2)</f>
        <v>0</v>
      </c>
      <c r="BL184" s="17" t="s">
        <v>133</v>
      </c>
      <c r="BM184" s="134" t="s">
        <v>738</v>
      </c>
    </row>
    <row r="185" spans="2:47" s="1" customFormat="1" ht="12">
      <c r="B185" s="29"/>
      <c r="D185" s="136" t="s">
        <v>135</v>
      </c>
      <c r="F185" s="137" t="s">
        <v>739</v>
      </c>
      <c r="L185" s="29"/>
      <c r="M185" s="138"/>
      <c r="T185" s="49"/>
      <c r="AT185" s="17" t="s">
        <v>135</v>
      </c>
      <c r="AU185" s="17" t="s">
        <v>80</v>
      </c>
    </row>
    <row r="186" spans="2:51" s="12" customFormat="1" ht="12">
      <c r="B186" s="139"/>
      <c r="D186" s="140" t="s">
        <v>137</v>
      </c>
      <c r="E186" s="141" t="s">
        <v>3</v>
      </c>
      <c r="F186" s="142" t="s">
        <v>740</v>
      </c>
      <c r="H186" s="143">
        <v>27</v>
      </c>
      <c r="L186" s="139"/>
      <c r="M186" s="144"/>
      <c r="T186" s="145"/>
      <c r="AT186" s="141" t="s">
        <v>137</v>
      </c>
      <c r="AU186" s="141" t="s">
        <v>80</v>
      </c>
      <c r="AV186" s="12" t="s">
        <v>80</v>
      </c>
      <c r="AW186" s="12" t="s">
        <v>32</v>
      </c>
      <c r="AX186" s="12" t="s">
        <v>70</v>
      </c>
      <c r="AY186" s="141" t="s">
        <v>126</v>
      </c>
    </row>
    <row r="187" spans="2:51" s="12" customFormat="1" ht="12">
      <c r="B187" s="139"/>
      <c r="D187" s="140" t="s">
        <v>137</v>
      </c>
      <c r="E187" s="141" t="s">
        <v>3</v>
      </c>
      <c r="F187" s="142" t="s">
        <v>741</v>
      </c>
      <c r="H187" s="143">
        <v>28</v>
      </c>
      <c r="L187" s="139"/>
      <c r="M187" s="144"/>
      <c r="T187" s="145"/>
      <c r="AT187" s="141" t="s">
        <v>137</v>
      </c>
      <c r="AU187" s="141" t="s">
        <v>80</v>
      </c>
      <c r="AV187" s="12" t="s">
        <v>80</v>
      </c>
      <c r="AW187" s="12" t="s">
        <v>32</v>
      </c>
      <c r="AX187" s="12" t="s">
        <v>70</v>
      </c>
      <c r="AY187" s="141" t="s">
        <v>126</v>
      </c>
    </row>
    <row r="188" spans="2:51" s="12" customFormat="1" ht="12">
      <c r="B188" s="139"/>
      <c r="D188" s="140" t="s">
        <v>137</v>
      </c>
      <c r="E188" s="141" t="s">
        <v>3</v>
      </c>
      <c r="F188" s="142" t="s">
        <v>742</v>
      </c>
      <c r="H188" s="143">
        <v>77</v>
      </c>
      <c r="L188" s="139"/>
      <c r="M188" s="144"/>
      <c r="T188" s="145"/>
      <c r="AT188" s="141" t="s">
        <v>137</v>
      </c>
      <c r="AU188" s="141" t="s">
        <v>80</v>
      </c>
      <c r="AV188" s="12" t="s">
        <v>80</v>
      </c>
      <c r="AW188" s="12" t="s">
        <v>32</v>
      </c>
      <c r="AX188" s="12" t="s">
        <v>70</v>
      </c>
      <c r="AY188" s="141" t="s">
        <v>126</v>
      </c>
    </row>
    <row r="189" spans="2:51" s="12" customFormat="1" ht="12">
      <c r="B189" s="139"/>
      <c r="D189" s="140" t="s">
        <v>137</v>
      </c>
      <c r="E189" s="141" t="s">
        <v>3</v>
      </c>
      <c r="F189" s="142" t="s">
        <v>743</v>
      </c>
      <c r="H189" s="143">
        <v>9</v>
      </c>
      <c r="L189" s="139"/>
      <c r="M189" s="144"/>
      <c r="T189" s="145"/>
      <c r="AT189" s="141" t="s">
        <v>137</v>
      </c>
      <c r="AU189" s="141" t="s">
        <v>80</v>
      </c>
      <c r="AV189" s="12" t="s">
        <v>80</v>
      </c>
      <c r="AW189" s="12" t="s">
        <v>32</v>
      </c>
      <c r="AX189" s="12" t="s">
        <v>70</v>
      </c>
      <c r="AY189" s="141" t="s">
        <v>126</v>
      </c>
    </row>
    <row r="190" spans="2:51" s="13" customFormat="1" ht="12">
      <c r="B190" s="146"/>
      <c r="D190" s="140" t="s">
        <v>137</v>
      </c>
      <c r="E190" s="147" t="s">
        <v>3</v>
      </c>
      <c r="F190" s="148" t="s">
        <v>151</v>
      </c>
      <c r="H190" s="149">
        <v>141</v>
      </c>
      <c r="L190" s="146"/>
      <c r="M190" s="150"/>
      <c r="T190" s="151"/>
      <c r="AT190" s="147" t="s">
        <v>137</v>
      </c>
      <c r="AU190" s="147" t="s">
        <v>80</v>
      </c>
      <c r="AV190" s="13" t="s">
        <v>133</v>
      </c>
      <c r="AW190" s="13" t="s">
        <v>32</v>
      </c>
      <c r="AX190" s="13" t="s">
        <v>78</v>
      </c>
      <c r="AY190" s="147" t="s">
        <v>126</v>
      </c>
    </row>
    <row r="191" spans="2:65" s="1" customFormat="1" ht="16.5" customHeight="1">
      <c r="B191" s="123"/>
      <c r="C191" s="152" t="s">
        <v>246</v>
      </c>
      <c r="D191" s="152" t="s">
        <v>405</v>
      </c>
      <c r="E191" s="153" t="s">
        <v>744</v>
      </c>
      <c r="F191" s="154" t="s">
        <v>745</v>
      </c>
      <c r="G191" s="155" t="s">
        <v>296</v>
      </c>
      <c r="H191" s="156">
        <v>77</v>
      </c>
      <c r="I191" s="157"/>
      <c r="J191" s="157">
        <f>ROUND(I191*H191,2)</f>
        <v>0</v>
      </c>
      <c r="K191" s="154" t="s">
        <v>132</v>
      </c>
      <c r="L191" s="158"/>
      <c r="M191" s="159" t="s">
        <v>3</v>
      </c>
      <c r="N191" s="160" t="s">
        <v>41</v>
      </c>
      <c r="O191" s="132">
        <v>0</v>
      </c>
      <c r="P191" s="132">
        <f>O191*H191</f>
        <v>0</v>
      </c>
      <c r="Q191" s="132">
        <v>0.078</v>
      </c>
      <c r="R191" s="132">
        <f>Q191*H191</f>
        <v>6.006</v>
      </c>
      <c r="S191" s="132">
        <v>0</v>
      </c>
      <c r="T191" s="133">
        <f>S191*H191</f>
        <v>0</v>
      </c>
      <c r="AR191" s="134" t="s">
        <v>175</v>
      </c>
      <c r="AT191" s="134" t="s">
        <v>405</v>
      </c>
      <c r="AU191" s="134" t="s">
        <v>80</v>
      </c>
      <c r="AY191" s="17" t="s">
        <v>126</v>
      </c>
      <c r="BE191" s="135">
        <f>IF(N191="základní",J191,0)</f>
        <v>0</v>
      </c>
      <c r="BF191" s="135">
        <f>IF(N191="snížená",J191,0)</f>
        <v>0</v>
      </c>
      <c r="BG191" s="135">
        <f>IF(N191="zákl. přenesená",J191,0)</f>
        <v>0</v>
      </c>
      <c r="BH191" s="135">
        <f>IF(N191="sníž. přenesená",J191,0)</f>
        <v>0</v>
      </c>
      <c r="BI191" s="135">
        <f>IF(N191="nulová",J191,0)</f>
        <v>0</v>
      </c>
      <c r="BJ191" s="17" t="s">
        <v>78</v>
      </c>
      <c r="BK191" s="135">
        <f>ROUND(I191*H191,2)</f>
        <v>0</v>
      </c>
      <c r="BL191" s="17" t="s">
        <v>133</v>
      </c>
      <c r="BM191" s="134" t="s">
        <v>746</v>
      </c>
    </row>
    <row r="192" spans="2:51" s="12" customFormat="1" ht="12">
      <c r="B192" s="139"/>
      <c r="D192" s="140" t="s">
        <v>137</v>
      </c>
      <c r="E192" s="141" t="s">
        <v>3</v>
      </c>
      <c r="F192" s="142" t="s">
        <v>742</v>
      </c>
      <c r="H192" s="143">
        <v>77</v>
      </c>
      <c r="L192" s="139"/>
      <c r="M192" s="144"/>
      <c r="T192" s="145"/>
      <c r="AT192" s="141" t="s">
        <v>137</v>
      </c>
      <c r="AU192" s="141" t="s">
        <v>80</v>
      </c>
      <c r="AV192" s="12" t="s">
        <v>80</v>
      </c>
      <c r="AW192" s="12" t="s">
        <v>32</v>
      </c>
      <c r="AX192" s="12" t="s">
        <v>78</v>
      </c>
      <c r="AY192" s="141" t="s">
        <v>126</v>
      </c>
    </row>
    <row r="193" spans="2:65" s="1" customFormat="1" ht="16.5" customHeight="1">
      <c r="B193" s="123"/>
      <c r="C193" s="152" t="s">
        <v>8</v>
      </c>
      <c r="D193" s="152" t="s">
        <v>405</v>
      </c>
      <c r="E193" s="153" t="s">
        <v>747</v>
      </c>
      <c r="F193" s="154" t="s">
        <v>748</v>
      </c>
      <c r="G193" s="155" t="s">
        <v>296</v>
      </c>
      <c r="H193" s="156">
        <v>28</v>
      </c>
      <c r="I193" s="157"/>
      <c r="J193" s="157">
        <f>ROUND(I193*H193,2)</f>
        <v>0</v>
      </c>
      <c r="K193" s="154" t="s">
        <v>3</v>
      </c>
      <c r="L193" s="158"/>
      <c r="M193" s="159" t="s">
        <v>3</v>
      </c>
      <c r="N193" s="160" t="s">
        <v>41</v>
      </c>
      <c r="O193" s="132">
        <v>0</v>
      </c>
      <c r="P193" s="132">
        <f>O193*H193</f>
        <v>0</v>
      </c>
      <c r="Q193" s="132">
        <v>0.097</v>
      </c>
      <c r="R193" s="132">
        <f>Q193*H193</f>
        <v>2.716</v>
      </c>
      <c r="S193" s="132">
        <v>0</v>
      </c>
      <c r="T193" s="133">
        <f>S193*H193</f>
        <v>0</v>
      </c>
      <c r="AR193" s="134" t="s">
        <v>175</v>
      </c>
      <c r="AT193" s="134" t="s">
        <v>405</v>
      </c>
      <c r="AU193" s="134" t="s">
        <v>80</v>
      </c>
      <c r="AY193" s="17" t="s">
        <v>126</v>
      </c>
      <c r="BE193" s="135">
        <f>IF(N193="základní",J193,0)</f>
        <v>0</v>
      </c>
      <c r="BF193" s="135">
        <f>IF(N193="snížená",J193,0)</f>
        <v>0</v>
      </c>
      <c r="BG193" s="135">
        <f>IF(N193="zákl. přenesená",J193,0)</f>
        <v>0</v>
      </c>
      <c r="BH193" s="135">
        <f>IF(N193="sníž. přenesená",J193,0)</f>
        <v>0</v>
      </c>
      <c r="BI193" s="135">
        <f>IF(N193="nulová",J193,0)</f>
        <v>0</v>
      </c>
      <c r="BJ193" s="17" t="s">
        <v>78</v>
      </c>
      <c r="BK193" s="135">
        <f>ROUND(I193*H193,2)</f>
        <v>0</v>
      </c>
      <c r="BL193" s="17" t="s">
        <v>133</v>
      </c>
      <c r="BM193" s="134" t="s">
        <v>749</v>
      </c>
    </row>
    <row r="194" spans="2:51" s="12" customFormat="1" ht="12">
      <c r="B194" s="139"/>
      <c r="D194" s="140" t="s">
        <v>137</v>
      </c>
      <c r="E194" s="141" t="s">
        <v>3</v>
      </c>
      <c r="F194" s="142" t="s">
        <v>741</v>
      </c>
      <c r="H194" s="143">
        <v>28</v>
      </c>
      <c r="L194" s="139"/>
      <c r="M194" s="144"/>
      <c r="T194" s="145"/>
      <c r="AT194" s="141" t="s">
        <v>137</v>
      </c>
      <c r="AU194" s="141" t="s">
        <v>80</v>
      </c>
      <c r="AV194" s="12" t="s">
        <v>80</v>
      </c>
      <c r="AW194" s="12" t="s">
        <v>32</v>
      </c>
      <c r="AX194" s="12" t="s">
        <v>78</v>
      </c>
      <c r="AY194" s="141" t="s">
        <v>126</v>
      </c>
    </row>
    <row r="195" spans="2:65" s="1" customFormat="1" ht="16.5" customHeight="1">
      <c r="B195" s="123"/>
      <c r="C195" s="152" t="s">
        <v>259</v>
      </c>
      <c r="D195" s="152" t="s">
        <v>405</v>
      </c>
      <c r="E195" s="153" t="s">
        <v>750</v>
      </c>
      <c r="F195" s="154" t="s">
        <v>751</v>
      </c>
      <c r="G195" s="155" t="s">
        <v>296</v>
      </c>
      <c r="H195" s="156">
        <v>27</v>
      </c>
      <c r="I195" s="157"/>
      <c r="J195" s="157">
        <f>ROUND(I195*H195,2)</f>
        <v>0</v>
      </c>
      <c r="K195" s="154" t="s">
        <v>3</v>
      </c>
      <c r="L195" s="158"/>
      <c r="M195" s="159" t="s">
        <v>3</v>
      </c>
      <c r="N195" s="160" t="s">
        <v>41</v>
      </c>
      <c r="O195" s="132">
        <v>0</v>
      </c>
      <c r="P195" s="132">
        <f>O195*H195</f>
        <v>0</v>
      </c>
      <c r="Q195" s="132">
        <v>0.097</v>
      </c>
      <c r="R195" s="132">
        <f>Q195*H195</f>
        <v>2.619</v>
      </c>
      <c r="S195" s="132">
        <v>0</v>
      </c>
      <c r="T195" s="133">
        <f>S195*H195</f>
        <v>0</v>
      </c>
      <c r="AR195" s="134" t="s">
        <v>175</v>
      </c>
      <c r="AT195" s="134" t="s">
        <v>405</v>
      </c>
      <c r="AU195" s="134" t="s">
        <v>80</v>
      </c>
      <c r="AY195" s="17" t="s">
        <v>126</v>
      </c>
      <c r="BE195" s="135">
        <f>IF(N195="základní",J195,0)</f>
        <v>0</v>
      </c>
      <c r="BF195" s="135">
        <f>IF(N195="snížená",J195,0)</f>
        <v>0</v>
      </c>
      <c r="BG195" s="135">
        <f>IF(N195="zákl. přenesená",J195,0)</f>
        <v>0</v>
      </c>
      <c r="BH195" s="135">
        <f>IF(N195="sníž. přenesená",J195,0)</f>
        <v>0</v>
      </c>
      <c r="BI195" s="135">
        <f>IF(N195="nulová",J195,0)</f>
        <v>0</v>
      </c>
      <c r="BJ195" s="17" t="s">
        <v>78</v>
      </c>
      <c r="BK195" s="135">
        <f>ROUND(I195*H195,2)</f>
        <v>0</v>
      </c>
      <c r="BL195" s="17" t="s">
        <v>133</v>
      </c>
      <c r="BM195" s="134" t="s">
        <v>752</v>
      </c>
    </row>
    <row r="196" spans="2:51" s="12" customFormat="1" ht="12">
      <c r="B196" s="139"/>
      <c r="D196" s="140" t="s">
        <v>137</v>
      </c>
      <c r="E196" s="141" t="s">
        <v>3</v>
      </c>
      <c r="F196" s="142" t="s">
        <v>740</v>
      </c>
      <c r="H196" s="143">
        <v>27</v>
      </c>
      <c r="L196" s="139"/>
      <c r="M196" s="144"/>
      <c r="T196" s="145"/>
      <c r="AT196" s="141" t="s">
        <v>137</v>
      </c>
      <c r="AU196" s="141" t="s">
        <v>80</v>
      </c>
      <c r="AV196" s="12" t="s">
        <v>80</v>
      </c>
      <c r="AW196" s="12" t="s">
        <v>32</v>
      </c>
      <c r="AX196" s="12" t="s">
        <v>78</v>
      </c>
      <c r="AY196" s="141" t="s">
        <v>126</v>
      </c>
    </row>
    <row r="197" spans="2:65" s="1" customFormat="1" ht="16.5" customHeight="1">
      <c r="B197" s="123"/>
      <c r="C197" s="152" t="s">
        <v>265</v>
      </c>
      <c r="D197" s="152" t="s">
        <v>405</v>
      </c>
      <c r="E197" s="153" t="s">
        <v>753</v>
      </c>
      <c r="F197" s="154" t="s">
        <v>754</v>
      </c>
      <c r="G197" s="155" t="s">
        <v>296</v>
      </c>
      <c r="H197" s="156">
        <v>9</v>
      </c>
      <c r="I197" s="157"/>
      <c r="J197" s="157">
        <f>ROUND(I197*H197,2)</f>
        <v>0</v>
      </c>
      <c r="K197" s="154" t="s">
        <v>3</v>
      </c>
      <c r="L197" s="158"/>
      <c r="M197" s="159" t="s">
        <v>3</v>
      </c>
      <c r="N197" s="160" t="s">
        <v>41</v>
      </c>
      <c r="O197" s="132">
        <v>0</v>
      </c>
      <c r="P197" s="132">
        <f>O197*H197</f>
        <v>0</v>
      </c>
      <c r="Q197" s="132">
        <v>0.117</v>
      </c>
      <c r="R197" s="132">
        <f>Q197*H197</f>
        <v>1.0530000000000002</v>
      </c>
      <c r="S197" s="132">
        <v>0</v>
      </c>
      <c r="T197" s="133">
        <f>S197*H197</f>
        <v>0</v>
      </c>
      <c r="AR197" s="134" t="s">
        <v>175</v>
      </c>
      <c r="AT197" s="134" t="s">
        <v>405</v>
      </c>
      <c r="AU197" s="134" t="s">
        <v>80</v>
      </c>
      <c r="AY197" s="17" t="s">
        <v>126</v>
      </c>
      <c r="BE197" s="135">
        <f>IF(N197="základní",J197,0)</f>
        <v>0</v>
      </c>
      <c r="BF197" s="135">
        <f>IF(N197="snížená",J197,0)</f>
        <v>0</v>
      </c>
      <c r="BG197" s="135">
        <f>IF(N197="zákl. přenesená",J197,0)</f>
        <v>0</v>
      </c>
      <c r="BH197" s="135">
        <f>IF(N197="sníž. přenesená",J197,0)</f>
        <v>0</v>
      </c>
      <c r="BI197" s="135">
        <f>IF(N197="nulová",J197,0)</f>
        <v>0</v>
      </c>
      <c r="BJ197" s="17" t="s">
        <v>78</v>
      </c>
      <c r="BK197" s="135">
        <f>ROUND(I197*H197,2)</f>
        <v>0</v>
      </c>
      <c r="BL197" s="17" t="s">
        <v>133</v>
      </c>
      <c r="BM197" s="134" t="s">
        <v>755</v>
      </c>
    </row>
    <row r="198" spans="2:51" s="12" customFormat="1" ht="12">
      <c r="B198" s="139"/>
      <c r="D198" s="140" t="s">
        <v>137</v>
      </c>
      <c r="E198" s="141" t="s">
        <v>3</v>
      </c>
      <c r="F198" s="142" t="s">
        <v>743</v>
      </c>
      <c r="H198" s="143">
        <v>9</v>
      </c>
      <c r="L198" s="139"/>
      <c r="M198" s="144"/>
      <c r="T198" s="145"/>
      <c r="AT198" s="141" t="s">
        <v>137</v>
      </c>
      <c r="AU198" s="141" t="s">
        <v>80</v>
      </c>
      <c r="AV198" s="12" t="s">
        <v>80</v>
      </c>
      <c r="AW198" s="12" t="s">
        <v>32</v>
      </c>
      <c r="AX198" s="12" t="s">
        <v>78</v>
      </c>
      <c r="AY198" s="141" t="s">
        <v>126</v>
      </c>
    </row>
    <row r="199" spans="2:65" s="1" customFormat="1" ht="16.5" customHeight="1">
      <c r="B199" s="123"/>
      <c r="C199" s="124" t="s">
        <v>273</v>
      </c>
      <c r="D199" s="124" t="s">
        <v>128</v>
      </c>
      <c r="E199" s="125" t="s">
        <v>756</v>
      </c>
      <c r="F199" s="126" t="s">
        <v>757</v>
      </c>
      <c r="G199" s="127" t="s">
        <v>146</v>
      </c>
      <c r="H199" s="128">
        <v>4.818</v>
      </c>
      <c r="I199" s="129"/>
      <c r="J199" s="129">
        <f>ROUND(I199*H199,2)</f>
        <v>0</v>
      </c>
      <c r="K199" s="126" t="s">
        <v>132</v>
      </c>
      <c r="L199" s="29"/>
      <c r="M199" s="130" t="s">
        <v>3</v>
      </c>
      <c r="N199" s="131" t="s">
        <v>41</v>
      </c>
      <c r="O199" s="132">
        <v>1.448</v>
      </c>
      <c r="P199" s="132">
        <f>O199*H199</f>
        <v>6.976463999999999</v>
      </c>
      <c r="Q199" s="132">
        <v>2.50198</v>
      </c>
      <c r="R199" s="132">
        <f>Q199*H199</f>
        <v>12.05453964</v>
      </c>
      <c r="S199" s="132">
        <v>0</v>
      </c>
      <c r="T199" s="133">
        <f>S199*H199</f>
        <v>0</v>
      </c>
      <c r="AR199" s="134" t="s">
        <v>133</v>
      </c>
      <c r="AT199" s="134" t="s">
        <v>128</v>
      </c>
      <c r="AU199" s="134" t="s">
        <v>80</v>
      </c>
      <c r="AY199" s="17" t="s">
        <v>126</v>
      </c>
      <c r="BE199" s="135">
        <f>IF(N199="základní",J199,0)</f>
        <v>0</v>
      </c>
      <c r="BF199" s="135">
        <f>IF(N199="snížená",J199,0)</f>
        <v>0</v>
      </c>
      <c r="BG199" s="135">
        <f>IF(N199="zákl. přenesená",J199,0)</f>
        <v>0</v>
      </c>
      <c r="BH199" s="135">
        <f>IF(N199="sníž. přenesená",J199,0)</f>
        <v>0</v>
      </c>
      <c r="BI199" s="135">
        <f>IF(N199="nulová",J199,0)</f>
        <v>0</v>
      </c>
      <c r="BJ199" s="17" t="s">
        <v>78</v>
      </c>
      <c r="BK199" s="135">
        <f>ROUND(I199*H199,2)</f>
        <v>0</v>
      </c>
      <c r="BL199" s="17" t="s">
        <v>133</v>
      </c>
      <c r="BM199" s="134" t="s">
        <v>758</v>
      </c>
    </row>
    <row r="200" spans="2:47" s="1" customFormat="1" ht="12">
      <c r="B200" s="29"/>
      <c r="D200" s="136" t="s">
        <v>135</v>
      </c>
      <c r="F200" s="137" t="s">
        <v>759</v>
      </c>
      <c r="L200" s="29"/>
      <c r="M200" s="138"/>
      <c r="T200" s="49"/>
      <c r="AT200" s="17" t="s">
        <v>135</v>
      </c>
      <c r="AU200" s="17" t="s">
        <v>80</v>
      </c>
    </row>
    <row r="201" spans="2:51" s="12" customFormat="1" ht="12">
      <c r="B201" s="139"/>
      <c r="D201" s="140" t="s">
        <v>137</v>
      </c>
      <c r="E201" s="141" t="s">
        <v>3</v>
      </c>
      <c r="F201" s="142" t="s">
        <v>760</v>
      </c>
      <c r="H201" s="143">
        <v>2.28</v>
      </c>
      <c r="L201" s="139"/>
      <c r="M201" s="144"/>
      <c r="T201" s="145"/>
      <c r="AT201" s="141" t="s">
        <v>137</v>
      </c>
      <c r="AU201" s="141" t="s">
        <v>80</v>
      </c>
      <c r="AV201" s="12" t="s">
        <v>80</v>
      </c>
      <c r="AW201" s="12" t="s">
        <v>32</v>
      </c>
      <c r="AX201" s="12" t="s">
        <v>70</v>
      </c>
      <c r="AY201" s="141" t="s">
        <v>126</v>
      </c>
    </row>
    <row r="202" spans="2:51" s="12" customFormat="1" ht="12">
      <c r="B202" s="139"/>
      <c r="D202" s="140" t="s">
        <v>137</v>
      </c>
      <c r="E202" s="141" t="s">
        <v>3</v>
      </c>
      <c r="F202" s="142" t="s">
        <v>761</v>
      </c>
      <c r="H202" s="143">
        <v>1.75</v>
      </c>
      <c r="L202" s="139"/>
      <c r="M202" s="144"/>
      <c r="T202" s="145"/>
      <c r="AT202" s="141" t="s">
        <v>137</v>
      </c>
      <c r="AU202" s="141" t="s">
        <v>80</v>
      </c>
      <c r="AV202" s="12" t="s">
        <v>80</v>
      </c>
      <c r="AW202" s="12" t="s">
        <v>32</v>
      </c>
      <c r="AX202" s="12" t="s">
        <v>70</v>
      </c>
      <c r="AY202" s="141" t="s">
        <v>126</v>
      </c>
    </row>
    <row r="203" spans="2:51" s="12" customFormat="1" ht="12">
      <c r="B203" s="139"/>
      <c r="D203" s="140" t="s">
        <v>137</v>
      </c>
      <c r="E203" s="141" t="s">
        <v>3</v>
      </c>
      <c r="F203" s="142" t="s">
        <v>762</v>
      </c>
      <c r="H203" s="143">
        <v>0.788</v>
      </c>
      <c r="L203" s="139"/>
      <c r="M203" s="144"/>
      <c r="T203" s="145"/>
      <c r="AT203" s="141" t="s">
        <v>137</v>
      </c>
      <c r="AU203" s="141" t="s">
        <v>80</v>
      </c>
      <c r="AV203" s="12" t="s">
        <v>80</v>
      </c>
      <c r="AW203" s="12" t="s">
        <v>32</v>
      </c>
      <c r="AX203" s="12" t="s">
        <v>70</v>
      </c>
      <c r="AY203" s="141" t="s">
        <v>126</v>
      </c>
    </row>
    <row r="204" spans="2:51" s="13" customFormat="1" ht="12">
      <c r="B204" s="146"/>
      <c r="D204" s="140" t="s">
        <v>137</v>
      </c>
      <c r="E204" s="147" t="s">
        <v>3</v>
      </c>
      <c r="F204" s="148" t="s">
        <v>151</v>
      </c>
      <c r="H204" s="149">
        <v>4.818</v>
      </c>
      <c r="L204" s="146"/>
      <c r="M204" s="150"/>
      <c r="T204" s="151"/>
      <c r="AT204" s="147" t="s">
        <v>137</v>
      </c>
      <c r="AU204" s="147" t="s">
        <v>80</v>
      </c>
      <c r="AV204" s="13" t="s">
        <v>133</v>
      </c>
      <c r="AW204" s="13" t="s">
        <v>32</v>
      </c>
      <c r="AX204" s="13" t="s">
        <v>78</v>
      </c>
      <c r="AY204" s="147" t="s">
        <v>126</v>
      </c>
    </row>
    <row r="205" spans="2:65" s="1" customFormat="1" ht="16.5" customHeight="1">
      <c r="B205" s="123"/>
      <c r="C205" s="124" t="s">
        <v>279</v>
      </c>
      <c r="D205" s="124" t="s">
        <v>128</v>
      </c>
      <c r="E205" s="125" t="s">
        <v>763</v>
      </c>
      <c r="F205" s="126" t="s">
        <v>764</v>
      </c>
      <c r="G205" s="127" t="s">
        <v>131</v>
      </c>
      <c r="H205" s="128">
        <v>33.67</v>
      </c>
      <c r="I205" s="129"/>
      <c r="J205" s="129">
        <f>ROUND(I205*H205,2)</f>
        <v>0</v>
      </c>
      <c r="K205" s="126" t="s">
        <v>132</v>
      </c>
      <c r="L205" s="29"/>
      <c r="M205" s="130" t="s">
        <v>3</v>
      </c>
      <c r="N205" s="131" t="s">
        <v>41</v>
      </c>
      <c r="O205" s="132">
        <v>0.755</v>
      </c>
      <c r="P205" s="132">
        <f>O205*H205</f>
        <v>25.42085</v>
      </c>
      <c r="Q205" s="132">
        <v>0.00576</v>
      </c>
      <c r="R205" s="132">
        <f>Q205*H205</f>
        <v>0.19393920000000003</v>
      </c>
      <c r="S205" s="132">
        <v>0</v>
      </c>
      <c r="T205" s="133">
        <f>S205*H205</f>
        <v>0</v>
      </c>
      <c r="AR205" s="134" t="s">
        <v>133</v>
      </c>
      <c r="AT205" s="134" t="s">
        <v>128</v>
      </c>
      <c r="AU205" s="134" t="s">
        <v>80</v>
      </c>
      <c r="AY205" s="17" t="s">
        <v>126</v>
      </c>
      <c r="BE205" s="135">
        <f>IF(N205="základní",J205,0)</f>
        <v>0</v>
      </c>
      <c r="BF205" s="135">
        <f>IF(N205="snížená",J205,0)</f>
        <v>0</v>
      </c>
      <c r="BG205" s="135">
        <f>IF(N205="zákl. přenesená",J205,0)</f>
        <v>0</v>
      </c>
      <c r="BH205" s="135">
        <f>IF(N205="sníž. přenesená",J205,0)</f>
        <v>0</v>
      </c>
      <c r="BI205" s="135">
        <f>IF(N205="nulová",J205,0)</f>
        <v>0</v>
      </c>
      <c r="BJ205" s="17" t="s">
        <v>78</v>
      </c>
      <c r="BK205" s="135">
        <f>ROUND(I205*H205,2)</f>
        <v>0</v>
      </c>
      <c r="BL205" s="17" t="s">
        <v>133</v>
      </c>
      <c r="BM205" s="134" t="s">
        <v>765</v>
      </c>
    </row>
    <row r="206" spans="2:47" s="1" customFormat="1" ht="12">
      <c r="B206" s="29"/>
      <c r="D206" s="136" t="s">
        <v>135</v>
      </c>
      <c r="F206" s="137" t="s">
        <v>766</v>
      </c>
      <c r="L206" s="29"/>
      <c r="M206" s="138"/>
      <c r="T206" s="49"/>
      <c r="AT206" s="17" t="s">
        <v>135</v>
      </c>
      <c r="AU206" s="17" t="s">
        <v>80</v>
      </c>
    </row>
    <row r="207" spans="2:51" s="12" customFormat="1" ht="12">
      <c r="B207" s="139"/>
      <c r="D207" s="140" t="s">
        <v>137</v>
      </c>
      <c r="E207" s="141" t="s">
        <v>3</v>
      </c>
      <c r="F207" s="142" t="s">
        <v>767</v>
      </c>
      <c r="H207" s="143">
        <v>24.32</v>
      </c>
      <c r="L207" s="139"/>
      <c r="M207" s="144"/>
      <c r="T207" s="145"/>
      <c r="AT207" s="141" t="s">
        <v>137</v>
      </c>
      <c r="AU207" s="141" t="s">
        <v>80</v>
      </c>
      <c r="AV207" s="12" t="s">
        <v>80</v>
      </c>
      <c r="AW207" s="12" t="s">
        <v>32</v>
      </c>
      <c r="AX207" s="12" t="s">
        <v>70</v>
      </c>
      <c r="AY207" s="141" t="s">
        <v>126</v>
      </c>
    </row>
    <row r="208" spans="2:51" s="12" customFormat="1" ht="12">
      <c r="B208" s="139"/>
      <c r="D208" s="140" t="s">
        <v>137</v>
      </c>
      <c r="E208" s="141" t="s">
        <v>3</v>
      </c>
      <c r="F208" s="142" t="s">
        <v>768</v>
      </c>
      <c r="H208" s="143">
        <v>3.75</v>
      </c>
      <c r="L208" s="139"/>
      <c r="M208" s="144"/>
      <c r="T208" s="145"/>
      <c r="AT208" s="141" t="s">
        <v>137</v>
      </c>
      <c r="AU208" s="141" t="s">
        <v>80</v>
      </c>
      <c r="AV208" s="12" t="s">
        <v>80</v>
      </c>
      <c r="AW208" s="12" t="s">
        <v>32</v>
      </c>
      <c r="AX208" s="12" t="s">
        <v>70</v>
      </c>
      <c r="AY208" s="141" t="s">
        <v>126</v>
      </c>
    </row>
    <row r="209" spans="2:51" s="12" customFormat="1" ht="12">
      <c r="B209" s="139"/>
      <c r="D209" s="140" t="s">
        <v>137</v>
      </c>
      <c r="E209" s="141" t="s">
        <v>3</v>
      </c>
      <c r="F209" s="142" t="s">
        <v>769</v>
      </c>
      <c r="H209" s="143">
        <v>5.6</v>
      </c>
      <c r="L209" s="139"/>
      <c r="M209" s="144"/>
      <c r="T209" s="145"/>
      <c r="AT209" s="141" t="s">
        <v>137</v>
      </c>
      <c r="AU209" s="141" t="s">
        <v>80</v>
      </c>
      <c r="AV209" s="12" t="s">
        <v>80</v>
      </c>
      <c r="AW209" s="12" t="s">
        <v>32</v>
      </c>
      <c r="AX209" s="12" t="s">
        <v>70</v>
      </c>
      <c r="AY209" s="141" t="s">
        <v>126</v>
      </c>
    </row>
    <row r="210" spans="2:51" s="13" customFormat="1" ht="12">
      <c r="B210" s="146"/>
      <c r="D210" s="140" t="s">
        <v>137</v>
      </c>
      <c r="E210" s="147" t="s">
        <v>3</v>
      </c>
      <c r="F210" s="148" t="s">
        <v>151</v>
      </c>
      <c r="H210" s="149">
        <v>33.67</v>
      </c>
      <c r="L210" s="146"/>
      <c r="M210" s="150"/>
      <c r="T210" s="151"/>
      <c r="AT210" s="147" t="s">
        <v>137</v>
      </c>
      <c r="AU210" s="147" t="s">
        <v>80</v>
      </c>
      <c r="AV210" s="13" t="s">
        <v>133</v>
      </c>
      <c r="AW210" s="13" t="s">
        <v>32</v>
      </c>
      <c r="AX210" s="13" t="s">
        <v>78</v>
      </c>
      <c r="AY210" s="147" t="s">
        <v>126</v>
      </c>
    </row>
    <row r="211" spans="2:65" s="1" customFormat="1" ht="16.5" customHeight="1">
      <c r="B211" s="123"/>
      <c r="C211" s="124" t="s">
        <v>285</v>
      </c>
      <c r="D211" s="124" t="s">
        <v>128</v>
      </c>
      <c r="E211" s="125" t="s">
        <v>770</v>
      </c>
      <c r="F211" s="126" t="s">
        <v>771</v>
      </c>
      <c r="G211" s="127" t="s">
        <v>131</v>
      </c>
      <c r="H211" s="128">
        <v>33.67</v>
      </c>
      <c r="I211" s="129"/>
      <c r="J211" s="129">
        <f>ROUND(I211*H211,2)</f>
        <v>0</v>
      </c>
      <c r="K211" s="126" t="s">
        <v>132</v>
      </c>
      <c r="L211" s="29"/>
      <c r="M211" s="130" t="s">
        <v>3</v>
      </c>
      <c r="N211" s="131" t="s">
        <v>41</v>
      </c>
      <c r="O211" s="132">
        <v>0.26</v>
      </c>
      <c r="P211" s="132">
        <f>O211*H211</f>
        <v>8.7542</v>
      </c>
      <c r="Q211" s="132">
        <v>0</v>
      </c>
      <c r="R211" s="132">
        <f>Q211*H211</f>
        <v>0</v>
      </c>
      <c r="S211" s="132">
        <v>0</v>
      </c>
      <c r="T211" s="133">
        <f>S211*H211</f>
        <v>0</v>
      </c>
      <c r="AR211" s="134" t="s">
        <v>133</v>
      </c>
      <c r="AT211" s="134" t="s">
        <v>128</v>
      </c>
      <c r="AU211" s="134" t="s">
        <v>80</v>
      </c>
      <c r="AY211" s="17" t="s">
        <v>126</v>
      </c>
      <c r="BE211" s="135">
        <f>IF(N211="základní",J211,0)</f>
        <v>0</v>
      </c>
      <c r="BF211" s="135">
        <f>IF(N211="snížená",J211,0)</f>
        <v>0</v>
      </c>
      <c r="BG211" s="135">
        <f>IF(N211="zákl. přenesená",J211,0)</f>
        <v>0</v>
      </c>
      <c r="BH211" s="135">
        <f>IF(N211="sníž. přenesená",J211,0)</f>
        <v>0</v>
      </c>
      <c r="BI211" s="135">
        <f>IF(N211="nulová",J211,0)</f>
        <v>0</v>
      </c>
      <c r="BJ211" s="17" t="s">
        <v>78</v>
      </c>
      <c r="BK211" s="135">
        <f>ROUND(I211*H211,2)</f>
        <v>0</v>
      </c>
      <c r="BL211" s="17" t="s">
        <v>133</v>
      </c>
      <c r="BM211" s="134" t="s">
        <v>772</v>
      </c>
    </row>
    <row r="212" spans="2:47" s="1" customFormat="1" ht="12">
      <c r="B212" s="29"/>
      <c r="D212" s="136" t="s">
        <v>135</v>
      </c>
      <c r="F212" s="137" t="s">
        <v>773</v>
      </c>
      <c r="L212" s="29"/>
      <c r="M212" s="138"/>
      <c r="T212" s="49"/>
      <c r="AT212" s="17" t="s">
        <v>135</v>
      </c>
      <c r="AU212" s="17" t="s">
        <v>80</v>
      </c>
    </row>
    <row r="213" spans="2:65" s="1" customFormat="1" ht="16.5" customHeight="1">
      <c r="B213" s="123"/>
      <c r="C213" s="124" t="s">
        <v>293</v>
      </c>
      <c r="D213" s="124" t="s">
        <v>128</v>
      </c>
      <c r="E213" s="125" t="s">
        <v>774</v>
      </c>
      <c r="F213" s="126" t="s">
        <v>775</v>
      </c>
      <c r="G213" s="127" t="s">
        <v>171</v>
      </c>
      <c r="H213" s="128">
        <v>0.531</v>
      </c>
      <c r="I213" s="129"/>
      <c r="J213" s="129">
        <f>ROUND(I213*H213,2)</f>
        <v>0</v>
      </c>
      <c r="K213" s="126" t="s">
        <v>132</v>
      </c>
      <c r="L213" s="29"/>
      <c r="M213" s="130" t="s">
        <v>3</v>
      </c>
      <c r="N213" s="131" t="s">
        <v>41</v>
      </c>
      <c r="O213" s="132">
        <v>28.692</v>
      </c>
      <c r="P213" s="132">
        <f>O213*H213</f>
        <v>15.235452</v>
      </c>
      <c r="Q213" s="132">
        <v>1.05291</v>
      </c>
      <c r="R213" s="132">
        <f>Q213*H213</f>
        <v>0.5590952100000001</v>
      </c>
      <c r="S213" s="132">
        <v>0</v>
      </c>
      <c r="T213" s="133">
        <f>S213*H213</f>
        <v>0</v>
      </c>
      <c r="AR213" s="134" t="s">
        <v>133</v>
      </c>
      <c r="AT213" s="134" t="s">
        <v>128</v>
      </c>
      <c r="AU213" s="134" t="s">
        <v>80</v>
      </c>
      <c r="AY213" s="17" t="s">
        <v>126</v>
      </c>
      <c r="BE213" s="135">
        <f>IF(N213="základní",J213,0)</f>
        <v>0</v>
      </c>
      <c r="BF213" s="135">
        <f>IF(N213="snížená",J213,0)</f>
        <v>0</v>
      </c>
      <c r="BG213" s="135">
        <f>IF(N213="zákl. přenesená",J213,0)</f>
        <v>0</v>
      </c>
      <c r="BH213" s="135">
        <f>IF(N213="sníž. přenesená",J213,0)</f>
        <v>0</v>
      </c>
      <c r="BI213" s="135">
        <f>IF(N213="nulová",J213,0)</f>
        <v>0</v>
      </c>
      <c r="BJ213" s="17" t="s">
        <v>78</v>
      </c>
      <c r="BK213" s="135">
        <f>ROUND(I213*H213,2)</f>
        <v>0</v>
      </c>
      <c r="BL213" s="17" t="s">
        <v>133</v>
      </c>
      <c r="BM213" s="134" t="s">
        <v>776</v>
      </c>
    </row>
    <row r="214" spans="2:47" s="1" customFormat="1" ht="12">
      <c r="B214" s="29"/>
      <c r="D214" s="136" t="s">
        <v>135</v>
      </c>
      <c r="F214" s="137" t="s">
        <v>777</v>
      </c>
      <c r="L214" s="29"/>
      <c r="M214" s="138"/>
      <c r="T214" s="49"/>
      <c r="AT214" s="17" t="s">
        <v>135</v>
      </c>
      <c r="AU214" s="17" t="s">
        <v>80</v>
      </c>
    </row>
    <row r="215" spans="2:51" s="14" customFormat="1" ht="12">
      <c r="B215" s="164"/>
      <c r="D215" s="140" t="s">
        <v>137</v>
      </c>
      <c r="E215" s="165" t="s">
        <v>3</v>
      </c>
      <c r="F215" s="166" t="s">
        <v>778</v>
      </c>
      <c r="H215" s="165" t="s">
        <v>3</v>
      </c>
      <c r="L215" s="164"/>
      <c r="M215" s="167"/>
      <c r="T215" s="168"/>
      <c r="AT215" s="165" t="s">
        <v>137</v>
      </c>
      <c r="AU215" s="165" t="s">
        <v>80</v>
      </c>
      <c r="AV215" s="14" t="s">
        <v>78</v>
      </c>
      <c r="AW215" s="14" t="s">
        <v>32</v>
      </c>
      <c r="AX215" s="14" t="s">
        <v>70</v>
      </c>
      <c r="AY215" s="165" t="s">
        <v>126</v>
      </c>
    </row>
    <row r="216" spans="2:51" s="12" customFormat="1" ht="12">
      <c r="B216" s="139"/>
      <c r="D216" s="140" t="s">
        <v>137</v>
      </c>
      <c r="E216" s="141" t="s">
        <v>3</v>
      </c>
      <c r="F216" s="142" t="s">
        <v>779</v>
      </c>
      <c r="H216" s="143">
        <v>0.251</v>
      </c>
      <c r="L216" s="139"/>
      <c r="M216" s="144"/>
      <c r="T216" s="145"/>
      <c r="AT216" s="141" t="s">
        <v>137</v>
      </c>
      <c r="AU216" s="141" t="s">
        <v>80</v>
      </c>
      <c r="AV216" s="12" t="s">
        <v>80</v>
      </c>
      <c r="AW216" s="12" t="s">
        <v>32</v>
      </c>
      <c r="AX216" s="12" t="s">
        <v>70</v>
      </c>
      <c r="AY216" s="141" t="s">
        <v>126</v>
      </c>
    </row>
    <row r="217" spans="2:51" s="12" customFormat="1" ht="12">
      <c r="B217" s="139"/>
      <c r="D217" s="140" t="s">
        <v>137</v>
      </c>
      <c r="E217" s="141" t="s">
        <v>3</v>
      </c>
      <c r="F217" s="142" t="s">
        <v>780</v>
      </c>
      <c r="H217" s="143">
        <v>0.193</v>
      </c>
      <c r="L217" s="139"/>
      <c r="M217" s="144"/>
      <c r="T217" s="145"/>
      <c r="AT217" s="141" t="s">
        <v>137</v>
      </c>
      <c r="AU217" s="141" t="s">
        <v>80</v>
      </c>
      <c r="AV217" s="12" t="s">
        <v>80</v>
      </c>
      <c r="AW217" s="12" t="s">
        <v>32</v>
      </c>
      <c r="AX217" s="12" t="s">
        <v>70</v>
      </c>
      <c r="AY217" s="141" t="s">
        <v>126</v>
      </c>
    </row>
    <row r="218" spans="2:51" s="12" customFormat="1" ht="12">
      <c r="B218" s="139"/>
      <c r="D218" s="140" t="s">
        <v>137</v>
      </c>
      <c r="E218" s="141" t="s">
        <v>3</v>
      </c>
      <c r="F218" s="142" t="s">
        <v>781</v>
      </c>
      <c r="H218" s="143">
        <v>0.087</v>
      </c>
      <c r="L218" s="139"/>
      <c r="M218" s="144"/>
      <c r="T218" s="145"/>
      <c r="AT218" s="141" t="s">
        <v>137</v>
      </c>
      <c r="AU218" s="141" t="s">
        <v>80</v>
      </c>
      <c r="AV218" s="12" t="s">
        <v>80</v>
      </c>
      <c r="AW218" s="12" t="s">
        <v>32</v>
      </c>
      <c r="AX218" s="12" t="s">
        <v>70</v>
      </c>
      <c r="AY218" s="141" t="s">
        <v>126</v>
      </c>
    </row>
    <row r="219" spans="2:51" s="13" customFormat="1" ht="12">
      <c r="B219" s="146"/>
      <c r="D219" s="140" t="s">
        <v>137</v>
      </c>
      <c r="E219" s="147" t="s">
        <v>3</v>
      </c>
      <c r="F219" s="148" t="s">
        <v>151</v>
      </c>
      <c r="H219" s="149">
        <v>0.531</v>
      </c>
      <c r="L219" s="146"/>
      <c r="M219" s="150"/>
      <c r="T219" s="151"/>
      <c r="AT219" s="147" t="s">
        <v>137</v>
      </c>
      <c r="AU219" s="147" t="s">
        <v>80</v>
      </c>
      <c r="AV219" s="13" t="s">
        <v>133</v>
      </c>
      <c r="AW219" s="13" t="s">
        <v>32</v>
      </c>
      <c r="AX219" s="13" t="s">
        <v>78</v>
      </c>
      <c r="AY219" s="147" t="s">
        <v>126</v>
      </c>
    </row>
    <row r="220" spans="2:65" s="1" customFormat="1" ht="24.2" customHeight="1">
      <c r="B220" s="123"/>
      <c r="C220" s="124" t="s">
        <v>302</v>
      </c>
      <c r="D220" s="124" t="s">
        <v>128</v>
      </c>
      <c r="E220" s="125" t="s">
        <v>782</v>
      </c>
      <c r="F220" s="126" t="s">
        <v>783</v>
      </c>
      <c r="G220" s="127" t="s">
        <v>146</v>
      </c>
      <c r="H220" s="128">
        <v>4.355</v>
      </c>
      <c r="I220" s="129"/>
      <c r="J220" s="129">
        <f>ROUND(I220*H220,2)</f>
        <v>0</v>
      </c>
      <c r="K220" s="126" t="s">
        <v>132</v>
      </c>
      <c r="L220" s="29"/>
      <c r="M220" s="130" t="s">
        <v>3</v>
      </c>
      <c r="N220" s="131" t="s">
        <v>41</v>
      </c>
      <c r="O220" s="132">
        <v>2.45</v>
      </c>
      <c r="P220" s="132">
        <f>O220*H220</f>
        <v>10.669750000000002</v>
      </c>
      <c r="Q220" s="132">
        <v>2.3011</v>
      </c>
      <c r="R220" s="132">
        <f>Q220*H220</f>
        <v>10.021290500000001</v>
      </c>
      <c r="S220" s="132">
        <v>0</v>
      </c>
      <c r="T220" s="133">
        <f>S220*H220</f>
        <v>0</v>
      </c>
      <c r="AR220" s="134" t="s">
        <v>133</v>
      </c>
      <c r="AT220" s="134" t="s">
        <v>128</v>
      </c>
      <c r="AU220" s="134" t="s">
        <v>80</v>
      </c>
      <c r="AY220" s="17" t="s">
        <v>126</v>
      </c>
      <c r="BE220" s="135">
        <f>IF(N220="základní",J220,0)</f>
        <v>0</v>
      </c>
      <c r="BF220" s="135">
        <f>IF(N220="snížená",J220,0)</f>
        <v>0</v>
      </c>
      <c r="BG220" s="135">
        <f>IF(N220="zákl. přenesená",J220,0)</f>
        <v>0</v>
      </c>
      <c r="BH220" s="135">
        <f>IF(N220="sníž. přenesená",J220,0)</f>
        <v>0</v>
      </c>
      <c r="BI220" s="135">
        <f>IF(N220="nulová",J220,0)</f>
        <v>0</v>
      </c>
      <c r="BJ220" s="17" t="s">
        <v>78</v>
      </c>
      <c r="BK220" s="135">
        <f>ROUND(I220*H220,2)</f>
        <v>0</v>
      </c>
      <c r="BL220" s="17" t="s">
        <v>133</v>
      </c>
      <c r="BM220" s="134" t="s">
        <v>784</v>
      </c>
    </row>
    <row r="221" spans="2:47" s="1" customFormat="1" ht="12">
      <c r="B221" s="29"/>
      <c r="D221" s="136" t="s">
        <v>135</v>
      </c>
      <c r="F221" s="137" t="s">
        <v>785</v>
      </c>
      <c r="L221" s="29"/>
      <c r="M221" s="138"/>
      <c r="T221" s="49"/>
      <c r="AT221" s="17" t="s">
        <v>135</v>
      </c>
      <c r="AU221" s="17" t="s">
        <v>80</v>
      </c>
    </row>
    <row r="222" spans="2:51" s="12" customFormat="1" ht="12">
      <c r="B222" s="139"/>
      <c r="D222" s="140" t="s">
        <v>137</v>
      </c>
      <c r="E222" s="141" t="s">
        <v>3</v>
      </c>
      <c r="F222" s="142" t="s">
        <v>786</v>
      </c>
      <c r="H222" s="143">
        <v>4.355</v>
      </c>
      <c r="L222" s="139"/>
      <c r="M222" s="144"/>
      <c r="T222" s="145"/>
      <c r="AT222" s="141" t="s">
        <v>137</v>
      </c>
      <c r="AU222" s="141" t="s">
        <v>80</v>
      </c>
      <c r="AV222" s="12" t="s">
        <v>80</v>
      </c>
      <c r="AW222" s="12" t="s">
        <v>32</v>
      </c>
      <c r="AX222" s="12" t="s">
        <v>78</v>
      </c>
      <c r="AY222" s="141" t="s">
        <v>126</v>
      </c>
    </row>
    <row r="223" spans="2:65" s="1" customFormat="1" ht="24.2" customHeight="1">
      <c r="B223" s="123"/>
      <c r="C223" s="124" t="s">
        <v>308</v>
      </c>
      <c r="D223" s="124" t="s">
        <v>128</v>
      </c>
      <c r="E223" s="125" t="s">
        <v>787</v>
      </c>
      <c r="F223" s="126" t="s">
        <v>788</v>
      </c>
      <c r="G223" s="127" t="s">
        <v>171</v>
      </c>
      <c r="H223" s="128">
        <v>0.653</v>
      </c>
      <c r="I223" s="129"/>
      <c r="J223" s="129">
        <f>ROUND(I223*H223,2)</f>
        <v>0</v>
      </c>
      <c r="K223" s="126" t="s">
        <v>132</v>
      </c>
      <c r="L223" s="29"/>
      <c r="M223" s="130" t="s">
        <v>3</v>
      </c>
      <c r="N223" s="131" t="s">
        <v>41</v>
      </c>
      <c r="O223" s="132">
        <v>36.877</v>
      </c>
      <c r="P223" s="132">
        <f>O223*H223</f>
        <v>24.080681000000002</v>
      </c>
      <c r="Q223" s="132">
        <v>1.04927</v>
      </c>
      <c r="R223" s="132">
        <f>Q223*H223</f>
        <v>0.6851733099999999</v>
      </c>
      <c r="S223" s="132">
        <v>0</v>
      </c>
      <c r="T223" s="133">
        <f>S223*H223</f>
        <v>0</v>
      </c>
      <c r="AR223" s="134" t="s">
        <v>133</v>
      </c>
      <c r="AT223" s="134" t="s">
        <v>128</v>
      </c>
      <c r="AU223" s="134" t="s">
        <v>80</v>
      </c>
      <c r="AY223" s="17" t="s">
        <v>126</v>
      </c>
      <c r="BE223" s="135">
        <f>IF(N223="základní",J223,0)</f>
        <v>0</v>
      </c>
      <c r="BF223" s="135">
        <f>IF(N223="snížená",J223,0)</f>
        <v>0</v>
      </c>
      <c r="BG223" s="135">
        <f>IF(N223="zákl. přenesená",J223,0)</f>
        <v>0</v>
      </c>
      <c r="BH223" s="135">
        <f>IF(N223="sníž. přenesená",J223,0)</f>
        <v>0</v>
      </c>
      <c r="BI223" s="135">
        <f>IF(N223="nulová",J223,0)</f>
        <v>0</v>
      </c>
      <c r="BJ223" s="17" t="s">
        <v>78</v>
      </c>
      <c r="BK223" s="135">
        <f>ROUND(I223*H223,2)</f>
        <v>0</v>
      </c>
      <c r="BL223" s="17" t="s">
        <v>133</v>
      </c>
      <c r="BM223" s="134" t="s">
        <v>789</v>
      </c>
    </row>
    <row r="224" spans="2:47" s="1" customFormat="1" ht="12">
      <c r="B224" s="29"/>
      <c r="D224" s="136" t="s">
        <v>135</v>
      </c>
      <c r="F224" s="137" t="s">
        <v>790</v>
      </c>
      <c r="L224" s="29"/>
      <c r="M224" s="138"/>
      <c r="T224" s="49"/>
      <c r="AT224" s="17" t="s">
        <v>135</v>
      </c>
      <c r="AU224" s="17" t="s">
        <v>80</v>
      </c>
    </row>
    <row r="225" spans="2:51" s="14" customFormat="1" ht="12">
      <c r="B225" s="164"/>
      <c r="D225" s="140" t="s">
        <v>137</v>
      </c>
      <c r="E225" s="165" t="s">
        <v>3</v>
      </c>
      <c r="F225" s="166" t="s">
        <v>791</v>
      </c>
      <c r="H225" s="165" t="s">
        <v>3</v>
      </c>
      <c r="L225" s="164"/>
      <c r="M225" s="167"/>
      <c r="T225" s="168"/>
      <c r="AT225" s="165" t="s">
        <v>137</v>
      </c>
      <c r="AU225" s="165" t="s">
        <v>80</v>
      </c>
      <c r="AV225" s="14" t="s">
        <v>78</v>
      </c>
      <c r="AW225" s="14" t="s">
        <v>32</v>
      </c>
      <c r="AX225" s="14" t="s">
        <v>70</v>
      </c>
      <c r="AY225" s="165" t="s">
        <v>126</v>
      </c>
    </row>
    <row r="226" spans="2:51" s="12" customFormat="1" ht="12">
      <c r="B226" s="139"/>
      <c r="D226" s="140" t="s">
        <v>137</v>
      </c>
      <c r="E226" s="141" t="s">
        <v>3</v>
      </c>
      <c r="F226" s="142" t="s">
        <v>792</v>
      </c>
      <c r="H226" s="143">
        <v>0.653</v>
      </c>
      <c r="L226" s="139"/>
      <c r="M226" s="144"/>
      <c r="T226" s="145"/>
      <c r="AT226" s="141" t="s">
        <v>137</v>
      </c>
      <c r="AU226" s="141" t="s">
        <v>80</v>
      </c>
      <c r="AV226" s="12" t="s">
        <v>80</v>
      </c>
      <c r="AW226" s="12" t="s">
        <v>32</v>
      </c>
      <c r="AX226" s="12" t="s">
        <v>78</v>
      </c>
      <c r="AY226" s="141" t="s">
        <v>126</v>
      </c>
    </row>
    <row r="227" spans="2:65" s="1" customFormat="1" ht="21.75" customHeight="1">
      <c r="B227" s="123"/>
      <c r="C227" s="124" t="s">
        <v>314</v>
      </c>
      <c r="D227" s="124" t="s">
        <v>128</v>
      </c>
      <c r="E227" s="125" t="s">
        <v>793</v>
      </c>
      <c r="F227" s="126" t="s">
        <v>794</v>
      </c>
      <c r="G227" s="127" t="s">
        <v>131</v>
      </c>
      <c r="H227" s="128">
        <v>18.619</v>
      </c>
      <c r="I227" s="129"/>
      <c r="J227" s="129">
        <f>ROUND(I227*H227,2)</f>
        <v>0</v>
      </c>
      <c r="K227" s="126" t="s">
        <v>132</v>
      </c>
      <c r="L227" s="29"/>
      <c r="M227" s="130" t="s">
        <v>3</v>
      </c>
      <c r="N227" s="131" t="s">
        <v>41</v>
      </c>
      <c r="O227" s="132">
        <v>0.839</v>
      </c>
      <c r="P227" s="132">
        <f>O227*H227</f>
        <v>15.621341</v>
      </c>
      <c r="Q227" s="132">
        <v>0.00658</v>
      </c>
      <c r="R227" s="132">
        <f>Q227*H227</f>
        <v>0.12251302</v>
      </c>
      <c r="S227" s="132">
        <v>0</v>
      </c>
      <c r="T227" s="133">
        <f>S227*H227</f>
        <v>0</v>
      </c>
      <c r="AR227" s="134" t="s">
        <v>133</v>
      </c>
      <c r="AT227" s="134" t="s">
        <v>128</v>
      </c>
      <c r="AU227" s="134" t="s">
        <v>80</v>
      </c>
      <c r="AY227" s="17" t="s">
        <v>126</v>
      </c>
      <c r="BE227" s="135">
        <f>IF(N227="základní",J227,0)</f>
        <v>0</v>
      </c>
      <c r="BF227" s="135">
        <f>IF(N227="snížená",J227,0)</f>
        <v>0</v>
      </c>
      <c r="BG227" s="135">
        <f>IF(N227="zákl. přenesená",J227,0)</f>
        <v>0</v>
      </c>
      <c r="BH227" s="135">
        <f>IF(N227="sníž. přenesená",J227,0)</f>
        <v>0</v>
      </c>
      <c r="BI227" s="135">
        <f>IF(N227="nulová",J227,0)</f>
        <v>0</v>
      </c>
      <c r="BJ227" s="17" t="s">
        <v>78</v>
      </c>
      <c r="BK227" s="135">
        <f>ROUND(I227*H227,2)</f>
        <v>0</v>
      </c>
      <c r="BL227" s="17" t="s">
        <v>133</v>
      </c>
      <c r="BM227" s="134" t="s">
        <v>795</v>
      </c>
    </row>
    <row r="228" spans="2:47" s="1" customFormat="1" ht="12">
      <c r="B228" s="29"/>
      <c r="D228" s="136" t="s">
        <v>135</v>
      </c>
      <c r="F228" s="137" t="s">
        <v>796</v>
      </c>
      <c r="L228" s="29"/>
      <c r="M228" s="138"/>
      <c r="T228" s="49"/>
      <c r="AT228" s="17" t="s">
        <v>135</v>
      </c>
      <c r="AU228" s="17" t="s">
        <v>80</v>
      </c>
    </row>
    <row r="229" spans="2:51" s="12" customFormat="1" ht="12">
      <c r="B229" s="139"/>
      <c r="D229" s="140" t="s">
        <v>137</v>
      </c>
      <c r="E229" s="141" t="s">
        <v>3</v>
      </c>
      <c r="F229" s="142" t="s">
        <v>797</v>
      </c>
      <c r="H229" s="143">
        <v>18.619</v>
      </c>
      <c r="L229" s="139"/>
      <c r="M229" s="144"/>
      <c r="T229" s="145"/>
      <c r="AT229" s="141" t="s">
        <v>137</v>
      </c>
      <c r="AU229" s="141" t="s">
        <v>80</v>
      </c>
      <c r="AV229" s="12" t="s">
        <v>80</v>
      </c>
      <c r="AW229" s="12" t="s">
        <v>32</v>
      </c>
      <c r="AX229" s="12" t="s">
        <v>78</v>
      </c>
      <c r="AY229" s="141" t="s">
        <v>126</v>
      </c>
    </row>
    <row r="230" spans="2:65" s="1" customFormat="1" ht="21.75" customHeight="1">
      <c r="B230" s="123"/>
      <c r="C230" s="124" t="s">
        <v>319</v>
      </c>
      <c r="D230" s="124" t="s">
        <v>128</v>
      </c>
      <c r="E230" s="125" t="s">
        <v>798</v>
      </c>
      <c r="F230" s="126" t="s">
        <v>799</v>
      </c>
      <c r="G230" s="127" t="s">
        <v>131</v>
      </c>
      <c r="H230" s="128">
        <v>18.619</v>
      </c>
      <c r="I230" s="129"/>
      <c r="J230" s="129">
        <f>ROUND(I230*H230,2)</f>
        <v>0</v>
      </c>
      <c r="K230" s="126" t="s">
        <v>132</v>
      </c>
      <c r="L230" s="29"/>
      <c r="M230" s="130" t="s">
        <v>3</v>
      </c>
      <c r="N230" s="131" t="s">
        <v>41</v>
      </c>
      <c r="O230" s="132">
        <v>0.26</v>
      </c>
      <c r="P230" s="132">
        <f>O230*H230</f>
        <v>4.84094</v>
      </c>
      <c r="Q230" s="132">
        <v>0</v>
      </c>
      <c r="R230" s="132">
        <f>Q230*H230</f>
        <v>0</v>
      </c>
      <c r="S230" s="132">
        <v>0</v>
      </c>
      <c r="T230" s="133">
        <f>S230*H230</f>
        <v>0</v>
      </c>
      <c r="AR230" s="134" t="s">
        <v>133</v>
      </c>
      <c r="AT230" s="134" t="s">
        <v>128</v>
      </c>
      <c r="AU230" s="134" t="s">
        <v>80</v>
      </c>
      <c r="AY230" s="17" t="s">
        <v>126</v>
      </c>
      <c r="BE230" s="135">
        <f>IF(N230="základní",J230,0)</f>
        <v>0</v>
      </c>
      <c r="BF230" s="135">
        <f>IF(N230="snížená",J230,0)</f>
        <v>0</v>
      </c>
      <c r="BG230" s="135">
        <f>IF(N230="zákl. přenesená",J230,0)</f>
        <v>0</v>
      </c>
      <c r="BH230" s="135">
        <f>IF(N230="sníž. přenesená",J230,0)</f>
        <v>0</v>
      </c>
      <c r="BI230" s="135">
        <f>IF(N230="nulová",J230,0)</f>
        <v>0</v>
      </c>
      <c r="BJ230" s="17" t="s">
        <v>78</v>
      </c>
      <c r="BK230" s="135">
        <f>ROUND(I230*H230,2)</f>
        <v>0</v>
      </c>
      <c r="BL230" s="17" t="s">
        <v>133</v>
      </c>
      <c r="BM230" s="134" t="s">
        <v>800</v>
      </c>
    </row>
    <row r="231" spans="2:47" s="1" customFormat="1" ht="12">
      <c r="B231" s="29"/>
      <c r="D231" s="136" t="s">
        <v>135</v>
      </c>
      <c r="F231" s="137" t="s">
        <v>801</v>
      </c>
      <c r="L231" s="29"/>
      <c r="M231" s="138"/>
      <c r="T231" s="49"/>
      <c r="AT231" s="17" t="s">
        <v>135</v>
      </c>
      <c r="AU231" s="17" t="s">
        <v>80</v>
      </c>
    </row>
    <row r="232" spans="2:63" s="11" customFormat="1" ht="22.7" customHeight="1">
      <c r="B232" s="112"/>
      <c r="D232" s="113" t="s">
        <v>69</v>
      </c>
      <c r="E232" s="121" t="s">
        <v>157</v>
      </c>
      <c r="F232" s="121" t="s">
        <v>802</v>
      </c>
      <c r="J232" s="122">
        <f>BK232</f>
        <v>0</v>
      </c>
      <c r="L232" s="112"/>
      <c r="M232" s="116"/>
      <c r="P232" s="117">
        <f>SUM(P233:P240)</f>
        <v>0.839</v>
      </c>
      <c r="R232" s="117">
        <f>SUM(R233:R240)</f>
        <v>0.61152</v>
      </c>
      <c r="T232" s="118">
        <f>SUM(T233:T240)</f>
        <v>0</v>
      </c>
      <c r="AR232" s="113" t="s">
        <v>78</v>
      </c>
      <c r="AT232" s="119" t="s">
        <v>69</v>
      </c>
      <c r="AU232" s="119" t="s">
        <v>78</v>
      </c>
      <c r="AY232" s="113" t="s">
        <v>126</v>
      </c>
      <c r="BK232" s="120">
        <f>SUM(BK233:BK240)</f>
        <v>0</v>
      </c>
    </row>
    <row r="233" spans="2:65" s="1" customFormat="1" ht="24.2" customHeight="1">
      <c r="B233" s="123"/>
      <c r="C233" s="124" t="s">
        <v>325</v>
      </c>
      <c r="D233" s="124" t="s">
        <v>128</v>
      </c>
      <c r="E233" s="125" t="s">
        <v>803</v>
      </c>
      <c r="F233" s="126" t="s">
        <v>804</v>
      </c>
      <c r="G233" s="127" t="s">
        <v>131</v>
      </c>
      <c r="H233" s="128">
        <v>1</v>
      </c>
      <c r="I233" s="129"/>
      <c r="J233" s="129">
        <f>ROUND(I233*H233,2)</f>
        <v>0</v>
      </c>
      <c r="K233" s="126" t="s">
        <v>132</v>
      </c>
      <c r="L233" s="29"/>
      <c r="M233" s="130" t="s">
        <v>3</v>
      </c>
      <c r="N233" s="131" t="s">
        <v>41</v>
      </c>
      <c r="O233" s="132">
        <v>0.119</v>
      </c>
      <c r="P233" s="132">
        <f>O233*H233</f>
        <v>0.119</v>
      </c>
      <c r="Q233" s="132">
        <v>0.398</v>
      </c>
      <c r="R233" s="132">
        <f>Q233*H233</f>
        <v>0.398</v>
      </c>
      <c r="S233" s="132">
        <v>0</v>
      </c>
      <c r="T233" s="133">
        <f>S233*H233</f>
        <v>0</v>
      </c>
      <c r="AR233" s="134" t="s">
        <v>133</v>
      </c>
      <c r="AT233" s="134" t="s">
        <v>128</v>
      </c>
      <c r="AU233" s="134" t="s">
        <v>80</v>
      </c>
      <c r="AY233" s="17" t="s">
        <v>126</v>
      </c>
      <c r="BE233" s="135">
        <f>IF(N233="základní",J233,0)</f>
        <v>0</v>
      </c>
      <c r="BF233" s="135">
        <f>IF(N233="snížená",J233,0)</f>
        <v>0</v>
      </c>
      <c r="BG233" s="135">
        <f>IF(N233="zákl. přenesená",J233,0)</f>
        <v>0</v>
      </c>
      <c r="BH233" s="135">
        <f>IF(N233="sníž. přenesená",J233,0)</f>
        <v>0</v>
      </c>
      <c r="BI233" s="135">
        <f>IF(N233="nulová",J233,0)</f>
        <v>0</v>
      </c>
      <c r="BJ233" s="17" t="s">
        <v>78</v>
      </c>
      <c r="BK233" s="135">
        <f>ROUND(I233*H233,2)</f>
        <v>0</v>
      </c>
      <c r="BL233" s="17" t="s">
        <v>133</v>
      </c>
      <c r="BM233" s="134" t="s">
        <v>805</v>
      </c>
    </row>
    <row r="234" spans="2:47" s="1" customFormat="1" ht="12">
      <c r="B234" s="29"/>
      <c r="D234" s="136" t="s">
        <v>135</v>
      </c>
      <c r="F234" s="137" t="s">
        <v>806</v>
      </c>
      <c r="L234" s="29"/>
      <c r="M234" s="138"/>
      <c r="T234" s="49"/>
      <c r="AT234" s="17" t="s">
        <v>135</v>
      </c>
      <c r="AU234" s="17" t="s">
        <v>80</v>
      </c>
    </row>
    <row r="235" spans="2:51" s="12" customFormat="1" ht="12">
      <c r="B235" s="139"/>
      <c r="D235" s="140" t="s">
        <v>137</v>
      </c>
      <c r="E235" s="141" t="s">
        <v>3</v>
      </c>
      <c r="F235" s="142" t="s">
        <v>807</v>
      </c>
      <c r="H235" s="143">
        <v>1</v>
      </c>
      <c r="L235" s="139"/>
      <c r="M235" s="144"/>
      <c r="T235" s="145"/>
      <c r="AT235" s="141" t="s">
        <v>137</v>
      </c>
      <c r="AU235" s="141" t="s">
        <v>80</v>
      </c>
      <c r="AV235" s="12" t="s">
        <v>80</v>
      </c>
      <c r="AW235" s="12" t="s">
        <v>32</v>
      </c>
      <c r="AX235" s="12" t="s">
        <v>78</v>
      </c>
      <c r="AY235" s="141" t="s">
        <v>126</v>
      </c>
    </row>
    <row r="236" spans="2:65" s="1" customFormat="1" ht="37.7" customHeight="1">
      <c r="B236" s="123"/>
      <c r="C236" s="124" t="s">
        <v>331</v>
      </c>
      <c r="D236" s="124" t="s">
        <v>128</v>
      </c>
      <c r="E236" s="125" t="s">
        <v>808</v>
      </c>
      <c r="F236" s="126" t="s">
        <v>809</v>
      </c>
      <c r="G236" s="127" t="s">
        <v>131</v>
      </c>
      <c r="H236" s="128">
        <v>1</v>
      </c>
      <c r="I236" s="129"/>
      <c r="J236" s="129">
        <f>ROUND(I236*H236,2)</f>
        <v>0</v>
      </c>
      <c r="K236" s="126" t="s">
        <v>132</v>
      </c>
      <c r="L236" s="29"/>
      <c r="M236" s="130" t="s">
        <v>3</v>
      </c>
      <c r="N236" s="131" t="s">
        <v>41</v>
      </c>
      <c r="O236" s="132">
        <v>0.72</v>
      </c>
      <c r="P236" s="132">
        <f>O236*H236</f>
        <v>0.72</v>
      </c>
      <c r="Q236" s="132">
        <v>0.08922</v>
      </c>
      <c r="R236" s="132">
        <f>Q236*H236</f>
        <v>0.08922</v>
      </c>
      <c r="S236" s="132">
        <v>0</v>
      </c>
      <c r="T236" s="133">
        <f>S236*H236</f>
        <v>0</v>
      </c>
      <c r="AR236" s="134" t="s">
        <v>133</v>
      </c>
      <c r="AT236" s="134" t="s">
        <v>128</v>
      </c>
      <c r="AU236" s="134" t="s">
        <v>80</v>
      </c>
      <c r="AY236" s="17" t="s">
        <v>126</v>
      </c>
      <c r="BE236" s="135">
        <f>IF(N236="základní",J236,0)</f>
        <v>0</v>
      </c>
      <c r="BF236" s="135">
        <f>IF(N236="snížená",J236,0)</f>
        <v>0</v>
      </c>
      <c r="BG236" s="135">
        <f>IF(N236="zákl. přenesená",J236,0)</f>
        <v>0</v>
      </c>
      <c r="BH236" s="135">
        <f>IF(N236="sníž. přenesená",J236,0)</f>
        <v>0</v>
      </c>
      <c r="BI236" s="135">
        <f>IF(N236="nulová",J236,0)</f>
        <v>0</v>
      </c>
      <c r="BJ236" s="17" t="s">
        <v>78</v>
      </c>
      <c r="BK236" s="135">
        <f>ROUND(I236*H236,2)</f>
        <v>0</v>
      </c>
      <c r="BL236" s="17" t="s">
        <v>133</v>
      </c>
      <c r="BM236" s="134" t="s">
        <v>810</v>
      </c>
    </row>
    <row r="237" spans="2:47" s="1" customFormat="1" ht="12">
      <c r="B237" s="29"/>
      <c r="D237" s="136" t="s">
        <v>135</v>
      </c>
      <c r="F237" s="137" t="s">
        <v>811</v>
      </c>
      <c r="L237" s="29"/>
      <c r="M237" s="138"/>
      <c r="T237" s="49"/>
      <c r="AT237" s="17" t="s">
        <v>135</v>
      </c>
      <c r="AU237" s="17" t="s">
        <v>80</v>
      </c>
    </row>
    <row r="238" spans="2:51" s="12" customFormat="1" ht="12">
      <c r="B238" s="139"/>
      <c r="D238" s="140" t="s">
        <v>137</v>
      </c>
      <c r="E238" s="141" t="s">
        <v>3</v>
      </c>
      <c r="F238" s="142" t="s">
        <v>812</v>
      </c>
      <c r="H238" s="143">
        <v>1</v>
      </c>
      <c r="L238" s="139"/>
      <c r="M238" s="144"/>
      <c r="T238" s="145"/>
      <c r="AT238" s="141" t="s">
        <v>137</v>
      </c>
      <c r="AU238" s="141" t="s">
        <v>80</v>
      </c>
      <c r="AV238" s="12" t="s">
        <v>80</v>
      </c>
      <c r="AW238" s="12" t="s">
        <v>32</v>
      </c>
      <c r="AX238" s="12" t="s">
        <v>78</v>
      </c>
      <c r="AY238" s="141" t="s">
        <v>126</v>
      </c>
    </row>
    <row r="239" spans="2:65" s="1" customFormat="1" ht="16.5" customHeight="1">
      <c r="B239" s="123"/>
      <c r="C239" s="152" t="s">
        <v>336</v>
      </c>
      <c r="D239" s="152" t="s">
        <v>405</v>
      </c>
      <c r="E239" s="153" t="s">
        <v>813</v>
      </c>
      <c r="F239" s="154" t="s">
        <v>814</v>
      </c>
      <c r="G239" s="155" t="s">
        <v>131</v>
      </c>
      <c r="H239" s="156">
        <v>1.1</v>
      </c>
      <c r="I239" s="157"/>
      <c r="J239" s="157">
        <f>ROUND(I239*H239,2)</f>
        <v>0</v>
      </c>
      <c r="K239" s="154" t="s">
        <v>132</v>
      </c>
      <c r="L239" s="158"/>
      <c r="M239" s="159" t="s">
        <v>3</v>
      </c>
      <c r="N239" s="160" t="s">
        <v>41</v>
      </c>
      <c r="O239" s="132">
        <v>0</v>
      </c>
      <c r="P239" s="132">
        <f>O239*H239</f>
        <v>0</v>
      </c>
      <c r="Q239" s="132">
        <v>0.113</v>
      </c>
      <c r="R239" s="132">
        <f>Q239*H239</f>
        <v>0.12430000000000001</v>
      </c>
      <c r="S239" s="132">
        <v>0</v>
      </c>
      <c r="T239" s="133">
        <f>S239*H239</f>
        <v>0</v>
      </c>
      <c r="AR239" s="134" t="s">
        <v>175</v>
      </c>
      <c r="AT239" s="134" t="s">
        <v>405</v>
      </c>
      <c r="AU239" s="134" t="s">
        <v>80</v>
      </c>
      <c r="AY239" s="17" t="s">
        <v>126</v>
      </c>
      <c r="BE239" s="135">
        <f>IF(N239="základní",J239,0)</f>
        <v>0</v>
      </c>
      <c r="BF239" s="135">
        <f>IF(N239="snížená",J239,0)</f>
        <v>0</v>
      </c>
      <c r="BG239" s="135">
        <f>IF(N239="zákl. přenesená",J239,0)</f>
        <v>0</v>
      </c>
      <c r="BH239" s="135">
        <f>IF(N239="sníž. přenesená",J239,0)</f>
        <v>0</v>
      </c>
      <c r="BI239" s="135">
        <f>IF(N239="nulová",J239,0)</f>
        <v>0</v>
      </c>
      <c r="BJ239" s="17" t="s">
        <v>78</v>
      </c>
      <c r="BK239" s="135">
        <f>ROUND(I239*H239,2)</f>
        <v>0</v>
      </c>
      <c r="BL239" s="17" t="s">
        <v>133</v>
      </c>
      <c r="BM239" s="134" t="s">
        <v>815</v>
      </c>
    </row>
    <row r="240" spans="2:51" s="12" customFormat="1" ht="12">
      <c r="B240" s="139"/>
      <c r="D240" s="140" t="s">
        <v>137</v>
      </c>
      <c r="F240" s="142" t="s">
        <v>816</v>
      </c>
      <c r="H240" s="143">
        <v>1.1</v>
      </c>
      <c r="L240" s="139"/>
      <c r="M240" s="144"/>
      <c r="T240" s="145"/>
      <c r="AT240" s="141" t="s">
        <v>137</v>
      </c>
      <c r="AU240" s="141" t="s">
        <v>80</v>
      </c>
      <c r="AV240" s="12" t="s">
        <v>80</v>
      </c>
      <c r="AW240" s="12" t="s">
        <v>4</v>
      </c>
      <c r="AX240" s="12" t="s">
        <v>78</v>
      </c>
      <c r="AY240" s="141" t="s">
        <v>126</v>
      </c>
    </row>
    <row r="241" spans="2:63" s="11" customFormat="1" ht="22.7" customHeight="1">
      <c r="B241" s="112"/>
      <c r="D241" s="113" t="s">
        <v>69</v>
      </c>
      <c r="E241" s="121" t="s">
        <v>163</v>
      </c>
      <c r="F241" s="121" t="s">
        <v>817</v>
      </c>
      <c r="J241" s="122">
        <f>BK241</f>
        <v>0</v>
      </c>
      <c r="L241" s="112"/>
      <c r="M241" s="116"/>
      <c r="P241" s="117">
        <f>SUM(P242:P371)</f>
        <v>958.611498</v>
      </c>
      <c r="R241" s="117">
        <f>SUM(R242:R371)</f>
        <v>41.90693999</v>
      </c>
      <c r="T241" s="118">
        <f>SUM(T242:T371)</f>
        <v>12.98</v>
      </c>
      <c r="AR241" s="113" t="s">
        <v>78</v>
      </c>
      <c r="AT241" s="119" t="s">
        <v>69</v>
      </c>
      <c r="AU241" s="119" t="s">
        <v>78</v>
      </c>
      <c r="AY241" s="113" t="s">
        <v>126</v>
      </c>
      <c r="BK241" s="120">
        <f>SUM(BK242:BK371)</f>
        <v>0</v>
      </c>
    </row>
    <row r="242" spans="2:65" s="1" customFormat="1" ht="16.5" customHeight="1">
      <c r="B242" s="123"/>
      <c r="C242" s="124" t="s">
        <v>342</v>
      </c>
      <c r="D242" s="124" t="s">
        <v>128</v>
      </c>
      <c r="E242" s="125" t="s">
        <v>818</v>
      </c>
      <c r="F242" s="126" t="s">
        <v>819</v>
      </c>
      <c r="G242" s="127" t="s">
        <v>131</v>
      </c>
      <c r="H242" s="128">
        <v>667.511</v>
      </c>
      <c r="I242" s="129"/>
      <c r="J242" s="129">
        <f>ROUND(I242*H242,2)</f>
        <v>0</v>
      </c>
      <c r="K242" s="126" t="s">
        <v>132</v>
      </c>
      <c r="L242" s="29"/>
      <c r="M242" s="130" t="s">
        <v>3</v>
      </c>
      <c r="N242" s="131" t="s">
        <v>41</v>
      </c>
      <c r="O242" s="132">
        <v>0.104</v>
      </c>
      <c r="P242" s="132">
        <f>O242*H242</f>
        <v>69.421144</v>
      </c>
      <c r="Q242" s="132">
        <v>0.00026</v>
      </c>
      <c r="R242" s="132">
        <f>Q242*H242</f>
        <v>0.17355285999999998</v>
      </c>
      <c r="S242" s="132">
        <v>0</v>
      </c>
      <c r="T242" s="133">
        <f>S242*H242</f>
        <v>0</v>
      </c>
      <c r="AR242" s="134" t="s">
        <v>133</v>
      </c>
      <c r="AT242" s="134" t="s">
        <v>128</v>
      </c>
      <c r="AU242" s="134" t="s">
        <v>80</v>
      </c>
      <c r="AY242" s="17" t="s">
        <v>126</v>
      </c>
      <c r="BE242" s="135">
        <f>IF(N242="základní",J242,0)</f>
        <v>0</v>
      </c>
      <c r="BF242" s="135">
        <f>IF(N242="snížená",J242,0)</f>
        <v>0</v>
      </c>
      <c r="BG242" s="135">
        <f>IF(N242="zákl. přenesená",J242,0)</f>
        <v>0</v>
      </c>
      <c r="BH242" s="135">
        <f>IF(N242="sníž. přenesená",J242,0)</f>
        <v>0</v>
      </c>
      <c r="BI242" s="135">
        <f>IF(N242="nulová",J242,0)</f>
        <v>0</v>
      </c>
      <c r="BJ242" s="17" t="s">
        <v>78</v>
      </c>
      <c r="BK242" s="135">
        <f>ROUND(I242*H242,2)</f>
        <v>0</v>
      </c>
      <c r="BL242" s="17" t="s">
        <v>133</v>
      </c>
      <c r="BM242" s="134" t="s">
        <v>820</v>
      </c>
    </row>
    <row r="243" spans="2:47" s="1" customFormat="1" ht="12">
      <c r="B243" s="29"/>
      <c r="D243" s="136" t="s">
        <v>135</v>
      </c>
      <c r="F243" s="137" t="s">
        <v>821</v>
      </c>
      <c r="L243" s="29"/>
      <c r="M243" s="138"/>
      <c r="T243" s="49"/>
      <c r="AT243" s="17" t="s">
        <v>135</v>
      </c>
      <c r="AU243" s="17" t="s">
        <v>80</v>
      </c>
    </row>
    <row r="244" spans="2:51" s="12" customFormat="1" ht="12">
      <c r="B244" s="139"/>
      <c r="D244" s="140" t="s">
        <v>137</v>
      </c>
      <c r="E244" s="141" t="s">
        <v>3</v>
      </c>
      <c r="F244" s="142" t="s">
        <v>822</v>
      </c>
      <c r="H244" s="143">
        <v>312.74</v>
      </c>
      <c r="L244" s="139"/>
      <c r="M244" s="144"/>
      <c r="T244" s="145"/>
      <c r="AT244" s="141" t="s">
        <v>137</v>
      </c>
      <c r="AU244" s="141" t="s">
        <v>80</v>
      </c>
      <c r="AV244" s="12" t="s">
        <v>80</v>
      </c>
      <c r="AW244" s="12" t="s">
        <v>32</v>
      </c>
      <c r="AX244" s="12" t="s">
        <v>70</v>
      </c>
      <c r="AY244" s="141" t="s">
        <v>126</v>
      </c>
    </row>
    <row r="245" spans="2:51" s="12" customFormat="1" ht="12">
      <c r="B245" s="139"/>
      <c r="D245" s="140" t="s">
        <v>137</v>
      </c>
      <c r="E245" s="141" t="s">
        <v>3</v>
      </c>
      <c r="F245" s="142" t="s">
        <v>823</v>
      </c>
      <c r="H245" s="143">
        <v>23.94</v>
      </c>
      <c r="L245" s="139"/>
      <c r="M245" s="144"/>
      <c r="T245" s="145"/>
      <c r="AT245" s="141" t="s">
        <v>137</v>
      </c>
      <c r="AU245" s="141" t="s">
        <v>80</v>
      </c>
      <c r="AV245" s="12" t="s">
        <v>80</v>
      </c>
      <c r="AW245" s="12" t="s">
        <v>32</v>
      </c>
      <c r="AX245" s="12" t="s">
        <v>70</v>
      </c>
      <c r="AY245" s="141" t="s">
        <v>126</v>
      </c>
    </row>
    <row r="246" spans="2:51" s="12" customFormat="1" ht="12">
      <c r="B246" s="139"/>
      <c r="D246" s="140" t="s">
        <v>137</v>
      </c>
      <c r="E246" s="141" t="s">
        <v>3</v>
      </c>
      <c r="F246" s="142" t="s">
        <v>824</v>
      </c>
      <c r="H246" s="143">
        <v>96.54</v>
      </c>
      <c r="L246" s="139"/>
      <c r="M246" s="144"/>
      <c r="T246" s="145"/>
      <c r="AT246" s="141" t="s">
        <v>137</v>
      </c>
      <c r="AU246" s="141" t="s">
        <v>80</v>
      </c>
      <c r="AV246" s="12" t="s">
        <v>80</v>
      </c>
      <c r="AW246" s="12" t="s">
        <v>32</v>
      </c>
      <c r="AX246" s="12" t="s">
        <v>70</v>
      </c>
      <c r="AY246" s="141" t="s">
        <v>126</v>
      </c>
    </row>
    <row r="247" spans="2:51" s="12" customFormat="1" ht="12">
      <c r="B247" s="139"/>
      <c r="D247" s="140" t="s">
        <v>137</v>
      </c>
      <c r="E247" s="141" t="s">
        <v>3</v>
      </c>
      <c r="F247" s="142" t="s">
        <v>825</v>
      </c>
      <c r="H247" s="143">
        <v>13.68</v>
      </c>
      <c r="L247" s="139"/>
      <c r="M247" s="144"/>
      <c r="T247" s="145"/>
      <c r="AT247" s="141" t="s">
        <v>137</v>
      </c>
      <c r="AU247" s="141" t="s">
        <v>80</v>
      </c>
      <c r="AV247" s="12" t="s">
        <v>80</v>
      </c>
      <c r="AW247" s="12" t="s">
        <v>32</v>
      </c>
      <c r="AX247" s="12" t="s">
        <v>70</v>
      </c>
      <c r="AY247" s="141" t="s">
        <v>126</v>
      </c>
    </row>
    <row r="248" spans="2:51" s="12" customFormat="1" ht="12">
      <c r="B248" s="139"/>
      <c r="D248" s="140" t="s">
        <v>137</v>
      </c>
      <c r="E248" s="141" t="s">
        <v>3</v>
      </c>
      <c r="F248" s="142" t="s">
        <v>826</v>
      </c>
      <c r="H248" s="143">
        <v>220.611</v>
      </c>
      <c r="L248" s="139"/>
      <c r="M248" s="144"/>
      <c r="T248" s="145"/>
      <c r="AT248" s="141" t="s">
        <v>137</v>
      </c>
      <c r="AU248" s="141" t="s">
        <v>80</v>
      </c>
      <c r="AV248" s="12" t="s">
        <v>80</v>
      </c>
      <c r="AW248" s="12" t="s">
        <v>32</v>
      </c>
      <c r="AX248" s="12" t="s">
        <v>70</v>
      </c>
      <c r="AY248" s="141" t="s">
        <v>126</v>
      </c>
    </row>
    <row r="249" spans="2:51" s="13" customFormat="1" ht="12">
      <c r="B249" s="146"/>
      <c r="D249" s="140" t="s">
        <v>137</v>
      </c>
      <c r="E249" s="147" t="s">
        <v>3</v>
      </c>
      <c r="F249" s="148" t="s">
        <v>151</v>
      </c>
      <c r="H249" s="149">
        <v>667.511</v>
      </c>
      <c r="L249" s="146"/>
      <c r="M249" s="150"/>
      <c r="T249" s="151"/>
      <c r="AT249" s="147" t="s">
        <v>137</v>
      </c>
      <c r="AU249" s="147" t="s">
        <v>80</v>
      </c>
      <c r="AV249" s="13" t="s">
        <v>133</v>
      </c>
      <c r="AW249" s="13" t="s">
        <v>32</v>
      </c>
      <c r="AX249" s="13" t="s">
        <v>78</v>
      </c>
      <c r="AY249" s="147" t="s">
        <v>126</v>
      </c>
    </row>
    <row r="250" spans="2:65" s="1" customFormat="1" ht="24.2" customHeight="1">
      <c r="B250" s="123"/>
      <c r="C250" s="124" t="s">
        <v>348</v>
      </c>
      <c r="D250" s="124" t="s">
        <v>128</v>
      </c>
      <c r="E250" s="125" t="s">
        <v>827</v>
      </c>
      <c r="F250" s="126" t="s">
        <v>828</v>
      </c>
      <c r="G250" s="127" t="s">
        <v>131</v>
      </c>
      <c r="H250" s="128">
        <v>667.511</v>
      </c>
      <c r="I250" s="129"/>
      <c r="J250" s="129">
        <f>ROUND(I250*H250,2)</f>
        <v>0</v>
      </c>
      <c r="K250" s="126" t="s">
        <v>132</v>
      </c>
      <c r="L250" s="29"/>
      <c r="M250" s="130" t="s">
        <v>3</v>
      </c>
      <c r="N250" s="131" t="s">
        <v>41</v>
      </c>
      <c r="O250" s="132">
        <v>0.47</v>
      </c>
      <c r="P250" s="132">
        <f>O250*H250</f>
        <v>313.73017</v>
      </c>
      <c r="Q250" s="132">
        <v>0.01838</v>
      </c>
      <c r="R250" s="132">
        <f>Q250*H250</f>
        <v>12.26885218</v>
      </c>
      <c r="S250" s="132">
        <v>0</v>
      </c>
      <c r="T250" s="133">
        <f>S250*H250</f>
        <v>0</v>
      </c>
      <c r="AR250" s="134" t="s">
        <v>133</v>
      </c>
      <c r="AT250" s="134" t="s">
        <v>128</v>
      </c>
      <c r="AU250" s="134" t="s">
        <v>80</v>
      </c>
      <c r="AY250" s="17" t="s">
        <v>126</v>
      </c>
      <c r="BE250" s="135">
        <f>IF(N250="základní",J250,0)</f>
        <v>0</v>
      </c>
      <c r="BF250" s="135">
        <f>IF(N250="snížená",J250,0)</f>
        <v>0</v>
      </c>
      <c r="BG250" s="135">
        <f>IF(N250="zákl. přenesená",J250,0)</f>
        <v>0</v>
      </c>
      <c r="BH250" s="135">
        <f>IF(N250="sníž. přenesená",J250,0)</f>
        <v>0</v>
      </c>
      <c r="BI250" s="135">
        <f>IF(N250="nulová",J250,0)</f>
        <v>0</v>
      </c>
      <c r="BJ250" s="17" t="s">
        <v>78</v>
      </c>
      <c r="BK250" s="135">
        <f>ROUND(I250*H250,2)</f>
        <v>0</v>
      </c>
      <c r="BL250" s="17" t="s">
        <v>133</v>
      </c>
      <c r="BM250" s="134" t="s">
        <v>829</v>
      </c>
    </row>
    <row r="251" spans="2:47" s="1" customFormat="1" ht="12">
      <c r="B251" s="29"/>
      <c r="D251" s="136" t="s">
        <v>135</v>
      </c>
      <c r="F251" s="137" t="s">
        <v>830</v>
      </c>
      <c r="L251" s="29"/>
      <c r="M251" s="138"/>
      <c r="T251" s="49"/>
      <c r="AT251" s="17" t="s">
        <v>135</v>
      </c>
      <c r="AU251" s="17" t="s">
        <v>80</v>
      </c>
    </row>
    <row r="252" spans="2:51" s="12" customFormat="1" ht="12">
      <c r="B252" s="139"/>
      <c r="D252" s="140" t="s">
        <v>137</v>
      </c>
      <c r="E252" s="141" t="s">
        <v>3</v>
      </c>
      <c r="F252" s="142" t="s">
        <v>822</v>
      </c>
      <c r="H252" s="143">
        <v>312.74</v>
      </c>
      <c r="L252" s="139"/>
      <c r="M252" s="144"/>
      <c r="T252" s="145"/>
      <c r="AT252" s="141" t="s">
        <v>137</v>
      </c>
      <c r="AU252" s="141" t="s">
        <v>80</v>
      </c>
      <c r="AV252" s="12" t="s">
        <v>80</v>
      </c>
      <c r="AW252" s="12" t="s">
        <v>32</v>
      </c>
      <c r="AX252" s="12" t="s">
        <v>70</v>
      </c>
      <c r="AY252" s="141" t="s">
        <v>126</v>
      </c>
    </row>
    <row r="253" spans="2:51" s="12" customFormat="1" ht="12">
      <c r="B253" s="139"/>
      <c r="D253" s="140" t="s">
        <v>137</v>
      </c>
      <c r="E253" s="141" t="s">
        <v>3</v>
      </c>
      <c r="F253" s="142" t="s">
        <v>823</v>
      </c>
      <c r="H253" s="143">
        <v>23.94</v>
      </c>
      <c r="L253" s="139"/>
      <c r="M253" s="144"/>
      <c r="T253" s="145"/>
      <c r="AT253" s="141" t="s">
        <v>137</v>
      </c>
      <c r="AU253" s="141" t="s">
        <v>80</v>
      </c>
      <c r="AV253" s="12" t="s">
        <v>80</v>
      </c>
      <c r="AW253" s="12" t="s">
        <v>32</v>
      </c>
      <c r="AX253" s="12" t="s">
        <v>70</v>
      </c>
      <c r="AY253" s="141" t="s">
        <v>126</v>
      </c>
    </row>
    <row r="254" spans="2:51" s="12" customFormat="1" ht="12">
      <c r="B254" s="139"/>
      <c r="D254" s="140" t="s">
        <v>137</v>
      </c>
      <c r="E254" s="141" t="s">
        <v>3</v>
      </c>
      <c r="F254" s="142" t="s">
        <v>824</v>
      </c>
      <c r="H254" s="143">
        <v>96.54</v>
      </c>
      <c r="L254" s="139"/>
      <c r="M254" s="144"/>
      <c r="T254" s="145"/>
      <c r="AT254" s="141" t="s">
        <v>137</v>
      </c>
      <c r="AU254" s="141" t="s">
        <v>80</v>
      </c>
      <c r="AV254" s="12" t="s">
        <v>80</v>
      </c>
      <c r="AW254" s="12" t="s">
        <v>32</v>
      </c>
      <c r="AX254" s="12" t="s">
        <v>70</v>
      </c>
      <c r="AY254" s="141" t="s">
        <v>126</v>
      </c>
    </row>
    <row r="255" spans="2:51" s="12" customFormat="1" ht="12">
      <c r="B255" s="139"/>
      <c r="D255" s="140" t="s">
        <v>137</v>
      </c>
      <c r="E255" s="141" t="s">
        <v>3</v>
      </c>
      <c r="F255" s="142" t="s">
        <v>825</v>
      </c>
      <c r="H255" s="143">
        <v>13.68</v>
      </c>
      <c r="L255" s="139"/>
      <c r="M255" s="144"/>
      <c r="T255" s="145"/>
      <c r="AT255" s="141" t="s">
        <v>137</v>
      </c>
      <c r="AU255" s="141" t="s">
        <v>80</v>
      </c>
      <c r="AV255" s="12" t="s">
        <v>80</v>
      </c>
      <c r="AW255" s="12" t="s">
        <v>32</v>
      </c>
      <c r="AX255" s="12" t="s">
        <v>70</v>
      </c>
      <c r="AY255" s="141" t="s">
        <v>126</v>
      </c>
    </row>
    <row r="256" spans="2:51" s="12" customFormat="1" ht="12">
      <c r="B256" s="139"/>
      <c r="D256" s="140" t="s">
        <v>137</v>
      </c>
      <c r="E256" s="141" t="s">
        <v>3</v>
      </c>
      <c r="F256" s="142" t="s">
        <v>826</v>
      </c>
      <c r="H256" s="143">
        <v>220.611</v>
      </c>
      <c r="L256" s="139"/>
      <c r="M256" s="144"/>
      <c r="T256" s="145"/>
      <c r="AT256" s="141" t="s">
        <v>137</v>
      </c>
      <c r="AU256" s="141" t="s">
        <v>80</v>
      </c>
      <c r="AV256" s="12" t="s">
        <v>80</v>
      </c>
      <c r="AW256" s="12" t="s">
        <v>32</v>
      </c>
      <c r="AX256" s="12" t="s">
        <v>70</v>
      </c>
      <c r="AY256" s="141" t="s">
        <v>126</v>
      </c>
    </row>
    <row r="257" spans="2:51" s="13" customFormat="1" ht="12">
      <c r="B257" s="146"/>
      <c r="D257" s="140" t="s">
        <v>137</v>
      </c>
      <c r="E257" s="147" t="s">
        <v>3</v>
      </c>
      <c r="F257" s="148" t="s">
        <v>151</v>
      </c>
      <c r="H257" s="149">
        <v>667.511</v>
      </c>
      <c r="L257" s="146"/>
      <c r="M257" s="150"/>
      <c r="T257" s="151"/>
      <c r="AT257" s="147" t="s">
        <v>137</v>
      </c>
      <c r="AU257" s="147" t="s">
        <v>80</v>
      </c>
      <c r="AV257" s="13" t="s">
        <v>133</v>
      </c>
      <c r="AW257" s="13" t="s">
        <v>32</v>
      </c>
      <c r="AX257" s="13" t="s">
        <v>78</v>
      </c>
      <c r="AY257" s="147" t="s">
        <v>126</v>
      </c>
    </row>
    <row r="258" spans="2:65" s="1" customFormat="1" ht="16.5" customHeight="1">
      <c r="B258" s="123"/>
      <c r="C258" s="124" t="s">
        <v>356</v>
      </c>
      <c r="D258" s="124" t="s">
        <v>128</v>
      </c>
      <c r="E258" s="125" t="s">
        <v>831</v>
      </c>
      <c r="F258" s="126" t="s">
        <v>832</v>
      </c>
      <c r="G258" s="127" t="s">
        <v>131</v>
      </c>
      <c r="H258" s="128">
        <v>2.73</v>
      </c>
      <c r="I258" s="129"/>
      <c r="J258" s="129">
        <f>ROUND(I258*H258,2)</f>
        <v>0</v>
      </c>
      <c r="K258" s="126" t="s">
        <v>132</v>
      </c>
      <c r="L258" s="29"/>
      <c r="M258" s="130" t="s">
        <v>3</v>
      </c>
      <c r="N258" s="131" t="s">
        <v>41</v>
      </c>
      <c r="O258" s="132">
        <v>1.355</v>
      </c>
      <c r="P258" s="132">
        <f>O258*H258</f>
        <v>3.69915</v>
      </c>
      <c r="Q258" s="132">
        <v>0.03358</v>
      </c>
      <c r="R258" s="132">
        <f>Q258*H258</f>
        <v>0.0916734</v>
      </c>
      <c r="S258" s="132">
        <v>0</v>
      </c>
      <c r="T258" s="133">
        <f>S258*H258</f>
        <v>0</v>
      </c>
      <c r="AR258" s="134" t="s">
        <v>133</v>
      </c>
      <c r="AT258" s="134" t="s">
        <v>128</v>
      </c>
      <c r="AU258" s="134" t="s">
        <v>80</v>
      </c>
      <c r="AY258" s="17" t="s">
        <v>126</v>
      </c>
      <c r="BE258" s="135">
        <f>IF(N258="základní",J258,0)</f>
        <v>0</v>
      </c>
      <c r="BF258" s="135">
        <f>IF(N258="snížená",J258,0)</f>
        <v>0</v>
      </c>
      <c r="BG258" s="135">
        <f>IF(N258="zákl. přenesená",J258,0)</f>
        <v>0</v>
      </c>
      <c r="BH258" s="135">
        <f>IF(N258="sníž. přenesená",J258,0)</f>
        <v>0</v>
      </c>
      <c r="BI258" s="135">
        <f>IF(N258="nulová",J258,0)</f>
        <v>0</v>
      </c>
      <c r="BJ258" s="17" t="s">
        <v>78</v>
      </c>
      <c r="BK258" s="135">
        <f>ROUND(I258*H258,2)</f>
        <v>0</v>
      </c>
      <c r="BL258" s="17" t="s">
        <v>133</v>
      </c>
      <c r="BM258" s="134" t="s">
        <v>833</v>
      </c>
    </row>
    <row r="259" spans="2:47" s="1" customFormat="1" ht="12">
      <c r="B259" s="29"/>
      <c r="D259" s="136" t="s">
        <v>135</v>
      </c>
      <c r="F259" s="137" t="s">
        <v>834</v>
      </c>
      <c r="L259" s="29"/>
      <c r="M259" s="138"/>
      <c r="T259" s="49"/>
      <c r="AT259" s="17" t="s">
        <v>135</v>
      </c>
      <c r="AU259" s="17" t="s">
        <v>80</v>
      </c>
    </row>
    <row r="260" spans="2:51" s="12" customFormat="1" ht="12">
      <c r="B260" s="139"/>
      <c r="D260" s="140" t="s">
        <v>137</v>
      </c>
      <c r="E260" s="141" t="s">
        <v>3</v>
      </c>
      <c r="F260" s="142" t="s">
        <v>835</v>
      </c>
      <c r="H260" s="143">
        <v>2.73</v>
      </c>
      <c r="L260" s="139"/>
      <c r="M260" s="144"/>
      <c r="T260" s="145"/>
      <c r="AT260" s="141" t="s">
        <v>137</v>
      </c>
      <c r="AU260" s="141" t="s">
        <v>80</v>
      </c>
      <c r="AV260" s="12" t="s">
        <v>80</v>
      </c>
      <c r="AW260" s="12" t="s">
        <v>32</v>
      </c>
      <c r="AX260" s="12" t="s">
        <v>78</v>
      </c>
      <c r="AY260" s="141" t="s">
        <v>126</v>
      </c>
    </row>
    <row r="261" spans="2:65" s="1" customFormat="1" ht="24.2" customHeight="1">
      <c r="B261" s="123"/>
      <c r="C261" s="124" t="s">
        <v>361</v>
      </c>
      <c r="D261" s="124" t="s">
        <v>128</v>
      </c>
      <c r="E261" s="125" t="s">
        <v>836</v>
      </c>
      <c r="F261" s="126" t="s">
        <v>837</v>
      </c>
      <c r="G261" s="127" t="s">
        <v>131</v>
      </c>
      <c r="H261" s="128">
        <v>133.305</v>
      </c>
      <c r="I261" s="129"/>
      <c r="J261" s="129">
        <f>ROUND(I261*H261,2)</f>
        <v>0</v>
      </c>
      <c r="K261" s="126" t="s">
        <v>132</v>
      </c>
      <c r="L261" s="29"/>
      <c r="M261" s="130" t="s">
        <v>3</v>
      </c>
      <c r="N261" s="131" t="s">
        <v>41</v>
      </c>
      <c r="O261" s="132">
        <v>0.666</v>
      </c>
      <c r="P261" s="132">
        <f>O261*H261</f>
        <v>88.78113</v>
      </c>
      <c r="Q261" s="132">
        <v>0.0303</v>
      </c>
      <c r="R261" s="132">
        <f>Q261*H261</f>
        <v>4.0391415</v>
      </c>
      <c r="S261" s="132">
        <v>0</v>
      </c>
      <c r="T261" s="133">
        <f>S261*H261</f>
        <v>0</v>
      </c>
      <c r="AR261" s="134" t="s">
        <v>133</v>
      </c>
      <c r="AT261" s="134" t="s">
        <v>128</v>
      </c>
      <c r="AU261" s="134" t="s">
        <v>80</v>
      </c>
      <c r="AY261" s="17" t="s">
        <v>126</v>
      </c>
      <c r="BE261" s="135">
        <f>IF(N261="základní",J261,0)</f>
        <v>0</v>
      </c>
      <c r="BF261" s="135">
        <f>IF(N261="snížená",J261,0)</f>
        <v>0</v>
      </c>
      <c r="BG261" s="135">
        <f>IF(N261="zákl. přenesená",J261,0)</f>
        <v>0</v>
      </c>
      <c r="BH261" s="135">
        <f>IF(N261="sníž. přenesená",J261,0)</f>
        <v>0</v>
      </c>
      <c r="BI261" s="135">
        <f>IF(N261="nulová",J261,0)</f>
        <v>0</v>
      </c>
      <c r="BJ261" s="17" t="s">
        <v>78</v>
      </c>
      <c r="BK261" s="135">
        <f>ROUND(I261*H261,2)</f>
        <v>0</v>
      </c>
      <c r="BL261" s="17" t="s">
        <v>133</v>
      </c>
      <c r="BM261" s="134" t="s">
        <v>838</v>
      </c>
    </row>
    <row r="262" spans="2:47" s="1" customFormat="1" ht="12">
      <c r="B262" s="29"/>
      <c r="D262" s="136" t="s">
        <v>135</v>
      </c>
      <c r="F262" s="137" t="s">
        <v>839</v>
      </c>
      <c r="L262" s="29"/>
      <c r="M262" s="138"/>
      <c r="T262" s="49"/>
      <c r="AT262" s="17" t="s">
        <v>135</v>
      </c>
      <c r="AU262" s="17" t="s">
        <v>80</v>
      </c>
    </row>
    <row r="263" spans="2:51" s="12" customFormat="1" ht="12">
      <c r="B263" s="139"/>
      <c r="D263" s="140" t="s">
        <v>137</v>
      </c>
      <c r="E263" s="141" t="s">
        <v>3</v>
      </c>
      <c r="F263" s="142" t="s">
        <v>840</v>
      </c>
      <c r="H263" s="143">
        <v>133.305</v>
      </c>
      <c r="L263" s="139"/>
      <c r="M263" s="144"/>
      <c r="T263" s="145"/>
      <c r="AT263" s="141" t="s">
        <v>137</v>
      </c>
      <c r="AU263" s="141" t="s">
        <v>80</v>
      </c>
      <c r="AV263" s="12" t="s">
        <v>80</v>
      </c>
      <c r="AW263" s="12" t="s">
        <v>32</v>
      </c>
      <c r="AX263" s="12" t="s">
        <v>78</v>
      </c>
      <c r="AY263" s="141" t="s">
        <v>126</v>
      </c>
    </row>
    <row r="264" spans="2:65" s="1" customFormat="1" ht="24.2" customHeight="1">
      <c r="B264" s="123"/>
      <c r="C264" s="124" t="s">
        <v>366</v>
      </c>
      <c r="D264" s="124" t="s">
        <v>128</v>
      </c>
      <c r="E264" s="125" t="s">
        <v>841</v>
      </c>
      <c r="F264" s="126" t="s">
        <v>842</v>
      </c>
      <c r="G264" s="127" t="s">
        <v>131</v>
      </c>
      <c r="H264" s="128">
        <v>590</v>
      </c>
      <c r="I264" s="129"/>
      <c r="J264" s="129">
        <f>ROUND(I264*H264,2)</f>
        <v>0</v>
      </c>
      <c r="K264" s="126" t="s">
        <v>132</v>
      </c>
      <c r="L264" s="29"/>
      <c r="M264" s="130" t="s">
        <v>3</v>
      </c>
      <c r="N264" s="131" t="s">
        <v>41</v>
      </c>
      <c r="O264" s="132">
        <v>0.245</v>
      </c>
      <c r="P264" s="132">
        <f>O264*H264</f>
        <v>144.55</v>
      </c>
      <c r="Q264" s="132">
        <v>0.01764</v>
      </c>
      <c r="R264" s="132">
        <f>Q264*H264</f>
        <v>10.4076</v>
      </c>
      <c r="S264" s="132">
        <v>0.02</v>
      </c>
      <c r="T264" s="133">
        <f>S264*H264</f>
        <v>11.8</v>
      </c>
      <c r="AR264" s="134" t="s">
        <v>133</v>
      </c>
      <c r="AT264" s="134" t="s">
        <v>128</v>
      </c>
      <c r="AU264" s="134" t="s">
        <v>80</v>
      </c>
      <c r="AY264" s="17" t="s">
        <v>126</v>
      </c>
      <c r="BE264" s="135">
        <f>IF(N264="základní",J264,0)</f>
        <v>0</v>
      </c>
      <c r="BF264" s="135">
        <f>IF(N264="snížená",J264,0)</f>
        <v>0</v>
      </c>
      <c r="BG264" s="135">
        <f>IF(N264="zákl. přenesená",J264,0)</f>
        <v>0</v>
      </c>
      <c r="BH264" s="135">
        <f>IF(N264="sníž. přenesená",J264,0)</f>
        <v>0</v>
      </c>
      <c r="BI264" s="135">
        <f>IF(N264="nulová",J264,0)</f>
        <v>0</v>
      </c>
      <c r="BJ264" s="17" t="s">
        <v>78</v>
      </c>
      <c r="BK264" s="135">
        <f>ROUND(I264*H264,2)</f>
        <v>0</v>
      </c>
      <c r="BL264" s="17" t="s">
        <v>133</v>
      </c>
      <c r="BM264" s="134" t="s">
        <v>843</v>
      </c>
    </row>
    <row r="265" spans="2:47" s="1" customFormat="1" ht="12">
      <c r="B265" s="29"/>
      <c r="D265" s="136" t="s">
        <v>135</v>
      </c>
      <c r="F265" s="137" t="s">
        <v>844</v>
      </c>
      <c r="L265" s="29"/>
      <c r="M265" s="138"/>
      <c r="T265" s="49"/>
      <c r="AT265" s="17" t="s">
        <v>135</v>
      </c>
      <c r="AU265" s="17" t="s">
        <v>80</v>
      </c>
    </row>
    <row r="266" spans="2:51" s="12" customFormat="1" ht="12">
      <c r="B266" s="139"/>
      <c r="D266" s="140" t="s">
        <v>137</v>
      </c>
      <c r="E266" s="141" t="s">
        <v>3</v>
      </c>
      <c r="F266" s="142" t="s">
        <v>845</v>
      </c>
      <c r="H266" s="143">
        <v>590</v>
      </c>
      <c r="L266" s="139"/>
      <c r="M266" s="144"/>
      <c r="T266" s="145"/>
      <c r="AT266" s="141" t="s">
        <v>137</v>
      </c>
      <c r="AU266" s="141" t="s">
        <v>80</v>
      </c>
      <c r="AV266" s="12" t="s">
        <v>80</v>
      </c>
      <c r="AW266" s="12" t="s">
        <v>32</v>
      </c>
      <c r="AX266" s="12" t="s">
        <v>78</v>
      </c>
      <c r="AY266" s="141" t="s">
        <v>126</v>
      </c>
    </row>
    <row r="267" spans="2:65" s="1" customFormat="1" ht="24.2" customHeight="1">
      <c r="B267" s="123"/>
      <c r="C267" s="124" t="s">
        <v>372</v>
      </c>
      <c r="D267" s="124" t="s">
        <v>128</v>
      </c>
      <c r="E267" s="125" t="s">
        <v>846</v>
      </c>
      <c r="F267" s="126" t="s">
        <v>847</v>
      </c>
      <c r="G267" s="127" t="s">
        <v>131</v>
      </c>
      <c r="H267" s="128">
        <v>590</v>
      </c>
      <c r="I267" s="129"/>
      <c r="J267" s="129">
        <f>ROUND(I267*H267,2)</f>
        <v>0</v>
      </c>
      <c r="K267" s="126" t="s">
        <v>132</v>
      </c>
      <c r="L267" s="29"/>
      <c r="M267" s="130" t="s">
        <v>3</v>
      </c>
      <c r="N267" s="131" t="s">
        <v>41</v>
      </c>
      <c r="O267" s="132">
        <v>0.091</v>
      </c>
      <c r="P267" s="132">
        <f>O267*H267</f>
        <v>53.69</v>
      </c>
      <c r="Q267" s="132">
        <v>0.00022</v>
      </c>
      <c r="R267" s="132">
        <f>Q267*H267</f>
        <v>0.1298</v>
      </c>
      <c r="S267" s="132">
        <v>0.002</v>
      </c>
      <c r="T267" s="133">
        <f>S267*H267</f>
        <v>1.18</v>
      </c>
      <c r="AR267" s="134" t="s">
        <v>133</v>
      </c>
      <c r="AT267" s="134" t="s">
        <v>128</v>
      </c>
      <c r="AU267" s="134" t="s">
        <v>80</v>
      </c>
      <c r="AY267" s="17" t="s">
        <v>126</v>
      </c>
      <c r="BE267" s="135">
        <f>IF(N267="základní",J267,0)</f>
        <v>0</v>
      </c>
      <c r="BF267" s="135">
        <f>IF(N267="snížená",J267,0)</f>
        <v>0</v>
      </c>
      <c r="BG267" s="135">
        <f>IF(N267="zákl. přenesená",J267,0)</f>
        <v>0</v>
      </c>
      <c r="BH267" s="135">
        <f>IF(N267="sníž. přenesená",J267,0)</f>
        <v>0</v>
      </c>
      <c r="BI267" s="135">
        <f>IF(N267="nulová",J267,0)</f>
        <v>0</v>
      </c>
      <c r="BJ267" s="17" t="s">
        <v>78</v>
      </c>
      <c r="BK267" s="135">
        <f>ROUND(I267*H267,2)</f>
        <v>0</v>
      </c>
      <c r="BL267" s="17" t="s">
        <v>133</v>
      </c>
      <c r="BM267" s="134" t="s">
        <v>848</v>
      </c>
    </row>
    <row r="268" spans="2:47" s="1" customFormat="1" ht="12">
      <c r="B268" s="29"/>
      <c r="D268" s="136" t="s">
        <v>135</v>
      </c>
      <c r="F268" s="137" t="s">
        <v>849</v>
      </c>
      <c r="L268" s="29"/>
      <c r="M268" s="138"/>
      <c r="T268" s="49"/>
      <c r="AT268" s="17" t="s">
        <v>135</v>
      </c>
      <c r="AU268" s="17" t="s">
        <v>80</v>
      </c>
    </row>
    <row r="269" spans="2:51" s="12" customFormat="1" ht="12">
      <c r="B269" s="139"/>
      <c r="D269" s="140" t="s">
        <v>137</v>
      </c>
      <c r="E269" s="141" t="s">
        <v>3</v>
      </c>
      <c r="F269" s="142" t="s">
        <v>845</v>
      </c>
      <c r="H269" s="143">
        <v>590</v>
      </c>
      <c r="L269" s="139"/>
      <c r="M269" s="144"/>
      <c r="T269" s="145"/>
      <c r="AT269" s="141" t="s">
        <v>137</v>
      </c>
      <c r="AU269" s="141" t="s">
        <v>80</v>
      </c>
      <c r="AV269" s="12" t="s">
        <v>80</v>
      </c>
      <c r="AW269" s="12" t="s">
        <v>32</v>
      </c>
      <c r="AX269" s="12" t="s">
        <v>78</v>
      </c>
      <c r="AY269" s="141" t="s">
        <v>126</v>
      </c>
    </row>
    <row r="270" spans="2:65" s="1" customFormat="1" ht="24.2" customHeight="1">
      <c r="B270" s="123"/>
      <c r="C270" s="124" t="s">
        <v>377</v>
      </c>
      <c r="D270" s="124" t="s">
        <v>128</v>
      </c>
      <c r="E270" s="125" t="s">
        <v>850</v>
      </c>
      <c r="F270" s="126" t="s">
        <v>851</v>
      </c>
      <c r="G270" s="127" t="s">
        <v>131</v>
      </c>
      <c r="H270" s="128">
        <v>1.5</v>
      </c>
      <c r="I270" s="129"/>
      <c r="J270" s="129">
        <f>ROUND(I270*H270,2)</f>
        <v>0</v>
      </c>
      <c r="K270" s="126" t="s">
        <v>132</v>
      </c>
      <c r="L270" s="29"/>
      <c r="M270" s="130" t="s">
        <v>3</v>
      </c>
      <c r="N270" s="131" t="s">
        <v>41</v>
      </c>
      <c r="O270" s="132">
        <v>1.34</v>
      </c>
      <c r="P270" s="132">
        <f>O270*H270</f>
        <v>2.0100000000000002</v>
      </c>
      <c r="Q270" s="132">
        <v>0.00859</v>
      </c>
      <c r="R270" s="132">
        <f>Q270*H270</f>
        <v>0.012885</v>
      </c>
      <c r="S270" s="132">
        <v>0</v>
      </c>
      <c r="T270" s="133">
        <f>S270*H270</f>
        <v>0</v>
      </c>
      <c r="AR270" s="134" t="s">
        <v>133</v>
      </c>
      <c r="AT270" s="134" t="s">
        <v>128</v>
      </c>
      <c r="AU270" s="134" t="s">
        <v>80</v>
      </c>
      <c r="AY270" s="17" t="s">
        <v>126</v>
      </c>
      <c r="BE270" s="135">
        <f>IF(N270="základní",J270,0)</f>
        <v>0</v>
      </c>
      <c r="BF270" s="135">
        <f>IF(N270="snížená",J270,0)</f>
        <v>0</v>
      </c>
      <c r="BG270" s="135">
        <f>IF(N270="zákl. přenesená",J270,0)</f>
        <v>0</v>
      </c>
      <c r="BH270" s="135">
        <f>IF(N270="sníž. přenesená",J270,0)</f>
        <v>0</v>
      </c>
      <c r="BI270" s="135">
        <f>IF(N270="nulová",J270,0)</f>
        <v>0</v>
      </c>
      <c r="BJ270" s="17" t="s">
        <v>78</v>
      </c>
      <c r="BK270" s="135">
        <f>ROUND(I270*H270,2)</f>
        <v>0</v>
      </c>
      <c r="BL270" s="17" t="s">
        <v>133</v>
      </c>
      <c r="BM270" s="134" t="s">
        <v>852</v>
      </c>
    </row>
    <row r="271" spans="2:47" s="1" customFormat="1" ht="12">
      <c r="B271" s="29"/>
      <c r="D271" s="136" t="s">
        <v>135</v>
      </c>
      <c r="F271" s="137" t="s">
        <v>853</v>
      </c>
      <c r="L271" s="29"/>
      <c r="M271" s="138"/>
      <c r="T271" s="49"/>
      <c r="AT271" s="17" t="s">
        <v>135</v>
      </c>
      <c r="AU271" s="17" t="s">
        <v>80</v>
      </c>
    </row>
    <row r="272" spans="2:51" s="12" customFormat="1" ht="12">
      <c r="B272" s="139"/>
      <c r="D272" s="140" t="s">
        <v>137</v>
      </c>
      <c r="E272" s="141" t="s">
        <v>3</v>
      </c>
      <c r="F272" s="142" t="s">
        <v>854</v>
      </c>
      <c r="H272" s="143">
        <v>1.5</v>
      </c>
      <c r="L272" s="139"/>
      <c r="M272" s="144"/>
      <c r="T272" s="145"/>
      <c r="AT272" s="141" t="s">
        <v>137</v>
      </c>
      <c r="AU272" s="141" t="s">
        <v>80</v>
      </c>
      <c r="AV272" s="12" t="s">
        <v>80</v>
      </c>
      <c r="AW272" s="12" t="s">
        <v>32</v>
      </c>
      <c r="AX272" s="12" t="s">
        <v>78</v>
      </c>
      <c r="AY272" s="141" t="s">
        <v>126</v>
      </c>
    </row>
    <row r="273" spans="2:65" s="1" customFormat="1" ht="16.5" customHeight="1">
      <c r="B273" s="123"/>
      <c r="C273" s="152" t="s">
        <v>383</v>
      </c>
      <c r="D273" s="152" t="s">
        <v>405</v>
      </c>
      <c r="E273" s="153" t="s">
        <v>855</v>
      </c>
      <c r="F273" s="154" t="s">
        <v>856</v>
      </c>
      <c r="G273" s="155" t="s">
        <v>131</v>
      </c>
      <c r="H273" s="156">
        <v>1.65</v>
      </c>
      <c r="I273" s="157"/>
      <c r="J273" s="157">
        <f>ROUND(I273*H273,2)</f>
        <v>0</v>
      </c>
      <c r="K273" s="154" t="s">
        <v>132</v>
      </c>
      <c r="L273" s="158"/>
      <c r="M273" s="159" t="s">
        <v>3</v>
      </c>
      <c r="N273" s="160" t="s">
        <v>41</v>
      </c>
      <c r="O273" s="132">
        <v>0</v>
      </c>
      <c r="P273" s="132">
        <f>O273*H273</f>
        <v>0</v>
      </c>
      <c r="Q273" s="132">
        <v>0.0024</v>
      </c>
      <c r="R273" s="132">
        <f>Q273*H273</f>
        <v>0.003959999999999999</v>
      </c>
      <c r="S273" s="132">
        <v>0</v>
      </c>
      <c r="T273" s="133">
        <f>S273*H273</f>
        <v>0</v>
      </c>
      <c r="AR273" s="134" t="s">
        <v>175</v>
      </c>
      <c r="AT273" s="134" t="s">
        <v>405</v>
      </c>
      <c r="AU273" s="134" t="s">
        <v>80</v>
      </c>
      <c r="AY273" s="17" t="s">
        <v>126</v>
      </c>
      <c r="BE273" s="135">
        <f>IF(N273="základní",J273,0)</f>
        <v>0</v>
      </c>
      <c r="BF273" s="135">
        <f>IF(N273="snížená",J273,0)</f>
        <v>0</v>
      </c>
      <c r="BG273" s="135">
        <f>IF(N273="zákl. přenesená",J273,0)</f>
        <v>0</v>
      </c>
      <c r="BH273" s="135">
        <f>IF(N273="sníž. přenesená",J273,0)</f>
        <v>0</v>
      </c>
      <c r="BI273" s="135">
        <f>IF(N273="nulová",J273,0)</f>
        <v>0</v>
      </c>
      <c r="BJ273" s="17" t="s">
        <v>78</v>
      </c>
      <c r="BK273" s="135">
        <f>ROUND(I273*H273,2)</f>
        <v>0</v>
      </c>
      <c r="BL273" s="17" t="s">
        <v>133</v>
      </c>
      <c r="BM273" s="134" t="s">
        <v>857</v>
      </c>
    </row>
    <row r="274" spans="2:51" s="12" customFormat="1" ht="12">
      <c r="B274" s="139"/>
      <c r="D274" s="140" t="s">
        <v>137</v>
      </c>
      <c r="F274" s="142" t="s">
        <v>858</v>
      </c>
      <c r="H274" s="143">
        <v>1.65</v>
      </c>
      <c r="L274" s="139"/>
      <c r="M274" s="144"/>
      <c r="T274" s="145"/>
      <c r="AT274" s="141" t="s">
        <v>137</v>
      </c>
      <c r="AU274" s="141" t="s">
        <v>80</v>
      </c>
      <c r="AV274" s="12" t="s">
        <v>80</v>
      </c>
      <c r="AW274" s="12" t="s">
        <v>4</v>
      </c>
      <c r="AX274" s="12" t="s">
        <v>78</v>
      </c>
      <c r="AY274" s="141" t="s">
        <v>126</v>
      </c>
    </row>
    <row r="275" spans="2:65" s="1" customFormat="1" ht="16.5" customHeight="1">
      <c r="B275" s="123"/>
      <c r="C275" s="124" t="s">
        <v>392</v>
      </c>
      <c r="D275" s="124" t="s">
        <v>128</v>
      </c>
      <c r="E275" s="125" t="s">
        <v>859</v>
      </c>
      <c r="F275" s="126" t="s">
        <v>860</v>
      </c>
      <c r="G275" s="127" t="s">
        <v>131</v>
      </c>
      <c r="H275" s="128">
        <v>85.38</v>
      </c>
      <c r="I275" s="129"/>
      <c r="J275" s="129">
        <f>ROUND(I275*H275,2)</f>
        <v>0</v>
      </c>
      <c r="K275" s="126" t="s">
        <v>132</v>
      </c>
      <c r="L275" s="29"/>
      <c r="M275" s="130" t="s">
        <v>3</v>
      </c>
      <c r="N275" s="131" t="s">
        <v>41</v>
      </c>
      <c r="O275" s="132">
        <v>0.074</v>
      </c>
      <c r="P275" s="132">
        <f>O275*H275</f>
        <v>6.3181199999999995</v>
      </c>
      <c r="Q275" s="132">
        <v>0.00026</v>
      </c>
      <c r="R275" s="132">
        <f>Q275*H275</f>
        <v>0.022198799999999998</v>
      </c>
      <c r="S275" s="132">
        <v>0</v>
      </c>
      <c r="T275" s="133">
        <f>S275*H275</f>
        <v>0</v>
      </c>
      <c r="AR275" s="134" t="s">
        <v>133</v>
      </c>
      <c r="AT275" s="134" t="s">
        <v>128</v>
      </c>
      <c r="AU275" s="134" t="s">
        <v>80</v>
      </c>
      <c r="AY275" s="17" t="s">
        <v>126</v>
      </c>
      <c r="BE275" s="135">
        <f>IF(N275="základní",J275,0)</f>
        <v>0</v>
      </c>
      <c r="BF275" s="135">
        <f>IF(N275="snížená",J275,0)</f>
        <v>0</v>
      </c>
      <c r="BG275" s="135">
        <f>IF(N275="zákl. přenesená",J275,0)</f>
        <v>0</v>
      </c>
      <c r="BH275" s="135">
        <f>IF(N275="sníž. přenesená",J275,0)</f>
        <v>0</v>
      </c>
      <c r="BI275" s="135">
        <f>IF(N275="nulová",J275,0)</f>
        <v>0</v>
      </c>
      <c r="BJ275" s="17" t="s">
        <v>78</v>
      </c>
      <c r="BK275" s="135">
        <f>ROUND(I275*H275,2)</f>
        <v>0</v>
      </c>
      <c r="BL275" s="17" t="s">
        <v>133</v>
      </c>
      <c r="BM275" s="134" t="s">
        <v>861</v>
      </c>
    </row>
    <row r="276" spans="2:47" s="1" customFormat="1" ht="12">
      <c r="B276" s="29"/>
      <c r="D276" s="136" t="s">
        <v>135</v>
      </c>
      <c r="F276" s="137" t="s">
        <v>862</v>
      </c>
      <c r="L276" s="29"/>
      <c r="M276" s="138"/>
      <c r="T276" s="49"/>
      <c r="AT276" s="17" t="s">
        <v>135</v>
      </c>
      <c r="AU276" s="17" t="s">
        <v>80</v>
      </c>
    </row>
    <row r="277" spans="2:51" s="12" customFormat="1" ht="12">
      <c r="B277" s="139"/>
      <c r="D277" s="140" t="s">
        <v>137</v>
      </c>
      <c r="E277" s="141" t="s">
        <v>3</v>
      </c>
      <c r="F277" s="142" t="s">
        <v>704</v>
      </c>
      <c r="H277" s="143">
        <v>85.38</v>
      </c>
      <c r="L277" s="139"/>
      <c r="M277" s="144"/>
      <c r="T277" s="145"/>
      <c r="AT277" s="141" t="s">
        <v>137</v>
      </c>
      <c r="AU277" s="141" t="s">
        <v>80</v>
      </c>
      <c r="AV277" s="12" t="s">
        <v>80</v>
      </c>
      <c r="AW277" s="12" t="s">
        <v>32</v>
      </c>
      <c r="AX277" s="12" t="s">
        <v>78</v>
      </c>
      <c r="AY277" s="141" t="s">
        <v>126</v>
      </c>
    </row>
    <row r="278" spans="2:65" s="1" customFormat="1" ht="24.2" customHeight="1">
      <c r="B278" s="123"/>
      <c r="C278" s="124" t="s">
        <v>398</v>
      </c>
      <c r="D278" s="124" t="s">
        <v>128</v>
      </c>
      <c r="E278" s="125" t="s">
        <v>863</v>
      </c>
      <c r="F278" s="126" t="s">
        <v>864</v>
      </c>
      <c r="G278" s="127" t="s">
        <v>131</v>
      </c>
      <c r="H278" s="128">
        <v>93.48</v>
      </c>
      <c r="I278" s="129"/>
      <c r="J278" s="129">
        <f>ROUND(I278*H278,2)</f>
        <v>0</v>
      </c>
      <c r="K278" s="126" t="s">
        <v>132</v>
      </c>
      <c r="L278" s="29"/>
      <c r="M278" s="130" t="s">
        <v>3</v>
      </c>
      <c r="N278" s="131" t="s">
        <v>41</v>
      </c>
      <c r="O278" s="132">
        <v>0.33</v>
      </c>
      <c r="P278" s="132">
        <f>O278*H278</f>
        <v>30.8484</v>
      </c>
      <c r="Q278" s="132">
        <v>0.00438</v>
      </c>
      <c r="R278" s="132">
        <f>Q278*H278</f>
        <v>0.40944240000000004</v>
      </c>
      <c r="S278" s="132">
        <v>0</v>
      </c>
      <c r="T278" s="133">
        <f>S278*H278</f>
        <v>0</v>
      </c>
      <c r="AR278" s="134" t="s">
        <v>133</v>
      </c>
      <c r="AT278" s="134" t="s">
        <v>128</v>
      </c>
      <c r="AU278" s="134" t="s">
        <v>80</v>
      </c>
      <c r="AY278" s="17" t="s">
        <v>126</v>
      </c>
      <c r="BE278" s="135">
        <f>IF(N278="základní",J278,0)</f>
        <v>0</v>
      </c>
      <c r="BF278" s="135">
        <f>IF(N278="snížená",J278,0)</f>
        <v>0</v>
      </c>
      <c r="BG278" s="135">
        <f>IF(N278="zákl. přenesená",J278,0)</f>
        <v>0</v>
      </c>
      <c r="BH278" s="135">
        <f>IF(N278="sníž. přenesená",J278,0)</f>
        <v>0</v>
      </c>
      <c r="BI278" s="135">
        <f>IF(N278="nulová",J278,0)</f>
        <v>0</v>
      </c>
      <c r="BJ278" s="17" t="s">
        <v>78</v>
      </c>
      <c r="BK278" s="135">
        <f>ROUND(I278*H278,2)</f>
        <v>0</v>
      </c>
      <c r="BL278" s="17" t="s">
        <v>133</v>
      </c>
      <c r="BM278" s="134" t="s">
        <v>865</v>
      </c>
    </row>
    <row r="279" spans="2:47" s="1" customFormat="1" ht="12">
      <c r="B279" s="29"/>
      <c r="D279" s="136" t="s">
        <v>135</v>
      </c>
      <c r="F279" s="137" t="s">
        <v>866</v>
      </c>
      <c r="L279" s="29"/>
      <c r="M279" s="138"/>
      <c r="T279" s="49"/>
      <c r="AT279" s="17" t="s">
        <v>135</v>
      </c>
      <c r="AU279" s="17" t="s">
        <v>80</v>
      </c>
    </row>
    <row r="280" spans="2:51" s="12" customFormat="1" ht="12">
      <c r="B280" s="139"/>
      <c r="D280" s="140" t="s">
        <v>137</v>
      </c>
      <c r="E280" s="141" t="s">
        <v>3</v>
      </c>
      <c r="F280" s="142" t="s">
        <v>704</v>
      </c>
      <c r="H280" s="143">
        <v>85.38</v>
      </c>
      <c r="L280" s="139"/>
      <c r="M280" s="144"/>
      <c r="T280" s="145"/>
      <c r="AT280" s="141" t="s">
        <v>137</v>
      </c>
      <c r="AU280" s="141" t="s">
        <v>80</v>
      </c>
      <c r="AV280" s="12" t="s">
        <v>80</v>
      </c>
      <c r="AW280" s="12" t="s">
        <v>32</v>
      </c>
      <c r="AX280" s="12" t="s">
        <v>70</v>
      </c>
      <c r="AY280" s="141" t="s">
        <v>126</v>
      </c>
    </row>
    <row r="281" spans="2:51" s="12" customFormat="1" ht="12">
      <c r="B281" s="139"/>
      <c r="D281" s="140" t="s">
        <v>137</v>
      </c>
      <c r="E281" s="141" t="s">
        <v>3</v>
      </c>
      <c r="F281" s="142" t="s">
        <v>867</v>
      </c>
      <c r="H281" s="143">
        <v>7.02</v>
      </c>
      <c r="L281" s="139"/>
      <c r="M281" s="144"/>
      <c r="T281" s="145"/>
      <c r="AT281" s="141" t="s">
        <v>137</v>
      </c>
      <c r="AU281" s="141" t="s">
        <v>80</v>
      </c>
      <c r="AV281" s="12" t="s">
        <v>80</v>
      </c>
      <c r="AW281" s="12" t="s">
        <v>32</v>
      </c>
      <c r="AX281" s="12" t="s">
        <v>70</v>
      </c>
      <c r="AY281" s="141" t="s">
        <v>126</v>
      </c>
    </row>
    <row r="282" spans="2:51" s="12" customFormat="1" ht="12">
      <c r="B282" s="139"/>
      <c r="D282" s="140" t="s">
        <v>137</v>
      </c>
      <c r="E282" s="141" t="s">
        <v>3</v>
      </c>
      <c r="F282" s="142" t="s">
        <v>868</v>
      </c>
      <c r="H282" s="143">
        <v>1.08</v>
      </c>
      <c r="L282" s="139"/>
      <c r="M282" s="144"/>
      <c r="T282" s="145"/>
      <c r="AT282" s="141" t="s">
        <v>137</v>
      </c>
      <c r="AU282" s="141" t="s">
        <v>80</v>
      </c>
      <c r="AV282" s="12" t="s">
        <v>80</v>
      </c>
      <c r="AW282" s="12" t="s">
        <v>32</v>
      </c>
      <c r="AX282" s="12" t="s">
        <v>70</v>
      </c>
      <c r="AY282" s="141" t="s">
        <v>126</v>
      </c>
    </row>
    <row r="283" spans="2:51" s="13" customFormat="1" ht="12">
      <c r="B283" s="146"/>
      <c r="D283" s="140" t="s">
        <v>137</v>
      </c>
      <c r="E283" s="147" t="s">
        <v>3</v>
      </c>
      <c r="F283" s="148" t="s">
        <v>151</v>
      </c>
      <c r="H283" s="149">
        <v>93.47999999999999</v>
      </c>
      <c r="L283" s="146"/>
      <c r="M283" s="150"/>
      <c r="T283" s="151"/>
      <c r="AT283" s="147" t="s">
        <v>137</v>
      </c>
      <c r="AU283" s="147" t="s">
        <v>80</v>
      </c>
      <c r="AV283" s="13" t="s">
        <v>133</v>
      </c>
      <c r="AW283" s="13" t="s">
        <v>32</v>
      </c>
      <c r="AX283" s="13" t="s">
        <v>78</v>
      </c>
      <c r="AY283" s="147" t="s">
        <v>126</v>
      </c>
    </row>
    <row r="284" spans="2:65" s="1" customFormat="1" ht="16.5" customHeight="1">
      <c r="B284" s="123"/>
      <c r="C284" s="124" t="s">
        <v>404</v>
      </c>
      <c r="D284" s="124" t="s">
        <v>128</v>
      </c>
      <c r="E284" s="125" t="s">
        <v>869</v>
      </c>
      <c r="F284" s="126" t="s">
        <v>870</v>
      </c>
      <c r="G284" s="127" t="s">
        <v>131</v>
      </c>
      <c r="H284" s="128">
        <v>92.4</v>
      </c>
      <c r="I284" s="129"/>
      <c r="J284" s="129">
        <f>ROUND(I284*H284,2)</f>
        <v>0</v>
      </c>
      <c r="K284" s="126" t="s">
        <v>132</v>
      </c>
      <c r="L284" s="29"/>
      <c r="M284" s="130" t="s">
        <v>3</v>
      </c>
      <c r="N284" s="131" t="s">
        <v>41</v>
      </c>
      <c r="O284" s="132">
        <v>0.075</v>
      </c>
      <c r="P284" s="132">
        <f>O284*H284</f>
        <v>6.930000000000001</v>
      </c>
      <c r="Q284" s="132">
        <v>0.00025</v>
      </c>
      <c r="R284" s="132">
        <f>Q284*H284</f>
        <v>0.023100000000000002</v>
      </c>
      <c r="S284" s="132">
        <v>0</v>
      </c>
      <c r="T284" s="133">
        <f>S284*H284</f>
        <v>0</v>
      </c>
      <c r="AR284" s="134" t="s">
        <v>133</v>
      </c>
      <c r="AT284" s="134" t="s">
        <v>128</v>
      </c>
      <c r="AU284" s="134" t="s">
        <v>80</v>
      </c>
      <c r="AY284" s="17" t="s">
        <v>126</v>
      </c>
      <c r="BE284" s="135">
        <f>IF(N284="základní",J284,0)</f>
        <v>0</v>
      </c>
      <c r="BF284" s="135">
        <f>IF(N284="snížená",J284,0)</f>
        <v>0</v>
      </c>
      <c r="BG284" s="135">
        <f>IF(N284="zákl. přenesená",J284,0)</f>
        <v>0</v>
      </c>
      <c r="BH284" s="135">
        <f>IF(N284="sníž. přenesená",J284,0)</f>
        <v>0</v>
      </c>
      <c r="BI284" s="135">
        <f>IF(N284="nulová",J284,0)</f>
        <v>0</v>
      </c>
      <c r="BJ284" s="17" t="s">
        <v>78</v>
      </c>
      <c r="BK284" s="135">
        <f>ROUND(I284*H284,2)</f>
        <v>0</v>
      </c>
      <c r="BL284" s="17" t="s">
        <v>133</v>
      </c>
      <c r="BM284" s="134" t="s">
        <v>871</v>
      </c>
    </row>
    <row r="285" spans="2:47" s="1" customFormat="1" ht="12">
      <c r="B285" s="29"/>
      <c r="D285" s="136" t="s">
        <v>135</v>
      </c>
      <c r="F285" s="137" t="s">
        <v>872</v>
      </c>
      <c r="L285" s="29"/>
      <c r="M285" s="138"/>
      <c r="T285" s="49"/>
      <c r="AT285" s="17" t="s">
        <v>135</v>
      </c>
      <c r="AU285" s="17" t="s">
        <v>80</v>
      </c>
    </row>
    <row r="286" spans="2:51" s="12" customFormat="1" ht="12">
      <c r="B286" s="139"/>
      <c r="D286" s="140" t="s">
        <v>137</v>
      </c>
      <c r="E286" s="141" t="s">
        <v>3</v>
      </c>
      <c r="F286" s="142" t="s">
        <v>704</v>
      </c>
      <c r="H286" s="143">
        <v>85.38</v>
      </c>
      <c r="L286" s="139"/>
      <c r="M286" s="144"/>
      <c r="T286" s="145"/>
      <c r="AT286" s="141" t="s">
        <v>137</v>
      </c>
      <c r="AU286" s="141" t="s">
        <v>80</v>
      </c>
      <c r="AV286" s="12" t="s">
        <v>80</v>
      </c>
      <c r="AW286" s="12" t="s">
        <v>32</v>
      </c>
      <c r="AX286" s="12" t="s">
        <v>70</v>
      </c>
      <c r="AY286" s="141" t="s">
        <v>126</v>
      </c>
    </row>
    <row r="287" spans="2:51" s="12" customFormat="1" ht="12">
      <c r="B287" s="139"/>
      <c r="D287" s="140" t="s">
        <v>137</v>
      </c>
      <c r="E287" s="141" t="s">
        <v>3</v>
      </c>
      <c r="F287" s="142" t="s">
        <v>867</v>
      </c>
      <c r="H287" s="143">
        <v>7.02</v>
      </c>
      <c r="L287" s="139"/>
      <c r="M287" s="144"/>
      <c r="T287" s="145"/>
      <c r="AT287" s="141" t="s">
        <v>137</v>
      </c>
      <c r="AU287" s="141" t="s">
        <v>80</v>
      </c>
      <c r="AV287" s="12" t="s">
        <v>80</v>
      </c>
      <c r="AW287" s="12" t="s">
        <v>32</v>
      </c>
      <c r="AX287" s="12" t="s">
        <v>70</v>
      </c>
      <c r="AY287" s="141" t="s">
        <v>126</v>
      </c>
    </row>
    <row r="288" spans="2:51" s="13" customFormat="1" ht="12">
      <c r="B288" s="146"/>
      <c r="D288" s="140" t="s">
        <v>137</v>
      </c>
      <c r="E288" s="147" t="s">
        <v>3</v>
      </c>
      <c r="F288" s="148" t="s">
        <v>151</v>
      </c>
      <c r="H288" s="149">
        <v>92.39999999999999</v>
      </c>
      <c r="L288" s="146"/>
      <c r="M288" s="150"/>
      <c r="T288" s="151"/>
      <c r="AT288" s="147" t="s">
        <v>137</v>
      </c>
      <c r="AU288" s="147" t="s">
        <v>80</v>
      </c>
      <c r="AV288" s="13" t="s">
        <v>133</v>
      </c>
      <c r="AW288" s="13" t="s">
        <v>32</v>
      </c>
      <c r="AX288" s="13" t="s">
        <v>78</v>
      </c>
      <c r="AY288" s="147" t="s">
        <v>126</v>
      </c>
    </row>
    <row r="289" spans="2:65" s="1" customFormat="1" ht="37.7" customHeight="1">
      <c r="B289" s="123"/>
      <c r="C289" s="124" t="s">
        <v>410</v>
      </c>
      <c r="D289" s="124" t="s">
        <v>128</v>
      </c>
      <c r="E289" s="125" t="s">
        <v>873</v>
      </c>
      <c r="F289" s="126" t="s">
        <v>874</v>
      </c>
      <c r="G289" s="127" t="s">
        <v>131</v>
      </c>
      <c r="H289" s="128">
        <v>85.38</v>
      </c>
      <c r="I289" s="129"/>
      <c r="J289" s="129">
        <f>ROUND(I289*H289,2)</f>
        <v>0</v>
      </c>
      <c r="K289" s="126" t="s">
        <v>132</v>
      </c>
      <c r="L289" s="29"/>
      <c r="M289" s="130" t="s">
        <v>3</v>
      </c>
      <c r="N289" s="131" t="s">
        <v>41</v>
      </c>
      <c r="O289" s="132">
        <v>1.06</v>
      </c>
      <c r="P289" s="132">
        <f>O289*H289</f>
        <v>90.5028</v>
      </c>
      <c r="Q289" s="132">
        <v>0.01152</v>
      </c>
      <c r="R289" s="132">
        <f>Q289*H289</f>
        <v>0.9835776</v>
      </c>
      <c r="S289" s="132">
        <v>0</v>
      </c>
      <c r="T289" s="133">
        <f>S289*H289</f>
        <v>0</v>
      </c>
      <c r="AR289" s="134" t="s">
        <v>133</v>
      </c>
      <c r="AT289" s="134" t="s">
        <v>128</v>
      </c>
      <c r="AU289" s="134" t="s">
        <v>80</v>
      </c>
      <c r="AY289" s="17" t="s">
        <v>126</v>
      </c>
      <c r="BE289" s="135">
        <f>IF(N289="základní",J289,0)</f>
        <v>0</v>
      </c>
      <c r="BF289" s="135">
        <f>IF(N289="snížená",J289,0)</f>
        <v>0</v>
      </c>
      <c r="BG289" s="135">
        <f>IF(N289="zákl. přenesená",J289,0)</f>
        <v>0</v>
      </c>
      <c r="BH289" s="135">
        <f>IF(N289="sníž. přenesená",J289,0)</f>
        <v>0</v>
      </c>
      <c r="BI289" s="135">
        <f>IF(N289="nulová",J289,0)</f>
        <v>0</v>
      </c>
      <c r="BJ289" s="17" t="s">
        <v>78</v>
      </c>
      <c r="BK289" s="135">
        <f>ROUND(I289*H289,2)</f>
        <v>0</v>
      </c>
      <c r="BL289" s="17" t="s">
        <v>133</v>
      </c>
      <c r="BM289" s="134" t="s">
        <v>875</v>
      </c>
    </row>
    <row r="290" spans="2:47" s="1" customFormat="1" ht="12">
      <c r="B290" s="29"/>
      <c r="D290" s="136" t="s">
        <v>135</v>
      </c>
      <c r="F290" s="137" t="s">
        <v>876</v>
      </c>
      <c r="L290" s="29"/>
      <c r="M290" s="138"/>
      <c r="T290" s="49"/>
      <c r="AT290" s="17" t="s">
        <v>135</v>
      </c>
      <c r="AU290" s="17" t="s">
        <v>80</v>
      </c>
    </row>
    <row r="291" spans="2:51" s="12" customFormat="1" ht="12">
      <c r="B291" s="139"/>
      <c r="D291" s="140" t="s">
        <v>137</v>
      </c>
      <c r="E291" s="141" t="s">
        <v>3</v>
      </c>
      <c r="F291" s="142" t="s">
        <v>704</v>
      </c>
      <c r="H291" s="143">
        <v>85.38</v>
      </c>
      <c r="L291" s="139"/>
      <c r="M291" s="144"/>
      <c r="T291" s="145"/>
      <c r="AT291" s="141" t="s">
        <v>137</v>
      </c>
      <c r="AU291" s="141" t="s">
        <v>80</v>
      </c>
      <c r="AV291" s="12" t="s">
        <v>80</v>
      </c>
      <c r="AW291" s="12" t="s">
        <v>32</v>
      </c>
      <c r="AX291" s="12" t="s">
        <v>78</v>
      </c>
      <c r="AY291" s="141" t="s">
        <v>126</v>
      </c>
    </row>
    <row r="292" spans="2:65" s="1" customFormat="1" ht="16.5" customHeight="1">
      <c r="B292" s="123"/>
      <c r="C292" s="152" t="s">
        <v>418</v>
      </c>
      <c r="D292" s="152" t="s">
        <v>405</v>
      </c>
      <c r="E292" s="153" t="s">
        <v>877</v>
      </c>
      <c r="F292" s="154" t="s">
        <v>878</v>
      </c>
      <c r="G292" s="155" t="s">
        <v>131</v>
      </c>
      <c r="H292" s="156">
        <v>89.649</v>
      </c>
      <c r="I292" s="157"/>
      <c r="J292" s="157">
        <f>ROUND(I292*H292,2)</f>
        <v>0</v>
      </c>
      <c r="K292" s="154" t="s">
        <v>132</v>
      </c>
      <c r="L292" s="158"/>
      <c r="M292" s="159" t="s">
        <v>3</v>
      </c>
      <c r="N292" s="160" t="s">
        <v>41</v>
      </c>
      <c r="O292" s="132">
        <v>0</v>
      </c>
      <c r="P292" s="132">
        <f>O292*H292</f>
        <v>0</v>
      </c>
      <c r="Q292" s="132">
        <v>0.019</v>
      </c>
      <c r="R292" s="132">
        <f>Q292*H292</f>
        <v>1.703331</v>
      </c>
      <c r="S292" s="132">
        <v>0</v>
      </c>
      <c r="T292" s="133">
        <f>S292*H292</f>
        <v>0</v>
      </c>
      <c r="AR292" s="134" t="s">
        <v>175</v>
      </c>
      <c r="AT292" s="134" t="s">
        <v>405</v>
      </c>
      <c r="AU292" s="134" t="s">
        <v>80</v>
      </c>
      <c r="AY292" s="17" t="s">
        <v>126</v>
      </c>
      <c r="BE292" s="135">
        <f>IF(N292="základní",J292,0)</f>
        <v>0</v>
      </c>
      <c r="BF292" s="135">
        <f>IF(N292="snížená",J292,0)</f>
        <v>0</v>
      </c>
      <c r="BG292" s="135">
        <f>IF(N292="zákl. přenesená",J292,0)</f>
        <v>0</v>
      </c>
      <c r="BH292" s="135">
        <f>IF(N292="sníž. přenesená",J292,0)</f>
        <v>0</v>
      </c>
      <c r="BI292" s="135">
        <f>IF(N292="nulová",J292,0)</f>
        <v>0</v>
      </c>
      <c r="BJ292" s="17" t="s">
        <v>78</v>
      </c>
      <c r="BK292" s="135">
        <f>ROUND(I292*H292,2)</f>
        <v>0</v>
      </c>
      <c r="BL292" s="17" t="s">
        <v>133</v>
      </c>
      <c r="BM292" s="134" t="s">
        <v>879</v>
      </c>
    </row>
    <row r="293" spans="2:51" s="12" customFormat="1" ht="12">
      <c r="B293" s="139"/>
      <c r="D293" s="140" t="s">
        <v>137</v>
      </c>
      <c r="F293" s="142" t="s">
        <v>880</v>
      </c>
      <c r="H293" s="143">
        <v>89.649</v>
      </c>
      <c r="L293" s="139"/>
      <c r="M293" s="144"/>
      <c r="T293" s="145"/>
      <c r="AT293" s="141" t="s">
        <v>137</v>
      </c>
      <c r="AU293" s="141" t="s">
        <v>80</v>
      </c>
      <c r="AV293" s="12" t="s">
        <v>80</v>
      </c>
      <c r="AW293" s="12" t="s">
        <v>4</v>
      </c>
      <c r="AX293" s="12" t="s">
        <v>78</v>
      </c>
      <c r="AY293" s="141" t="s">
        <v>126</v>
      </c>
    </row>
    <row r="294" spans="2:65" s="1" customFormat="1" ht="24.2" customHeight="1">
      <c r="B294" s="123"/>
      <c r="C294" s="124" t="s">
        <v>424</v>
      </c>
      <c r="D294" s="124" t="s">
        <v>128</v>
      </c>
      <c r="E294" s="125" t="s">
        <v>881</v>
      </c>
      <c r="F294" s="126" t="s">
        <v>882</v>
      </c>
      <c r="G294" s="127" t="s">
        <v>249</v>
      </c>
      <c r="H294" s="128">
        <v>27</v>
      </c>
      <c r="I294" s="129"/>
      <c r="J294" s="129">
        <f>ROUND(I294*H294,2)</f>
        <v>0</v>
      </c>
      <c r="K294" s="126" t="s">
        <v>132</v>
      </c>
      <c r="L294" s="29"/>
      <c r="M294" s="130" t="s">
        <v>3</v>
      </c>
      <c r="N294" s="131" t="s">
        <v>41</v>
      </c>
      <c r="O294" s="132">
        <v>0.39</v>
      </c>
      <c r="P294" s="132">
        <f>O294*H294</f>
        <v>10.530000000000001</v>
      </c>
      <c r="Q294" s="132">
        <v>0.00339</v>
      </c>
      <c r="R294" s="132">
        <f>Q294*H294</f>
        <v>0.09153</v>
      </c>
      <c r="S294" s="132">
        <v>0</v>
      </c>
      <c r="T294" s="133">
        <f>S294*H294</f>
        <v>0</v>
      </c>
      <c r="AR294" s="134" t="s">
        <v>133</v>
      </c>
      <c r="AT294" s="134" t="s">
        <v>128</v>
      </c>
      <c r="AU294" s="134" t="s">
        <v>80</v>
      </c>
      <c r="AY294" s="17" t="s">
        <v>126</v>
      </c>
      <c r="BE294" s="135">
        <f>IF(N294="základní",J294,0)</f>
        <v>0</v>
      </c>
      <c r="BF294" s="135">
        <f>IF(N294="snížená",J294,0)</f>
        <v>0</v>
      </c>
      <c r="BG294" s="135">
        <f>IF(N294="zákl. přenesená",J294,0)</f>
        <v>0</v>
      </c>
      <c r="BH294" s="135">
        <f>IF(N294="sníž. přenesená",J294,0)</f>
        <v>0</v>
      </c>
      <c r="BI294" s="135">
        <f>IF(N294="nulová",J294,0)</f>
        <v>0</v>
      </c>
      <c r="BJ294" s="17" t="s">
        <v>78</v>
      </c>
      <c r="BK294" s="135">
        <f>ROUND(I294*H294,2)</f>
        <v>0</v>
      </c>
      <c r="BL294" s="17" t="s">
        <v>133</v>
      </c>
      <c r="BM294" s="134" t="s">
        <v>883</v>
      </c>
    </row>
    <row r="295" spans="2:47" s="1" customFormat="1" ht="12">
      <c r="B295" s="29"/>
      <c r="D295" s="136" t="s">
        <v>135</v>
      </c>
      <c r="F295" s="137" t="s">
        <v>884</v>
      </c>
      <c r="L295" s="29"/>
      <c r="M295" s="138"/>
      <c r="T295" s="49"/>
      <c r="AT295" s="17" t="s">
        <v>135</v>
      </c>
      <c r="AU295" s="17" t="s">
        <v>80</v>
      </c>
    </row>
    <row r="296" spans="2:51" s="12" customFormat="1" ht="12">
      <c r="B296" s="139"/>
      <c r="D296" s="140" t="s">
        <v>137</v>
      </c>
      <c r="E296" s="141" t="s">
        <v>3</v>
      </c>
      <c r="F296" s="142" t="s">
        <v>885</v>
      </c>
      <c r="H296" s="143">
        <v>23.4</v>
      </c>
      <c r="L296" s="139"/>
      <c r="M296" s="144"/>
      <c r="T296" s="145"/>
      <c r="AT296" s="141" t="s">
        <v>137</v>
      </c>
      <c r="AU296" s="141" t="s">
        <v>80</v>
      </c>
      <c r="AV296" s="12" t="s">
        <v>80</v>
      </c>
      <c r="AW296" s="12" t="s">
        <v>32</v>
      </c>
      <c r="AX296" s="12" t="s">
        <v>70</v>
      </c>
      <c r="AY296" s="141" t="s">
        <v>126</v>
      </c>
    </row>
    <row r="297" spans="2:51" s="12" customFormat="1" ht="12">
      <c r="B297" s="139"/>
      <c r="D297" s="140" t="s">
        <v>137</v>
      </c>
      <c r="E297" s="141" t="s">
        <v>3</v>
      </c>
      <c r="F297" s="142" t="s">
        <v>886</v>
      </c>
      <c r="H297" s="143">
        <v>3.6</v>
      </c>
      <c r="L297" s="139"/>
      <c r="M297" s="144"/>
      <c r="T297" s="145"/>
      <c r="AT297" s="141" t="s">
        <v>137</v>
      </c>
      <c r="AU297" s="141" t="s">
        <v>80</v>
      </c>
      <c r="AV297" s="12" t="s">
        <v>80</v>
      </c>
      <c r="AW297" s="12" t="s">
        <v>32</v>
      </c>
      <c r="AX297" s="12" t="s">
        <v>70</v>
      </c>
      <c r="AY297" s="141" t="s">
        <v>126</v>
      </c>
    </row>
    <row r="298" spans="2:51" s="13" customFormat="1" ht="12">
      <c r="B298" s="146"/>
      <c r="D298" s="140" t="s">
        <v>137</v>
      </c>
      <c r="E298" s="147" t="s">
        <v>3</v>
      </c>
      <c r="F298" s="148" t="s">
        <v>151</v>
      </c>
      <c r="H298" s="149">
        <v>27</v>
      </c>
      <c r="L298" s="146"/>
      <c r="M298" s="150"/>
      <c r="T298" s="151"/>
      <c r="AT298" s="147" t="s">
        <v>137</v>
      </c>
      <c r="AU298" s="147" t="s">
        <v>80</v>
      </c>
      <c r="AV298" s="13" t="s">
        <v>133</v>
      </c>
      <c r="AW298" s="13" t="s">
        <v>32</v>
      </c>
      <c r="AX298" s="13" t="s">
        <v>78</v>
      </c>
      <c r="AY298" s="147" t="s">
        <v>126</v>
      </c>
    </row>
    <row r="299" spans="2:65" s="1" customFormat="1" ht="16.5" customHeight="1">
      <c r="B299" s="123"/>
      <c r="C299" s="152" t="s">
        <v>430</v>
      </c>
      <c r="D299" s="152" t="s">
        <v>405</v>
      </c>
      <c r="E299" s="153" t="s">
        <v>887</v>
      </c>
      <c r="F299" s="154" t="s">
        <v>888</v>
      </c>
      <c r="G299" s="155" t="s">
        <v>131</v>
      </c>
      <c r="H299" s="156">
        <v>7.722</v>
      </c>
      <c r="I299" s="157"/>
      <c r="J299" s="157">
        <f>ROUND(I299*H299,2)</f>
        <v>0</v>
      </c>
      <c r="K299" s="154" t="s">
        <v>132</v>
      </c>
      <c r="L299" s="158"/>
      <c r="M299" s="159" t="s">
        <v>3</v>
      </c>
      <c r="N299" s="160" t="s">
        <v>41</v>
      </c>
      <c r="O299" s="132">
        <v>0</v>
      </c>
      <c r="P299" s="132">
        <f>O299*H299</f>
        <v>0</v>
      </c>
      <c r="Q299" s="132">
        <v>0.00068</v>
      </c>
      <c r="R299" s="132">
        <f>Q299*H299</f>
        <v>0.005250960000000001</v>
      </c>
      <c r="S299" s="132">
        <v>0</v>
      </c>
      <c r="T299" s="133">
        <f>S299*H299</f>
        <v>0</v>
      </c>
      <c r="AR299" s="134" t="s">
        <v>175</v>
      </c>
      <c r="AT299" s="134" t="s">
        <v>405</v>
      </c>
      <c r="AU299" s="134" t="s">
        <v>80</v>
      </c>
      <c r="AY299" s="17" t="s">
        <v>126</v>
      </c>
      <c r="BE299" s="135">
        <f>IF(N299="základní",J299,0)</f>
        <v>0</v>
      </c>
      <c r="BF299" s="135">
        <f>IF(N299="snížená",J299,0)</f>
        <v>0</v>
      </c>
      <c r="BG299" s="135">
        <f>IF(N299="zákl. přenesená",J299,0)</f>
        <v>0</v>
      </c>
      <c r="BH299" s="135">
        <f>IF(N299="sníž. přenesená",J299,0)</f>
        <v>0</v>
      </c>
      <c r="BI299" s="135">
        <f>IF(N299="nulová",J299,0)</f>
        <v>0</v>
      </c>
      <c r="BJ299" s="17" t="s">
        <v>78</v>
      </c>
      <c r="BK299" s="135">
        <f>ROUND(I299*H299,2)</f>
        <v>0</v>
      </c>
      <c r="BL299" s="17" t="s">
        <v>133</v>
      </c>
      <c r="BM299" s="134" t="s">
        <v>889</v>
      </c>
    </row>
    <row r="300" spans="2:51" s="12" customFormat="1" ht="12">
      <c r="B300" s="139"/>
      <c r="D300" s="140" t="s">
        <v>137</v>
      </c>
      <c r="E300" s="141" t="s">
        <v>3</v>
      </c>
      <c r="F300" s="142" t="s">
        <v>867</v>
      </c>
      <c r="H300" s="143">
        <v>7.02</v>
      </c>
      <c r="L300" s="139"/>
      <c r="M300" s="144"/>
      <c r="T300" s="145"/>
      <c r="AT300" s="141" t="s">
        <v>137</v>
      </c>
      <c r="AU300" s="141" t="s">
        <v>80</v>
      </c>
      <c r="AV300" s="12" t="s">
        <v>80</v>
      </c>
      <c r="AW300" s="12" t="s">
        <v>32</v>
      </c>
      <c r="AX300" s="12" t="s">
        <v>78</v>
      </c>
      <c r="AY300" s="141" t="s">
        <v>126</v>
      </c>
    </row>
    <row r="301" spans="2:51" s="12" customFormat="1" ht="12">
      <c r="B301" s="139"/>
      <c r="D301" s="140" t="s">
        <v>137</v>
      </c>
      <c r="F301" s="142" t="s">
        <v>890</v>
      </c>
      <c r="H301" s="143">
        <v>7.722</v>
      </c>
      <c r="L301" s="139"/>
      <c r="M301" s="144"/>
      <c r="T301" s="145"/>
      <c r="AT301" s="141" t="s">
        <v>137</v>
      </c>
      <c r="AU301" s="141" t="s">
        <v>80</v>
      </c>
      <c r="AV301" s="12" t="s">
        <v>80</v>
      </c>
      <c r="AW301" s="12" t="s">
        <v>4</v>
      </c>
      <c r="AX301" s="12" t="s">
        <v>78</v>
      </c>
      <c r="AY301" s="141" t="s">
        <v>126</v>
      </c>
    </row>
    <row r="302" spans="2:65" s="1" customFormat="1" ht="16.5" customHeight="1">
      <c r="B302" s="123"/>
      <c r="C302" s="152" t="s">
        <v>434</v>
      </c>
      <c r="D302" s="152" t="s">
        <v>405</v>
      </c>
      <c r="E302" s="153" t="s">
        <v>891</v>
      </c>
      <c r="F302" s="154" t="s">
        <v>892</v>
      </c>
      <c r="G302" s="155" t="s">
        <v>131</v>
      </c>
      <c r="H302" s="156">
        <v>1.188</v>
      </c>
      <c r="I302" s="157"/>
      <c r="J302" s="157">
        <f>ROUND(I302*H302,2)</f>
        <v>0</v>
      </c>
      <c r="K302" s="154" t="s">
        <v>132</v>
      </c>
      <c r="L302" s="158"/>
      <c r="M302" s="159" t="s">
        <v>3</v>
      </c>
      <c r="N302" s="160" t="s">
        <v>41</v>
      </c>
      <c r="O302" s="132">
        <v>0</v>
      </c>
      <c r="P302" s="132">
        <f>O302*H302</f>
        <v>0</v>
      </c>
      <c r="Q302" s="132">
        <v>0.0012</v>
      </c>
      <c r="R302" s="132">
        <f>Q302*H302</f>
        <v>0.0014255999999999997</v>
      </c>
      <c r="S302" s="132">
        <v>0</v>
      </c>
      <c r="T302" s="133">
        <f>S302*H302</f>
        <v>0</v>
      </c>
      <c r="AR302" s="134" t="s">
        <v>175</v>
      </c>
      <c r="AT302" s="134" t="s">
        <v>405</v>
      </c>
      <c r="AU302" s="134" t="s">
        <v>80</v>
      </c>
      <c r="AY302" s="17" t="s">
        <v>126</v>
      </c>
      <c r="BE302" s="135">
        <f>IF(N302="základní",J302,0)</f>
        <v>0</v>
      </c>
      <c r="BF302" s="135">
        <f>IF(N302="snížená",J302,0)</f>
        <v>0</v>
      </c>
      <c r="BG302" s="135">
        <f>IF(N302="zákl. přenesená",J302,0)</f>
        <v>0</v>
      </c>
      <c r="BH302" s="135">
        <f>IF(N302="sníž. přenesená",J302,0)</f>
        <v>0</v>
      </c>
      <c r="BI302" s="135">
        <f>IF(N302="nulová",J302,0)</f>
        <v>0</v>
      </c>
      <c r="BJ302" s="17" t="s">
        <v>78</v>
      </c>
      <c r="BK302" s="135">
        <f>ROUND(I302*H302,2)</f>
        <v>0</v>
      </c>
      <c r="BL302" s="17" t="s">
        <v>133</v>
      </c>
      <c r="BM302" s="134" t="s">
        <v>893</v>
      </c>
    </row>
    <row r="303" spans="2:51" s="12" customFormat="1" ht="12">
      <c r="B303" s="139"/>
      <c r="D303" s="140" t="s">
        <v>137</v>
      </c>
      <c r="E303" s="141" t="s">
        <v>3</v>
      </c>
      <c r="F303" s="142" t="s">
        <v>868</v>
      </c>
      <c r="H303" s="143">
        <v>1.08</v>
      </c>
      <c r="L303" s="139"/>
      <c r="M303" s="144"/>
      <c r="T303" s="145"/>
      <c r="AT303" s="141" t="s">
        <v>137</v>
      </c>
      <c r="AU303" s="141" t="s">
        <v>80</v>
      </c>
      <c r="AV303" s="12" t="s">
        <v>80</v>
      </c>
      <c r="AW303" s="12" t="s">
        <v>32</v>
      </c>
      <c r="AX303" s="12" t="s">
        <v>78</v>
      </c>
      <c r="AY303" s="141" t="s">
        <v>126</v>
      </c>
    </row>
    <row r="304" spans="2:51" s="12" customFormat="1" ht="12">
      <c r="B304" s="139"/>
      <c r="D304" s="140" t="s">
        <v>137</v>
      </c>
      <c r="F304" s="142" t="s">
        <v>894</v>
      </c>
      <c r="H304" s="143">
        <v>1.188</v>
      </c>
      <c r="L304" s="139"/>
      <c r="M304" s="144"/>
      <c r="T304" s="145"/>
      <c r="AT304" s="141" t="s">
        <v>137</v>
      </c>
      <c r="AU304" s="141" t="s">
        <v>80</v>
      </c>
      <c r="AV304" s="12" t="s">
        <v>80</v>
      </c>
      <c r="AW304" s="12" t="s">
        <v>4</v>
      </c>
      <c r="AX304" s="12" t="s">
        <v>78</v>
      </c>
      <c r="AY304" s="141" t="s">
        <v>126</v>
      </c>
    </row>
    <row r="305" spans="2:65" s="1" customFormat="1" ht="16.5" customHeight="1">
      <c r="B305" s="123"/>
      <c r="C305" s="124" t="s">
        <v>440</v>
      </c>
      <c r="D305" s="124" t="s">
        <v>128</v>
      </c>
      <c r="E305" s="125" t="s">
        <v>895</v>
      </c>
      <c r="F305" s="126" t="s">
        <v>896</v>
      </c>
      <c r="G305" s="127" t="s">
        <v>249</v>
      </c>
      <c r="H305" s="128">
        <v>21.4</v>
      </c>
      <c r="I305" s="129"/>
      <c r="J305" s="129">
        <f>ROUND(I305*H305,2)</f>
        <v>0</v>
      </c>
      <c r="K305" s="126" t="s">
        <v>132</v>
      </c>
      <c r="L305" s="29"/>
      <c r="M305" s="130" t="s">
        <v>3</v>
      </c>
      <c r="N305" s="131" t="s">
        <v>41</v>
      </c>
      <c r="O305" s="132">
        <v>0.23</v>
      </c>
      <c r="P305" s="132">
        <f>O305*H305</f>
        <v>4.922</v>
      </c>
      <c r="Q305" s="132">
        <v>3E-05</v>
      </c>
      <c r="R305" s="132">
        <f>Q305*H305</f>
        <v>0.000642</v>
      </c>
      <c r="S305" s="132">
        <v>0</v>
      </c>
      <c r="T305" s="133">
        <f>S305*H305</f>
        <v>0</v>
      </c>
      <c r="AR305" s="134" t="s">
        <v>133</v>
      </c>
      <c r="AT305" s="134" t="s">
        <v>128</v>
      </c>
      <c r="AU305" s="134" t="s">
        <v>80</v>
      </c>
      <c r="AY305" s="17" t="s">
        <v>126</v>
      </c>
      <c r="BE305" s="135">
        <f>IF(N305="základní",J305,0)</f>
        <v>0</v>
      </c>
      <c r="BF305" s="135">
        <f>IF(N305="snížená",J305,0)</f>
        <v>0</v>
      </c>
      <c r="BG305" s="135">
        <f>IF(N305="zákl. přenesená",J305,0)</f>
        <v>0</v>
      </c>
      <c r="BH305" s="135">
        <f>IF(N305="sníž. přenesená",J305,0)</f>
        <v>0</v>
      </c>
      <c r="BI305" s="135">
        <f>IF(N305="nulová",J305,0)</f>
        <v>0</v>
      </c>
      <c r="BJ305" s="17" t="s">
        <v>78</v>
      </c>
      <c r="BK305" s="135">
        <f>ROUND(I305*H305,2)</f>
        <v>0</v>
      </c>
      <c r="BL305" s="17" t="s">
        <v>133</v>
      </c>
      <c r="BM305" s="134" t="s">
        <v>897</v>
      </c>
    </row>
    <row r="306" spans="2:47" s="1" customFormat="1" ht="12">
      <c r="B306" s="29"/>
      <c r="D306" s="136" t="s">
        <v>135</v>
      </c>
      <c r="F306" s="137" t="s">
        <v>898</v>
      </c>
      <c r="L306" s="29"/>
      <c r="M306" s="138"/>
      <c r="T306" s="49"/>
      <c r="AT306" s="17" t="s">
        <v>135</v>
      </c>
      <c r="AU306" s="17" t="s">
        <v>80</v>
      </c>
    </row>
    <row r="307" spans="2:51" s="12" customFormat="1" ht="12">
      <c r="B307" s="139"/>
      <c r="D307" s="140" t="s">
        <v>137</v>
      </c>
      <c r="E307" s="141" t="s">
        <v>3</v>
      </c>
      <c r="F307" s="142" t="s">
        <v>899</v>
      </c>
      <c r="H307" s="143">
        <v>21.4</v>
      </c>
      <c r="L307" s="139"/>
      <c r="M307" s="144"/>
      <c r="T307" s="145"/>
      <c r="AT307" s="141" t="s">
        <v>137</v>
      </c>
      <c r="AU307" s="141" t="s">
        <v>80</v>
      </c>
      <c r="AV307" s="12" t="s">
        <v>80</v>
      </c>
      <c r="AW307" s="12" t="s">
        <v>32</v>
      </c>
      <c r="AX307" s="12" t="s">
        <v>78</v>
      </c>
      <c r="AY307" s="141" t="s">
        <v>126</v>
      </c>
    </row>
    <row r="308" spans="2:65" s="1" customFormat="1" ht="16.5" customHeight="1">
      <c r="B308" s="123"/>
      <c r="C308" s="152" t="s">
        <v>446</v>
      </c>
      <c r="D308" s="152" t="s">
        <v>405</v>
      </c>
      <c r="E308" s="153" t="s">
        <v>900</v>
      </c>
      <c r="F308" s="154" t="s">
        <v>901</v>
      </c>
      <c r="G308" s="155" t="s">
        <v>249</v>
      </c>
      <c r="H308" s="156">
        <v>22.47</v>
      </c>
      <c r="I308" s="157"/>
      <c r="J308" s="157">
        <f>ROUND(I308*H308,2)</f>
        <v>0</v>
      </c>
      <c r="K308" s="154" t="s">
        <v>132</v>
      </c>
      <c r="L308" s="158"/>
      <c r="M308" s="159" t="s">
        <v>3</v>
      </c>
      <c r="N308" s="160" t="s">
        <v>41</v>
      </c>
      <c r="O308" s="132">
        <v>0</v>
      </c>
      <c r="P308" s="132">
        <f>O308*H308</f>
        <v>0</v>
      </c>
      <c r="Q308" s="132">
        <v>0.00042</v>
      </c>
      <c r="R308" s="132">
        <f>Q308*H308</f>
        <v>0.0094374</v>
      </c>
      <c r="S308" s="132">
        <v>0</v>
      </c>
      <c r="T308" s="133">
        <f>S308*H308</f>
        <v>0</v>
      </c>
      <c r="AR308" s="134" t="s">
        <v>175</v>
      </c>
      <c r="AT308" s="134" t="s">
        <v>405</v>
      </c>
      <c r="AU308" s="134" t="s">
        <v>80</v>
      </c>
      <c r="AY308" s="17" t="s">
        <v>126</v>
      </c>
      <c r="BE308" s="135">
        <f>IF(N308="základní",J308,0)</f>
        <v>0</v>
      </c>
      <c r="BF308" s="135">
        <f>IF(N308="snížená",J308,0)</f>
        <v>0</v>
      </c>
      <c r="BG308" s="135">
        <f>IF(N308="zákl. přenesená",J308,0)</f>
        <v>0</v>
      </c>
      <c r="BH308" s="135">
        <f>IF(N308="sníž. přenesená",J308,0)</f>
        <v>0</v>
      </c>
      <c r="BI308" s="135">
        <f>IF(N308="nulová",J308,0)</f>
        <v>0</v>
      </c>
      <c r="BJ308" s="17" t="s">
        <v>78</v>
      </c>
      <c r="BK308" s="135">
        <f>ROUND(I308*H308,2)</f>
        <v>0</v>
      </c>
      <c r="BL308" s="17" t="s">
        <v>133</v>
      </c>
      <c r="BM308" s="134" t="s">
        <v>902</v>
      </c>
    </row>
    <row r="309" spans="2:51" s="12" customFormat="1" ht="12">
      <c r="B309" s="139"/>
      <c r="D309" s="140" t="s">
        <v>137</v>
      </c>
      <c r="F309" s="142" t="s">
        <v>903</v>
      </c>
      <c r="H309" s="143">
        <v>22.47</v>
      </c>
      <c r="L309" s="139"/>
      <c r="M309" s="144"/>
      <c r="T309" s="145"/>
      <c r="AT309" s="141" t="s">
        <v>137</v>
      </c>
      <c r="AU309" s="141" t="s">
        <v>80</v>
      </c>
      <c r="AV309" s="12" t="s">
        <v>80</v>
      </c>
      <c r="AW309" s="12" t="s">
        <v>4</v>
      </c>
      <c r="AX309" s="12" t="s">
        <v>78</v>
      </c>
      <c r="AY309" s="141" t="s">
        <v>126</v>
      </c>
    </row>
    <row r="310" spans="2:65" s="1" customFormat="1" ht="16.5" customHeight="1">
      <c r="B310" s="123"/>
      <c r="C310" s="124" t="s">
        <v>453</v>
      </c>
      <c r="D310" s="124" t="s">
        <v>128</v>
      </c>
      <c r="E310" s="125" t="s">
        <v>904</v>
      </c>
      <c r="F310" s="126" t="s">
        <v>905</v>
      </c>
      <c r="G310" s="127" t="s">
        <v>249</v>
      </c>
      <c r="H310" s="128">
        <v>83.4</v>
      </c>
      <c r="I310" s="129"/>
      <c r="J310" s="129">
        <f>ROUND(I310*H310,2)</f>
        <v>0</v>
      </c>
      <c r="K310" s="126" t="s">
        <v>132</v>
      </c>
      <c r="L310" s="29"/>
      <c r="M310" s="130" t="s">
        <v>3</v>
      </c>
      <c r="N310" s="131" t="s">
        <v>41</v>
      </c>
      <c r="O310" s="132">
        <v>0.14</v>
      </c>
      <c r="P310" s="132">
        <f>O310*H310</f>
        <v>11.676000000000002</v>
      </c>
      <c r="Q310" s="132">
        <v>0</v>
      </c>
      <c r="R310" s="132">
        <f>Q310*H310</f>
        <v>0</v>
      </c>
      <c r="S310" s="132">
        <v>0</v>
      </c>
      <c r="T310" s="133">
        <f>S310*H310</f>
        <v>0</v>
      </c>
      <c r="AR310" s="134" t="s">
        <v>133</v>
      </c>
      <c r="AT310" s="134" t="s">
        <v>128</v>
      </c>
      <c r="AU310" s="134" t="s">
        <v>80</v>
      </c>
      <c r="AY310" s="17" t="s">
        <v>126</v>
      </c>
      <c r="BE310" s="135">
        <f>IF(N310="základní",J310,0)</f>
        <v>0</v>
      </c>
      <c r="BF310" s="135">
        <f>IF(N310="snížená",J310,0)</f>
        <v>0</v>
      </c>
      <c r="BG310" s="135">
        <f>IF(N310="zákl. přenesená",J310,0)</f>
        <v>0</v>
      </c>
      <c r="BH310" s="135">
        <f>IF(N310="sníž. přenesená",J310,0)</f>
        <v>0</v>
      </c>
      <c r="BI310" s="135">
        <f>IF(N310="nulová",J310,0)</f>
        <v>0</v>
      </c>
      <c r="BJ310" s="17" t="s">
        <v>78</v>
      </c>
      <c r="BK310" s="135">
        <f>ROUND(I310*H310,2)</f>
        <v>0</v>
      </c>
      <c r="BL310" s="17" t="s">
        <v>133</v>
      </c>
      <c r="BM310" s="134" t="s">
        <v>906</v>
      </c>
    </row>
    <row r="311" spans="2:47" s="1" customFormat="1" ht="12">
      <c r="B311" s="29"/>
      <c r="D311" s="136" t="s">
        <v>135</v>
      </c>
      <c r="F311" s="137" t="s">
        <v>907</v>
      </c>
      <c r="L311" s="29"/>
      <c r="M311" s="138"/>
      <c r="T311" s="49"/>
      <c r="AT311" s="17" t="s">
        <v>135</v>
      </c>
      <c r="AU311" s="17" t="s">
        <v>80</v>
      </c>
    </row>
    <row r="312" spans="2:51" s="12" customFormat="1" ht="12">
      <c r="B312" s="139"/>
      <c r="D312" s="140" t="s">
        <v>137</v>
      </c>
      <c r="E312" s="141" t="s">
        <v>3</v>
      </c>
      <c r="F312" s="142" t="s">
        <v>908</v>
      </c>
      <c r="H312" s="143">
        <v>60</v>
      </c>
      <c r="L312" s="139"/>
      <c r="M312" s="144"/>
      <c r="T312" s="145"/>
      <c r="AT312" s="141" t="s">
        <v>137</v>
      </c>
      <c r="AU312" s="141" t="s">
        <v>80</v>
      </c>
      <c r="AV312" s="12" t="s">
        <v>80</v>
      </c>
      <c r="AW312" s="12" t="s">
        <v>32</v>
      </c>
      <c r="AX312" s="12" t="s">
        <v>70</v>
      </c>
      <c r="AY312" s="141" t="s">
        <v>126</v>
      </c>
    </row>
    <row r="313" spans="2:51" s="12" customFormat="1" ht="12">
      <c r="B313" s="139"/>
      <c r="D313" s="140" t="s">
        <v>137</v>
      </c>
      <c r="E313" s="141" t="s">
        <v>3</v>
      </c>
      <c r="F313" s="142" t="s">
        <v>909</v>
      </c>
      <c r="H313" s="143">
        <v>23.4</v>
      </c>
      <c r="L313" s="139"/>
      <c r="M313" s="144"/>
      <c r="T313" s="145"/>
      <c r="AT313" s="141" t="s">
        <v>137</v>
      </c>
      <c r="AU313" s="141" t="s">
        <v>80</v>
      </c>
      <c r="AV313" s="12" t="s">
        <v>80</v>
      </c>
      <c r="AW313" s="12" t="s">
        <v>32</v>
      </c>
      <c r="AX313" s="12" t="s">
        <v>70</v>
      </c>
      <c r="AY313" s="141" t="s">
        <v>126</v>
      </c>
    </row>
    <row r="314" spans="2:51" s="13" customFormat="1" ht="12">
      <c r="B314" s="146"/>
      <c r="D314" s="140" t="s">
        <v>137</v>
      </c>
      <c r="E314" s="147" t="s">
        <v>3</v>
      </c>
      <c r="F314" s="148" t="s">
        <v>151</v>
      </c>
      <c r="H314" s="149">
        <v>83.4</v>
      </c>
      <c r="L314" s="146"/>
      <c r="M314" s="150"/>
      <c r="T314" s="151"/>
      <c r="AT314" s="147" t="s">
        <v>137</v>
      </c>
      <c r="AU314" s="147" t="s">
        <v>80</v>
      </c>
      <c r="AV314" s="13" t="s">
        <v>133</v>
      </c>
      <c r="AW314" s="13" t="s">
        <v>32</v>
      </c>
      <c r="AX314" s="13" t="s">
        <v>78</v>
      </c>
      <c r="AY314" s="147" t="s">
        <v>126</v>
      </c>
    </row>
    <row r="315" spans="2:65" s="1" customFormat="1" ht="16.5" customHeight="1">
      <c r="B315" s="123"/>
      <c r="C315" s="152" t="s">
        <v>459</v>
      </c>
      <c r="D315" s="152" t="s">
        <v>405</v>
      </c>
      <c r="E315" s="153" t="s">
        <v>910</v>
      </c>
      <c r="F315" s="154" t="s">
        <v>911</v>
      </c>
      <c r="G315" s="155" t="s">
        <v>249</v>
      </c>
      <c r="H315" s="156">
        <v>63</v>
      </c>
      <c r="I315" s="157"/>
      <c r="J315" s="157">
        <f>ROUND(I315*H315,2)</f>
        <v>0</v>
      </c>
      <c r="K315" s="154" t="s">
        <v>132</v>
      </c>
      <c r="L315" s="158"/>
      <c r="M315" s="159" t="s">
        <v>3</v>
      </c>
      <c r="N315" s="160" t="s">
        <v>41</v>
      </c>
      <c r="O315" s="132">
        <v>0</v>
      </c>
      <c r="P315" s="132">
        <f>O315*H315</f>
        <v>0</v>
      </c>
      <c r="Q315" s="132">
        <v>3E-05</v>
      </c>
      <c r="R315" s="132">
        <f>Q315*H315</f>
        <v>0.00189</v>
      </c>
      <c r="S315" s="132">
        <v>0</v>
      </c>
      <c r="T315" s="133">
        <f>S315*H315</f>
        <v>0</v>
      </c>
      <c r="AR315" s="134" t="s">
        <v>175</v>
      </c>
      <c r="AT315" s="134" t="s">
        <v>405</v>
      </c>
      <c r="AU315" s="134" t="s">
        <v>80</v>
      </c>
      <c r="AY315" s="17" t="s">
        <v>126</v>
      </c>
      <c r="BE315" s="135">
        <f>IF(N315="základní",J315,0)</f>
        <v>0</v>
      </c>
      <c r="BF315" s="135">
        <f>IF(N315="snížená",J315,0)</f>
        <v>0</v>
      </c>
      <c r="BG315" s="135">
        <f>IF(N315="zákl. přenesená",J315,0)</f>
        <v>0</v>
      </c>
      <c r="BH315" s="135">
        <f>IF(N315="sníž. přenesená",J315,0)</f>
        <v>0</v>
      </c>
      <c r="BI315" s="135">
        <f>IF(N315="nulová",J315,0)</f>
        <v>0</v>
      </c>
      <c r="BJ315" s="17" t="s">
        <v>78</v>
      </c>
      <c r="BK315" s="135">
        <f>ROUND(I315*H315,2)</f>
        <v>0</v>
      </c>
      <c r="BL315" s="17" t="s">
        <v>133</v>
      </c>
      <c r="BM315" s="134" t="s">
        <v>912</v>
      </c>
    </row>
    <row r="316" spans="2:51" s="12" customFormat="1" ht="12">
      <c r="B316" s="139"/>
      <c r="D316" s="140" t="s">
        <v>137</v>
      </c>
      <c r="E316" s="141" t="s">
        <v>3</v>
      </c>
      <c r="F316" s="142" t="s">
        <v>908</v>
      </c>
      <c r="H316" s="143">
        <v>60</v>
      </c>
      <c r="L316" s="139"/>
      <c r="M316" s="144"/>
      <c r="T316" s="145"/>
      <c r="AT316" s="141" t="s">
        <v>137</v>
      </c>
      <c r="AU316" s="141" t="s">
        <v>80</v>
      </c>
      <c r="AV316" s="12" t="s">
        <v>80</v>
      </c>
      <c r="AW316" s="12" t="s">
        <v>32</v>
      </c>
      <c r="AX316" s="12" t="s">
        <v>78</v>
      </c>
      <c r="AY316" s="141" t="s">
        <v>126</v>
      </c>
    </row>
    <row r="317" spans="2:51" s="12" customFormat="1" ht="12">
      <c r="B317" s="139"/>
      <c r="D317" s="140" t="s">
        <v>137</v>
      </c>
      <c r="F317" s="142" t="s">
        <v>913</v>
      </c>
      <c r="H317" s="143">
        <v>63</v>
      </c>
      <c r="L317" s="139"/>
      <c r="M317" s="144"/>
      <c r="T317" s="145"/>
      <c r="AT317" s="141" t="s">
        <v>137</v>
      </c>
      <c r="AU317" s="141" t="s">
        <v>80</v>
      </c>
      <c r="AV317" s="12" t="s">
        <v>80</v>
      </c>
      <c r="AW317" s="12" t="s">
        <v>4</v>
      </c>
      <c r="AX317" s="12" t="s">
        <v>78</v>
      </c>
      <c r="AY317" s="141" t="s">
        <v>126</v>
      </c>
    </row>
    <row r="318" spans="2:65" s="1" customFormat="1" ht="16.5" customHeight="1">
      <c r="B318" s="123"/>
      <c r="C318" s="152" t="s">
        <v>464</v>
      </c>
      <c r="D318" s="152" t="s">
        <v>405</v>
      </c>
      <c r="E318" s="153" t="s">
        <v>914</v>
      </c>
      <c r="F318" s="154" t="s">
        <v>915</v>
      </c>
      <c r="G318" s="155" t="s">
        <v>249</v>
      </c>
      <c r="H318" s="156">
        <v>24.57</v>
      </c>
      <c r="I318" s="157"/>
      <c r="J318" s="157">
        <f>ROUND(I318*H318,2)</f>
        <v>0</v>
      </c>
      <c r="K318" s="154" t="s">
        <v>132</v>
      </c>
      <c r="L318" s="158"/>
      <c r="M318" s="159" t="s">
        <v>3</v>
      </c>
      <c r="N318" s="160" t="s">
        <v>41</v>
      </c>
      <c r="O318" s="132">
        <v>0</v>
      </c>
      <c r="P318" s="132">
        <f>O318*H318</f>
        <v>0</v>
      </c>
      <c r="Q318" s="132">
        <v>4E-05</v>
      </c>
      <c r="R318" s="132">
        <f>Q318*H318</f>
        <v>0.0009828</v>
      </c>
      <c r="S318" s="132">
        <v>0</v>
      </c>
      <c r="T318" s="133">
        <f>S318*H318</f>
        <v>0</v>
      </c>
      <c r="AR318" s="134" t="s">
        <v>175</v>
      </c>
      <c r="AT318" s="134" t="s">
        <v>405</v>
      </c>
      <c r="AU318" s="134" t="s">
        <v>80</v>
      </c>
      <c r="AY318" s="17" t="s">
        <v>126</v>
      </c>
      <c r="BE318" s="135">
        <f>IF(N318="základní",J318,0)</f>
        <v>0</v>
      </c>
      <c r="BF318" s="135">
        <f>IF(N318="snížená",J318,0)</f>
        <v>0</v>
      </c>
      <c r="BG318" s="135">
        <f>IF(N318="zákl. přenesená",J318,0)</f>
        <v>0</v>
      </c>
      <c r="BH318" s="135">
        <f>IF(N318="sníž. přenesená",J318,0)</f>
        <v>0</v>
      </c>
      <c r="BI318" s="135">
        <f>IF(N318="nulová",J318,0)</f>
        <v>0</v>
      </c>
      <c r="BJ318" s="17" t="s">
        <v>78</v>
      </c>
      <c r="BK318" s="135">
        <f>ROUND(I318*H318,2)</f>
        <v>0</v>
      </c>
      <c r="BL318" s="17" t="s">
        <v>133</v>
      </c>
      <c r="BM318" s="134" t="s">
        <v>916</v>
      </c>
    </row>
    <row r="319" spans="2:51" s="12" customFormat="1" ht="12">
      <c r="B319" s="139"/>
      <c r="D319" s="140" t="s">
        <v>137</v>
      </c>
      <c r="E319" s="141" t="s">
        <v>3</v>
      </c>
      <c r="F319" s="142" t="s">
        <v>909</v>
      </c>
      <c r="H319" s="143">
        <v>23.4</v>
      </c>
      <c r="L319" s="139"/>
      <c r="M319" s="144"/>
      <c r="T319" s="145"/>
      <c r="AT319" s="141" t="s">
        <v>137</v>
      </c>
      <c r="AU319" s="141" t="s">
        <v>80</v>
      </c>
      <c r="AV319" s="12" t="s">
        <v>80</v>
      </c>
      <c r="AW319" s="12" t="s">
        <v>32</v>
      </c>
      <c r="AX319" s="12" t="s">
        <v>78</v>
      </c>
      <c r="AY319" s="141" t="s">
        <v>126</v>
      </c>
    </row>
    <row r="320" spans="2:51" s="12" customFormat="1" ht="12">
      <c r="B320" s="139"/>
      <c r="D320" s="140" t="s">
        <v>137</v>
      </c>
      <c r="F320" s="142" t="s">
        <v>917</v>
      </c>
      <c r="H320" s="143">
        <v>24.57</v>
      </c>
      <c r="L320" s="139"/>
      <c r="M320" s="144"/>
      <c r="T320" s="145"/>
      <c r="AT320" s="141" t="s">
        <v>137</v>
      </c>
      <c r="AU320" s="141" t="s">
        <v>80</v>
      </c>
      <c r="AV320" s="12" t="s">
        <v>80</v>
      </c>
      <c r="AW320" s="12" t="s">
        <v>4</v>
      </c>
      <c r="AX320" s="12" t="s">
        <v>78</v>
      </c>
      <c r="AY320" s="141" t="s">
        <v>126</v>
      </c>
    </row>
    <row r="321" spans="2:65" s="1" customFormat="1" ht="24.2" customHeight="1">
      <c r="B321" s="123"/>
      <c r="C321" s="124" t="s">
        <v>470</v>
      </c>
      <c r="D321" s="124" t="s">
        <v>128</v>
      </c>
      <c r="E321" s="125" t="s">
        <v>918</v>
      </c>
      <c r="F321" s="126" t="s">
        <v>919</v>
      </c>
      <c r="G321" s="127" t="s">
        <v>131</v>
      </c>
      <c r="H321" s="128">
        <v>2.73</v>
      </c>
      <c r="I321" s="129"/>
      <c r="J321" s="129">
        <f>ROUND(I321*H321,2)</f>
        <v>0</v>
      </c>
      <c r="K321" s="126" t="s">
        <v>132</v>
      </c>
      <c r="L321" s="29"/>
      <c r="M321" s="130" t="s">
        <v>3</v>
      </c>
      <c r="N321" s="131" t="s">
        <v>41</v>
      </c>
      <c r="O321" s="132">
        <v>1.647</v>
      </c>
      <c r="P321" s="132">
        <f>O321*H321</f>
        <v>4.49631</v>
      </c>
      <c r="Q321" s="132">
        <v>0.05846</v>
      </c>
      <c r="R321" s="132">
        <f>Q321*H321</f>
        <v>0.15959579999999998</v>
      </c>
      <c r="S321" s="132">
        <v>0</v>
      </c>
      <c r="T321" s="133">
        <f>S321*H321</f>
        <v>0</v>
      </c>
      <c r="AR321" s="134" t="s">
        <v>133</v>
      </c>
      <c r="AT321" s="134" t="s">
        <v>128</v>
      </c>
      <c r="AU321" s="134" t="s">
        <v>80</v>
      </c>
      <c r="AY321" s="17" t="s">
        <v>126</v>
      </c>
      <c r="BE321" s="135">
        <f>IF(N321="základní",J321,0)</f>
        <v>0</v>
      </c>
      <c r="BF321" s="135">
        <f>IF(N321="snížená",J321,0)</f>
        <v>0</v>
      </c>
      <c r="BG321" s="135">
        <f>IF(N321="zákl. přenesená",J321,0)</f>
        <v>0</v>
      </c>
      <c r="BH321" s="135">
        <f>IF(N321="sníž. přenesená",J321,0)</f>
        <v>0</v>
      </c>
      <c r="BI321" s="135">
        <f>IF(N321="nulová",J321,0)</f>
        <v>0</v>
      </c>
      <c r="BJ321" s="17" t="s">
        <v>78</v>
      </c>
      <c r="BK321" s="135">
        <f>ROUND(I321*H321,2)</f>
        <v>0</v>
      </c>
      <c r="BL321" s="17" t="s">
        <v>133</v>
      </c>
      <c r="BM321" s="134" t="s">
        <v>920</v>
      </c>
    </row>
    <row r="322" spans="2:47" s="1" customFormat="1" ht="12">
      <c r="B322" s="29"/>
      <c r="D322" s="136" t="s">
        <v>135</v>
      </c>
      <c r="F322" s="137" t="s">
        <v>921</v>
      </c>
      <c r="L322" s="29"/>
      <c r="M322" s="138"/>
      <c r="T322" s="49"/>
      <c r="AT322" s="17" t="s">
        <v>135</v>
      </c>
      <c r="AU322" s="17" t="s">
        <v>80</v>
      </c>
    </row>
    <row r="323" spans="2:51" s="12" customFormat="1" ht="12">
      <c r="B323" s="139"/>
      <c r="D323" s="140" t="s">
        <v>137</v>
      </c>
      <c r="E323" s="141" t="s">
        <v>3</v>
      </c>
      <c r="F323" s="142" t="s">
        <v>835</v>
      </c>
      <c r="H323" s="143">
        <v>2.73</v>
      </c>
      <c r="L323" s="139"/>
      <c r="M323" s="144"/>
      <c r="T323" s="145"/>
      <c r="AT323" s="141" t="s">
        <v>137</v>
      </c>
      <c r="AU323" s="141" t="s">
        <v>80</v>
      </c>
      <c r="AV323" s="12" t="s">
        <v>80</v>
      </c>
      <c r="AW323" s="12" t="s">
        <v>32</v>
      </c>
      <c r="AX323" s="12" t="s">
        <v>78</v>
      </c>
      <c r="AY323" s="141" t="s">
        <v>126</v>
      </c>
    </row>
    <row r="324" spans="2:65" s="1" customFormat="1" ht="24.2" customHeight="1">
      <c r="B324" s="123"/>
      <c r="C324" s="124" t="s">
        <v>476</v>
      </c>
      <c r="D324" s="124" t="s">
        <v>128</v>
      </c>
      <c r="E324" s="125" t="s">
        <v>922</v>
      </c>
      <c r="F324" s="126" t="s">
        <v>923</v>
      </c>
      <c r="G324" s="127" t="s">
        <v>131</v>
      </c>
      <c r="H324" s="128">
        <v>92.4</v>
      </c>
      <c r="I324" s="129"/>
      <c r="J324" s="129">
        <f>ROUND(I324*H324,2)</f>
        <v>0</v>
      </c>
      <c r="K324" s="126" t="s">
        <v>132</v>
      </c>
      <c r="L324" s="29"/>
      <c r="M324" s="130" t="s">
        <v>3</v>
      </c>
      <c r="N324" s="131" t="s">
        <v>41</v>
      </c>
      <c r="O324" s="132">
        <v>0.245</v>
      </c>
      <c r="P324" s="132">
        <f>O324*H324</f>
        <v>22.638</v>
      </c>
      <c r="Q324" s="132">
        <v>0.0027</v>
      </c>
      <c r="R324" s="132">
        <f>Q324*H324</f>
        <v>0.24948000000000004</v>
      </c>
      <c r="S324" s="132">
        <v>0</v>
      </c>
      <c r="T324" s="133">
        <f>S324*H324</f>
        <v>0</v>
      </c>
      <c r="AR324" s="134" t="s">
        <v>133</v>
      </c>
      <c r="AT324" s="134" t="s">
        <v>128</v>
      </c>
      <c r="AU324" s="134" t="s">
        <v>80</v>
      </c>
      <c r="AY324" s="17" t="s">
        <v>126</v>
      </c>
      <c r="BE324" s="135">
        <f>IF(N324="základní",J324,0)</f>
        <v>0</v>
      </c>
      <c r="BF324" s="135">
        <f>IF(N324="snížená",J324,0)</f>
        <v>0</v>
      </c>
      <c r="BG324" s="135">
        <f>IF(N324="zákl. přenesená",J324,0)</f>
        <v>0</v>
      </c>
      <c r="BH324" s="135">
        <f>IF(N324="sníž. přenesená",J324,0)</f>
        <v>0</v>
      </c>
      <c r="BI324" s="135">
        <f>IF(N324="nulová",J324,0)</f>
        <v>0</v>
      </c>
      <c r="BJ324" s="17" t="s">
        <v>78</v>
      </c>
      <c r="BK324" s="135">
        <f>ROUND(I324*H324,2)</f>
        <v>0</v>
      </c>
      <c r="BL324" s="17" t="s">
        <v>133</v>
      </c>
      <c r="BM324" s="134" t="s">
        <v>924</v>
      </c>
    </row>
    <row r="325" spans="2:47" s="1" customFormat="1" ht="12">
      <c r="B325" s="29"/>
      <c r="D325" s="136" t="s">
        <v>135</v>
      </c>
      <c r="F325" s="137" t="s">
        <v>925</v>
      </c>
      <c r="L325" s="29"/>
      <c r="M325" s="138"/>
      <c r="T325" s="49"/>
      <c r="AT325" s="17" t="s">
        <v>135</v>
      </c>
      <c r="AU325" s="17" t="s">
        <v>80</v>
      </c>
    </row>
    <row r="326" spans="2:51" s="12" customFormat="1" ht="12">
      <c r="B326" s="139"/>
      <c r="D326" s="140" t="s">
        <v>137</v>
      </c>
      <c r="E326" s="141" t="s">
        <v>3</v>
      </c>
      <c r="F326" s="142" t="s">
        <v>704</v>
      </c>
      <c r="H326" s="143">
        <v>85.38</v>
      </c>
      <c r="L326" s="139"/>
      <c r="M326" s="144"/>
      <c r="T326" s="145"/>
      <c r="AT326" s="141" t="s">
        <v>137</v>
      </c>
      <c r="AU326" s="141" t="s">
        <v>80</v>
      </c>
      <c r="AV326" s="12" t="s">
        <v>80</v>
      </c>
      <c r="AW326" s="12" t="s">
        <v>32</v>
      </c>
      <c r="AX326" s="12" t="s">
        <v>70</v>
      </c>
      <c r="AY326" s="141" t="s">
        <v>126</v>
      </c>
    </row>
    <row r="327" spans="2:51" s="12" customFormat="1" ht="12">
      <c r="B327" s="139"/>
      <c r="D327" s="140" t="s">
        <v>137</v>
      </c>
      <c r="E327" s="141" t="s">
        <v>3</v>
      </c>
      <c r="F327" s="142" t="s">
        <v>867</v>
      </c>
      <c r="H327" s="143">
        <v>7.02</v>
      </c>
      <c r="L327" s="139"/>
      <c r="M327" s="144"/>
      <c r="T327" s="145"/>
      <c r="AT327" s="141" t="s">
        <v>137</v>
      </c>
      <c r="AU327" s="141" t="s">
        <v>80</v>
      </c>
      <c r="AV327" s="12" t="s">
        <v>80</v>
      </c>
      <c r="AW327" s="12" t="s">
        <v>32</v>
      </c>
      <c r="AX327" s="12" t="s">
        <v>70</v>
      </c>
      <c r="AY327" s="141" t="s">
        <v>126</v>
      </c>
    </row>
    <row r="328" spans="2:51" s="13" customFormat="1" ht="12">
      <c r="B328" s="146"/>
      <c r="D328" s="140" t="s">
        <v>137</v>
      </c>
      <c r="E328" s="147" t="s">
        <v>3</v>
      </c>
      <c r="F328" s="148" t="s">
        <v>151</v>
      </c>
      <c r="H328" s="149">
        <v>92.39999999999999</v>
      </c>
      <c r="L328" s="146"/>
      <c r="M328" s="150"/>
      <c r="T328" s="151"/>
      <c r="AT328" s="147" t="s">
        <v>137</v>
      </c>
      <c r="AU328" s="147" t="s">
        <v>80</v>
      </c>
      <c r="AV328" s="13" t="s">
        <v>133</v>
      </c>
      <c r="AW328" s="13" t="s">
        <v>32</v>
      </c>
      <c r="AX328" s="13" t="s">
        <v>78</v>
      </c>
      <c r="AY328" s="147" t="s">
        <v>126</v>
      </c>
    </row>
    <row r="329" spans="2:65" s="1" customFormat="1" ht="24.2" customHeight="1">
      <c r="B329" s="123"/>
      <c r="C329" s="124" t="s">
        <v>481</v>
      </c>
      <c r="D329" s="124" t="s">
        <v>128</v>
      </c>
      <c r="E329" s="125" t="s">
        <v>926</v>
      </c>
      <c r="F329" s="126" t="s">
        <v>927</v>
      </c>
      <c r="G329" s="127" t="s">
        <v>131</v>
      </c>
      <c r="H329" s="128">
        <v>11.16</v>
      </c>
      <c r="I329" s="129"/>
      <c r="J329" s="129">
        <f>ROUND(I329*H329,2)</f>
        <v>0</v>
      </c>
      <c r="K329" s="126" t="s">
        <v>132</v>
      </c>
      <c r="L329" s="29"/>
      <c r="M329" s="130" t="s">
        <v>3</v>
      </c>
      <c r="N329" s="131" t="s">
        <v>41</v>
      </c>
      <c r="O329" s="132">
        <v>0.06</v>
      </c>
      <c r="P329" s="132">
        <f>O329*H329</f>
        <v>0.6696</v>
      </c>
      <c r="Q329" s="132">
        <v>0</v>
      </c>
      <c r="R329" s="132">
        <f>Q329*H329</f>
        <v>0</v>
      </c>
      <c r="S329" s="132">
        <v>0</v>
      </c>
      <c r="T329" s="133">
        <f>S329*H329</f>
        <v>0</v>
      </c>
      <c r="AR329" s="134" t="s">
        <v>133</v>
      </c>
      <c r="AT329" s="134" t="s">
        <v>128</v>
      </c>
      <c r="AU329" s="134" t="s">
        <v>80</v>
      </c>
      <c r="AY329" s="17" t="s">
        <v>126</v>
      </c>
      <c r="BE329" s="135">
        <f>IF(N329="základní",J329,0)</f>
        <v>0</v>
      </c>
      <c r="BF329" s="135">
        <f>IF(N329="snížená",J329,0)</f>
        <v>0</v>
      </c>
      <c r="BG329" s="135">
        <f>IF(N329="zákl. přenesená",J329,0)</f>
        <v>0</v>
      </c>
      <c r="BH329" s="135">
        <f>IF(N329="sníž. přenesená",J329,0)</f>
        <v>0</v>
      </c>
      <c r="BI329" s="135">
        <f>IF(N329="nulová",J329,0)</f>
        <v>0</v>
      </c>
      <c r="BJ329" s="17" t="s">
        <v>78</v>
      </c>
      <c r="BK329" s="135">
        <f>ROUND(I329*H329,2)</f>
        <v>0</v>
      </c>
      <c r="BL329" s="17" t="s">
        <v>133</v>
      </c>
      <c r="BM329" s="134" t="s">
        <v>928</v>
      </c>
    </row>
    <row r="330" spans="2:47" s="1" customFormat="1" ht="12">
      <c r="B330" s="29"/>
      <c r="D330" s="136" t="s">
        <v>135</v>
      </c>
      <c r="F330" s="137" t="s">
        <v>929</v>
      </c>
      <c r="L330" s="29"/>
      <c r="M330" s="138"/>
      <c r="T330" s="49"/>
      <c r="AT330" s="17" t="s">
        <v>135</v>
      </c>
      <c r="AU330" s="17" t="s">
        <v>80</v>
      </c>
    </row>
    <row r="331" spans="2:51" s="12" customFormat="1" ht="12">
      <c r="B331" s="139"/>
      <c r="D331" s="140" t="s">
        <v>137</v>
      </c>
      <c r="E331" s="141" t="s">
        <v>3</v>
      </c>
      <c r="F331" s="142" t="s">
        <v>930</v>
      </c>
      <c r="H331" s="143">
        <v>11.16</v>
      </c>
      <c r="L331" s="139"/>
      <c r="M331" s="144"/>
      <c r="T331" s="145"/>
      <c r="AT331" s="141" t="s">
        <v>137</v>
      </c>
      <c r="AU331" s="141" t="s">
        <v>80</v>
      </c>
      <c r="AV331" s="12" t="s">
        <v>80</v>
      </c>
      <c r="AW331" s="12" t="s">
        <v>32</v>
      </c>
      <c r="AX331" s="12" t="s">
        <v>78</v>
      </c>
      <c r="AY331" s="141" t="s">
        <v>126</v>
      </c>
    </row>
    <row r="332" spans="2:65" s="1" customFormat="1" ht="21.75" customHeight="1">
      <c r="B332" s="123"/>
      <c r="C332" s="124" t="s">
        <v>489</v>
      </c>
      <c r="D332" s="124" t="s">
        <v>128</v>
      </c>
      <c r="E332" s="125" t="s">
        <v>931</v>
      </c>
      <c r="F332" s="126" t="s">
        <v>932</v>
      </c>
      <c r="G332" s="127" t="s">
        <v>146</v>
      </c>
      <c r="H332" s="128">
        <v>1.747</v>
      </c>
      <c r="I332" s="129"/>
      <c r="J332" s="129">
        <f>ROUND(I332*H332,2)</f>
        <v>0</v>
      </c>
      <c r="K332" s="126" t="s">
        <v>132</v>
      </c>
      <c r="L332" s="29"/>
      <c r="M332" s="130" t="s">
        <v>3</v>
      </c>
      <c r="N332" s="131" t="s">
        <v>41</v>
      </c>
      <c r="O332" s="132">
        <v>3.213</v>
      </c>
      <c r="P332" s="132">
        <f>O332*H332</f>
        <v>5.613111000000001</v>
      </c>
      <c r="Q332" s="132">
        <v>2.30102</v>
      </c>
      <c r="R332" s="132">
        <f>Q332*H332</f>
        <v>4.01988194</v>
      </c>
      <c r="S332" s="132">
        <v>0</v>
      </c>
      <c r="T332" s="133">
        <f>S332*H332</f>
        <v>0</v>
      </c>
      <c r="AR332" s="134" t="s">
        <v>133</v>
      </c>
      <c r="AT332" s="134" t="s">
        <v>128</v>
      </c>
      <c r="AU332" s="134" t="s">
        <v>80</v>
      </c>
      <c r="AY332" s="17" t="s">
        <v>126</v>
      </c>
      <c r="BE332" s="135">
        <f>IF(N332="základní",J332,0)</f>
        <v>0</v>
      </c>
      <c r="BF332" s="135">
        <f>IF(N332="snížená",J332,0)</f>
        <v>0</v>
      </c>
      <c r="BG332" s="135">
        <f>IF(N332="zákl. přenesená",J332,0)</f>
        <v>0</v>
      </c>
      <c r="BH332" s="135">
        <f>IF(N332="sníž. přenesená",J332,0)</f>
        <v>0</v>
      </c>
      <c r="BI332" s="135">
        <f>IF(N332="nulová",J332,0)</f>
        <v>0</v>
      </c>
      <c r="BJ332" s="17" t="s">
        <v>78</v>
      </c>
      <c r="BK332" s="135">
        <f>ROUND(I332*H332,2)</f>
        <v>0</v>
      </c>
      <c r="BL332" s="17" t="s">
        <v>133</v>
      </c>
      <c r="BM332" s="134" t="s">
        <v>933</v>
      </c>
    </row>
    <row r="333" spans="2:47" s="1" customFormat="1" ht="12">
      <c r="B333" s="29"/>
      <c r="D333" s="136" t="s">
        <v>135</v>
      </c>
      <c r="F333" s="137" t="s">
        <v>934</v>
      </c>
      <c r="L333" s="29"/>
      <c r="M333" s="138"/>
      <c r="T333" s="49"/>
      <c r="AT333" s="17" t="s">
        <v>135</v>
      </c>
      <c r="AU333" s="17" t="s">
        <v>80</v>
      </c>
    </row>
    <row r="334" spans="2:51" s="12" customFormat="1" ht="12">
      <c r="B334" s="139"/>
      <c r="D334" s="140" t="s">
        <v>137</v>
      </c>
      <c r="E334" s="141" t="s">
        <v>3</v>
      </c>
      <c r="F334" s="142" t="s">
        <v>935</v>
      </c>
      <c r="H334" s="143">
        <v>1.747</v>
      </c>
      <c r="L334" s="139"/>
      <c r="M334" s="144"/>
      <c r="T334" s="145"/>
      <c r="AT334" s="141" t="s">
        <v>137</v>
      </c>
      <c r="AU334" s="141" t="s">
        <v>80</v>
      </c>
      <c r="AV334" s="12" t="s">
        <v>80</v>
      </c>
      <c r="AW334" s="12" t="s">
        <v>32</v>
      </c>
      <c r="AX334" s="12" t="s">
        <v>78</v>
      </c>
      <c r="AY334" s="141" t="s">
        <v>126</v>
      </c>
    </row>
    <row r="335" spans="2:65" s="1" customFormat="1" ht="21.75" customHeight="1">
      <c r="B335" s="123"/>
      <c r="C335" s="124" t="s">
        <v>495</v>
      </c>
      <c r="D335" s="124" t="s">
        <v>128</v>
      </c>
      <c r="E335" s="125" t="s">
        <v>936</v>
      </c>
      <c r="F335" s="126" t="s">
        <v>937</v>
      </c>
      <c r="G335" s="127" t="s">
        <v>146</v>
      </c>
      <c r="H335" s="128">
        <v>0.782</v>
      </c>
      <c r="I335" s="129"/>
      <c r="J335" s="129">
        <f>ROUND(I335*H335,2)</f>
        <v>0</v>
      </c>
      <c r="K335" s="126" t="s">
        <v>132</v>
      </c>
      <c r="L335" s="29"/>
      <c r="M335" s="130" t="s">
        <v>3</v>
      </c>
      <c r="N335" s="131" t="s">
        <v>41</v>
      </c>
      <c r="O335" s="132">
        <v>3.213</v>
      </c>
      <c r="P335" s="132">
        <f>O335*H335</f>
        <v>2.512566</v>
      </c>
      <c r="Q335" s="132">
        <v>2.30102</v>
      </c>
      <c r="R335" s="132">
        <f>Q335*H335</f>
        <v>1.79939764</v>
      </c>
      <c r="S335" s="132">
        <v>0</v>
      </c>
      <c r="T335" s="133">
        <f>S335*H335</f>
        <v>0</v>
      </c>
      <c r="AR335" s="134" t="s">
        <v>133</v>
      </c>
      <c r="AT335" s="134" t="s">
        <v>128</v>
      </c>
      <c r="AU335" s="134" t="s">
        <v>80</v>
      </c>
      <c r="AY335" s="17" t="s">
        <v>126</v>
      </c>
      <c r="BE335" s="135">
        <f>IF(N335="základní",J335,0)</f>
        <v>0</v>
      </c>
      <c r="BF335" s="135">
        <f>IF(N335="snížená",J335,0)</f>
        <v>0</v>
      </c>
      <c r="BG335" s="135">
        <f>IF(N335="zákl. přenesená",J335,0)</f>
        <v>0</v>
      </c>
      <c r="BH335" s="135">
        <f>IF(N335="sníž. přenesená",J335,0)</f>
        <v>0</v>
      </c>
      <c r="BI335" s="135">
        <f>IF(N335="nulová",J335,0)</f>
        <v>0</v>
      </c>
      <c r="BJ335" s="17" t="s">
        <v>78</v>
      </c>
      <c r="BK335" s="135">
        <f>ROUND(I335*H335,2)</f>
        <v>0</v>
      </c>
      <c r="BL335" s="17" t="s">
        <v>133</v>
      </c>
      <c r="BM335" s="134" t="s">
        <v>938</v>
      </c>
    </row>
    <row r="336" spans="2:47" s="1" customFormat="1" ht="12">
      <c r="B336" s="29"/>
      <c r="D336" s="136" t="s">
        <v>135</v>
      </c>
      <c r="F336" s="137" t="s">
        <v>939</v>
      </c>
      <c r="L336" s="29"/>
      <c r="M336" s="138"/>
      <c r="T336" s="49"/>
      <c r="AT336" s="17" t="s">
        <v>135</v>
      </c>
      <c r="AU336" s="17" t="s">
        <v>80</v>
      </c>
    </row>
    <row r="337" spans="2:51" s="12" customFormat="1" ht="12">
      <c r="B337" s="139"/>
      <c r="D337" s="140" t="s">
        <v>137</v>
      </c>
      <c r="E337" s="141" t="s">
        <v>3</v>
      </c>
      <c r="F337" s="142" t="s">
        <v>940</v>
      </c>
      <c r="H337" s="143">
        <v>0.782</v>
      </c>
      <c r="L337" s="139"/>
      <c r="M337" s="144"/>
      <c r="T337" s="145"/>
      <c r="AT337" s="141" t="s">
        <v>137</v>
      </c>
      <c r="AU337" s="141" t="s">
        <v>80</v>
      </c>
      <c r="AV337" s="12" t="s">
        <v>80</v>
      </c>
      <c r="AW337" s="12" t="s">
        <v>32</v>
      </c>
      <c r="AX337" s="12" t="s">
        <v>78</v>
      </c>
      <c r="AY337" s="141" t="s">
        <v>126</v>
      </c>
    </row>
    <row r="338" spans="2:65" s="1" customFormat="1" ht="21.75" customHeight="1">
      <c r="B338" s="123"/>
      <c r="C338" s="124" t="s">
        <v>501</v>
      </c>
      <c r="D338" s="124" t="s">
        <v>128</v>
      </c>
      <c r="E338" s="125" t="s">
        <v>941</v>
      </c>
      <c r="F338" s="126" t="s">
        <v>942</v>
      </c>
      <c r="G338" s="127" t="s">
        <v>146</v>
      </c>
      <c r="H338" s="128">
        <v>2.529</v>
      </c>
      <c r="I338" s="129"/>
      <c r="J338" s="129">
        <f>ROUND(I338*H338,2)</f>
        <v>0</v>
      </c>
      <c r="K338" s="126" t="s">
        <v>132</v>
      </c>
      <c r="L338" s="29"/>
      <c r="M338" s="130" t="s">
        <v>3</v>
      </c>
      <c r="N338" s="131" t="s">
        <v>41</v>
      </c>
      <c r="O338" s="132">
        <v>2.7</v>
      </c>
      <c r="P338" s="132">
        <f>O338*H338</f>
        <v>6.8283000000000005</v>
      </c>
      <c r="Q338" s="132">
        <v>0</v>
      </c>
      <c r="R338" s="132">
        <f>Q338*H338</f>
        <v>0</v>
      </c>
      <c r="S338" s="132">
        <v>0</v>
      </c>
      <c r="T338" s="133">
        <f>S338*H338</f>
        <v>0</v>
      </c>
      <c r="AR338" s="134" t="s">
        <v>133</v>
      </c>
      <c r="AT338" s="134" t="s">
        <v>128</v>
      </c>
      <c r="AU338" s="134" t="s">
        <v>80</v>
      </c>
      <c r="AY338" s="17" t="s">
        <v>126</v>
      </c>
      <c r="BE338" s="135">
        <f>IF(N338="základní",J338,0)</f>
        <v>0</v>
      </c>
      <c r="BF338" s="135">
        <f>IF(N338="snížená",J338,0)</f>
        <v>0</v>
      </c>
      <c r="BG338" s="135">
        <f>IF(N338="zákl. přenesená",J338,0)</f>
        <v>0</v>
      </c>
      <c r="BH338" s="135">
        <f>IF(N338="sníž. přenesená",J338,0)</f>
        <v>0</v>
      </c>
      <c r="BI338" s="135">
        <f>IF(N338="nulová",J338,0)</f>
        <v>0</v>
      </c>
      <c r="BJ338" s="17" t="s">
        <v>78</v>
      </c>
      <c r="BK338" s="135">
        <f>ROUND(I338*H338,2)</f>
        <v>0</v>
      </c>
      <c r="BL338" s="17" t="s">
        <v>133</v>
      </c>
      <c r="BM338" s="134" t="s">
        <v>943</v>
      </c>
    </row>
    <row r="339" spans="2:47" s="1" customFormat="1" ht="12">
      <c r="B339" s="29"/>
      <c r="D339" s="136" t="s">
        <v>135</v>
      </c>
      <c r="F339" s="137" t="s">
        <v>944</v>
      </c>
      <c r="L339" s="29"/>
      <c r="M339" s="138"/>
      <c r="T339" s="49"/>
      <c r="AT339" s="17" t="s">
        <v>135</v>
      </c>
      <c r="AU339" s="17" t="s">
        <v>80</v>
      </c>
    </row>
    <row r="340" spans="2:51" s="12" customFormat="1" ht="12">
      <c r="B340" s="139"/>
      <c r="D340" s="140" t="s">
        <v>137</v>
      </c>
      <c r="E340" s="141" t="s">
        <v>3</v>
      </c>
      <c r="F340" s="142" t="s">
        <v>935</v>
      </c>
      <c r="H340" s="143">
        <v>1.747</v>
      </c>
      <c r="L340" s="139"/>
      <c r="M340" s="144"/>
      <c r="T340" s="145"/>
      <c r="AT340" s="141" t="s">
        <v>137</v>
      </c>
      <c r="AU340" s="141" t="s">
        <v>80</v>
      </c>
      <c r="AV340" s="12" t="s">
        <v>80</v>
      </c>
      <c r="AW340" s="12" t="s">
        <v>32</v>
      </c>
      <c r="AX340" s="12" t="s">
        <v>70</v>
      </c>
      <c r="AY340" s="141" t="s">
        <v>126</v>
      </c>
    </row>
    <row r="341" spans="2:51" s="12" customFormat="1" ht="12">
      <c r="B341" s="139"/>
      <c r="D341" s="140" t="s">
        <v>137</v>
      </c>
      <c r="E341" s="141" t="s">
        <v>3</v>
      </c>
      <c r="F341" s="142" t="s">
        <v>940</v>
      </c>
      <c r="H341" s="143">
        <v>0.782</v>
      </c>
      <c r="L341" s="139"/>
      <c r="M341" s="144"/>
      <c r="T341" s="145"/>
      <c r="AT341" s="141" t="s">
        <v>137</v>
      </c>
      <c r="AU341" s="141" t="s">
        <v>80</v>
      </c>
      <c r="AV341" s="12" t="s">
        <v>80</v>
      </c>
      <c r="AW341" s="12" t="s">
        <v>32</v>
      </c>
      <c r="AX341" s="12" t="s">
        <v>70</v>
      </c>
      <c r="AY341" s="141" t="s">
        <v>126</v>
      </c>
    </row>
    <row r="342" spans="2:51" s="13" customFormat="1" ht="12">
      <c r="B342" s="146"/>
      <c r="D342" s="140" t="s">
        <v>137</v>
      </c>
      <c r="E342" s="147" t="s">
        <v>3</v>
      </c>
      <c r="F342" s="148" t="s">
        <v>151</v>
      </c>
      <c r="H342" s="149">
        <v>2.529</v>
      </c>
      <c r="L342" s="146"/>
      <c r="M342" s="150"/>
      <c r="T342" s="151"/>
      <c r="AT342" s="147" t="s">
        <v>137</v>
      </c>
      <c r="AU342" s="147" t="s">
        <v>80</v>
      </c>
      <c r="AV342" s="13" t="s">
        <v>133</v>
      </c>
      <c r="AW342" s="13" t="s">
        <v>32</v>
      </c>
      <c r="AX342" s="13" t="s">
        <v>78</v>
      </c>
      <c r="AY342" s="147" t="s">
        <v>126</v>
      </c>
    </row>
    <row r="343" spans="2:65" s="1" customFormat="1" ht="24.2" customHeight="1">
      <c r="B343" s="123"/>
      <c r="C343" s="124" t="s">
        <v>509</v>
      </c>
      <c r="D343" s="124" t="s">
        <v>128</v>
      </c>
      <c r="E343" s="125" t="s">
        <v>945</v>
      </c>
      <c r="F343" s="126" t="s">
        <v>946</v>
      </c>
      <c r="G343" s="127" t="s">
        <v>146</v>
      </c>
      <c r="H343" s="128">
        <v>2.529</v>
      </c>
      <c r="I343" s="129"/>
      <c r="J343" s="129">
        <f>ROUND(I343*H343,2)</f>
        <v>0</v>
      </c>
      <c r="K343" s="126" t="s">
        <v>132</v>
      </c>
      <c r="L343" s="29"/>
      <c r="M343" s="130" t="s">
        <v>3</v>
      </c>
      <c r="N343" s="131" t="s">
        <v>41</v>
      </c>
      <c r="O343" s="132">
        <v>0.82</v>
      </c>
      <c r="P343" s="132">
        <f>O343*H343</f>
        <v>2.0737799999999997</v>
      </c>
      <c r="Q343" s="132">
        <v>0</v>
      </c>
      <c r="R343" s="132">
        <f>Q343*H343</f>
        <v>0</v>
      </c>
      <c r="S343" s="132">
        <v>0</v>
      </c>
      <c r="T343" s="133">
        <f>S343*H343</f>
        <v>0</v>
      </c>
      <c r="AR343" s="134" t="s">
        <v>133</v>
      </c>
      <c r="AT343" s="134" t="s">
        <v>128</v>
      </c>
      <c r="AU343" s="134" t="s">
        <v>80</v>
      </c>
      <c r="AY343" s="17" t="s">
        <v>126</v>
      </c>
      <c r="BE343" s="135">
        <f>IF(N343="základní",J343,0)</f>
        <v>0</v>
      </c>
      <c r="BF343" s="135">
        <f>IF(N343="snížená",J343,0)</f>
        <v>0</v>
      </c>
      <c r="BG343" s="135">
        <f>IF(N343="zákl. přenesená",J343,0)</f>
        <v>0</v>
      </c>
      <c r="BH343" s="135">
        <f>IF(N343="sníž. přenesená",J343,0)</f>
        <v>0</v>
      </c>
      <c r="BI343" s="135">
        <f>IF(N343="nulová",J343,0)</f>
        <v>0</v>
      </c>
      <c r="BJ343" s="17" t="s">
        <v>78</v>
      </c>
      <c r="BK343" s="135">
        <f>ROUND(I343*H343,2)</f>
        <v>0</v>
      </c>
      <c r="BL343" s="17" t="s">
        <v>133</v>
      </c>
      <c r="BM343" s="134" t="s">
        <v>947</v>
      </c>
    </row>
    <row r="344" spans="2:47" s="1" customFormat="1" ht="12">
      <c r="B344" s="29"/>
      <c r="D344" s="136" t="s">
        <v>135</v>
      </c>
      <c r="F344" s="137" t="s">
        <v>948</v>
      </c>
      <c r="L344" s="29"/>
      <c r="M344" s="138"/>
      <c r="T344" s="49"/>
      <c r="AT344" s="17" t="s">
        <v>135</v>
      </c>
      <c r="AU344" s="17" t="s">
        <v>80</v>
      </c>
    </row>
    <row r="345" spans="2:51" s="12" customFormat="1" ht="12">
      <c r="B345" s="139"/>
      <c r="D345" s="140" t="s">
        <v>137</v>
      </c>
      <c r="E345" s="141" t="s">
        <v>3</v>
      </c>
      <c r="F345" s="142" t="s">
        <v>935</v>
      </c>
      <c r="H345" s="143">
        <v>1.747</v>
      </c>
      <c r="L345" s="139"/>
      <c r="M345" s="144"/>
      <c r="T345" s="145"/>
      <c r="AT345" s="141" t="s">
        <v>137</v>
      </c>
      <c r="AU345" s="141" t="s">
        <v>80</v>
      </c>
      <c r="AV345" s="12" t="s">
        <v>80</v>
      </c>
      <c r="AW345" s="12" t="s">
        <v>32</v>
      </c>
      <c r="AX345" s="12" t="s">
        <v>70</v>
      </c>
      <c r="AY345" s="141" t="s">
        <v>126</v>
      </c>
    </row>
    <row r="346" spans="2:51" s="12" customFormat="1" ht="12">
      <c r="B346" s="139"/>
      <c r="D346" s="140" t="s">
        <v>137</v>
      </c>
      <c r="E346" s="141" t="s">
        <v>3</v>
      </c>
      <c r="F346" s="142" t="s">
        <v>940</v>
      </c>
      <c r="H346" s="143">
        <v>0.782</v>
      </c>
      <c r="L346" s="139"/>
      <c r="M346" s="144"/>
      <c r="T346" s="145"/>
      <c r="AT346" s="141" t="s">
        <v>137</v>
      </c>
      <c r="AU346" s="141" t="s">
        <v>80</v>
      </c>
      <c r="AV346" s="12" t="s">
        <v>80</v>
      </c>
      <c r="AW346" s="12" t="s">
        <v>32</v>
      </c>
      <c r="AX346" s="12" t="s">
        <v>70</v>
      </c>
      <c r="AY346" s="141" t="s">
        <v>126</v>
      </c>
    </row>
    <row r="347" spans="2:51" s="13" customFormat="1" ht="12">
      <c r="B347" s="146"/>
      <c r="D347" s="140" t="s">
        <v>137</v>
      </c>
      <c r="E347" s="147" t="s">
        <v>3</v>
      </c>
      <c r="F347" s="148" t="s">
        <v>151</v>
      </c>
      <c r="H347" s="149">
        <v>2.529</v>
      </c>
      <c r="L347" s="146"/>
      <c r="M347" s="150"/>
      <c r="T347" s="151"/>
      <c r="AT347" s="147" t="s">
        <v>137</v>
      </c>
      <c r="AU347" s="147" t="s">
        <v>80</v>
      </c>
      <c r="AV347" s="13" t="s">
        <v>133</v>
      </c>
      <c r="AW347" s="13" t="s">
        <v>32</v>
      </c>
      <c r="AX347" s="13" t="s">
        <v>78</v>
      </c>
      <c r="AY347" s="147" t="s">
        <v>126</v>
      </c>
    </row>
    <row r="348" spans="2:65" s="1" customFormat="1" ht="16.5" customHeight="1">
      <c r="B348" s="123"/>
      <c r="C348" s="124" t="s">
        <v>515</v>
      </c>
      <c r="D348" s="124" t="s">
        <v>128</v>
      </c>
      <c r="E348" s="125" t="s">
        <v>949</v>
      </c>
      <c r="F348" s="126" t="s">
        <v>950</v>
      </c>
      <c r="G348" s="127" t="s">
        <v>171</v>
      </c>
      <c r="H348" s="128">
        <v>0.227</v>
      </c>
      <c r="I348" s="129"/>
      <c r="J348" s="129">
        <f>ROUND(I348*H348,2)</f>
        <v>0</v>
      </c>
      <c r="K348" s="126" t="s">
        <v>132</v>
      </c>
      <c r="L348" s="29"/>
      <c r="M348" s="130" t="s">
        <v>3</v>
      </c>
      <c r="N348" s="131" t="s">
        <v>41</v>
      </c>
      <c r="O348" s="132">
        <v>15.231</v>
      </c>
      <c r="P348" s="132">
        <f>O348*H348</f>
        <v>3.457437</v>
      </c>
      <c r="Q348" s="132">
        <v>1.06277</v>
      </c>
      <c r="R348" s="132">
        <f>Q348*H348</f>
        <v>0.24124879000000002</v>
      </c>
      <c r="S348" s="132">
        <v>0</v>
      </c>
      <c r="T348" s="133">
        <f>S348*H348</f>
        <v>0</v>
      </c>
      <c r="AR348" s="134" t="s">
        <v>133</v>
      </c>
      <c r="AT348" s="134" t="s">
        <v>128</v>
      </c>
      <c r="AU348" s="134" t="s">
        <v>80</v>
      </c>
      <c r="AY348" s="17" t="s">
        <v>126</v>
      </c>
      <c r="BE348" s="135">
        <f>IF(N348="základní",J348,0)</f>
        <v>0</v>
      </c>
      <c r="BF348" s="135">
        <f>IF(N348="snížená",J348,0)</f>
        <v>0</v>
      </c>
      <c r="BG348" s="135">
        <f>IF(N348="zákl. přenesená",J348,0)</f>
        <v>0</v>
      </c>
      <c r="BH348" s="135">
        <f>IF(N348="sníž. přenesená",J348,0)</f>
        <v>0</v>
      </c>
      <c r="BI348" s="135">
        <f>IF(N348="nulová",J348,0)</f>
        <v>0</v>
      </c>
      <c r="BJ348" s="17" t="s">
        <v>78</v>
      </c>
      <c r="BK348" s="135">
        <f>ROUND(I348*H348,2)</f>
        <v>0</v>
      </c>
      <c r="BL348" s="17" t="s">
        <v>133</v>
      </c>
      <c r="BM348" s="134" t="s">
        <v>951</v>
      </c>
    </row>
    <row r="349" spans="2:47" s="1" customFormat="1" ht="12">
      <c r="B349" s="29"/>
      <c r="D349" s="136" t="s">
        <v>135</v>
      </c>
      <c r="F349" s="137" t="s">
        <v>952</v>
      </c>
      <c r="L349" s="29"/>
      <c r="M349" s="138"/>
      <c r="T349" s="49"/>
      <c r="AT349" s="17" t="s">
        <v>135</v>
      </c>
      <c r="AU349" s="17" t="s">
        <v>80</v>
      </c>
    </row>
    <row r="350" spans="2:51" s="14" customFormat="1" ht="12">
      <c r="B350" s="164"/>
      <c r="D350" s="140" t="s">
        <v>137</v>
      </c>
      <c r="E350" s="165" t="s">
        <v>3</v>
      </c>
      <c r="F350" s="166" t="s">
        <v>660</v>
      </c>
      <c r="H350" s="165" t="s">
        <v>3</v>
      </c>
      <c r="L350" s="164"/>
      <c r="M350" s="167"/>
      <c r="T350" s="168"/>
      <c r="AT350" s="165" t="s">
        <v>137</v>
      </c>
      <c r="AU350" s="165" t="s">
        <v>80</v>
      </c>
      <c r="AV350" s="14" t="s">
        <v>78</v>
      </c>
      <c r="AW350" s="14" t="s">
        <v>32</v>
      </c>
      <c r="AX350" s="14" t="s">
        <v>70</v>
      </c>
      <c r="AY350" s="165" t="s">
        <v>126</v>
      </c>
    </row>
    <row r="351" spans="2:51" s="12" customFormat="1" ht="12">
      <c r="B351" s="139"/>
      <c r="D351" s="140" t="s">
        <v>137</v>
      </c>
      <c r="E351" s="141" t="s">
        <v>3</v>
      </c>
      <c r="F351" s="142" t="s">
        <v>953</v>
      </c>
      <c r="H351" s="143">
        <v>0.07</v>
      </c>
      <c r="L351" s="139"/>
      <c r="M351" s="144"/>
      <c r="T351" s="145"/>
      <c r="AT351" s="141" t="s">
        <v>137</v>
      </c>
      <c r="AU351" s="141" t="s">
        <v>80</v>
      </c>
      <c r="AV351" s="12" t="s">
        <v>80</v>
      </c>
      <c r="AW351" s="12" t="s">
        <v>32</v>
      </c>
      <c r="AX351" s="12" t="s">
        <v>70</v>
      </c>
      <c r="AY351" s="141" t="s">
        <v>126</v>
      </c>
    </row>
    <row r="352" spans="2:51" s="12" customFormat="1" ht="12">
      <c r="B352" s="139"/>
      <c r="D352" s="140" t="s">
        <v>137</v>
      </c>
      <c r="E352" s="141" t="s">
        <v>3</v>
      </c>
      <c r="F352" s="142" t="s">
        <v>954</v>
      </c>
      <c r="H352" s="143">
        <v>0.157</v>
      </c>
      <c r="L352" s="139"/>
      <c r="M352" s="144"/>
      <c r="T352" s="145"/>
      <c r="AT352" s="141" t="s">
        <v>137</v>
      </c>
      <c r="AU352" s="141" t="s">
        <v>80</v>
      </c>
      <c r="AV352" s="12" t="s">
        <v>80</v>
      </c>
      <c r="AW352" s="12" t="s">
        <v>32</v>
      </c>
      <c r="AX352" s="12" t="s">
        <v>70</v>
      </c>
      <c r="AY352" s="141" t="s">
        <v>126</v>
      </c>
    </row>
    <row r="353" spans="2:51" s="13" customFormat="1" ht="12">
      <c r="B353" s="146"/>
      <c r="D353" s="140" t="s">
        <v>137</v>
      </c>
      <c r="E353" s="147" t="s">
        <v>3</v>
      </c>
      <c r="F353" s="148" t="s">
        <v>151</v>
      </c>
      <c r="H353" s="149">
        <v>0.227</v>
      </c>
      <c r="L353" s="146"/>
      <c r="M353" s="150"/>
      <c r="T353" s="151"/>
      <c r="AT353" s="147" t="s">
        <v>137</v>
      </c>
      <c r="AU353" s="147" t="s">
        <v>80</v>
      </c>
      <c r="AV353" s="13" t="s">
        <v>133</v>
      </c>
      <c r="AW353" s="13" t="s">
        <v>32</v>
      </c>
      <c r="AX353" s="13" t="s">
        <v>78</v>
      </c>
      <c r="AY353" s="147" t="s">
        <v>126</v>
      </c>
    </row>
    <row r="354" spans="2:65" s="1" customFormat="1" ht="24.2" customHeight="1">
      <c r="B354" s="123"/>
      <c r="C354" s="124" t="s">
        <v>521</v>
      </c>
      <c r="D354" s="124" t="s">
        <v>128</v>
      </c>
      <c r="E354" s="125" t="s">
        <v>955</v>
      </c>
      <c r="F354" s="126" t="s">
        <v>956</v>
      </c>
      <c r="G354" s="127" t="s">
        <v>249</v>
      </c>
      <c r="H354" s="128">
        <v>49.616</v>
      </c>
      <c r="I354" s="129"/>
      <c r="J354" s="129">
        <f>ROUND(I354*H354,2)</f>
        <v>0</v>
      </c>
      <c r="K354" s="126" t="s">
        <v>132</v>
      </c>
      <c r="L354" s="29"/>
      <c r="M354" s="130" t="s">
        <v>3</v>
      </c>
      <c r="N354" s="131" t="s">
        <v>41</v>
      </c>
      <c r="O354" s="132">
        <v>0.03</v>
      </c>
      <c r="P354" s="132">
        <f>O354*H354</f>
        <v>1.48848</v>
      </c>
      <c r="Q354" s="132">
        <v>2E-05</v>
      </c>
      <c r="R354" s="132">
        <f>Q354*H354</f>
        <v>0.00099232</v>
      </c>
      <c r="S354" s="132">
        <v>0</v>
      </c>
      <c r="T354" s="133">
        <f>S354*H354</f>
        <v>0</v>
      </c>
      <c r="AR354" s="134" t="s">
        <v>133</v>
      </c>
      <c r="AT354" s="134" t="s">
        <v>128</v>
      </c>
      <c r="AU354" s="134" t="s">
        <v>80</v>
      </c>
      <c r="AY354" s="17" t="s">
        <v>126</v>
      </c>
      <c r="BE354" s="135">
        <f>IF(N354="základní",J354,0)</f>
        <v>0</v>
      </c>
      <c r="BF354" s="135">
        <f>IF(N354="snížená",J354,0)</f>
        <v>0</v>
      </c>
      <c r="BG354" s="135">
        <f>IF(N354="zákl. přenesená",J354,0)</f>
        <v>0</v>
      </c>
      <c r="BH354" s="135">
        <f>IF(N354="sníž. přenesená",J354,0)</f>
        <v>0</v>
      </c>
      <c r="BI354" s="135">
        <f>IF(N354="nulová",J354,0)</f>
        <v>0</v>
      </c>
      <c r="BJ354" s="17" t="s">
        <v>78</v>
      </c>
      <c r="BK354" s="135">
        <f>ROUND(I354*H354,2)</f>
        <v>0</v>
      </c>
      <c r="BL354" s="17" t="s">
        <v>133</v>
      </c>
      <c r="BM354" s="134" t="s">
        <v>957</v>
      </c>
    </row>
    <row r="355" spans="2:47" s="1" customFormat="1" ht="12">
      <c r="B355" s="29"/>
      <c r="D355" s="136" t="s">
        <v>135</v>
      </c>
      <c r="F355" s="137" t="s">
        <v>958</v>
      </c>
      <c r="L355" s="29"/>
      <c r="M355" s="138"/>
      <c r="T355" s="49"/>
      <c r="AT355" s="17" t="s">
        <v>135</v>
      </c>
      <c r="AU355" s="17" t="s">
        <v>80</v>
      </c>
    </row>
    <row r="356" spans="2:51" s="12" customFormat="1" ht="12">
      <c r="B356" s="139"/>
      <c r="D356" s="140" t="s">
        <v>137</v>
      </c>
      <c r="E356" s="141" t="s">
        <v>3</v>
      </c>
      <c r="F356" s="142" t="s">
        <v>959</v>
      </c>
      <c r="H356" s="143">
        <v>17.216</v>
      </c>
      <c r="L356" s="139"/>
      <c r="M356" s="144"/>
      <c r="T356" s="145"/>
      <c r="AT356" s="141" t="s">
        <v>137</v>
      </c>
      <c r="AU356" s="141" t="s">
        <v>80</v>
      </c>
      <c r="AV356" s="12" t="s">
        <v>80</v>
      </c>
      <c r="AW356" s="12" t="s">
        <v>32</v>
      </c>
      <c r="AX356" s="12" t="s">
        <v>70</v>
      </c>
      <c r="AY356" s="141" t="s">
        <v>126</v>
      </c>
    </row>
    <row r="357" spans="2:51" s="12" customFormat="1" ht="12">
      <c r="B357" s="139"/>
      <c r="D357" s="140" t="s">
        <v>137</v>
      </c>
      <c r="E357" s="141" t="s">
        <v>3</v>
      </c>
      <c r="F357" s="142" t="s">
        <v>960</v>
      </c>
      <c r="H357" s="143">
        <v>32.4</v>
      </c>
      <c r="L357" s="139"/>
      <c r="M357" s="144"/>
      <c r="T357" s="145"/>
      <c r="AT357" s="141" t="s">
        <v>137</v>
      </c>
      <c r="AU357" s="141" t="s">
        <v>80</v>
      </c>
      <c r="AV357" s="12" t="s">
        <v>80</v>
      </c>
      <c r="AW357" s="12" t="s">
        <v>32</v>
      </c>
      <c r="AX357" s="12" t="s">
        <v>70</v>
      </c>
      <c r="AY357" s="141" t="s">
        <v>126</v>
      </c>
    </row>
    <row r="358" spans="2:51" s="13" customFormat="1" ht="12">
      <c r="B358" s="146"/>
      <c r="D358" s="140" t="s">
        <v>137</v>
      </c>
      <c r="E358" s="147" t="s">
        <v>3</v>
      </c>
      <c r="F358" s="148" t="s">
        <v>151</v>
      </c>
      <c r="H358" s="149">
        <v>49.616</v>
      </c>
      <c r="L358" s="146"/>
      <c r="M358" s="150"/>
      <c r="T358" s="151"/>
      <c r="AT358" s="147" t="s">
        <v>137</v>
      </c>
      <c r="AU358" s="147" t="s">
        <v>80</v>
      </c>
      <c r="AV358" s="13" t="s">
        <v>133</v>
      </c>
      <c r="AW358" s="13" t="s">
        <v>32</v>
      </c>
      <c r="AX358" s="13" t="s">
        <v>78</v>
      </c>
      <c r="AY358" s="147" t="s">
        <v>126</v>
      </c>
    </row>
    <row r="359" spans="2:65" s="1" customFormat="1" ht="24.2" customHeight="1">
      <c r="B359" s="123"/>
      <c r="C359" s="124" t="s">
        <v>527</v>
      </c>
      <c r="D359" s="124" t="s">
        <v>128</v>
      </c>
      <c r="E359" s="125" t="s">
        <v>961</v>
      </c>
      <c r="F359" s="126" t="s">
        <v>962</v>
      </c>
      <c r="G359" s="127" t="s">
        <v>296</v>
      </c>
      <c r="H359" s="128">
        <v>11</v>
      </c>
      <c r="I359" s="129"/>
      <c r="J359" s="129">
        <f>ROUND(I359*H359,2)</f>
        <v>0</v>
      </c>
      <c r="K359" s="126" t="s">
        <v>132</v>
      </c>
      <c r="L359" s="29"/>
      <c r="M359" s="130" t="s">
        <v>3</v>
      </c>
      <c r="N359" s="131" t="s">
        <v>41</v>
      </c>
      <c r="O359" s="132">
        <v>6.475</v>
      </c>
      <c r="P359" s="132">
        <f>O359*H359</f>
        <v>71.225</v>
      </c>
      <c r="Q359" s="132">
        <v>0.4417</v>
      </c>
      <c r="R359" s="132">
        <f>Q359*H359</f>
        <v>4.8587</v>
      </c>
      <c r="S359" s="132">
        <v>0</v>
      </c>
      <c r="T359" s="133">
        <f>S359*H359</f>
        <v>0</v>
      </c>
      <c r="AR359" s="134" t="s">
        <v>133</v>
      </c>
      <c r="AT359" s="134" t="s">
        <v>128</v>
      </c>
      <c r="AU359" s="134" t="s">
        <v>80</v>
      </c>
      <c r="AY359" s="17" t="s">
        <v>126</v>
      </c>
      <c r="BE359" s="135">
        <f>IF(N359="základní",J359,0)</f>
        <v>0</v>
      </c>
      <c r="BF359" s="135">
        <f>IF(N359="snížená",J359,0)</f>
        <v>0</v>
      </c>
      <c r="BG359" s="135">
        <f>IF(N359="zákl. přenesená",J359,0)</f>
        <v>0</v>
      </c>
      <c r="BH359" s="135">
        <f>IF(N359="sníž. přenesená",J359,0)</f>
        <v>0</v>
      </c>
      <c r="BI359" s="135">
        <f>IF(N359="nulová",J359,0)</f>
        <v>0</v>
      </c>
      <c r="BJ359" s="17" t="s">
        <v>78</v>
      </c>
      <c r="BK359" s="135">
        <f>ROUND(I359*H359,2)</f>
        <v>0</v>
      </c>
      <c r="BL359" s="17" t="s">
        <v>133</v>
      </c>
      <c r="BM359" s="134" t="s">
        <v>963</v>
      </c>
    </row>
    <row r="360" spans="2:47" s="1" customFormat="1" ht="12">
      <c r="B360" s="29"/>
      <c r="D360" s="136" t="s">
        <v>135</v>
      </c>
      <c r="F360" s="137" t="s">
        <v>964</v>
      </c>
      <c r="L360" s="29"/>
      <c r="M360" s="138"/>
      <c r="T360" s="49"/>
      <c r="AT360" s="17" t="s">
        <v>135</v>
      </c>
      <c r="AU360" s="17" t="s">
        <v>80</v>
      </c>
    </row>
    <row r="361" spans="2:51" s="12" customFormat="1" ht="12">
      <c r="B361" s="139"/>
      <c r="D361" s="140" t="s">
        <v>137</v>
      </c>
      <c r="E361" s="141" t="s">
        <v>3</v>
      </c>
      <c r="F361" s="142" t="s">
        <v>965</v>
      </c>
      <c r="H361" s="143">
        <v>10</v>
      </c>
      <c r="L361" s="139"/>
      <c r="M361" s="144"/>
      <c r="T361" s="145"/>
      <c r="AT361" s="141" t="s">
        <v>137</v>
      </c>
      <c r="AU361" s="141" t="s">
        <v>80</v>
      </c>
      <c r="AV361" s="12" t="s">
        <v>80</v>
      </c>
      <c r="AW361" s="12" t="s">
        <v>32</v>
      </c>
      <c r="AX361" s="12" t="s">
        <v>70</v>
      </c>
      <c r="AY361" s="141" t="s">
        <v>126</v>
      </c>
    </row>
    <row r="362" spans="2:51" s="12" customFormat="1" ht="12">
      <c r="B362" s="139"/>
      <c r="D362" s="140" t="s">
        <v>137</v>
      </c>
      <c r="E362" s="141" t="s">
        <v>3</v>
      </c>
      <c r="F362" s="142" t="s">
        <v>966</v>
      </c>
      <c r="H362" s="143">
        <v>1</v>
      </c>
      <c r="L362" s="139"/>
      <c r="M362" s="144"/>
      <c r="T362" s="145"/>
      <c r="AT362" s="141" t="s">
        <v>137</v>
      </c>
      <c r="AU362" s="141" t="s">
        <v>80</v>
      </c>
      <c r="AV362" s="12" t="s">
        <v>80</v>
      </c>
      <c r="AW362" s="12" t="s">
        <v>32</v>
      </c>
      <c r="AX362" s="12" t="s">
        <v>70</v>
      </c>
      <c r="AY362" s="141" t="s">
        <v>126</v>
      </c>
    </row>
    <row r="363" spans="2:51" s="13" customFormat="1" ht="12">
      <c r="B363" s="146"/>
      <c r="D363" s="140" t="s">
        <v>137</v>
      </c>
      <c r="E363" s="147" t="s">
        <v>3</v>
      </c>
      <c r="F363" s="148" t="s">
        <v>151</v>
      </c>
      <c r="H363" s="149">
        <v>11</v>
      </c>
      <c r="L363" s="146"/>
      <c r="M363" s="150"/>
      <c r="T363" s="151"/>
      <c r="AT363" s="147" t="s">
        <v>137</v>
      </c>
      <c r="AU363" s="147" t="s">
        <v>80</v>
      </c>
      <c r="AV363" s="13" t="s">
        <v>133</v>
      </c>
      <c r="AW363" s="13" t="s">
        <v>32</v>
      </c>
      <c r="AX363" s="13" t="s">
        <v>78</v>
      </c>
      <c r="AY363" s="147" t="s">
        <v>126</v>
      </c>
    </row>
    <row r="364" spans="2:65" s="1" customFormat="1" ht="21.75" customHeight="1">
      <c r="B364" s="123"/>
      <c r="C364" s="152" t="s">
        <v>533</v>
      </c>
      <c r="D364" s="152" t="s">
        <v>405</v>
      </c>
      <c r="E364" s="153" t="s">
        <v>967</v>
      </c>
      <c r="F364" s="154" t="s">
        <v>968</v>
      </c>
      <c r="G364" s="155" t="s">
        <v>296</v>
      </c>
      <c r="H364" s="156">
        <v>4</v>
      </c>
      <c r="I364" s="157"/>
      <c r="J364" s="157">
        <f>ROUND(I364*H364,2)</f>
        <v>0</v>
      </c>
      <c r="K364" s="154" t="s">
        <v>132</v>
      </c>
      <c r="L364" s="158"/>
      <c r="M364" s="159" t="s">
        <v>3</v>
      </c>
      <c r="N364" s="160" t="s">
        <v>41</v>
      </c>
      <c r="O364" s="132">
        <v>0</v>
      </c>
      <c r="P364" s="132">
        <f>O364*H364</f>
        <v>0</v>
      </c>
      <c r="Q364" s="132">
        <v>0.01834</v>
      </c>
      <c r="R364" s="132">
        <f>Q364*H364</f>
        <v>0.07336</v>
      </c>
      <c r="S364" s="132">
        <v>0</v>
      </c>
      <c r="T364" s="133">
        <f>S364*H364</f>
        <v>0</v>
      </c>
      <c r="AR364" s="134" t="s">
        <v>175</v>
      </c>
      <c r="AT364" s="134" t="s">
        <v>405</v>
      </c>
      <c r="AU364" s="134" t="s">
        <v>80</v>
      </c>
      <c r="AY364" s="17" t="s">
        <v>126</v>
      </c>
      <c r="BE364" s="135">
        <f>IF(N364="základní",J364,0)</f>
        <v>0</v>
      </c>
      <c r="BF364" s="135">
        <f>IF(N364="snížená",J364,0)</f>
        <v>0</v>
      </c>
      <c r="BG364" s="135">
        <f>IF(N364="zákl. přenesená",J364,0)</f>
        <v>0</v>
      </c>
      <c r="BH364" s="135">
        <f>IF(N364="sníž. přenesená",J364,0)</f>
        <v>0</v>
      </c>
      <c r="BI364" s="135">
        <f>IF(N364="nulová",J364,0)</f>
        <v>0</v>
      </c>
      <c r="BJ364" s="17" t="s">
        <v>78</v>
      </c>
      <c r="BK364" s="135">
        <f>ROUND(I364*H364,2)</f>
        <v>0</v>
      </c>
      <c r="BL364" s="17" t="s">
        <v>133</v>
      </c>
      <c r="BM364" s="134" t="s">
        <v>969</v>
      </c>
    </row>
    <row r="365" spans="2:51" s="12" customFormat="1" ht="12">
      <c r="B365" s="139"/>
      <c r="D365" s="140" t="s">
        <v>137</v>
      </c>
      <c r="E365" s="141" t="s">
        <v>3</v>
      </c>
      <c r="F365" s="142" t="s">
        <v>970</v>
      </c>
      <c r="H365" s="143">
        <v>4</v>
      </c>
      <c r="L365" s="139"/>
      <c r="M365" s="144"/>
      <c r="T365" s="145"/>
      <c r="AT365" s="141" t="s">
        <v>137</v>
      </c>
      <c r="AU365" s="141" t="s">
        <v>80</v>
      </c>
      <c r="AV365" s="12" t="s">
        <v>80</v>
      </c>
      <c r="AW365" s="12" t="s">
        <v>32</v>
      </c>
      <c r="AX365" s="12" t="s">
        <v>78</v>
      </c>
      <c r="AY365" s="141" t="s">
        <v>126</v>
      </c>
    </row>
    <row r="366" spans="2:65" s="1" customFormat="1" ht="21.75" customHeight="1">
      <c r="B366" s="123"/>
      <c r="C366" s="152" t="s">
        <v>539</v>
      </c>
      <c r="D366" s="152" t="s">
        <v>405</v>
      </c>
      <c r="E366" s="153" t="s">
        <v>971</v>
      </c>
      <c r="F366" s="154" t="s">
        <v>972</v>
      </c>
      <c r="G366" s="155" t="s">
        <v>296</v>
      </c>
      <c r="H366" s="156">
        <v>4</v>
      </c>
      <c r="I366" s="157"/>
      <c r="J366" s="157">
        <f>ROUND(I366*H366,2)</f>
        <v>0</v>
      </c>
      <c r="K366" s="154" t="s">
        <v>132</v>
      </c>
      <c r="L366" s="158"/>
      <c r="M366" s="159" t="s">
        <v>3</v>
      </c>
      <c r="N366" s="160" t="s">
        <v>41</v>
      </c>
      <c r="O366" s="132">
        <v>0</v>
      </c>
      <c r="P366" s="132">
        <f>O366*H366</f>
        <v>0</v>
      </c>
      <c r="Q366" s="132">
        <v>0.01272</v>
      </c>
      <c r="R366" s="132">
        <f>Q366*H366</f>
        <v>0.05088</v>
      </c>
      <c r="S366" s="132">
        <v>0</v>
      </c>
      <c r="T366" s="133">
        <f>S366*H366</f>
        <v>0</v>
      </c>
      <c r="AR366" s="134" t="s">
        <v>175</v>
      </c>
      <c r="AT366" s="134" t="s">
        <v>405</v>
      </c>
      <c r="AU366" s="134" t="s">
        <v>80</v>
      </c>
      <c r="AY366" s="17" t="s">
        <v>126</v>
      </c>
      <c r="BE366" s="135">
        <f>IF(N366="základní",J366,0)</f>
        <v>0</v>
      </c>
      <c r="BF366" s="135">
        <f>IF(N366="snížená",J366,0)</f>
        <v>0</v>
      </c>
      <c r="BG366" s="135">
        <f>IF(N366="zákl. přenesená",J366,0)</f>
        <v>0</v>
      </c>
      <c r="BH366" s="135">
        <f>IF(N366="sníž. přenesená",J366,0)</f>
        <v>0</v>
      </c>
      <c r="BI366" s="135">
        <f>IF(N366="nulová",J366,0)</f>
        <v>0</v>
      </c>
      <c r="BJ366" s="17" t="s">
        <v>78</v>
      </c>
      <c r="BK366" s="135">
        <f>ROUND(I366*H366,2)</f>
        <v>0</v>
      </c>
      <c r="BL366" s="17" t="s">
        <v>133</v>
      </c>
      <c r="BM366" s="134" t="s">
        <v>973</v>
      </c>
    </row>
    <row r="367" spans="2:51" s="12" customFormat="1" ht="12">
      <c r="B367" s="139"/>
      <c r="D367" s="140" t="s">
        <v>137</v>
      </c>
      <c r="E367" s="141" t="s">
        <v>3</v>
      </c>
      <c r="F367" s="142" t="s">
        <v>970</v>
      </c>
      <c r="H367" s="143">
        <v>4</v>
      </c>
      <c r="L367" s="139"/>
      <c r="M367" s="144"/>
      <c r="T367" s="145"/>
      <c r="AT367" s="141" t="s">
        <v>137</v>
      </c>
      <c r="AU367" s="141" t="s">
        <v>80</v>
      </c>
      <c r="AV367" s="12" t="s">
        <v>80</v>
      </c>
      <c r="AW367" s="12" t="s">
        <v>32</v>
      </c>
      <c r="AX367" s="12" t="s">
        <v>78</v>
      </c>
      <c r="AY367" s="141" t="s">
        <v>126</v>
      </c>
    </row>
    <row r="368" spans="2:65" s="1" customFormat="1" ht="21.75" customHeight="1">
      <c r="B368" s="123"/>
      <c r="C368" s="152" t="s">
        <v>545</v>
      </c>
      <c r="D368" s="152" t="s">
        <v>405</v>
      </c>
      <c r="E368" s="153" t="s">
        <v>974</v>
      </c>
      <c r="F368" s="154" t="s">
        <v>975</v>
      </c>
      <c r="G368" s="155" t="s">
        <v>296</v>
      </c>
      <c r="H368" s="156">
        <v>2</v>
      </c>
      <c r="I368" s="157"/>
      <c r="J368" s="157">
        <f>ROUND(I368*H368,2)</f>
        <v>0</v>
      </c>
      <c r="K368" s="154" t="s">
        <v>132</v>
      </c>
      <c r="L368" s="158"/>
      <c r="M368" s="159" t="s">
        <v>3</v>
      </c>
      <c r="N368" s="160" t="s">
        <v>41</v>
      </c>
      <c r="O368" s="132">
        <v>0</v>
      </c>
      <c r="P368" s="132">
        <f>O368*H368</f>
        <v>0</v>
      </c>
      <c r="Q368" s="132">
        <v>0.02396</v>
      </c>
      <c r="R368" s="132">
        <f>Q368*H368</f>
        <v>0.04792</v>
      </c>
      <c r="S368" s="132">
        <v>0</v>
      </c>
      <c r="T368" s="133">
        <f>S368*H368</f>
        <v>0</v>
      </c>
      <c r="AR368" s="134" t="s">
        <v>175</v>
      </c>
      <c r="AT368" s="134" t="s">
        <v>405</v>
      </c>
      <c r="AU368" s="134" t="s">
        <v>80</v>
      </c>
      <c r="AY368" s="17" t="s">
        <v>126</v>
      </c>
      <c r="BE368" s="135">
        <f>IF(N368="základní",J368,0)</f>
        <v>0</v>
      </c>
      <c r="BF368" s="135">
        <f>IF(N368="snížená",J368,0)</f>
        <v>0</v>
      </c>
      <c r="BG368" s="135">
        <f>IF(N368="zákl. přenesená",J368,0)</f>
        <v>0</v>
      </c>
      <c r="BH368" s="135">
        <f>IF(N368="sníž. přenesená",J368,0)</f>
        <v>0</v>
      </c>
      <c r="BI368" s="135">
        <f>IF(N368="nulová",J368,0)</f>
        <v>0</v>
      </c>
      <c r="BJ368" s="17" t="s">
        <v>78</v>
      </c>
      <c r="BK368" s="135">
        <f>ROUND(I368*H368,2)</f>
        <v>0</v>
      </c>
      <c r="BL368" s="17" t="s">
        <v>133</v>
      </c>
      <c r="BM368" s="134" t="s">
        <v>976</v>
      </c>
    </row>
    <row r="369" spans="2:51" s="12" customFormat="1" ht="12">
      <c r="B369" s="139"/>
      <c r="D369" s="140" t="s">
        <v>137</v>
      </c>
      <c r="E369" s="141" t="s">
        <v>3</v>
      </c>
      <c r="F369" s="142" t="s">
        <v>977</v>
      </c>
      <c r="H369" s="143">
        <v>2</v>
      </c>
      <c r="L369" s="139"/>
      <c r="M369" s="144"/>
      <c r="T369" s="145"/>
      <c r="AT369" s="141" t="s">
        <v>137</v>
      </c>
      <c r="AU369" s="141" t="s">
        <v>80</v>
      </c>
      <c r="AV369" s="12" t="s">
        <v>80</v>
      </c>
      <c r="AW369" s="12" t="s">
        <v>32</v>
      </c>
      <c r="AX369" s="12" t="s">
        <v>78</v>
      </c>
      <c r="AY369" s="141" t="s">
        <v>126</v>
      </c>
    </row>
    <row r="370" spans="2:65" s="1" customFormat="1" ht="21.75" customHeight="1">
      <c r="B370" s="123"/>
      <c r="C370" s="152" t="s">
        <v>552</v>
      </c>
      <c r="D370" s="152" t="s">
        <v>405</v>
      </c>
      <c r="E370" s="153" t="s">
        <v>978</v>
      </c>
      <c r="F370" s="154" t="s">
        <v>979</v>
      </c>
      <c r="G370" s="155" t="s">
        <v>296</v>
      </c>
      <c r="H370" s="156">
        <v>1</v>
      </c>
      <c r="I370" s="157"/>
      <c r="J370" s="157">
        <f>ROUND(I370*H370,2)</f>
        <v>0</v>
      </c>
      <c r="K370" s="154" t="s">
        <v>3</v>
      </c>
      <c r="L370" s="158"/>
      <c r="M370" s="159" t="s">
        <v>3</v>
      </c>
      <c r="N370" s="160" t="s">
        <v>41</v>
      </c>
      <c r="O370" s="132">
        <v>0</v>
      </c>
      <c r="P370" s="132">
        <f>O370*H370</f>
        <v>0</v>
      </c>
      <c r="Q370" s="132">
        <v>0.02521</v>
      </c>
      <c r="R370" s="132">
        <f>Q370*H370</f>
        <v>0.02521</v>
      </c>
      <c r="S370" s="132">
        <v>0</v>
      </c>
      <c r="T370" s="133">
        <f>S370*H370</f>
        <v>0</v>
      </c>
      <c r="AR370" s="134" t="s">
        <v>175</v>
      </c>
      <c r="AT370" s="134" t="s">
        <v>405</v>
      </c>
      <c r="AU370" s="134" t="s">
        <v>80</v>
      </c>
      <c r="AY370" s="17" t="s">
        <v>126</v>
      </c>
      <c r="BE370" s="135">
        <f>IF(N370="základní",J370,0)</f>
        <v>0</v>
      </c>
      <c r="BF370" s="135">
        <f>IF(N370="snížená",J370,0)</f>
        <v>0</v>
      </c>
      <c r="BG370" s="135">
        <f>IF(N370="zákl. přenesená",J370,0)</f>
        <v>0</v>
      </c>
      <c r="BH370" s="135">
        <f>IF(N370="sníž. přenesená",J370,0)</f>
        <v>0</v>
      </c>
      <c r="BI370" s="135">
        <f>IF(N370="nulová",J370,0)</f>
        <v>0</v>
      </c>
      <c r="BJ370" s="17" t="s">
        <v>78</v>
      </c>
      <c r="BK370" s="135">
        <f>ROUND(I370*H370,2)</f>
        <v>0</v>
      </c>
      <c r="BL370" s="17" t="s">
        <v>133</v>
      </c>
      <c r="BM370" s="134" t="s">
        <v>980</v>
      </c>
    </row>
    <row r="371" spans="2:51" s="12" customFormat="1" ht="12">
      <c r="B371" s="139"/>
      <c r="D371" s="140" t="s">
        <v>137</v>
      </c>
      <c r="E371" s="141" t="s">
        <v>3</v>
      </c>
      <c r="F371" s="142" t="s">
        <v>966</v>
      </c>
      <c r="H371" s="143">
        <v>1</v>
      </c>
      <c r="L371" s="139"/>
      <c r="M371" s="144"/>
      <c r="T371" s="145"/>
      <c r="AT371" s="141" t="s">
        <v>137</v>
      </c>
      <c r="AU371" s="141" t="s">
        <v>80</v>
      </c>
      <c r="AV371" s="12" t="s">
        <v>80</v>
      </c>
      <c r="AW371" s="12" t="s">
        <v>32</v>
      </c>
      <c r="AX371" s="12" t="s">
        <v>78</v>
      </c>
      <c r="AY371" s="141" t="s">
        <v>126</v>
      </c>
    </row>
    <row r="372" spans="2:63" s="11" customFormat="1" ht="22.7" customHeight="1">
      <c r="B372" s="112"/>
      <c r="D372" s="113" t="s">
        <v>69</v>
      </c>
      <c r="E372" s="121" t="s">
        <v>180</v>
      </c>
      <c r="F372" s="121" t="s">
        <v>185</v>
      </c>
      <c r="J372" s="122">
        <f>BK372</f>
        <v>0</v>
      </c>
      <c r="L372" s="112"/>
      <c r="M372" s="116"/>
      <c r="P372" s="117">
        <f>SUM(P373:P414)</f>
        <v>1808.4425</v>
      </c>
      <c r="R372" s="117">
        <f>SUM(R373:R414)</f>
        <v>0.1423125</v>
      </c>
      <c r="T372" s="118">
        <f>SUM(T373:T414)</f>
        <v>11.718</v>
      </c>
      <c r="AR372" s="113" t="s">
        <v>78</v>
      </c>
      <c r="AT372" s="119" t="s">
        <v>69</v>
      </c>
      <c r="AU372" s="119" t="s">
        <v>78</v>
      </c>
      <c r="AY372" s="113" t="s">
        <v>126</v>
      </c>
      <c r="BK372" s="120">
        <f>SUM(BK373:BK414)</f>
        <v>0</v>
      </c>
    </row>
    <row r="373" spans="2:65" s="1" customFormat="1" ht="24.2" customHeight="1">
      <c r="B373" s="123"/>
      <c r="C373" s="124" t="s">
        <v>557</v>
      </c>
      <c r="D373" s="124" t="s">
        <v>128</v>
      </c>
      <c r="E373" s="125" t="s">
        <v>981</v>
      </c>
      <c r="F373" s="126" t="s">
        <v>982</v>
      </c>
      <c r="G373" s="127" t="s">
        <v>131</v>
      </c>
      <c r="H373" s="128">
        <v>266</v>
      </c>
      <c r="I373" s="129"/>
      <c r="J373" s="129">
        <f>ROUND(I373*H373,2)</f>
        <v>0</v>
      </c>
      <c r="K373" s="126" t="s">
        <v>132</v>
      </c>
      <c r="L373" s="29"/>
      <c r="M373" s="130" t="s">
        <v>3</v>
      </c>
      <c r="N373" s="131" t="s">
        <v>41</v>
      </c>
      <c r="O373" s="132">
        <v>0.11</v>
      </c>
      <c r="P373" s="132">
        <f>O373*H373</f>
        <v>29.26</v>
      </c>
      <c r="Q373" s="132">
        <v>0</v>
      </c>
      <c r="R373" s="132">
        <f>Q373*H373</f>
        <v>0</v>
      </c>
      <c r="S373" s="132">
        <v>0</v>
      </c>
      <c r="T373" s="133">
        <f>S373*H373</f>
        <v>0</v>
      </c>
      <c r="AR373" s="134" t="s">
        <v>133</v>
      </c>
      <c r="AT373" s="134" t="s">
        <v>128</v>
      </c>
      <c r="AU373" s="134" t="s">
        <v>80</v>
      </c>
      <c r="AY373" s="17" t="s">
        <v>126</v>
      </c>
      <c r="BE373" s="135">
        <f>IF(N373="základní",J373,0)</f>
        <v>0</v>
      </c>
      <c r="BF373" s="135">
        <f>IF(N373="snížená",J373,0)</f>
        <v>0</v>
      </c>
      <c r="BG373" s="135">
        <f>IF(N373="zákl. přenesená",J373,0)</f>
        <v>0</v>
      </c>
      <c r="BH373" s="135">
        <f>IF(N373="sníž. přenesená",J373,0)</f>
        <v>0</v>
      </c>
      <c r="BI373" s="135">
        <f>IF(N373="nulová",J373,0)</f>
        <v>0</v>
      </c>
      <c r="BJ373" s="17" t="s">
        <v>78</v>
      </c>
      <c r="BK373" s="135">
        <f>ROUND(I373*H373,2)</f>
        <v>0</v>
      </c>
      <c r="BL373" s="17" t="s">
        <v>133</v>
      </c>
      <c r="BM373" s="134" t="s">
        <v>983</v>
      </c>
    </row>
    <row r="374" spans="2:47" s="1" customFormat="1" ht="12">
      <c r="B374" s="29"/>
      <c r="D374" s="136" t="s">
        <v>135</v>
      </c>
      <c r="F374" s="137" t="s">
        <v>984</v>
      </c>
      <c r="L374" s="29"/>
      <c r="M374" s="138"/>
      <c r="T374" s="49"/>
      <c r="AT374" s="17" t="s">
        <v>135</v>
      </c>
      <c r="AU374" s="17" t="s">
        <v>80</v>
      </c>
    </row>
    <row r="375" spans="2:51" s="12" customFormat="1" ht="12">
      <c r="B375" s="139"/>
      <c r="D375" s="140" t="s">
        <v>137</v>
      </c>
      <c r="E375" s="141" t="s">
        <v>3</v>
      </c>
      <c r="F375" s="142" t="s">
        <v>985</v>
      </c>
      <c r="H375" s="143">
        <v>266</v>
      </c>
      <c r="L375" s="139"/>
      <c r="M375" s="144"/>
      <c r="T375" s="145"/>
      <c r="AT375" s="141" t="s">
        <v>137</v>
      </c>
      <c r="AU375" s="141" t="s">
        <v>80</v>
      </c>
      <c r="AV375" s="12" t="s">
        <v>80</v>
      </c>
      <c r="AW375" s="12" t="s">
        <v>32</v>
      </c>
      <c r="AX375" s="12" t="s">
        <v>78</v>
      </c>
      <c r="AY375" s="141" t="s">
        <v>126</v>
      </c>
    </row>
    <row r="376" spans="2:65" s="1" customFormat="1" ht="24.2" customHeight="1">
      <c r="B376" s="123"/>
      <c r="C376" s="124" t="s">
        <v>562</v>
      </c>
      <c r="D376" s="124" t="s">
        <v>128</v>
      </c>
      <c r="E376" s="125" t="s">
        <v>986</v>
      </c>
      <c r="F376" s="126" t="s">
        <v>987</v>
      </c>
      <c r="G376" s="127" t="s">
        <v>131</v>
      </c>
      <c r="H376" s="128">
        <v>100</v>
      </c>
      <c r="I376" s="129"/>
      <c r="J376" s="129">
        <f>ROUND(I376*H376,2)</f>
        <v>0</v>
      </c>
      <c r="K376" s="126" t="s">
        <v>132</v>
      </c>
      <c r="L376" s="29"/>
      <c r="M376" s="130" t="s">
        <v>3</v>
      </c>
      <c r="N376" s="131" t="s">
        <v>41</v>
      </c>
      <c r="O376" s="132">
        <v>0.119</v>
      </c>
      <c r="P376" s="132">
        <f>O376*H376</f>
        <v>11.899999999999999</v>
      </c>
      <c r="Q376" s="132">
        <v>0</v>
      </c>
      <c r="R376" s="132">
        <f>Q376*H376</f>
        <v>0</v>
      </c>
      <c r="S376" s="132">
        <v>0</v>
      </c>
      <c r="T376" s="133">
        <f>S376*H376</f>
        <v>0</v>
      </c>
      <c r="AR376" s="134" t="s">
        <v>133</v>
      </c>
      <c r="AT376" s="134" t="s">
        <v>128</v>
      </c>
      <c r="AU376" s="134" t="s">
        <v>80</v>
      </c>
      <c r="AY376" s="17" t="s">
        <v>126</v>
      </c>
      <c r="BE376" s="135">
        <f>IF(N376="základní",J376,0)</f>
        <v>0</v>
      </c>
      <c r="BF376" s="135">
        <f>IF(N376="snížená",J376,0)</f>
        <v>0</v>
      </c>
      <c r="BG376" s="135">
        <f>IF(N376="zákl. přenesená",J376,0)</f>
        <v>0</v>
      </c>
      <c r="BH376" s="135">
        <f>IF(N376="sníž. přenesená",J376,0)</f>
        <v>0</v>
      </c>
      <c r="BI376" s="135">
        <f>IF(N376="nulová",J376,0)</f>
        <v>0</v>
      </c>
      <c r="BJ376" s="17" t="s">
        <v>78</v>
      </c>
      <c r="BK376" s="135">
        <f>ROUND(I376*H376,2)</f>
        <v>0</v>
      </c>
      <c r="BL376" s="17" t="s">
        <v>133</v>
      </c>
      <c r="BM376" s="134" t="s">
        <v>988</v>
      </c>
    </row>
    <row r="377" spans="2:47" s="1" customFormat="1" ht="12">
      <c r="B377" s="29"/>
      <c r="D377" s="136" t="s">
        <v>135</v>
      </c>
      <c r="F377" s="137" t="s">
        <v>989</v>
      </c>
      <c r="L377" s="29"/>
      <c r="M377" s="138"/>
      <c r="T377" s="49"/>
      <c r="AT377" s="17" t="s">
        <v>135</v>
      </c>
      <c r="AU377" s="17" t="s">
        <v>80</v>
      </c>
    </row>
    <row r="378" spans="2:51" s="12" customFormat="1" ht="12">
      <c r="B378" s="139"/>
      <c r="D378" s="140" t="s">
        <v>137</v>
      </c>
      <c r="E378" s="141" t="s">
        <v>3</v>
      </c>
      <c r="F378" s="142" t="s">
        <v>990</v>
      </c>
      <c r="H378" s="143">
        <v>100</v>
      </c>
      <c r="L378" s="139"/>
      <c r="M378" s="144"/>
      <c r="T378" s="145"/>
      <c r="AT378" s="141" t="s">
        <v>137</v>
      </c>
      <c r="AU378" s="141" t="s">
        <v>80</v>
      </c>
      <c r="AV378" s="12" t="s">
        <v>80</v>
      </c>
      <c r="AW378" s="12" t="s">
        <v>32</v>
      </c>
      <c r="AX378" s="12" t="s">
        <v>78</v>
      </c>
      <c r="AY378" s="141" t="s">
        <v>126</v>
      </c>
    </row>
    <row r="379" spans="2:65" s="1" customFormat="1" ht="24.2" customHeight="1">
      <c r="B379" s="123"/>
      <c r="C379" s="124" t="s">
        <v>568</v>
      </c>
      <c r="D379" s="124" t="s">
        <v>128</v>
      </c>
      <c r="E379" s="125" t="s">
        <v>991</v>
      </c>
      <c r="F379" s="126" t="s">
        <v>992</v>
      </c>
      <c r="G379" s="127" t="s">
        <v>131</v>
      </c>
      <c r="H379" s="128">
        <v>45900</v>
      </c>
      <c r="I379" s="129"/>
      <c r="J379" s="129">
        <f>ROUND(I379*H379,2)</f>
        <v>0</v>
      </c>
      <c r="K379" s="126" t="s">
        <v>132</v>
      </c>
      <c r="L379" s="29"/>
      <c r="M379" s="130" t="s">
        <v>3</v>
      </c>
      <c r="N379" s="131" t="s">
        <v>41</v>
      </c>
      <c r="O379" s="132">
        <v>0</v>
      </c>
      <c r="P379" s="132">
        <f>O379*H379</f>
        <v>0</v>
      </c>
      <c r="Q379" s="132">
        <v>0</v>
      </c>
      <c r="R379" s="132">
        <f>Q379*H379</f>
        <v>0</v>
      </c>
      <c r="S379" s="132">
        <v>0</v>
      </c>
      <c r="T379" s="133">
        <f>S379*H379</f>
        <v>0</v>
      </c>
      <c r="AR379" s="134" t="s">
        <v>133</v>
      </c>
      <c r="AT379" s="134" t="s">
        <v>128</v>
      </c>
      <c r="AU379" s="134" t="s">
        <v>80</v>
      </c>
      <c r="AY379" s="17" t="s">
        <v>126</v>
      </c>
      <c r="BE379" s="135">
        <f>IF(N379="základní",J379,0)</f>
        <v>0</v>
      </c>
      <c r="BF379" s="135">
        <f>IF(N379="snížená",J379,0)</f>
        <v>0</v>
      </c>
      <c r="BG379" s="135">
        <f>IF(N379="zákl. přenesená",J379,0)</f>
        <v>0</v>
      </c>
      <c r="BH379" s="135">
        <f>IF(N379="sníž. přenesená",J379,0)</f>
        <v>0</v>
      </c>
      <c r="BI379" s="135">
        <f>IF(N379="nulová",J379,0)</f>
        <v>0</v>
      </c>
      <c r="BJ379" s="17" t="s">
        <v>78</v>
      </c>
      <c r="BK379" s="135">
        <f>ROUND(I379*H379,2)</f>
        <v>0</v>
      </c>
      <c r="BL379" s="17" t="s">
        <v>133</v>
      </c>
      <c r="BM379" s="134" t="s">
        <v>993</v>
      </c>
    </row>
    <row r="380" spans="2:47" s="1" customFormat="1" ht="12">
      <c r="B380" s="29"/>
      <c r="D380" s="136" t="s">
        <v>135</v>
      </c>
      <c r="F380" s="137" t="s">
        <v>994</v>
      </c>
      <c r="L380" s="29"/>
      <c r="M380" s="138"/>
      <c r="T380" s="49"/>
      <c r="AT380" s="17" t="s">
        <v>135</v>
      </c>
      <c r="AU380" s="17" t="s">
        <v>80</v>
      </c>
    </row>
    <row r="381" spans="2:51" s="12" customFormat="1" ht="12">
      <c r="B381" s="139"/>
      <c r="D381" s="140" t="s">
        <v>137</v>
      </c>
      <c r="E381" s="141" t="s">
        <v>3</v>
      </c>
      <c r="F381" s="142" t="s">
        <v>995</v>
      </c>
      <c r="H381" s="143">
        <v>6000</v>
      </c>
      <c r="L381" s="139"/>
      <c r="M381" s="144"/>
      <c r="T381" s="145"/>
      <c r="AT381" s="141" t="s">
        <v>137</v>
      </c>
      <c r="AU381" s="141" t="s">
        <v>80</v>
      </c>
      <c r="AV381" s="12" t="s">
        <v>80</v>
      </c>
      <c r="AW381" s="12" t="s">
        <v>32</v>
      </c>
      <c r="AX381" s="12" t="s">
        <v>70</v>
      </c>
      <c r="AY381" s="141" t="s">
        <v>126</v>
      </c>
    </row>
    <row r="382" spans="2:51" s="12" customFormat="1" ht="12">
      <c r="B382" s="139"/>
      <c r="D382" s="140" t="s">
        <v>137</v>
      </c>
      <c r="E382" s="141" t="s">
        <v>3</v>
      </c>
      <c r="F382" s="142" t="s">
        <v>996</v>
      </c>
      <c r="H382" s="143">
        <v>39900</v>
      </c>
      <c r="L382" s="139"/>
      <c r="M382" s="144"/>
      <c r="T382" s="145"/>
      <c r="AT382" s="141" t="s">
        <v>137</v>
      </c>
      <c r="AU382" s="141" t="s">
        <v>80</v>
      </c>
      <c r="AV382" s="12" t="s">
        <v>80</v>
      </c>
      <c r="AW382" s="12" t="s">
        <v>32</v>
      </c>
      <c r="AX382" s="12" t="s">
        <v>70</v>
      </c>
      <c r="AY382" s="141" t="s">
        <v>126</v>
      </c>
    </row>
    <row r="383" spans="2:51" s="13" customFormat="1" ht="12">
      <c r="B383" s="146"/>
      <c r="D383" s="140" t="s">
        <v>137</v>
      </c>
      <c r="E383" s="147" t="s">
        <v>3</v>
      </c>
      <c r="F383" s="148" t="s">
        <v>151</v>
      </c>
      <c r="H383" s="149">
        <v>45900</v>
      </c>
      <c r="L383" s="146"/>
      <c r="M383" s="150"/>
      <c r="T383" s="151"/>
      <c r="AT383" s="147" t="s">
        <v>137</v>
      </c>
      <c r="AU383" s="147" t="s">
        <v>80</v>
      </c>
      <c r="AV383" s="13" t="s">
        <v>133</v>
      </c>
      <c r="AW383" s="13" t="s">
        <v>32</v>
      </c>
      <c r="AX383" s="13" t="s">
        <v>78</v>
      </c>
      <c r="AY383" s="147" t="s">
        <v>126</v>
      </c>
    </row>
    <row r="384" spans="2:65" s="1" customFormat="1" ht="24.2" customHeight="1">
      <c r="B384" s="123"/>
      <c r="C384" s="124" t="s">
        <v>572</v>
      </c>
      <c r="D384" s="124" t="s">
        <v>128</v>
      </c>
      <c r="E384" s="125" t="s">
        <v>997</v>
      </c>
      <c r="F384" s="126" t="s">
        <v>998</v>
      </c>
      <c r="G384" s="127" t="s">
        <v>131</v>
      </c>
      <c r="H384" s="128">
        <v>266</v>
      </c>
      <c r="I384" s="129"/>
      <c r="J384" s="129">
        <f>ROUND(I384*H384,2)</f>
        <v>0</v>
      </c>
      <c r="K384" s="126" t="s">
        <v>132</v>
      </c>
      <c r="L384" s="29"/>
      <c r="M384" s="130" t="s">
        <v>3</v>
      </c>
      <c r="N384" s="131" t="s">
        <v>41</v>
      </c>
      <c r="O384" s="132">
        <v>0.069</v>
      </c>
      <c r="P384" s="132">
        <f>O384*H384</f>
        <v>18.354000000000003</v>
      </c>
      <c r="Q384" s="132">
        <v>0</v>
      </c>
      <c r="R384" s="132">
        <f>Q384*H384</f>
        <v>0</v>
      </c>
      <c r="S384" s="132">
        <v>0</v>
      </c>
      <c r="T384" s="133">
        <f>S384*H384</f>
        <v>0</v>
      </c>
      <c r="AR384" s="134" t="s">
        <v>133</v>
      </c>
      <c r="AT384" s="134" t="s">
        <v>128</v>
      </c>
      <c r="AU384" s="134" t="s">
        <v>80</v>
      </c>
      <c r="AY384" s="17" t="s">
        <v>126</v>
      </c>
      <c r="BE384" s="135">
        <f>IF(N384="základní",J384,0)</f>
        <v>0</v>
      </c>
      <c r="BF384" s="135">
        <f>IF(N384="snížená",J384,0)</f>
        <v>0</v>
      </c>
      <c r="BG384" s="135">
        <f>IF(N384="zákl. přenesená",J384,0)</f>
        <v>0</v>
      </c>
      <c r="BH384" s="135">
        <f>IF(N384="sníž. přenesená",J384,0)</f>
        <v>0</v>
      </c>
      <c r="BI384" s="135">
        <f>IF(N384="nulová",J384,0)</f>
        <v>0</v>
      </c>
      <c r="BJ384" s="17" t="s">
        <v>78</v>
      </c>
      <c r="BK384" s="135">
        <f>ROUND(I384*H384,2)</f>
        <v>0</v>
      </c>
      <c r="BL384" s="17" t="s">
        <v>133</v>
      </c>
      <c r="BM384" s="134" t="s">
        <v>999</v>
      </c>
    </row>
    <row r="385" spans="2:47" s="1" customFormat="1" ht="12">
      <c r="B385" s="29"/>
      <c r="D385" s="136" t="s">
        <v>135</v>
      </c>
      <c r="F385" s="137" t="s">
        <v>1000</v>
      </c>
      <c r="L385" s="29"/>
      <c r="M385" s="138"/>
      <c r="T385" s="49"/>
      <c r="AT385" s="17" t="s">
        <v>135</v>
      </c>
      <c r="AU385" s="17" t="s">
        <v>80</v>
      </c>
    </row>
    <row r="386" spans="2:65" s="1" customFormat="1" ht="24.2" customHeight="1">
      <c r="B386" s="123"/>
      <c r="C386" s="124" t="s">
        <v>579</v>
      </c>
      <c r="D386" s="124" t="s">
        <v>128</v>
      </c>
      <c r="E386" s="125" t="s">
        <v>1001</v>
      </c>
      <c r="F386" s="126" t="s">
        <v>1002</v>
      </c>
      <c r="G386" s="127" t="s">
        <v>131</v>
      </c>
      <c r="H386" s="128">
        <v>100</v>
      </c>
      <c r="I386" s="129"/>
      <c r="J386" s="129">
        <f>ROUND(I386*H386,2)</f>
        <v>0</v>
      </c>
      <c r="K386" s="126" t="s">
        <v>132</v>
      </c>
      <c r="L386" s="29"/>
      <c r="M386" s="130" t="s">
        <v>3</v>
      </c>
      <c r="N386" s="131" t="s">
        <v>41</v>
      </c>
      <c r="O386" s="132">
        <v>0.076</v>
      </c>
      <c r="P386" s="132">
        <f>O386*H386</f>
        <v>7.6</v>
      </c>
      <c r="Q386" s="132">
        <v>0</v>
      </c>
      <c r="R386" s="132">
        <f>Q386*H386</f>
        <v>0</v>
      </c>
      <c r="S386" s="132">
        <v>0</v>
      </c>
      <c r="T386" s="133">
        <f>S386*H386</f>
        <v>0</v>
      </c>
      <c r="AR386" s="134" t="s">
        <v>133</v>
      </c>
      <c r="AT386" s="134" t="s">
        <v>128</v>
      </c>
      <c r="AU386" s="134" t="s">
        <v>80</v>
      </c>
      <c r="AY386" s="17" t="s">
        <v>126</v>
      </c>
      <c r="BE386" s="135">
        <f>IF(N386="základní",J386,0)</f>
        <v>0</v>
      </c>
      <c r="BF386" s="135">
        <f>IF(N386="snížená",J386,0)</f>
        <v>0</v>
      </c>
      <c r="BG386" s="135">
        <f>IF(N386="zákl. přenesená",J386,0)</f>
        <v>0</v>
      </c>
      <c r="BH386" s="135">
        <f>IF(N386="sníž. přenesená",J386,0)</f>
        <v>0</v>
      </c>
      <c r="BI386" s="135">
        <f>IF(N386="nulová",J386,0)</f>
        <v>0</v>
      </c>
      <c r="BJ386" s="17" t="s">
        <v>78</v>
      </c>
      <c r="BK386" s="135">
        <f>ROUND(I386*H386,2)</f>
        <v>0</v>
      </c>
      <c r="BL386" s="17" t="s">
        <v>133</v>
      </c>
      <c r="BM386" s="134" t="s">
        <v>1003</v>
      </c>
    </row>
    <row r="387" spans="2:47" s="1" customFormat="1" ht="12">
      <c r="B387" s="29"/>
      <c r="D387" s="136" t="s">
        <v>135</v>
      </c>
      <c r="F387" s="137" t="s">
        <v>1004</v>
      </c>
      <c r="L387" s="29"/>
      <c r="M387" s="138"/>
      <c r="T387" s="49"/>
      <c r="AT387" s="17" t="s">
        <v>135</v>
      </c>
      <c r="AU387" s="17" t="s">
        <v>80</v>
      </c>
    </row>
    <row r="388" spans="2:65" s="1" customFormat="1" ht="24.2" customHeight="1">
      <c r="B388" s="123"/>
      <c r="C388" s="124" t="s">
        <v>586</v>
      </c>
      <c r="D388" s="124" t="s">
        <v>128</v>
      </c>
      <c r="E388" s="125" t="s">
        <v>1005</v>
      </c>
      <c r="F388" s="126" t="s">
        <v>1006</v>
      </c>
      <c r="G388" s="127" t="s">
        <v>249</v>
      </c>
      <c r="H388" s="128">
        <v>133</v>
      </c>
      <c r="I388" s="129"/>
      <c r="J388" s="129">
        <f>ROUND(I388*H388,2)</f>
        <v>0</v>
      </c>
      <c r="K388" s="126" t="s">
        <v>132</v>
      </c>
      <c r="L388" s="29"/>
      <c r="M388" s="130" t="s">
        <v>3</v>
      </c>
      <c r="N388" s="131" t="s">
        <v>41</v>
      </c>
      <c r="O388" s="132">
        <v>4.6</v>
      </c>
      <c r="P388" s="132">
        <f>O388*H388</f>
        <v>611.8</v>
      </c>
      <c r="Q388" s="132">
        <v>0</v>
      </c>
      <c r="R388" s="132">
        <f>Q388*H388</f>
        <v>0</v>
      </c>
      <c r="S388" s="132">
        <v>0</v>
      </c>
      <c r="T388" s="133">
        <f>S388*H388</f>
        <v>0</v>
      </c>
      <c r="AR388" s="134" t="s">
        <v>133</v>
      </c>
      <c r="AT388" s="134" t="s">
        <v>128</v>
      </c>
      <c r="AU388" s="134" t="s">
        <v>80</v>
      </c>
      <c r="AY388" s="17" t="s">
        <v>126</v>
      </c>
      <c r="BE388" s="135">
        <f>IF(N388="základní",J388,0)</f>
        <v>0</v>
      </c>
      <c r="BF388" s="135">
        <f>IF(N388="snížená",J388,0)</f>
        <v>0</v>
      </c>
      <c r="BG388" s="135">
        <f>IF(N388="zákl. přenesená",J388,0)</f>
        <v>0</v>
      </c>
      <c r="BH388" s="135">
        <f>IF(N388="sníž. přenesená",J388,0)</f>
        <v>0</v>
      </c>
      <c r="BI388" s="135">
        <f>IF(N388="nulová",J388,0)</f>
        <v>0</v>
      </c>
      <c r="BJ388" s="17" t="s">
        <v>78</v>
      </c>
      <c r="BK388" s="135">
        <f>ROUND(I388*H388,2)</f>
        <v>0</v>
      </c>
      <c r="BL388" s="17" t="s">
        <v>133</v>
      </c>
      <c r="BM388" s="134" t="s">
        <v>1007</v>
      </c>
    </row>
    <row r="389" spans="2:47" s="1" customFormat="1" ht="12">
      <c r="B389" s="29"/>
      <c r="D389" s="136" t="s">
        <v>135</v>
      </c>
      <c r="F389" s="137" t="s">
        <v>1008</v>
      </c>
      <c r="L389" s="29"/>
      <c r="M389" s="138"/>
      <c r="T389" s="49"/>
      <c r="AT389" s="17" t="s">
        <v>135</v>
      </c>
      <c r="AU389" s="17" t="s">
        <v>80</v>
      </c>
    </row>
    <row r="390" spans="2:51" s="12" customFormat="1" ht="12">
      <c r="B390" s="139"/>
      <c r="D390" s="140" t="s">
        <v>137</v>
      </c>
      <c r="E390" s="141" t="s">
        <v>3</v>
      </c>
      <c r="F390" s="142" t="s">
        <v>1009</v>
      </c>
      <c r="H390" s="143">
        <v>133</v>
      </c>
      <c r="L390" s="139"/>
      <c r="M390" s="144"/>
      <c r="T390" s="145"/>
      <c r="AT390" s="141" t="s">
        <v>137</v>
      </c>
      <c r="AU390" s="141" t="s">
        <v>80</v>
      </c>
      <c r="AV390" s="12" t="s">
        <v>80</v>
      </c>
      <c r="AW390" s="12" t="s">
        <v>32</v>
      </c>
      <c r="AX390" s="12" t="s">
        <v>78</v>
      </c>
      <c r="AY390" s="141" t="s">
        <v>126</v>
      </c>
    </row>
    <row r="391" spans="2:65" s="1" customFormat="1" ht="21.75" customHeight="1">
      <c r="B391" s="123"/>
      <c r="C391" s="124" t="s">
        <v>592</v>
      </c>
      <c r="D391" s="124" t="s">
        <v>128</v>
      </c>
      <c r="E391" s="125" t="s">
        <v>1010</v>
      </c>
      <c r="F391" s="126" t="s">
        <v>1011</v>
      </c>
      <c r="G391" s="127" t="s">
        <v>249</v>
      </c>
      <c r="H391" s="128">
        <v>19950</v>
      </c>
      <c r="I391" s="129"/>
      <c r="J391" s="129">
        <f>ROUND(I391*H391,2)</f>
        <v>0</v>
      </c>
      <c r="K391" s="126" t="s">
        <v>132</v>
      </c>
      <c r="L391" s="29"/>
      <c r="M391" s="130" t="s">
        <v>3</v>
      </c>
      <c r="N391" s="131" t="s">
        <v>41</v>
      </c>
      <c r="O391" s="132">
        <v>0</v>
      </c>
      <c r="P391" s="132">
        <f>O391*H391</f>
        <v>0</v>
      </c>
      <c r="Q391" s="132">
        <v>0</v>
      </c>
      <c r="R391" s="132">
        <f>Q391*H391</f>
        <v>0</v>
      </c>
      <c r="S391" s="132">
        <v>0</v>
      </c>
      <c r="T391" s="133">
        <f>S391*H391</f>
        <v>0</v>
      </c>
      <c r="AR391" s="134" t="s">
        <v>133</v>
      </c>
      <c r="AT391" s="134" t="s">
        <v>128</v>
      </c>
      <c r="AU391" s="134" t="s">
        <v>80</v>
      </c>
      <c r="AY391" s="17" t="s">
        <v>126</v>
      </c>
      <c r="BE391" s="135">
        <f>IF(N391="základní",J391,0)</f>
        <v>0</v>
      </c>
      <c r="BF391" s="135">
        <f>IF(N391="snížená",J391,0)</f>
        <v>0</v>
      </c>
      <c r="BG391" s="135">
        <f>IF(N391="zákl. přenesená",J391,0)</f>
        <v>0</v>
      </c>
      <c r="BH391" s="135">
        <f>IF(N391="sníž. přenesená",J391,0)</f>
        <v>0</v>
      </c>
      <c r="BI391" s="135">
        <f>IF(N391="nulová",J391,0)</f>
        <v>0</v>
      </c>
      <c r="BJ391" s="17" t="s">
        <v>78</v>
      </c>
      <c r="BK391" s="135">
        <f>ROUND(I391*H391,2)</f>
        <v>0</v>
      </c>
      <c r="BL391" s="17" t="s">
        <v>133</v>
      </c>
      <c r="BM391" s="134" t="s">
        <v>1012</v>
      </c>
    </row>
    <row r="392" spans="2:47" s="1" customFormat="1" ht="12">
      <c r="B392" s="29"/>
      <c r="D392" s="136" t="s">
        <v>135</v>
      </c>
      <c r="F392" s="137" t="s">
        <v>1013</v>
      </c>
      <c r="L392" s="29"/>
      <c r="M392" s="138"/>
      <c r="T392" s="49"/>
      <c r="AT392" s="17" t="s">
        <v>135</v>
      </c>
      <c r="AU392" s="17" t="s">
        <v>80</v>
      </c>
    </row>
    <row r="393" spans="2:51" s="12" customFormat="1" ht="12">
      <c r="B393" s="139"/>
      <c r="D393" s="140" t="s">
        <v>137</v>
      </c>
      <c r="F393" s="142" t="s">
        <v>1014</v>
      </c>
      <c r="H393" s="143">
        <v>19950</v>
      </c>
      <c r="L393" s="139"/>
      <c r="M393" s="144"/>
      <c r="T393" s="145"/>
      <c r="AT393" s="141" t="s">
        <v>137</v>
      </c>
      <c r="AU393" s="141" t="s">
        <v>80</v>
      </c>
      <c r="AV393" s="12" t="s">
        <v>80</v>
      </c>
      <c r="AW393" s="12" t="s">
        <v>4</v>
      </c>
      <c r="AX393" s="12" t="s">
        <v>78</v>
      </c>
      <c r="AY393" s="141" t="s">
        <v>126</v>
      </c>
    </row>
    <row r="394" spans="2:65" s="1" customFormat="1" ht="24.2" customHeight="1">
      <c r="B394" s="123"/>
      <c r="C394" s="124" t="s">
        <v>600</v>
      </c>
      <c r="D394" s="124" t="s">
        <v>128</v>
      </c>
      <c r="E394" s="125" t="s">
        <v>1015</v>
      </c>
      <c r="F394" s="126" t="s">
        <v>1016</v>
      </c>
      <c r="G394" s="127" t="s">
        <v>249</v>
      </c>
      <c r="H394" s="128">
        <v>133</v>
      </c>
      <c r="I394" s="129"/>
      <c r="J394" s="129">
        <f>ROUND(I394*H394,2)</f>
        <v>0</v>
      </c>
      <c r="K394" s="126" t="s">
        <v>132</v>
      </c>
      <c r="L394" s="29"/>
      <c r="M394" s="130" t="s">
        <v>3</v>
      </c>
      <c r="N394" s="131" t="s">
        <v>41</v>
      </c>
      <c r="O394" s="132">
        <v>2.4</v>
      </c>
      <c r="P394" s="132">
        <f>O394*H394</f>
        <v>319.2</v>
      </c>
      <c r="Q394" s="132">
        <v>0</v>
      </c>
      <c r="R394" s="132">
        <f>Q394*H394</f>
        <v>0</v>
      </c>
      <c r="S394" s="132">
        <v>0</v>
      </c>
      <c r="T394" s="133">
        <f>S394*H394</f>
        <v>0</v>
      </c>
      <c r="AR394" s="134" t="s">
        <v>133</v>
      </c>
      <c r="AT394" s="134" t="s">
        <v>128</v>
      </c>
      <c r="AU394" s="134" t="s">
        <v>80</v>
      </c>
      <c r="AY394" s="17" t="s">
        <v>126</v>
      </c>
      <c r="BE394" s="135">
        <f>IF(N394="základní",J394,0)</f>
        <v>0</v>
      </c>
      <c r="BF394" s="135">
        <f>IF(N394="snížená",J394,0)</f>
        <v>0</v>
      </c>
      <c r="BG394" s="135">
        <f>IF(N394="zákl. přenesená",J394,0)</f>
        <v>0</v>
      </c>
      <c r="BH394" s="135">
        <f>IF(N394="sníž. přenesená",J394,0)</f>
        <v>0</v>
      </c>
      <c r="BI394" s="135">
        <f>IF(N394="nulová",J394,0)</f>
        <v>0</v>
      </c>
      <c r="BJ394" s="17" t="s">
        <v>78</v>
      </c>
      <c r="BK394" s="135">
        <f>ROUND(I394*H394,2)</f>
        <v>0</v>
      </c>
      <c r="BL394" s="17" t="s">
        <v>133</v>
      </c>
      <c r="BM394" s="134" t="s">
        <v>1017</v>
      </c>
    </row>
    <row r="395" spans="2:47" s="1" customFormat="1" ht="12">
      <c r="B395" s="29"/>
      <c r="D395" s="136" t="s">
        <v>135</v>
      </c>
      <c r="F395" s="137" t="s">
        <v>1018</v>
      </c>
      <c r="L395" s="29"/>
      <c r="M395" s="138"/>
      <c r="T395" s="49"/>
      <c r="AT395" s="17" t="s">
        <v>135</v>
      </c>
      <c r="AU395" s="17" t="s">
        <v>80</v>
      </c>
    </row>
    <row r="396" spans="2:65" s="1" customFormat="1" ht="21.75" customHeight="1">
      <c r="B396" s="123"/>
      <c r="C396" s="124" t="s">
        <v>609</v>
      </c>
      <c r="D396" s="124" t="s">
        <v>128</v>
      </c>
      <c r="E396" s="125" t="s">
        <v>1019</v>
      </c>
      <c r="F396" s="126" t="s">
        <v>1020</v>
      </c>
      <c r="G396" s="127" t="s">
        <v>1021</v>
      </c>
      <c r="H396" s="128">
        <v>150</v>
      </c>
      <c r="I396" s="129"/>
      <c r="J396" s="129">
        <f>ROUND(I396*H396,2)</f>
        <v>0</v>
      </c>
      <c r="K396" s="126" t="s">
        <v>132</v>
      </c>
      <c r="L396" s="29"/>
      <c r="M396" s="130" t="s">
        <v>3</v>
      </c>
      <c r="N396" s="131" t="s">
        <v>41</v>
      </c>
      <c r="O396" s="132">
        <v>2</v>
      </c>
      <c r="P396" s="132">
        <f>O396*H396</f>
        <v>300</v>
      </c>
      <c r="Q396" s="132">
        <v>0</v>
      </c>
      <c r="R396" s="132">
        <f>Q396*H396</f>
        <v>0</v>
      </c>
      <c r="S396" s="132">
        <v>0</v>
      </c>
      <c r="T396" s="133">
        <f>S396*H396</f>
        <v>0</v>
      </c>
      <c r="AR396" s="134" t="s">
        <v>133</v>
      </c>
      <c r="AT396" s="134" t="s">
        <v>128</v>
      </c>
      <c r="AU396" s="134" t="s">
        <v>80</v>
      </c>
      <c r="AY396" s="17" t="s">
        <v>126</v>
      </c>
      <c r="BE396" s="135">
        <f>IF(N396="základní",J396,0)</f>
        <v>0</v>
      </c>
      <c r="BF396" s="135">
        <f>IF(N396="snížená",J396,0)</f>
        <v>0</v>
      </c>
      <c r="BG396" s="135">
        <f>IF(N396="zákl. přenesená",J396,0)</f>
        <v>0</v>
      </c>
      <c r="BH396" s="135">
        <f>IF(N396="sníž. přenesená",J396,0)</f>
        <v>0</v>
      </c>
      <c r="BI396" s="135">
        <f>IF(N396="nulová",J396,0)</f>
        <v>0</v>
      </c>
      <c r="BJ396" s="17" t="s">
        <v>78</v>
      </c>
      <c r="BK396" s="135">
        <f>ROUND(I396*H396,2)</f>
        <v>0</v>
      </c>
      <c r="BL396" s="17" t="s">
        <v>133</v>
      </c>
      <c r="BM396" s="134" t="s">
        <v>1022</v>
      </c>
    </row>
    <row r="397" spans="2:47" s="1" customFormat="1" ht="12">
      <c r="B397" s="29"/>
      <c r="D397" s="136" t="s">
        <v>135</v>
      </c>
      <c r="F397" s="137" t="s">
        <v>1023</v>
      </c>
      <c r="L397" s="29"/>
      <c r="M397" s="138"/>
      <c r="T397" s="49"/>
      <c r="AT397" s="17" t="s">
        <v>135</v>
      </c>
      <c r="AU397" s="17" t="s">
        <v>80</v>
      </c>
    </row>
    <row r="398" spans="2:51" s="12" customFormat="1" ht="12">
      <c r="B398" s="139"/>
      <c r="D398" s="140" t="s">
        <v>137</v>
      </c>
      <c r="E398" s="141" t="s">
        <v>3</v>
      </c>
      <c r="F398" s="142" t="s">
        <v>1024</v>
      </c>
      <c r="H398" s="143">
        <v>150</v>
      </c>
      <c r="L398" s="139"/>
      <c r="M398" s="144"/>
      <c r="T398" s="145"/>
      <c r="AT398" s="141" t="s">
        <v>137</v>
      </c>
      <c r="AU398" s="141" t="s">
        <v>80</v>
      </c>
      <c r="AV398" s="12" t="s">
        <v>80</v>
      </c>
      <c r="AW398" s="12" t="s">
        <v>32</v>
      </c>
      <c r="AX398" s="12" t="s">
        <v>78</v>
      </c>
      <c r="AY398" s="141" t="s">
        <v>126</v>
      </c>
    </row>
    <row r="399" spans="2:65" s="1" customFormat="1" ht="24.2" customHeight="1">
      <c r="B399" s="123"/>
      <c r="C399" s="124" t="s">
        <v>1025</v>
      </c>
      <c r="D399" s="124" t="s">
        <v>128</v>
      </c>
      <c r="E399" s="125" t="s">
        <v>1026</v>
      </c>
      <c r="F399" s="126" t="s">
        <v>1027</v>
      </c>
      <c r="G399" s="127" t="s">
        <v>131</v>
      </c>
      <c r="H399" s="128">
        <v>481.25</v>
      </c>
      <c r="I399" s="129"/>
      <c r="J399" s="129">
        <f>ROUND(I399*H399,2)</f>
        <v>0</v>
      </c>
      <c r="K399" s="126" t="s">
        <v>132</v>
      </c>
      <c r="L399" s="29"/>
      <c r="M399" s="130" t="s">
        <v>3</v>
      </c>
      <c r="N399" s="131" t="s">
        <v>41</v>
      </c>
      <c r="O399" s="132">
        <v>0.126</v>
      </c>
      <c r="P399" s="132">
        <f>O399*H399</f>
        <v>60.6375</v>
      </c>
      <c r="Q399" s="132">
        <v>0.00021</v>
      </c>
      <c r="R399" s="132">
        <f>Q399*H399</f>
        <v>0.1010625</v>
      </c>
      <c r="S399" s="132">
        <v>0</v>
      </c>
      <c r="T399" s="133">
        <f>S399*H399</f>
        <v>0</v>
      </c>
      <c r="AR399" s="134" t="s">
        <v>133</v>
      </c>
      <c r="AT399" s="134" t="s">
        <v>128</v>
      </c>
      <c r="AU399" s="134" t="s">
        <v>80</v>
      </c>
      <c r="AY399" s="17" t="s">
        <v>126</v>
      </c>
      <c r="BE399" s="135">
        <f>IF(N399="základní",J399,0)</f>
        <v>0</v>
      </c>
      <c r="BF399" s="135">
        <f>IF(N399="snížená",J399,0)</f>
        <v>0</v>
      </c>
      <c r="BG399" s="135">
        <f>IF(N399="zákl. přenesená",J399,0)</f>
        <v>0</v>
      </c>
      <c r="BH399" s="135">
        <f>IF(N399="sníž. přenesená",J399,0)</f>
        <v>0</v>
      </c>
      <c r="BI399" s="135">
        <f>IF(N399="nulová",J399,0)</f>
        <v>0</v>
      </c>
      <c r="BJ399" s="17" t="s">
        <v>78</v>
      </c>
      <c r="BK399" s="135">
        <f>ROUND(I399*H399,2)</f>
        <v>0</v>
      </c>
      <c r="BL399" s="17" t="s">
        <v>133</v>
      </c>
      <c r="BM399" s="134" t="s">
        <v>1028</v>
      </c>
    </row>
    <row r="400" spans="2:47" s="1" customFormat="1" ht="12">
      <c r="B400" s="29"/>
      <c r="D400" s="136" t="s">
        <v>135</v>
      </c>
      <c r="F400" s="137" t="s">
        <v>1029</v>
      </c>
      <c r="L400" s="29"/>
      <c r="M400" s="138"/>
      <c r="T400" s="49"/>
      <c r="AT400" s="17" t="s">
        <v>135</v>
      </c>
      <c r="AU400" s="17" t="s">
        <v>80</v>
      </c>
    </row>
    <row r="401" spans="2:51" s="12" customFormat="1" ht="12">
      <c r="B401" s="139"/>
      <c r="D401" s="140" t="s">
        <v>137</v>
      </c>
      <c r="E401" s="141" t="s">
        <v>3</v>
      </c>
      <c r="F401" s="142" t="s">
        <v>1030</v>
      </c>
      <c r="H401" s="143">
        <v>481.25</v>
      </c>
      <c r="L401" s="139"/>
      <c r="M401" s="144"/>
      <c r="T401" s="145"/>
      <c r="AT401" s="141" t="s">
        <v>137</v>
      </c>
      <c r="AU401" s="141" t="s">
        <v>80</v>
      </c>
      <c r="AV401" s="12" t="s">
        <v>80</v>
      </c>
      <c r="AW401" s="12" t="s">
        <v>32</v>
      </c>
      <c r="AX401" s="12" t="s">
        <v>78</v>
      </c>
      <c r="AY401" s="141" t="s">
        <v>126</v>
      </c>
    </row>
    <row r="402" spans="2:65" s="1" customFormat="1" ht="24.2" customHeight="1">
      <c r="B402" s="123"/>
      <c r="C402" s="124" t="s">
        <v>1031</v>
      </c>
      <c r="D402" s="124" t="s">
        <v>128</v>
      </c>
      <c r="E402" s="125" t="s">
        <v>1032</v>
      </c>
      <c r="F402" s="126" t="s">
        <v>1033</v>
      </c>
      <c r="G402" s="127" t="s">
        <v>131</v>
      </c>
      <c r="H402" s="128">
        <v>481.25</v>
      </c>
      <c r="I402" s="129"/>
      <c r="J402" s="129">
        <f>ROUND(I402*H402,2)</f>
        <v>0</v>
      </c>
      <c r="K402" s="126" t="s">
        <v>132</v>
      </c>
      <c r="L402" s="29"/>
      <c r="M402" s="130" t="s">
        <v>3</v>
      </c>
      <c r="N402" s="131" t="s">
        <v>41</v>
      </c>
      <c r="O402" s="132">
        <v>0.308</v>
      </c>
      <c r="P402" s="132">
        <f>O402*H402</f>
        <v>148.225</v>
      </c>
      <c r="Q402" s="132">
        <v>4E-05</v>
      </c>
      <c r="R402" s="132">
        <f>Q402*H402</f>
        <v>0.019250000000000003</v>
      </c>
      <c r="S402" s="132">
        <v>0</v>
      </c>
      <c r="T402" s="133">
        <f>S402*H402</f>
        <v>0</v>
      </c>
      <c r="AR402" s="134" t="s">
        <v>133</v>
      </c>
      <c r="AT402" s="134" t="s">
        <v>128</v>
      </c>
      <c r="AU402" s="134" t="s">
        <v>80</v>
      </c>
      <c r="AY402" s="17" t="s">
        <v>126</v>
      </c>
      <c r="BE402" s="135">
        <f>IF(N402="základní",J402,0)</f>
        <v>0</v>
      </c>
      <c r="BF402" s="135">
        <f>IF(N402="snížená",J402,0)</f>
        <v>0</v>
      </c>
      <c r="BG402" s="135">
        <f>IF(N402="zákl. přenesená",J402,0)</f>
        <v>0</v>
      </c>
      <c r="BH402" s="135">
        <f>IF(N402="sníž. přenesená",J402,0)</f>
        <v>0</v>
      </c>
      <c r="BI402" s="135">
        <f>IF(N402="nulová",J402,0)</f>
        <v>0</v>
      </c>
      <c r="BJ402" s="17" t="s">
        <v>78</v>
      </c>
      <c r="BK402" s="135">
        <f>ROUND(I402*H402,2)</f>
        <v>0</v>
      </c>
      <c r="BL402" s="17" t="s">
        <v>133</v>
      </c>
      <c r="BM402" s="134" t="s">
        <v>1034</v>
      </c>
    </row>
    <row r="403" spans="2:47" s="1" customFormat="1" ht="12">
      <c r="B403" s="29"/>
      <c r="D403" s="136" t="s">
        <v>135</v>
      </c>
      <c r="F403" s="137" t="s">
        <v>1035</v>
      </c>
      <c r="L403" s="29"/>
      <c r="M403" s="138"/>
      <c r="T403" s="49"/>
      <c r="AT403" s="17" t="s">
        <v>135</v>
      </c>
      <c r="AU403" s="17" t="s">
        <v>80</v>
      </c>
    </row>
    <row r="404" spans="2:51" s="12" customFormat="1" ht="12">
      <c r="B404" s="139"/>
      <c r="D404" s="140" t="s">
        <v>137</v>
      </c>
      <c r="E404" s="141" t="s">
        <v>3</v>
      </c>
      <c r="F404" s="142" t="s">
        <v>1030</v>
      </c>
      <c r="H404" s="143">
        <v>481.25</v>
      </c>
      <c r="L404" s="139"/>
      <c r="M404" s="144"/>
      <c r="T404" s="145"/>
      <c r="AT404" s="141" t="s">
        <v>137</v>
      </c>
      <c r="AU404" s="141" t="s">
        <v>80</v>
      </c>
      <c r="AV404" s="12" t="s">
        <v>80</v>
      </c>
      <c r="AW404" s="12" t="s">
        <v>32</v>
      </c>
      <c r="AX404" s="12" t="s">
        <v>78</v>
      </c>
      <c r="AY404" s="141" t="s">
        <v>126</v>
      </c>
    </row>
    <row r="405" spans="2:65" s="1" customFormat="1" ht="24.2" customHeight="1">
      <c r="B405" s="123"/>
      <c r="C405" s="124" t="s">
        <v>1036</v>
      </c>
      <c r="D405" s="124" t="s">
        <v>128</v>
      </c>
      <c r="E405" s="125" t="s">
        <v>1037</v>
      </c>
      <c r="F405" s="126" t="s">
        <v>1038</v>
      </c>
      <c r="G405" s="127" t="s">
        <v>296</v>
      </c>
      <c r="H405" s="128">
        <v>50</v>
      </c>
      <c r="I405" s="129"/>
      <c r="J405" s="129">
        <f>ROUND(I405*H405,2)</f>
        <v>0</v>
      </c>
      <c r="K405" s="126" t="s">
        <v>132</v>
      </c>
      <c r="L405" s="29"/>
      <c r="M405" s="130" t="s">
        <v>3</v>
      </c>
      <c r="N405" s="131" t="s">
        <v>41</v>
      </c>
      <c r="O405" s="132">
        <v>0.13</v>
      </c>
      <c r="P405" s="132">
        <f>O405*H405</f>
        <v>6.5</v>
      </c>
      <c r="Q405" s="132">
        <v>2E-05</v>
      </c>
      <c r="R405" s="132">
        <f>Q405*H405</f>
        <v>0.001</v>
      </c>
      <c r="S405" s="132">
        <v>0</v>
      </c>
      <c r="T405" s="133">
        <f>S405*H405</f>
        <v>0</v>
      </c>
      <c r="AR405" s="134" t="s">
        <v>133</v>
      </c>
      <c r="AT405" s="134" t="s">
        <v>128</v>
      </c>
      <c r="AU405" s="134" t="s">
        <v>80</v>
      </c>
      <c r="AY405" s="17" t="s">
        <v>126</v>
      </c>
      <c r="BE405" s="135">
        <f>IF(N405="základní",J405,0)</f>
        <v>0</v>
      </c>
      <c r="BF405" s="135">
        <f>IF(N405="snížená",J405,0)</f>
        <v>0</v>
      </c>
      <c r="BG405" s="135">
        <f>IF(N405="zákl. přenesená",J405,0)</f>
        <v>0</v>
      </c>
      <c r="BH405" s="135">
        <f>IF(N405="sníž. přenesená",J405,0)</f>
        <v>0</v>
      </c>
      <c r="BI405" s="135">
        <f>IF(N405="nulová",J405,0)</f>
        <v>0</v>
      </c>
      <c r="BJ405" s="17" t="s">
        <v>78</v>
      </c>
      <c r="BK405" s="135">
        <f>ROUND(I405*H405,2)</f>
        <v>0</v>
      </c>
      <c r="BL405" s="17" t="s">
        <v>133</v>
      </c>
      <c r="BM405" s="134" t="s">
        <v>1039</v>
      </c>
    </row>
    <row r="406" spans="2:47" s="1" customFormat="1" ht="12">
      <c r="B406" s="29"/>
      <c r="D406" s="136" t="s">
        <v>135</v>
      </c>
      <c r="F406" s="137" t="s">
        <v>1040</v>
      </c>
      <c r="L406" s="29"/>
      <c r="M406" s="138"/>
      <c r="T406" s="49"/>
      <c r="AT406" s="17" t="s">
        <v>135</v>
      </c>
      <c r="AU406" s="17" t="s">
        <v>80</v>
      </c>
    </row>
    <row r="407" spans="2:51" s="12" customFormat="1" ht="12">
      <c r="B407" s="139"/>
      <c r="D407" s="140" t="s">
        <v>137</v>
      </c>
      <c r="E407" s="141" t="s">
        <v>3</v>
      </c>
      <c r="F407" s="142" t="s">
        <v>1041</v>
      </c>
      <c r="H407" s="143">
        <v>50</v>
      </c>
      <c r="L407" s="139"/>
      <c r="M407" s="144"/>
      <c r="T407" s="145"/>
      <c r="AT407" s="141" t="s">
        <v>137</v>
      </c>
      <c r="AU407" s="141" t="s">
        <v>80</v>
      </c>
      <c r="AV407" s="12" t="s">
        <v>80</v>
      </c>
      <c r="AW407" s="12" t="s">
        <v>32</v>
      </c>
      <c r="AX407" s="12" t="s">
        <v>78</v>
      </c>
      <c r="AY407" s="141" t="s">
        <v>126</v>
      </c>
    </row>
    <row r="408" spans="2:65" s="1" customFormat="1" ht="21.75" customHeight="1">
      <c r="B408" s="123"/>
      <c r="C408" s="124" t="s">
        <v>1042</v>
      </c>
      <c r="D408" s="124" t="s">
        <v>128</v>
      </c>
      <c r="E408" s="125" t="s">
        <v>1043</v>
      </c>
      <c r="F408" s="126" t="s">
        <v>1044</v>
      </c>
      <c r="G408" s="127" t="s">
        <v>296</v>
      </c>
      <c r="H408" s="128">
        <v>50</v>
      </c>
      <c r="I408" s="129"/>
      <c r="J408" s="129">
        <f>ROUND(I408*H408,2)</f>
        <v>0</v>
      </c>
      <c r="K408" s="126" t="s">
        <v>132</v>
      </c>
      <c r="L408" s="29"/>
      <c r="M408" s="130" t="s">
        <v>3</v>
      </c>
      <c r="N408" s="131" t="s">
        <v>41</v>
      </c>
      <c r="O408" s="132">
        <v>0.063</v>
      </c>
      <c r="P408" s="132">
        <f>O408*H408</f>
        <v>3.15</v>
      </c>
      <c r="Q408" s="132">
        <v>0.00042</v>
      </c>
      <c r="R408" s="132">
        <f>Q408*H408</f>
        <v>0.021</v>
      </c>
      <c r="S408" s="132">
        <v>0</v>
      </c>
      <c r="T408" s="133">
        <f>S408*H408</f>
        <v>0</v>
      </c>
      <c r="AR408" s="134" t="s">
        <v>133</v>
      </c>
      <c r="AT408" s="134" t="s">
        <v>128</v>
      </c>
      <c r="AU408" s="134" t="s">
        <v>80</v>
      </c>
      <c r="AY408" s="17" t="s">
        <v>126</v>
      </c>
      <c r="BE408" s="135">
        <f>IF(N408="základní",J408,0)</f>
        <v>0</v>
      </c>
      <c r="BF408" s="135">
        <f>IF(N408="snížená",J408,0)</f>
        <v>0</v>
      </c>
      <c r="BG408" s="135">
        <f>IF(N408="zákl. přenesená",J408,0)</f>
        <v>0</v>
      </c>
      <c r="BH408" s="135">
        <f>IF(N408="sníž. přenesená",J408,0)</f>
        <v>0</v>
      </c>
      <c r="BI408" s="135">
        <f>IF(N408="nulová",J408,0)</f>
        <v>0</v>
      </c>
      <c r="BJ408" s="17" t="s">
        <v>78</v>
      </c>
      <c r="BK408" s="135">
        <f>ROUND(I408*H408,2)</f>
        <v>0</v>
      </c>
      <c r="BL408" s="17" t="s">
        <v>133</v>
      </c>
      <c r="BM408" s="134" t="s">
        <v>1045</v>
      </c>
    </row>
    <row r="409" spans="2:47" s="1" customFormat="1" ht="12">
      <c r="B409" s="29"/>
      <c r="D409" s="136" t="s">
        <v>135</v>
      </c>
      <c r="F409" s="137" t="s">
        <v>1046</v>
      </c>
      <c r="L409" s="29"/>
      <c r="M409" s="138"/>
      <c r="T409" s="49"/>
      <c r="AT409" s="17" t="s">
        <v>135</v>
      </c>
      <c r="AU409" s="17" t="s">
        <v>80</v>
      </c>
    </row>
    <row r="410" spans="2:51" s="12" customFormat="1" ht="12">
      <c r="B410" s="139"/>
      <c r="D410" s="140" t="s">
        <v>137</v>
      </c>
      <c r="E410" s="141" t="s">
        <v>3</v>
      </c>
      <c r="F410" s="142" t="s">
        <v>1041</v>
      </c>
      <c r="H410" s="143">
        <v>50</v>
      </c>
      <c r="L410" s="139"/>
      <c r="M410" s="144"/>
      <c r="T410" s="145"/>
      <c r="AT410" s="141" t="s">
        <v>137</v>
      </c>
      <c r="AU410" s="141" t="s">
        <v>80</v>
      </c>
      <c r="AV410" s="12" t="s">
        <v>80</v>
      </c>
      <c r="AW410" s="12" t="s">
        <v>32</v>
      </c>
      <c r="AX410" s="12" t="s">
        <v>78</v>
      </c>
      <c r="AY410" s="141" t="s">
        <v>126</v>
      </c>
    </row>
    <row r="411" spans="2:65" s="1" customFormat="1" ht="24.2" customHeight="1">
      <c r="B411" s="123"/>
      <c r="C411" s="124" t="s">
        <v>1047</v>
      </c>
      <c r="D411" s="124" t="s">
        <v>128</v>
      </c>
      <c r="E411" s="125" t="s">
        <v>1048</v>
      </c>
      <c r="F411" s="126" t="s">
        <v>1049</v>
      </c>
      <c r="G411" s="127" t="s">
        <v>296</v>
      </c>
      <c r="H411" s="128">
        <v>378</v>
      </c>
      <c r="I411" s="129"/>
      <c r="J411" s="129">
        <f>ROUND(I411*H411,2)</f>
        <v>0</v>
      </c>
      <c r="K411" s="126" t="s">
        <v>132</v>
      </c>
      <c r="L411" s="29"/>
      <c r="M411" s="130" t="s">
        <v>3</v>
      </c>
      <c r="N411" s="131" t="s">
        <v>41</v>
      </c>
      <c r="O411" s="132">
        <v>0.772</v>
      </c>
      <c r="P411" s="132">
        <f>O411*H411</f>
        <v>291.81600000000003</v>
      </c>
      <c r="Q411" s="132">
        <v>0</v>
      </c>
      <c r="R411" s="132">
        <f>Q411*H411</f>
        <v>0</v>
      </c>
      <c r="S411" s="132">
        <v>0.031</v>
      </c>
      <c r="T411" s="133">
        <f>S411*H411</f>
        <v>11.718</v>
      </c>
      <c r="AR411" s="134" t="s">
        <v>133</v>
      </c>
      <c r="AT411" s="134" t="s">
        <v>128</v>
      </c>
      <c r="AU411" s="134" t="s">
        <v>80</v>
      </c>
      <c r="AY411" s="17" t="s">
        <v>126</v>
      </c>
      <c r="BE411" s="135">
        <f>IF(N411="základní",J411,0)</f>
        <v>0</v>
      </c>
      <c r="BF411" s="135">
        <f>IF(N411="snížená",J411,0)</f>
        <v>0</v>
      </c>
      <c r="BG411" s="135">
        <f>IF(N411="zákl. přenesená",J411,0)</f>
        <v>0</v>
      </c>
      <c r="BH411" s="135">
        <f>IF(N411="sníž. přenesená",J411,0)</f>
        <v>0</v>
      </c>
      <c r="BI411" s="135">
        <f>IF(N411="nulová",J411,0)</f>
        <v>0</v>
      </c>
      <c r="BJ411" s="17" t="s">
        <v>78</v>
      </c>
      <c r="BK411" s="135">
        <f>ROUND(I411*H411,2)</f>
        <v>0</v>
      </c>
      <c r="BL411" s="17" t="s">
        <v>133</v>
      </c>
      <c r="BM411" s="134" t="s">
        <v>1050</v>
      </c>
    </row>
    <row r="412" spans="2:47" s="1" customFormat="1" ht="12">
      <c r="B412" s="29"/>
      <c r="D412" s="136" t="s">
        <v>135</v>
      </c>
      <c r="F412" s="137" t="s">
        <v>1051</v>
      </c>
      <c r="L412" s="29"/>
      <c r="M412" s="138"/>
      <c r="T412" s="49"/>
      <c r="AT412" s="17" t="s">
        <v>135</v>
      </c>
      <c r="AU412" s="17" t="s">
        <v>80</v>
      </c>
    </row>
    <row r="413" spans="2:51" s="12" customFormat="1" ht="12">
      <c r="B413" s="139"/>
      <c r="D413" s="140" t="s">
        <v>137</v>
      </c>
      <c r="E413" s="141" t="s">
        <v>3</v>
      </c>
      <c r="F413" s="142" t="s">
        <v>1052</v>
      </c>
      <c r="H413" s="143">
        <v>378</v>
      </c>
      <c r="L413" s="139"/>
      <c r="M413" s="144"/>
      <c r="T413" s="145"/>
      <c r="AT413" s="141" t="s">
        <v>137</v>
      </c>
      <c r="AU413" s="141" t="s">
        <v>80</v>
      </c>
      <c r="AV413" s="12" t="s">
        <v>80</v>
      </c>
      <c r="AW413" s="12" t="s">
        <v>32</v>
      </c>
      <c r="AX413" s="12" t="s">
        <v>78</v>
      </c>
      <c r="AY413" s="141" t="s">
        <v>126</v>
      </c>
    </row>
    <row r="414" spans="2:65" s="1" customFormat="1" ht="16.5" customHeight="1">
      <c r="B414" s="123"/>
      <c r="C414" s="124" t="s">
        <v>1053</v>
      </c>
      <c r="D414" s="124" t="s">
        <v>128</v>
      </c>
      <c r="E414" s="125" t="s">
        <v>1054</v>
      </c>
      <c r="F414" s="126" t="s">
        <v>1055</v>
      </c>
      <c r="G414" s="127" t="s">
        <v>183</v>
      </c>
      <c r="H414" s="128">
        <v>1</v>
      </c>
      <c r="I414" s="129"/>
      <c r="J414" s="129">
        <f>ROUND(I414*H414,2)</f>
        <v>0</v>
      </c>
      <c r="K414" s="126" t="s">
        <v>3</v>
      </c>
      <c r="L414" s="29"/>
      <c r="M414" s="130" t="s">
        <v>3</v>
      </c>
      <c r="N414" s="131" t="s">
        <v>41</v>
      </c>
      <c r="O414" s="132">
        <v>0</v>
      </c>
      <c r="P414" s="132">
        <f>O414*H414</f>
        <v>0</v>
      </c>
      <c r="Q414" s="132">
        <v>0</v>
      </c>
      <c r="R414" s="132">
        <f>Q414*H414</f>
        <v>0</v>
      </c>
      <c r="S414" s="132">
        <v>0</v>
      </c>
      <c r="T414" s="133">
        <f>S414*H414</f>
        <v>0</v>
      </c>
      <c r="AR414" s="134" t="s">
        <v>133</v>
      </c>
      <c r="AT414" s="134" t="s">
        <v>128</v>
      </c>
      <c r="AU414" s="134" t="s">
        <v>80</v>
      </c>
      <c r="AY414" s="17" t="s">
        <v>126</v>
      </c>
      <c r="BE414" s="135">
        <f>IF(N414="základní",J414,0)</f>
        <v>0</v>
      </c>
      <c r="BF414" s="135">
        <f>IF(N414="snížená",J414,0)</f>
        <v>0</v>
      </c>
      <c r="BG414" s="135">
        <f>IF(N414="zákl. přenesená",J414,0)</f>
        <v>0</v>
      </c>
      <c r="BH414" s="135">
        <f>IF(N414="sníž. přenesená",J414,0)</f>
        <v>0</v>
      </c>
      <c r="BI414" s="135">
        <f>IF(N414="nulová",J414,0)</f>
        <v>0</v>
      </c>
      <c r="BJ414" s="17" t="s">
        <v>78</v>
      </c>
      <c r="BK414" s="135">
        <f>ROUND(I414*H414,2)</f>
        <v>0</v>
      </c>
      <c r="BL414" s="17" t="s">
        <v>133</v>
      </c>
      <c r="BM414" s="134" t="s">
        <v>1056</v>
      </c>
    </row>
    <row r="415" spans="2:63" s="11" customFormat="1" ht="22.7" customHeight="1">
      <c r="B415" s="112"/>
      <c r="D415" s="113" t="s">
        <v>69</v>
      </c>
      <c r="E415" s="121" t="s">
        <v>354</v>
      </c>
      <c r="F415" s="121" t="s">
        <v>355</v>
      </c>
      <c r="J415" s="122">
        <f>BK415</f>
        <v>0</v>
      </c>
      <c r="L415" s="112"/>
      <c r="M415" s="116"/>
      <c r="P415" s="117">
        <f>SUM(P416:P424)</f>
        <v>101.978042</v>
      </c>
      <c r="R415" s="117">
        <f>SUM(R416:R424)</f>
        <v>0</v>
      </c>
      <c r="T415" s="118">
        <f>SUM(T416:T424)</f>
        <v>0</v>
      </c>
      <c r="AR415" s="113" t="s">
        <v>78</v>
      </c>
      <c r="AT415" s="119" t="s">
        <v>69</v>
      </c>
      <c r="AU415" s="119" t="s">
        <v>78</v>
      </c>
      <c r="AY415" s="113" t="s">
        <v>126</v>
      </c>
      <c r="BK415" s="120">
        <f>SUM(BK416:BK424)</f>
        <v>0</v>
      </c>
    </row>
    <row r="416" spans="2:65" s="1" customFormat="1" ht="24.2" customHeight="1">
      <c r="B416" s="123"/>
      <c r="C416" s="124" t="s">
        <v>1057</v>
      </c>
      <c r="D416" s="124" t="s">
        <v>128</v>
      </c>
      <c r="E416" s="125" t="s">
        <v>357</v>
      </c>
      <c r="F416" s="126" t="s">
        <v>358</v>
      </c>
      <c r="G416" s="127" t="s">
        <v>171</v>
      </c>
      <c r="H416" s="128">
        <v>24.698</v>
      </c>
      <c r="I416" s="129"/>
      <c r="J416" s="129">
        <f>ROUND(I416*H416,2)</f>
        <v>0</v>
      </c>
      <c r="K416" s="126" t="s">
        <v>132</v>
      </c>
      <c r="L416" s="29"/>
      <c r="M416" s="130" t="s">
        <v>3</v>
      </c>
      <c r="N416" s="131" t="s">
        <v>41</v>
      </c>
      <c r="O416" s="132">
        <v>3.89</v>
      </c>
      <c r="P416" s="132">
        <f>O416*H416</f>
        <v>96.07522</v>
      </c>
      <c r="Q416" s="132">
        <v>0</v>
      </c>
      <c r="R416" s="132">
        <f>Q416*H416</f>
        <v>0</v>
      </c>
      <c r="S416" s="132">
        <v>0</v>
      </c>
      <c r="T416" s="133">
        <f>S416*H416</f>
        <v>0</v>
      </c>
      <c r="AR416" s="134" t="s">
        <v>133</v>
      </c>
      <c r="AT416" s="134" t="s">
        <v>128</v>
      </c>
      <c r="AU416" s="134" t="s">
        <v>80</v>
      </c>
      <c r="AY416" s="17" t="s">
        <v>126</v>
      </c>
      <c r="BE416" s="135">
        <f>IF(N416="základní",J416,0)</f>
        <v>0</v>
      </c>
      <c r="BF416" s="135">
        <f>IF(N416="snížená",J416,0)</f>
        <v>0</v>
      </c>
      <c r="BG416" s="135">
        <f>IF(N416="zákl. přenesená",J416,0)</f>
        <v>0</v>
      </c>
      <c r="BH416" s="135">
        <f>IF(N416="sníž. přenesená",J416,0)</f>
        <v>0</v>
      </c>
      <c r="BI416" s="135">
        <f>IF(N416="nulová",J416,0)</f>
        <v>0</v>
      </c>
      <c r="BJ416" s="17" t="s">
        <v>78</v>
      </c>
      <c r="BK416" s="135">
        <f>ROUND(I416*H416,2)</f>
        <v>0</v>
      </c>
      <c r="BL416" s="17" t="s">
        <v>133</v>
      </c>
      <c r="BM416" s="134" t="s">
        <v>1058</v>
      </c>
    </row>
    <row r="417" spans="2:47" s="1" customFormat="1" ht="12">
      <c r="B417" s="29"/>
      <c r="D417" s="136" t="s">
        <v>135</v>
      </c>
      <c r="F417" s="137" t="s">
        <v>360</v>
      </c>
      <c r="L417" s="29"/>
      <c r="M417" s="138"/>
      <c r="T417" s="49"/>
      <c r="AT417" s="17" t="s">
        <v>135</v>
      </c>
      <c r="AU417" s="17" t="s">
        <v>80</v>
      </c>
    </row>
    <row r="418" spans="2:65" s="1" customFormat="1" ht="21.75" customHeight="1">
      <c r="B418" s="123"/>
      <c r="C418" s="124" t="s">
        <v>1059</v>
      </c>
      <c r="D418" s="124" t="s">
        <v>128</v>
      </c>
      <c r="E418" s="125" t="s">
        <v>373</v>
      </c>
      <c r="F418" s="126" t="s">
        <v>374</v>
      </c>
      <c r="G418" s="127" t="s">
        <v>171</v>
      </c>
      <c r="H418" s="128">
        <v>24.698</v>
      </c>
      <c r="I418" s="129"/>
      <c r="J418" s="129">
        <f>ROUND(I418*H418,2)</f>
        <v>0</v>
      </c>
      <c r="K418" s="126" t="s">
        <v>132</v>
      </c>
      <c r="L418" s="29"/>
      <c r="M418" s="130" t="s">
        <v>3</v>
      </c>
      <c r="N418" s="131" t="s">
        <v>41</v>
      </c>
      <c r="O418" s="132">
        <v>0.125</v>
      </c>
      <c r="P418" s="132">
        <f>O418*H418</f>
        <v>3.08725</v>
      </c>
      <c r="Q418" s="132">
        <v>0</v>
      </c>
      <c r="R418" s="132">
        <f>Q418*H418</f>
        <v>0</v>
      </c>
      <c r="S418" s="132">
        <v>0</v>
      </c>
      <c r="T418" s="133">
        <f>S418*H418</f>
        <v>0</v>
      </c>
      <c r="AR418" s="134" t="s">
        <v>133</v>
      </c>
      <c r="AT418" s="134" t="s">
        <v>128</v>
      </c>
      <c r="AU418" s="134" t="s">
        <v>80</v>
      </c>
      <c r="AY418" s="17" t="s">
        <v>126</v>
      </c>
      <c r="BE418" s="135">
        <f>IF(N418="základní",J418,0)</f>
        <v>0</v>
      </c>
      <c r="BF418" s="135">
        <f>IF(N418="snížená",J418,0)</f>
        <v>0</v>
      </c>
      <c r="BG418" s="135">
        <f>IF(N418="zákl. přenesená",J418,0)</f>
        <v>0</v>
      </c>
      <c r="BH418" s="135">
        <f>IF(N418="sníž. přenesená",J418,0)</f>
        <v>0</v>
      </c>
      <c r="BI418" s="135">
        <f>IF(N418="nulová",J418,0)</f>
        <v>0</v>
      </c>
      <c r="BJ418" s="17" t="s">
        <v>78</v>
      </c>
      <c r="BK418" s="135">
        <f>ROUND(I418*H418,2)</f>
        <v>0</v>
      </c>
      <c r="BL418" s="17" t="s">
        <v>133</v>
      </c>
      <c r="BM418" s="134" t="s">
        <v>1060</v>
      </c>
    </row>
    <row r="419" spans="2:47" s="1" customFormat="1" ht="12">
      <c r="B419" s="29"/>
      <c r="D419" s="136" t="s">
        <v>135</v>
      </c>
      <c r="F419" s="137" t="s">
        <v>376</v>
      </c>
      <c r="L419" s="29"/>
      <c r="M419" s="138"/>
      <c r="T419" s="49"/>
      <c r="AT419" s="17" t="s">
        <v>135</v>
      </c>
      <c r="AU419" s="17" t="s">
        <v>80</v>
      </c>
    </row>
    <row r="420" spans="2:65" s="1" customFormat="1" ht="24.2" customHeight="1">
      <c r="B420" s="123"/>
      <c r="C420" s="124" t="s">
        <v>1061</v>
      </c>
      <c r="D420" s="124" t="s">
        <v>128</v>
      </c>
      <c r="E420" s="125" t="s">
        <v>378</v>
      </c>
      <c r="F420" s="126" t="s">
        <v>379</v>
      </c>
      <c r="G420" s="127" t="s">
        <v>171</v>
      </c>
      <c r="H420" s="128">
        <v>469.262</v>
      </c>
      <c r="I420" s="129"/>
      <c r="J420" s="129">
        <f>ROUND(I420*H420,2)</f>
        <v>0</v>
      </c>
      <c r="K420" s="126" t="s">
        <v>132</v>
      </c>
      <c r="L420" s="29"/>
      <c r="M420" s="130" t="s">
        <v>3</v>
      </c>
      <c r="N420" s="131" t="s">
        <v>41</v>
      </c>
      <c r="O420" s="132">
        <v>0.006</v>
      </c>
      <c r="P420" s="132">
        <f>O420*H420</f>
        <v>2.815572</v>
      </c>
      <c r="Q420" s="132">
        <v>0</v>
      </c>
      <c r="R420" s="132">
        <f>Q420*H420</f>
        <v>0</v>
      </c>
      <c r="S420" s="132">
        <v>0</v>
      </c>
      <c r="T420" s="133">
        <f>S420*H420</f>
        <v>0</v>
      </c>
      <c r="AR420" s="134" t="s">
        <v>133</v>
      </c>
      <c r="AT420" s="134" t="s">
        <v>128</v>
      </c>
      <c r="AU420" s="134" t="s">
        <v>80</v>
      </c>
      <c r="AY420" s="17" t="s">
        <v>126</v>
      </c>
      <c r="BE420" s="135">
        <f>IF(N420="základní",J420,0)</f>
        <v>0</v>
      </c>
      <c r="BF420" s="135">
        <f>IF(N420="snížená",J420,0)</f>
        <v>0</v>
      </c>
      <c r="BG420" s="135">
        <f>IF(N420="zákl. přenesená",J420,0)</f>
        <v>0</v>
      </c>
      <c r="BH420" s="135">
        <f>IF(N420="sníž. přenesená",J420,0)</f>
        <v>0</v>
      </c>
      <c r="BI420" s="135">
        <f>IF(N420="nulová",J420,0)</f>
        <v>0</v>
      </c>
      <c r="BJ420" s="17" t="s">
        <v>78</v>
      </c>
      <c r="BK420" s="135">
        <f>ROUND(I420*H420,2)</f>
        <v>0</v>
      </c>
      <c r="BL420" s="17" t="s">
        <v>133</v>
      </c>
      <c r="BM420" s="134" t="s">
        <v>1062</v>
      </c>
    </row>
    <row r="421" spans="2:47" s="1" customFormat="1" ht="12">
      <c r="B421" s="29"/>
      <c r="D421" s="136" t="s">
        <v>135</v>
      </c>
      <c r="F421" s="137" t="s">
        <v>381</v>
      </c>
      <c r="L421" s="29"/>
      <c r="M421" s="138"/>
      <c r="T421" s="49"/>
      <c r="AT421" s="17" t="s">
        <v>135</v>
      </c>
      <c r="AU421" s="17" t="s">
        <v>80</v>
      </c>
    </row>
    <row r="422" spans="2:51" s="12" customFormat="1" ht="12">
      <c r="B422" s="139"/>
      <c r="D422" s="140" t="s">
        <v>137</v>
      </c>
      <c r="F422" s="142" t="s">
        <v>1063</v>
      </c>
      <c r="H422" s="143">
        <v>469.262</v>
      </c>
      <c r="L422" s="139"/>
      <c r="M422" s="144"/>
      <c r="T422" s="145"/>
      <c r="AT422" s="141" t="s">
        <v>137</v>
      </c>
      <c r="AU422" s="141" t="s">
        <v>80</v>
      </c>
      <c r="AV422" s="12" t="s">
        <v>80</v>
      </c>
      <c r="AW422" s="12" t="s">
        <v>4</v>
      </c>
      <c r="AX422" s="12" t="s">
        <v>78</v>
      </c>
      <c r="AY422" s="141" t="s">
        <v>126</v>
      </c>
    </row>
    <row r="423" spans="2:65" s="1" customFormat="1" ht="24.2" customHeight="1">
      <c r="B423" s="123"/>
      <c r="C423" s="124" t="s">
        <v>1064</v>
      </c>
      <c r="D423" s="124" t="s">
        <v>128</v>
      </c>
      <c r="E423" s="125" t="s">
        <v>384</v>
      </c>
      <c r="F423" s="126" t="s">
        <v>385</v>
      </c>
      <c r="G423" s="127" t="s">
        <v>171</v>
      </c>
      <c r="H423" s="128">
        <v>24.698</v>
      </c>
      <c r="I423" s="129"/>
      <c r="J423" s="129">
        <f>ROUND(I423*H423,2)</f>
        <v>0</v>
      </c>
      <c r="K423" s="126" t="s">
        <v>132</v>
      </c>
      <c r="L423" s="29"/>
      <c r="M423" s="130" t="s">
        <v>3</v>
      </c>
      <c r="N423" s="131" t="s">
        <v>41</v>
      </c>
      <c r="O423" s="132">
        <v>0</v>
      </c>
      <c r="P423" s="132">
        <f>O423*H423</f>
        <v>0</v>
      </c>
      <c r="Q423" s="132">
        <v>0</v>
      </c>
      <c r="R423" s="132">
        <f>Q423*H423</f>
        <v>0</v>
      </c>
      <c r="S423" s="132">
        <v>0</v>
      </c>
      <c r="T423" s="133">
        <f>S423*H423</f>
        <v>0</v>
      </c>
      <c r="AR423" s="134" t="s">
        <v>133</v>
      </c>
      <c r="AT423" s="134" t="s">
        <v>128</v>
      </c>
      <c r="AU423" s="134" t="s">
        <v>80</v>
      </c>
      <c r="AY423" s="17" t="s">
        <v>126</v>
      </c>
      <c r="BE423" s="135">
        <f>IF(N423="základní",J423,0)</f>
        <v>0</v>
      </c>
      <c r="BF423" s="135">
        <f>IF(N423="snížená",J423,0)</f>
        <v>0</v>
      </c>
      <c r="BG423" s="135">
        <f>IF(N423="zákl. přenesená",J423,0)</f>
        <v>0</v>
      </c>
      <c r="BH423" s="135">
        <f>IF(N423="sníž. přenesená",J423,0)</f>
        <v>0</v>
      </c>
      <c r="BI423" s="135">
        <f>IF(N423="nulová",J423,0)</f>
        <v>0</v>
      </c>
      <c r="BJ423" s="17" t="s">
        <v>78</v>
      </c>
      <c r="BK423" s="135">
        <f>ROUND(I423*H423,2)</f>
        <v>0</v>
      </c>
      <c r="BL423" s="17" t="s">
        <v>133</v>
      </c>
      <c r="BM423" s="134" t="s">
        <v>1065</v>
      </c>
    </row>
    <row r="424" spans="2:47" s="1" customFormat="1" ht="12">
      <c r="B424" s="29"/>
      <c r="D424" s="136" t="s">
        <v>135</v>
      </c>
      <c r="F424" s="137" t="s">
        <v>387</v>
      </c>
      <c r="L424" s="29"/>
      <c r="M424" s="138"/>
      <c r="T424" s="49"/>
      <c r="AT424" s="17" t="s">
        <v>135</v>
      </c>
      <c r="AU424" s="17" t="s">
        <v>80</v>
      </c>
    </row>
    <row r="425" spans="2:63" s="11" customFormat="1" ht="22.7" customHeight="1">
      <c r="B425" s="112"/>
      <c r="D425" s="113" t="s">
        <v>69</v>
      </c>
      <c r="E425" s="121" t="s">
        <v>1066</v>
      </c>
      <c r="F425" s="121" t="s">
        <v>1067</v>
      </c>
      <c r="J425" s="122">
        <f>BK425</f>
        <v>0</v>
      </c>
      <c r="L425" s="112"/>
      <c r="M425" s="116"/>
      <c r="P425" s="117">
        <f>SUM(P426:P427)</f>
        <v>568.420348</v>
      </c>
      <c r="R425" s="117">
        <f>SUM(R426:R427)</f>
        <v>0</v>
      </c>
      <c r="T425" s="118">
        <f>SUM(T426:T427)</f>
        <v>0</v>
      </c>
      <c r="AR425" s="113" t="s">
        <v>78</v>
      </c>
      <c r="AT425" s="119" t="s">
        <v>69</v>
      </c>
      <c r="AU425" s="119" t="s">
        <v>78</v>
      </c>
      <c r="AY425" s="113" t="s">
        <v>126</v>
      </c>
      <c r="BK425" s="120">
        <f>SUM(BK426:BK427)</f>
        <v>0</v>
      </c>
    </row>
    <row r="426" spans="2:65" s="1" customFormat="1" ht="33" customHeight="1">
      <c r="B426" s="123"/>
      <c r="C426" s="124" t="s">
        <v>1068</v>
      </c>
      <c r="D426" s="124" t="s">
        <v>128</v>
      </c>
      <c r="E426" s="125" t="s">
        <v>1069</v>
      </c>
      <c r="F426" s="126" t="s">
        <v>1070</v>
      </c>
      <c r="G426" s="127" t="s">
        <v>171</v>
      </c>
      <c r="H426" s="128">
        <v>184.612</v>
      </c>
      <c r="I426" s="129"/>
      <c r="J426" s="129">
        <f>ROUND(I426*H426,2)</f>
        <v>0</v>
      </c>
      <c r="K426" s="126" t="s">
        <v>132</v>
      </c>
      <c r="L426" s="29"/>
      <c r="M426" s="130" t="s">
        <v>3</v>
      </c>
      <c r="N426" s="131" t="s">
        <v>41</v>
      </c>
      <c r="O426" s="132">
        <v>3.079</v>
      </c>
      <c r="P426" s="132">
        <f>O426*H426</f>
        <v>568.420348</v>
      </c>
      <c r="Q426" s="132">
        <v>0</v>
      </c>
      <c r="R426" s="132">
        <f>Q426*H426</f>
        <v>0</v>
      </c>
      <c r="S426" s="132">
        <v>0</v>
      </c>
      <c r="T426" s="133">
        <f>S426*H426</f>
        <v>0</v>
      </c>
      <c r="AR426" s="134" t="s">
        <v>133</v>
      </c>
      <c r="AT426" s="134" t="s">
        <v>128</v>
      </c>
      <c r="AU426" s="134" t="s">
        <v>80</v>
      </c>
      <c r="AY426" s="17" t="s">
        <v>126</v>
      </c>
      <c r="BE426" s="135">
        <f>IF(N426="základní",J426,0)</f>
        <v>0</v>
      </c>
      <c r="BF426" s="135">
        <f>IF(N426="snížená",J426,0)</f>
        <v>0</v>
      </c>
      <c r="BG426" s="135">
        <f>IF(N426="zákl. přenesená",J426,0)</f>
        <v>0</v>
      </c>
      <c r="BH426" s="135">
        <f>IF(N426="sníž. přenesená",J426,0)</f>
        <v>0</v>
      </c>
      <c r="BI426" s="135">
        <f>IF(N426="nulová",J426,0)</f>
        <v>0</v>
      </c>
      <c r="BJ426" s="17" t="s">
        <v>78</v>
      </c>
      <c r="BK426" s="135">
        <f>ROUND(I426*H426,2)</f>
        <v>0</v>
      </c>
      <c r="BL426" s="17" t="s">
        <v>133</v>
      </c>
      <c r="BM426" s="134" t="s">
        <v>1071</v>
      </c>
    </row>
    <row r="427" spans="2:47" s="1" customFormat="1" ht="12">
      <c r="B427" s="29"/>
      <c r="D427" s="136" t="s">
        <v>135</v>
      </c>
      <c r="F427" s="137" t="s">
        <v>1072</v>
      </c>
      <c r="L427" s="29"/>
      <c r="M427" s="138"/>
      <c r="T427" s="49"/>
      <c r="AT427" s="17" t="s">
        <v>135</v>
      </c>
      <c r="AU427" s="17" t="s">
        <v>80</v>
      </c>
    </row>
    <row r="428" spans="2:63" s="11" customFormat="1" ht="25.9" customHeight="1">
      <c r="B428" s="112"/>
      <c r="D428" s="113" t="s">
        <v>69</v>
      </c>
      <c r="E428" s="114" t="s">
        <v>388</v>
      </c>
      <c r="F428" s="114" t="s">
        <v>389</v>
      </c>
      <c r="J428" s="115">
        <f>BK428</f>
        <v>0</v>
      </c>
      <c r="L428" s="112"/>
      <c r="M428" s="116"/>
      <c r="P428" s="117">
        <f>P429+P442+P497+P501+P504+P508+P511+P623+P688+P745+P828+P904+P1007+P1104+P1129+P1147+P1185+P1193+P1233+P1285</f>
        <v>11830.338065</v>
      </c>
      <c r="R428" s="117">
        <f>R429+R442+R497+R501+R504+R508+R511+R623+R688+R745+R828+R904+R1007+R1104+R1129+R1147+R1185+R1193+R1233+R1285</f>
        <v>260.18607581</v>
      </c>
      <c r="T428" s="118">
        <f>T429+T442+T497+T501+T504+T508+T511+T623+T688+T745+T828+T904+T1007+T1104+T1129+T1147+T1185+T1193+T1233+T1285</f>
        <v>0</v>
      </c>
      <c r="AR428" s="113" t="s">
        <v>80</v>
      </c>
      <c r="AT428" s="119" t="s">
        <v>69</v>
      </c>
      <c r="AU428" s="119" t="s">
        <v>70</v>
      </c>
      <c r="AY428" s="113" t="s">
        <v>126</v>
      </c>
      <c r="BK428" s="120">
        <f>BK429+BK442+BK497+BK501+BK504+BK508+BK511+BK623+BK688+BK745+BK828+BK904+BK1007+BK1104+BK1129+BK1147+BK1185+BK1193+BK1233+BK1285</f>
        <v>0</v>
      </c>
    </row>
    <row r="429" spans="2:63" s="11" customFormat="1" ht="22.7" customHeight="1">
      <c r="B429" s="112"/>
      <c r="D429" s="113" t="s">
        <v>69</v>
      </c>
      <c r="E429" s="121" t="s">
        <v>1073</v>
      </c>
      <c r="F429" s="121" t="s">
        <v>1074</v>
      </c>
      <c r="J429" s="122">
        <f>BK429</f>
        <v>0</v>
      </c>
      <c r="L429" s="112"/>
      <c r="M429" s="116"/>
      <c r="P429" s="117">
        <f>SUM(P430:P441)</f>
        <v>3.943296</v>
      </c>
      <c r="R429" s="117">
        <f>SUM(R430:R441)</f>
        <v>0.1107444</v>
      </c>
      <c r="T429" s="118">
        <f>SUM(T430:T441)</f>
        <v>0</v>
      </c>
      <c r="AR429" s="113" t="s">
        <v>80</v>
      </c>
      <c r="AT429" s="119" t="s">
        <v>69</v>
      </c>
      <c r="AU429" s="119" t="s">
        <v>78</v>
      </c>
      <c r="AY429" s="113" t="s">
        <v>126</v>
      </c>
      <c r="BK429" s="120">
        <f>SUM(BK430:BK441)</f>
        <v>0</v>
      </c>
    </row>
    <row r="430" spans="2:65" s="1" customFormat="1" ht="24.2" customHeight="1">
      <c r="B430" s="123"/>
      <c r="C430" s="124" t="s">
        <v>1075</v>
      </c>
      <c r="D430" s="124" t="s">
        <v>128</v>
      </c>
      <c r="E430" s="125" t="s">
        <v>1076</v>
      </c>
      <c r="F430" s="126" t="s">
        <v>1077</v>
      </c>
      <c r="G430" s="127" t="s">
        <v>131</v>
      </c>
      <c r="H430" s="128">
        <v>15.648</v>
      </c>
      <c r="I430" s="129"/>
      <c r="J430" s="129">
        <f>ROUND(I430*H430,2)</f>
        <v>0</v>
      </c>
      <c r="K430" s="126" t="s">
        <v>132</v>
      </c>
      <c r="L430" s="29"/>
      <c r="M430" s="130" t="s">
        <v>3</v>
      </c>
      <c r="N430" s="131" t="s">
        <v>41</v>
      </c>
      <c r="O430" s="132">
        <v>0.03</v>
      </c>
      <c r="P430" s="132">
        <f>O430*H430</f>
        <v>0.46943999999999997</v>
      </c>
      <c r="Q430" s="132">
        <v>0</v>
      </c>
      <c r="R430" s="132">
        <f>Q430*H430</f>
        <v>0</v>
      </c>
      <c r="S430" s="132">
        <v>0</v>
      </c>
      <c r="T430" s="133">
        <f>S430*H430</f>
        <v>0</v>
      </c>
      <c r="AR430" s="134" t="s">
        <v>221</v>
      </c>
      <c r="AT430" s="134" t="s">
        <v>128</v>
      </c>
      <c r="AU430" s="134" t="s">
        <v>80</v>
      </c>
      <c r="AY430" s="17" t="s">
        <v>126</v>
      </c>
      <c r="BE430" s="135">
        <f>IF(N430="základní",J430,0)</f>
        <v>0</v>
      </c>
      <c r="BF430" s="135">
        <f>IF(N430="snížená",J430,0)</f>
        <v>0</v>
      </c>
      <c r="BG430" s="135">
        <f>IF(N430="zákl. přenesená",J430,0)</f>
        <v>0</v>
      </c>
      <c r="BH430" s="135">
        <f>IF(N430="sníž. přenesená",J430,0)</f>
        <v>0</v>
      </c>
      <c r="BI430" s="135">
        <f>IF(N430="nulová",J430,0)</f>
        <v>0</v>
      </c>
      <c r="BJ430" s="17" t="s">
        <v>78</v>
      </c>
      <c r="BK430" s="135">
        <f>ROUND(I430*H430,2)</f>
        <v>0</v>
      </c>
      <c r="BL430" s="17" t="s">
        <v>221</v>
      </c>
      <c r="BM430" s="134" t="s">
        <v>1078</v>
      </c>
    </row>
    <row r="431" spans="2:47" s="1" customFormat="1" ht="12">
      <c r="B431" s="29"/>
      <c r="D431" s="136" t="s">
        <v>135</v>
      </c>
      <c r="F431" s="137" t="s">
        <v>1079</v>
      </c>
      <c r="L431" s="29"/>
      <c r="M431" s="138"/>
      <c r="T431" s="49"/>
      <c r="AT431" s="17" t="s">
        <v>135</v>
      </c>
      <c r="AU431" s="17" t="s">
        <v>80</v>
      </c>
    </row>
    <row r="432" spans="2:51" s="12" customFormat="1" ht="12">
      <c r="B432" s="139"/>
      <c r="D432" s="140" t="s">
        <v>137</v>
      </c>
      <c r="E432" s="141" t="s">
        <v>3</v>
      </c>
      <c r="F432" s="142" t="s">
        <v>641</v>
      </c>
      <c r="H432" s="143">
        <v>15.648</v>
      </c>
      <c r="L432" s="139"/>
      <c r="M432" s="144"/>
      <c r="T432" s="145"/>
      <c r="AT432" s="141" t="s">
        <v>137</v>
      </c>
      <c r="AU432" s="141" t="s">
        <v>80</v>
      </c>
      <c r="AV432" s="12" t="s">
        <v>80</v>
      </c>
      <c r="AW432" s="12" t="s">
        <v>32</v>
      </c>
      <c r="AX432" s="12" t="s">
        <v>78</v>
      </c>
      <c r="AY432" s="141" t="s">
        <v>126</v>
      </c>
    </row>
    <row r="433" spans="2:65" s="1" customFormat="1" ht="16.5" customHeight="1">
      <c r="B433" s="123"/>
      <c r="C433" s="152" t="s">
        <v>1080</v>
      </c>
      <c r="D433" s="152" t="s">
        <v>405</v>
      </c>
      <c r="E433" s="153" t="s">
        <v>1081</v>
      </c>
      <c r="F433" s="154" t="s">
        <v>1082</v>
      </c>
      <c r="G433" s="155" t="s">
        <v>171</v>
      </c>
      <c r="H433" s="156">
        <v>0.006</v>
      </c>
      <c r="I433" s="157"/>
      <c r="J433" s="157">
        <f>ROUND(I433*H433,2)</f>
        <v>0</v>
      </c>
      <c r="K433" s="154" t="s">
        <v>132</v>
      </c>
      <c r="L433" s="158"/>
      <c r="M433" s="159" t="s">
        <v>3</v>
      </c>
      <c r="N433" s="160" t="s">
        <v>41</v>
      </c>
      <c r="O433" s="132">
        <v>0</v>
      </c>
      <c r="P433" s="132">
        <f>O433*H433</f>
        <v>0</v>
      </c>
      <c r="Q433" s="132">
        <v>1</v>
      </c>
      <c r="R433" s="132">
        <f>Q433*H433</f>
        <v>0.006</v>
      </c>
      <c r="S433" s="132">
        <v>0</v>
      </c>
      <c r="T433" s="133">
        <f>S433*H433</f>
        <v>0</v>
      </c>
      <c r="AR433" s="134" t="s">
        <v>325</v>
      </c>
      <c r="AT433" s="134" t="s">
        <v>405</v>
      </c>
      <c r="AU433" s="134" t="s">
        <v>80</v>
      </c>
      <c r="AY433" s="17" t="s">
        <v>126</v>
      </c>
      <c r="BE433" s="135">
        <f>IF(N433="základní",J433,0)</f>
        <v>0</v>
      </c>
      <c r="BF433" s="135">
        <f>IF(N433="snížená",J433,0)</f>
        <v>0</v>
      </c>
      <c r="BG433" s="135">
        <f>IF(N433="zákl. přenesená",J433,0)</f>
        <v>0</v>
      </c>
      <c r="BH433" s="135">
        <f>IF(N433="sníž. přenesená",J433,0)</f>
        <v>0</v>
      </c>
      <c r="BI433" s="135">
        <f>IF(N433="nulová",J433,0)</f>
        <v>0</v>
      </c>
      <c r="BJ433" s="17" t="s">
        <v>78</v>
      </c>
      <c r="BK433" s="135">
        <f>ROUND(I433*H433,2)</f>
        <v>0</v>
      </c>
      <c r="BL433" s="17" t="s">
        <v>221</v>
      </c>
      <c r="BM433" s="134" t="s">
        <v>1083</v>
      </c>
    </row>
    <row r="434" spans="2:51" s="12" customFormat="1" ht="12">
      <c r="B434" s="139"/>
      <c r="D434" s="140" t="s">
        <v>137</v>
      </c>
      <c r="F434" s="142" t="s">
        <v>1084</v>
      </c>
      <c r="H434" s="143">
        <v>0.006</v>
      </c>
      <c r="L434" s="139"/>
      <c r="M434" s="144"/>
      <c r="T434" s="145"/>
      <c r="AT434" s="141" t="s">
        <v>137</v>
      </c>
      <c r="AU434" s="141" t="s">
        <v>80</v>
      </c>
      <c r="AV434" s="12" t="s">
        <v>80</v>
      </c>
      <c r="AW434" s="12" t="s">
        <v>4</v>
      </c>
      <c r="AX434" s="12" t="s">
        <v>78</v>
      </c>
      <c r="AY434" s="141" t="s">
        <v>126</v>
      </c>
    </row>
    <row r="435" spans="2:65" s="1" customFormat="1" ht="16.5" customHeight="1">
      <c r="B435" s="123"/>
      <c r="C435" s="124" t="s">
        <v>1085</v>
      </c>
      <c r="D435" s="124" t="s">
        <v>128</v>
      </c>
      <c r="E435" s="125" t="s">
        <v>1086</v>
      </c>
      <c r="F435" s="126" t="s">
        <v>1087</v>
      </c>
      <c r="G435" s="127" t="s">
        <v>131</v>
      </c>
      <c r="H435" s="128">
        <v>15.648</v>
      </c>
      <c r="I435" s="129"/>
      <c r="J435" s="129">
        <f>ROUND(I435*H435,2)</f>
        <v>0</v>
      </c>
      <c r="K435" s="126" t="s">
        <v>132</v>
      </c>
      <c r="L435" s="29"/>
      <c r="M435" s="130" t="s">
        <v>3</v>
      </c>
      <c r="N435" s="131" t="s">
        <v>41</v>
      </c>
      <c r="O435" s="132">
        <v>0.222</v>
      </c>
      <c r="P435" s="132">
        <f>O435*H435</f>
        <v>3.473856</v>
      </c>
      <c r="Q435" s="132">
        <v>0.0004</v>
      </c>
      <c r="R435" s="132">
        <f>Q435*H435</f>
        <v>0.0062592</v>
      </c>
      <c r="S435" s="132">
        <v>0</v>
      </c>
      <c r="T435" s="133">
        <f>S435*H435</f>
        <v>0</v>
      </c>
      <c r="AR435" s="134" t="s">
        <v>221</v>
      </c>
      <c r="AT435" s="134" t="s">
        <v>128</v>
      </c>
      <c r="AU435" s="134" t="s">
        <v>80</v>
      </c>
      <c r="AY435" s="17" t="s">
        <v>126</v>
      </c>
      <c r="BE435" s="135">
        <f>IF(N435="základní",J435,0)</f>
        <v>0</v>
      </c>
      <c r="BF435" s="135">
        <f>IF(N435="snížená",J435,0)</f>
        <v>0</v>
      </c>
      <c r="BG435" s="135">
        <f>IF(N435="zákl. přenesená",J435,0)</f>
        <v>0</v>
      </c>
      <c r="BH435" s="135">
        <f>IF(N435="sníž. přenesená",J435,0)</f>
        <v>0</v>
      </c>
      <c r="BI435" s="135">
        <f>IF(N435="nulová",J435,0)</f>
        <v>0</v>
      </c>
      <c r="BJ435" s="17" t="s">
        <v>78</v>
      </c>
      <c r="BK435" s="135">
        <f>ROUND(I435*H435,2)</f>
        <v>0</v>
      </c>
      <c r="BL435" s="17" t="s">
        <v>221</v>
      </c>
      <c r="BM435" s="134" t="s">
        <v>1088</v>
      </c>
    </row>
    <row r="436" spans="2:47" s="1" customFormat="1" ht="12">
      <c r="B436" s="29"/>
      <c r="D436" s="136" t="s">
        <v>135</v>
      </c>
      <c r="F436" s="137" t="s">
        <v>1089</v>
      </c>
      <c r="L436" s="29"/>
      <c r="M436" s="138"/>
      <c r="T436" s="49"/>
      <c r="AT436" s="17" t="s">
        <v>135</v>
      </c>
      <c r="AU436" s="17" t="s">
        <v>80</v>
      </c>
    </row>
    <row r="437" spans="2:51" s="12" customFormat="1" ht="12">
      <c r="B437" s="139"/>
      <c r="D437" s="140" t="s">
        <v>137</v>
      </c>
      <c r="E437" s="141" t="s">
        <v>3</v>
      </c>
      <c r="F437" s="142" t="s">
        <v>641</v>
      </c>
      <c r="H437" s="143">
        <v>15.648</v>
      </c>
      <c r="L437" s="139"/>
      <c r="M437" s="144"/>
      <c r="T437" s="145"/>
      <c r="AT437" s="141" t="s">
        <v>137</v>
      </c>
      <c r="AU437" s="141" t="s">
        <v>80</v>
      </c>
      <c r="AV437" s="12" t="s">
        <v>80</v>
      </c>
      <c r="AW437" s="12" t="s">
        <v>32</v>
      </c>
      <c r="AX437" s="12" t="s">
        <v>78</v>
      </c>
      <c r="AY437" s="141" t="s">
        <v>126</v>
      </c>
    </row>
    <row r="438" spans="2:65" s="1" customFormat="1" ht="24.2" customHeight="1">
      <c r="B438" s="123"/>
      <c r="C438" s="152" t="s">
        <v>1090</v>
      </c>
      <c r="D438" s="152" t="s">
        <v>405</v>
      </c>
      <c r="E438" s="153" t="s">
        <v>1091</v>
      </c>
      <c r="F438" s="154" t="s">
        <v>1092</v>
      </c>
      <c r="G438" s="155" t="s">
        <v>131</v>
      </c>
      <c r="H438" s="156">
        <v>18.238</v>
      </c>
      <c r="I438" s="157"/>
      <c r="J438" s="157">
        <f>ROUND(I438*H438,2)</f>
        <v>0</v>
      </c>
      <c r="K438" s="154" t="s">
        <v>132</v>
      </c>
      <c r="L438" s="158"/>
      <c r="M438" s="159" t="s">
        <v>3</v>
      </c>
      <c r="N438" s="160" t="s">
        <v>41</v>
      </c>
      <c r="O438" s="132">
        <v>0</v>
      </c>
      <c r="P438" s="132">
        <f>O438*H438</f>
        <v>0</v>
      </c>
      <c r="Q438" s="132">
        <v>0.0054</v>
      </c>
      <c r="R438" s="132">
        <f>Q438*H438</f>
        <v>0.09848520000000001</v>
      </c>
      <c r="S438" s="132">
        <v>0</v>
      </c>
      <c r="T438" s="133">
        <f>S438*H438</f>
        <v>0</v>
      </c>
      <c r="AR438" s="134" t="s">
        <v>325</v>
      </c>
      <c r="AT438" s="134" t="s">
        <v>405</v>
      </c>
      <c r="AU438" s="134" t="s">
        <v>80</v>
      </c>
      <c r="AY438" s="17" t="s">
        <v>126</v>
      </c>
      <c r="BE438" s="135">
        <f>IF(N438="základní",J438,0)</f>
        <v>0</v>
      </c>
      <c r="BF438" s="135">
        <f>IF(N438="snížená",J438,0)</f>
        <v>0</v>
      </c>
      <c r="BG438" s="135">
        <f>IF(N438="zákl. přenesená",J438,0)</f>
        <v>0</v>
      </c>
      <c r="BH438" s="135">
        <f>IF(N438="sníž. přenesená",J438,0)</f>
        <v>0</v>
      </c>
      <c r="BI438" s="135">
        <f>IF(N438="nulová",J438,0)</f>
        <v>0</v>
      </c>
      <c r="BJ438" s="17" t="s">
        <v>78</v>
      </c>
      <c r="BK438" s="135">
        <f>ROUND(I438*H438,2)</f>
        <v>0</v>
      </c>
      <c r="BL438" s="17" t="s">
        <v>221</v>
      </c>
      <c r="BM438" s="134" t="s">
        <v>1093</v>
      </c>
    </row>
    <row r="439" spans="2:51" s="12" customFormat="1" ht="12">
      <c r="B439" s="139"/>
      <c r="D439" s="140" t="s">
        <v>137</v>
      </c>
      <c r="F439" s="142" t="s">
        <v>1094</v>
      </c>
      <c r="H439" s="143">
        <v>18.238</v>
      </c>
      <c r="L439" s="139"/>
      <c r="M439" s="144"/>
      <c r="T439" s="145"/>
      <c r="AT439" s="141" t="s">
        <v>137</v>
      </c>
      <c r="AU439" s="141" t="s">
        <v>80</v>
      </c>
      <c r="AV439" s="12" t="s">
        <v>80</v>
      </c>
      <c r="AW439" s="12" t="s">
        <v>4</v>
      </c>
      <c r="AX439" s="12" t="s">
        <v>78</v>
      </c>
      <c r="AY439" s="141" t="s">
        <v>126</v>
      </c>
    </row>
    <row r="440" spans="2:65" s="1" customFormat="1" ht="24.2" customHeight="1">
      <c r="B440" s="123"/>
      <c r="C440" s="124" t="s">
        <v>1095</v>
      </c>
      <c r="D440" s="124" t="s">
        <v>128</v>
      </c>
      <c r="E440" s="125" t="s">
        <v>1096</v>
      </c>
      <c r="F440" s="126" t="s">
        <v>1097</v>
      </c>
      <c r="G440" s="127" t="s">
        <v>413</v>
      </c>
      <c r="H440" s="128"/>
      <c r="I440" s="129"/>
      <c r="J440" s="129">
        <f>ROUND(I440*H440,2)</f>
        <v>0</v>
      </c>
      <c r="K440" s="126" t="s">
        <v>132</v>
      </c>
      <c r="L440" s="29"/>
      <c r="M440" s="130" t="s">
        <v>3</v>
      </c>
      <c r="N440" s="131" t="s">
        <v>41</v>
      </c>
      <c r="O440" s="132">
        <v>0</v>
      </c>
      <c r="P440" s="132">
        <f>O440*H440</f>
        <v>0</v>
      </c>
      <c r="Q440" s="132">
        <v>0</v>
      </c>
      <c r="R440" s="132">
        <f>Q440*H440</f>
        <v>0</v>
      </c>
      <c r="S440" s="132">
        <v>0</v>
      </c>
      <c r="T440" s="133">
        <f>S440*H440</f>
        <v>0</v>
      </c>
      <c r="AR440" s="134" t="s">
        <v>221</v>
      </c>
      <c r="AT440" s="134" t="s">
        <v>128</v>
      </c>
      <c r="AU440" s="134" t="s">
        <v>80</v>
      </c>
      <c r="AY440" s="17" t="s">
        <v>126</v>
      </c>
      <c r="BE440" s="135">
        <f>IF(N440="základní",J440,0)</f>
        <v>0</v>
      </c>
      <c r="BF440" s="135">
        <f>IF(N440="snížená",J440,0)</f>
        <v>0</v>
      </c>
      <c r="BG440" s="135">
        <f>IF(N440="zákl. přenesená",J440,0)</f>
        <v>0</v>
      </c>
      <c r="BH440" s="135">
        <f>IF(N440="sníž. přenesená",J440,0)</f>
        <v>0</v>
      </c>
      <c r="BI440" s="135">
        <f>IF(N440="nulová",J440,0)</f>
        <v>0</v>
      </c>
      <c r="BJ440" s="17" t="s">
        <v>78</v>
      </c>
      <c r="BK440" s="135">
        <f>ROUND(I440*H440,2)</f>
        <v>0</v>
      </c>
      <c r="BL440" s="17" t="s">
        <v>221</v>
      </c>
      <c r="BM440" s="134" t="s">
        <v>1098</v>
      </c>
    </row>
    <row r="441" spans="2:47" s="1" customFormat="1" ht="12">
      <c r="B441" s="29"/>
      <c r="D441" s="136" t="s">
        <v>135</v>
      </c>
      <c r="F441" s="137" t="s">
        <v>1099</v>
      </c>
      <c r="L441" s="29"/>
      <c r="M441" s="138"/>
      <c r="T441" s="49"/>
      <c r="AT441" s="17" t="s">
        <v>135</v>
      </c>
      <c r="AU441" s="17" t="s">
        <v>80</v>
      </c>
    </row>
    <row r="442" spans="2:63" s="11" customFormat="1" ht="22.7" customHeight="1">
      <c r="B442" s="112"/>
      <c r="D442" s="113" t="s">
        <v>69</v>
      </c>
      <c r="E442" s="121" t="s">
        <v>1100</v>
      </c>
      <c r="F442" s="121" t="s">
        <v>1101</v>
      </c>
      <c r="J442" s="122">
        <f>BK442</f>
        <v>0</v>
      </c>
      <c r="L442" s="112"/>
      <c r="M442" s="116"/>
      <c r="P442" s="117">
        <f>SUM(P443:P496)</f>
        <v>638.833808</v>
      </c>
      <c r="R442" s="117">
        <f>SUM(R443:R496)</f>
        <v>18.975638</v>
      </c>
      <c r="T442" s="118">
        <f>SUM(T443:T496)</f>
        <v>0</v>
      </c>
      <c r="AR442" s="113" t="s">
        <v>80</v>
      </c>
      <c r="AT442" s="119" t="s">
        <v>69</v>
      </c>
      <c r="AU442" s="119" t="s">
        <v>78</v>
      </c>
      <c r="AY442" s="113" t="s">
        <v>126</v>
      </c>
      <c r="BK442" s="120">
        <f>SUM(BK443:BK496)</f>
        <v>0</v>
      </c>
    </row>
    <row r="443" spans="2:65" s="1" customFormat="1" ht="24.2" customHeight="1">
      <c r="B443" s="123"/>
      <c r="C443" s="124" t="s">
        <v>1102</v>
      </c>
      <c r="D443" s="124" t="s">
        <v>128</v>
      </c>
      <c r="E443" s="125" t="s">
        <v>1103</v>
      </c>
      <c r="F443" s="126" t="s">
        <v>1104</v>
      </c>
      <c r="G443" s="127" t="s">
        <v>131</v>
      </c>
      <c r="H443" s="128">
        <v>15.648</v>
      </c>
      <c r="I443" s="129"/>
      <c r="J443" s="129">
        <f>ROUND(I443*H443,2)</f>
        <v>0</v>
      </c>
      <c r="K443" s="126" t="s">
        <v>132</v>
      </c>
      <c r="L443" s="29"/>
      <c r="M443" s="130" t="s">
        <v>3</v>
      </c>
      <c r="N443" s="131" t="s">
        <v>41</v>
      </c>
      <c r="O443" s="132">
        <v>0.111</v>
      </c>
      <c r="P443" s="132">
        <f>O443*H443</f>
        <v>1.736928</v>
      </c>
      <c r="Q443" s="132">
        <v>0</v>
      </c>
      <c r="R443" s="132">
        <f>Q443*H443</f>
        <v>0</v>
      </c>
      <c r="S443" s="132">
        <v>0</v>
      </c>
      <c r="T443" s="133">
        <f>S443*H443</f>
        <v>0</v>
      </c>
      <c r="AR443" s="134" t="s">
        <v>221</v>
      </c>
      <c r="AT443" s="134" t="s">
        <v>128</v>
      </c>
      <c r="AU443" s="134" t="s">
        <v>80</v>
      </c>
      <c r="AY443" s="17" t="s">
        <v>126</v>
      </c>
      <c r="BE443" s="135">
        <f>IF(N443="základní",J443,0)</f>
        <v>0</v>
      </c>
      <c r="BF443" s="135">
        <f>IF(N443="snížená",J443,0)</f>
        <v>0</v>
      </c>
      <c r="BG443" s="135">
        <f>IF(N443="zákl. přenesená",J443,0)</f>
        <v>0</v>
      </c>
      <c r="BH443" s="135">
        <f>IF(N443="sníž. přenesená",J443,0)</f>
        <v>0</v>
      </c>
      <c r="BI443" s="135">
        <f>IF(N443="nulová",J443,0)</f>
        <v>0</v>
      </c>
      <c r="BJ443" s="17" t="s">
        <v>78</v>
      </c>
      <c r="BK443" s="135">
        <f>ROUND(I443*H443,2)</f>
        <v>0</v>
      </c>
      <c r="BL443" s="17" t="s">
        <v>221</v>
      </c>
      <c r="BM443" s="134" t="s">
        <v>1105</v>
      </c>
    </row>
    <row r="444" spans="2:47" s="1" customFormat="1" ht="12">
      <c r="B444" s="29"/>
      <c r="D444" s="136" t="s">
        <v>135</v>
      </c>
      <c r="F444" s="137" t="s">
        <v>1106</v>
      </c>
      <c r="L444" s="29"/>
      <c r="M444" s="138"/>
      <c r="T444" s="49"/>
      <c r="AT444" s="17" t="s">
        <v>135</v>
      </c>
      <c r="AU444" s="17" t="s">
        <v>80</v>
      </c>
    </row>
    <row r="445" spans="2:51" s="12" customFormat="1" ht="12">
      <c r="B445" s="139"/>
      <c r="D445" s="140" t="s">
        <v>137</v>
      </c>
      <c r="E445" s="141" t="s">
        <v>3</v>
      </c>
      <c r="F445" s="142" t="s">
        <v>641</v>
      </c>
      <c r="H445" s="143">
        <v>15.648</v>
      </c>
      <c r="L445" s="139"/>
      <c r="M445" s="144"/>
      <c r="T445" s="145"/>
      <c r="AT445" s="141" t="s">
        <v>137</v>
      </c>
      <c r="AU445" s="141" t="s">
        <v>80</v>
      </c>
      <c r="AV445" s="12" t="s">
        <v>80</v>
      </c>
      <c r="AW445" s="12" t="s">
        <v>32</v>
      </c>
      <c r="AX445" s="12" t="s">
        <v>78</v>
      </c>
      <c r="AY445" s="141" t="s">
        <v>126</v>
      </c>
    </row>
    <row r="446" spans="2:65" s="1" customFormat="1" ht="16.5" customHeight="1">
      <c r="B446" s="123"/>
      <c r="C446" s="152" t="s">
        <v>1107</v>
      </c>
      <c r="D446" s="152" t="s">
        <v>405</v>
      </c>
      <c r="E446" s="153" t="s">
        <v>1108</v>
      </c>
      <c r="F446" s="154" t="s">
        <v>1109</v>
      </c>
      <c r="G446" s="155" t="s">
        <v>131</v>
      </c>
      <c r="H446" s="156">
        <v>16.43</v>
      </c>
      <c r="I446" s="157"/>
      <c r="J446" s="157">
        <f>ROUND(I446*H446,2)</f>
        <v>0</v>
      </c>
      <c r="K446" s="154" t="s">
        <v>132</v>
      </c>
      <c r="L446" s="158"/>
      <c r="M446" s="159" t="s">
        <v>3</v>
      </c>
      <c r="N446" s="160" t="s">
        <v>41</v>
      </c>
      <c r="O446" s="132">
        <v>0</v>
      </c>
      <c r="P446" s="132">
        <f>O446*H446</f>
        <v>0</v>
      </c>
      <c r="Q446" s="132">
        <v>0.0024</v>
      </c>
      <c r="R446" s="132">
        <f>Q446*H446</f>
        <v>0.039431999999999995</v>
      </c>
      <c r="S446" s="132">
        <v>0</v>
      </c>
      <c r="T446" s="133">
        <f>S446*H446</f>
        <v>0</v>
      </c>
      <c r="AR446" s="134" t="s">
        <v>325</v>
      </c>
      <c r="AT446" s="134" t="s">
        <v>405</v>
      </c>
      <c r="AU446" s="134" t="s">
        <v>80</v>
      </c>
      <c r="AY446" s="17" t="s">
        <v>126</v>
      </c>
      <c r="BE446" s="135">
        <f>IF(N446="základní",J446,0)</f>
        <v>0</v>
      </c>
      <c r="BF446" s="135">
        <f>IF(N446="snížená",J446,0)</f>
        <v>0</v>
      </c>
      <c r="BG446" s="135">
        <f>IF(N446="zákl. přenesená",J446,0)</f>
        <v>0</v>
      </c>
      <c r="BH446" s="135">
        <f>IF(N446="sníž. přenesená",J446,0)</f>
        <v>0</v>
      </c>
      <c r="BI446" s="135">
        <f>IF(N446="nulová",J446,0)</f>
        <v>0</v>
      </c>
      <c r="BJ446" s="17" t="s">
        <v>78</v>
      </c>
      <c r="BK446" s="135">
        <f>ROUND(I446*H446,2)</f>
        <v>0</v>
      </c>
      <c r="BL446" s="17" t="s">
        <v>221</v>
      </c>
      <c r="BM446" s="134" t="s">
        <v>1110</v>
      </c>
    </row>
    <row r="447" spans="2:51" s="12" customFormat="1" ht="12">
      <c r="B447" s="139"/>
      <c r="D447" s="140" t="s">
        <v>137</v>
      </c>
      <c r="F447" s="142" t="s">
        <v>1111</v>
      </c>
      <c r="H447" s="143">
        <v>16.43</v>
      </c>
      <c r="L447" s="139"/>
      <c r="M447" s="144"/>
      <c r="T447" s="145"/>
      <c r="AT447" s="141" t="s">
        <v>137</v>
      </c>
      <c r="AU447" s="141" t="s">
        <v>80</v>
      </c>
      <c r="AV447" s="12" t="s">
        <v>80</v>
      </c>
      <c r="AW447" s="12" t="s">
        <v>4</v>
      </c>
      <c r="AX447" s="12" t="s">
        <v>78</v>
      </c>
      <c r="AY447" s="141" t="s">
        <v>126</v>
      </c>
    </row>
    <row r="448" spans="2:65" s="1" customFormat="1" ht="24.2" customHeight="1">
      <c r="B448" s="123"/>
      <c r="C448" s="124" t="s">
        <v>1112</v>
      </c>
      <c r="D448" s="124" t="s">
        <v>128</v>
      </c>
      <c r="E448" s="125" t="s">
        <v>1113</v>
      </c>
      <c r="F448" s="126" t="s">
        <v>1114</v>
      </c>
      <c r="G448" s="127" t="s">
        <v>131</v>
      </c>
      <c r="H448" s="128">
        <v>543.4</v>
      </c>
      <c r="I448" s="129"/>
      <c r="J448" s="129">
        <f>ROUND(I448*H448,2)</f>
        <v>0</v>
      </c>
      <c r="K448" s="126" t="s">
        <v>132</v>
      </c>
      <c r="L448" s="29"/>
      <c r="M448" s="130" t="s">
        <v>3</v>
      </c>
      <c r="N448" s="131" t="s">
        <v>41</v>
      </c>
      <c r="O448" s="132">
        <v>0.167</v>
      </c>
      <c r="P448" s="132">
        <f>O448*H448</f>
        <v>90.7478</v>
      </c>
      <c r="Q448" s="132">
        <v>0</v>
      </c>
      <c r="R448" s="132">
        <f>Q448*H448</f>
        <v>0</v>
      </c>
      <c r="S448" s="132">
        <v>0</v>
      </c>
      <c r="T448" s="133">
        <f>S448*H448</f>
        <v>0</v>
      </c>
      <c r="AR448" s="134" t="s">
        <v>221</v>
      </c>
      <c r="AT448" s="134" t="s">
        <v>128</v>
      </c>
      <c r="AU448" s="134" t="s">
        <v>80</v>
      </c>
      <c r="AY448" s="17" t="s">
        <v>126</v>
      </c>
      <c r="BE448" s="135">
        <f>IF(N448="základní",J448,0)</f>
        <v>0</v>
      </c>
      <c r="BF448" s="135">
        <f>IF(N448="snížená",J448,0)</f>
        <v>0</v>
      </c>
      <c r="BG448" s="135">
        <f>IF(N448="zákl. přenesená",J448,0)</f>
        <v>0</v>
      </c>
      <c r="BH448" s="135">
        <f>IF(N448="sníž. přenesená",J448,0)</f>
        <v>0</v>
      </c>
      <c r="BI448" s="135">
        <f>IF(N448="nulová",J448,0)</f>
        <v>0</v>
      </c>
      <c r="BJ448" s="17" t="s">
        <v>78</v>
      </c>
      <c r="BK448" s="135">
        <f>ROUND(I448*H448,2)</f>
        <v>0</v>
      </c>
      <c r="BL448" s="17" t="s">
        <v>221</v>
      </c>
      <c r="BM448" s="134" t="s">
        <v>1115</v>
      </c>
    </row>
    <row r="449" spans="2:47" s="1" customFormat="1" ht="12">
      <c r="B449" s="29"/>
      <c r="D449" s="136" t="s">
        <v>135</v>
      </c>
      <c r="F449" s="137" t="s">
        <v>1116</v>
      </c>
      <c r="L449" s="29"/>
      <c r="M449" s="138"/>
      <c r="T449" s="49"/>
      <c r="AT449" s="17" t="s">
        <v>135</v>
      </c>
      <c r="AU449" s="17" t="s">
        <v>80</v>
      </c>
    </row>
    <row r="450" spans="2:51" s="12" customFormat="1" ht="12">
      <c r="B450" s="139"/>
      <c r="D450" s="140" t="s">
        <v>137</v>
      </c>
      <c r="E450" s="141" t="s">
        <v>3</v>
      </c>
      <c r="F450" s="142" t="s">
        <v>1117</v>
      </c>
      <c r="H450" s="143">
        <v>543.4</v>
      </c>
      <c r="L450" s="139"/>
      <c r="M450" s="144"/>
      <c r="T450" s="145"/>
      <c r="AT450" s="141" t="s">
        <v>137</v>
      </c>
      <c r="AU450" s="141" t="s">
        <v>80</v>
      </c>
      <c r="AV450" s="12" t="s">
        <v>80</v>
      </c>
      <c r="AW450" s="12" t="s">
        <v>32</v>
      </c>
      <c r="AX450" s="12" t="s">
        <v>78</v>
      </c>
      <c r="AY450" s="141" t="s">
        <v>126</v>
      </c>
    </row>
    <row r="451" spans="2:65" s="1" customFormat="1" ht="16.5" customHeight="1">
      <c r="B451" s="123"/>
      <c r="C451" s="152" t="s">
        <v>1118</v>
      </c>
      <c r="D451" s="152" t="s">
        <v>405</v>
      </c>
      <c r="E451" s="153" t="s">
        <v>1119</v>
      </c>
      <c r="F451" s="154" t="s">
        <v>1120</v>
      </c>
      <c r="G451" s="155" t="s">
        <v>131</v>
      </c>
      <c r="H451" s="156">
        <v>597.74</v>
      </c>
      <c r="I451" s="157"/>
      <c r="J451" s="157">
        <f>ROUND(I451*H451,2)</f>
        <v>0</v>
      </c>
      <c r="K451" s="154" t="s">
        <v>132</v>
      </c>
      <c r="L451" s="158"/>
      <c r="M451" s="159" t="s">
        <v>3</v>
      </c>
      <c r="N451" s="160" t="s">
        <v>41</v>
      </c>
      <c r="O451" s="132">
        <v>0</v>
      </c>
      <c r="P451" s="132">
        <f>O451*H451</f>
        <v>0</v>
      </c>
      <c r="Q451" s="132">
        <v>0.0012</v>
      </c>
      <c r="R451" s="132">
        <f>Q451*H451</f>
        <v>0.7172879999999999</v>
      </c>
      <c r="S451" s="132">
        <v>0</v>
      </c>
      <c r="T451" s="133">
        <f>S451*H451</f>
        <v>0</v>
      </c>
      <c r="AR451" s="134" t="s">
        <v>325</v>
      </c>
      <c r="AT451" s="134" t="s">
        <v>405</v>
      </c>
      <c r="AU451" s="134" t="s">
        <v>80</v>
      </c>
      <c r="AY451" s="17" t="s">
        <v>126</v>
      </c>
      <c r="BE451" s="135">
        <f>IF(N451="základní",J451,0)</f>
        <v>0</v>
      </c>
      <c r="BF451" s="135">
        <f>IF(N451="snížená",J451,0)</f>
        <v>0</v>
      </c>
      <c r="BG451" s="135">
        <f>IF(N451="zákl. přenesená",J451,0)</f>
        <v>0</v>
      </c>
      <c r="BH451" s="135">
        <f>IF(N451="sníž. přenesená",J451,0)</f>
        <v>0</v>
      </c>
      <c r="BI451" s="135">
        <f>IF(N451="nulová",J451,0)</f>
        <v>0</v>
      </c>
      <c r="BJ451" s="17" t="s">
        <v>78</v>
      </c>
      <c r="BK451" s="135">
        <f>ROUND(I451*H451,2)</f>
        <v>0</v>
      </c>
      <c r="BL451" s="17" t="s">
        <v>221</v>
      </c>
      <c r="BM451" s="134" t="s">
        <v>1121</v>
      </c>
    </row>
    <row r="452" spans="2:51" s="12" customFormat="1" ht="12">
      <c r="B452" s="139"/>
      <c r="D452" s="140" t="s">
        <v>137</v>
      </c>
      <c r="F452" s="142" t="s">
        <v>1122</v>
      </c>
      <c r="H452" s="143">
        <v>597.74</v>
      </c>
      <c r="L452" s="139"/>
      <c r="M452" s="144"/>
      <c r="T452" s="145"/>
      <c r="AT452" s="141" t="s">
        <v>137</v>
      </c>
      <c r="AU452" s="141" t="s">
        <v>80</v>
      </c>
      <c r="AV452" s="12" t="s">
        <v>80</v>
      </c>
      <c r="AW452" s="12" t="s">
        <v>4</v>
      </c>
      <c r="AX452" s="12" t="s">
        <v>78</v>
      </c>
      <c r="AY452" s="141" t="s">
        <v>126</v>
      </c>
    </row>
    <row r="453" spans="2:65" s="1" customFormat="1" ht="16.5" customHeight="1">
      <c r="B453" s="123"/>
      <c r="C453" s="152" t="s">
        <v>1123</v>
      </c>
      <c r="D453" s="152" t="s">
        <v>405</v>
      </c>
      <c r="E453" s="153" t="s">
        <v>1124</v>
      </c>
      <c r="F453" s="154" t="s">
        <v>1125</v>
      </c>
      <c r="G453" s="155" t="s">
        <v>131</v>
      </c>
      <c r="H453" s="156">
        <v>597.74</v>
      </c>
      <c r="I453" s="157"/>
      <c r="J453" s="157">
        <f>ROUND(I453*H453,2)</f>
        <v>0</v>
      </c>
      <c r="K453" s="154" t="s">
        <v>132</v>
      </c>
      <c r="L453" s="158"/>
      <c r="M453" s="159" t="s">
        <v>3</v>
      </c>
      <c r="N453" s="160" t="s">
        <v>41</v>
      </c>
      <c r="O453" s="132">
        <v>0</v>
      </c>
      <c r="P453" s="132">
        <f>O453*H453</f>
        <v>0</v>
      </c>
      <c r="Q453" s="132">
        <v>0.00052</v>
      </c>
      <c r="R453" s="132">
        <f>Q453*H453</f>
        <v>0.31082479999999996</v>
      </c>
      <c r="S453" s="132">
        <v>0</v>
      </c>
      <c r="T453" s="133">
        <f>S453*H453</f>
        <v>0</v>
      </c>
      <c r="AR453" s="134" t="s">
        <v>325</v>
      </c>
      <c r="AT453" s="134" t="s">
        <v>405</v>
      </c>
      <c r="AU453" s="134" t="s">
        <v>80</v>
      </c>
      <c r="AY453" s="17" t="s">
        <v>126</v>
      </c>
      <c r="BE453" s="135">
        <f>IF(N453="základní",J453,0)</f>
        <v>0</v>
      </c>
      <c r="BF453" s="135">
        <f>IF(N453="snížená",J453,0)</f>
        <v>0</v>
      </c>
      <c r="BG453" s="135">
        <f>IF(N453="zákl. přenesená",J453,0)</f>
        <v>0</v>
      </c>
      <c r="BH453" s="135">
        <f>IF(N453="sníž. přenesená",J453,0)</f>
        <v>0</v>
      </c>
      <c r="BI453" s="135">
        <f>IF(N453="nulová",J453,0)</f>
        <v>0</v>
      </c>
      <c r="BJ453" s="17" t="s">
        <v>78</v>
      </c>
      <c r="BK453" s="135">
        <f>ROUND(I453*H453,2)</f>
        <v>0</v>
      </c>
      <c r="BL453" s="17" t="s">
        <v>221</v>
      </c>
      <c r="BM453" s="134" t="s">
        <v>1126</v>
      </c>
    </row>
    <row r="454" spans="2:51" s="12" customFormat="1" ht="12">
      <c r="B454" s="139"/>
      <c r="D454" s="140" t="s">
        <v>137</v>
      </c>
      <c r="F454" s="142" t="s">
        <v>1122</v>
      </c>
      <c r="H454" s="143">
        <v>597.74</v>
      </c>
      <c r="L454" s="139"/>
      <c r="M454" s="144"/>
      <c r="T454" s="145"/>
      <c r="AT454" s="141" t="s">
        <v>137</v>
      </c>
      <c r="AU454" s="141" t="s">
        <v>80</v>
      </c>
      <c r="AV454" s="12" t="s">
        <v>80</v>
      </c>
      <c r="AW454" s="12" t="s">
        <v>4</v>
      </c>
      <c r="AX454" s="12" t="s">
        <v>78</v>
      </c>
      <c r="AY454" s="141" t="s">
        <v>126</v>
      </c>
    </row>
    <row r="455" spans="2:65" s="1" customFormat="1" ht="24.2" customHeight="1">
      <c r="B455" s="123"/>
      <c r="C455" s="124" t="s">
        <v>1127</v>
      </c>
      <c r="D455" s="124" t="s">
        <v>128</v>
      </c>
      <c r="E455" s="125" t="s">
        <v>1128</v>
      </c>
      <c r="F455" s="126" t="s">
        <v>1129</v>
      </c>
      <c r="G455" s="127" t="s">
        <v>131</v>
      </c>
      <c r="H455" s="128">
        <v>543.4</v>
      </c>
      <c r="I455" s="129"/>
      <c r="J455" s="129">
        <f>ROUND(I455*H455,2)</f>
        <v>0</v>
      </c>
      <c r="K455" s="126" t="s">
        <v>132</v>
      </c>
      <c r="L455" s="29"/>
      <c r="M455" s="130" t="s">
        <v>3</v>
      </c>
      <c r="N455" s="131" t="s">
        <v>41</v>
      </c>
      <c r="O455" s="132">
        <v>0.34</v>
      </c>
      <c r="P455" s="132">
        <f>O455*H455</f>
        <v>184.756</v>
      </c>
      <c r="Q455" s="132">
        <v>0</v>
      </c>
      <c r="R455" s="132">
        <f>Q455*H455</f>
        <v>0</v>
      </c>
      <c r="S455" s="132">
        <v>0</v>
      </c>
      <c r="T455" s="133">
        <f>S455*H455</f>
        <v>0</v>
      </c>
      <c r="AR455" s="134" t="s">
        <v>221</v>
      </c>
      <c r="AT455" s="134" t="s">
        <v>128</v>
      </c>
      <c r="AU455" s="134" t="s">
        <v>80</v>
      </c>
      <c r="AY455" s="17" t="s">
        <v>126</v>
      </c>
      <c r="BE455" s="135">
        <f>IF(N455="základní",J455,0)</f>
        <v>0</v>
      </c>
      <c r="BF455" s="135">
        <f>IF(N455="snížená",J455,0)</f>
        <v>0</v>
      </c>
      <c r="BG455" s="135">
        <f>IF(N455="zákl. přenesená",J455,0)</f>
        <v>0</v>
      </c>
      <c r="BH455" s="135">
        <f>IF(N455="sníž. přenesená",J455,0)</f>
        <v>0</v>
      </c>
      <c r="BI455" s="135">
        <f>IF(N455="nulová",J455,0)</f>
        <v>0</v>
      </c>
      <c r="BJ455" s="17" t="s">
        <v>78</v>
      </c>
      <c r="BK455" s="135">
        <f>ROUND(I455*H455,2)</f>
        <v>0</v>
      </c>
      <c r="BL455" s="17" t="s">
        <v>221</v>
      </c>
      <c r="BM455" s="134" t="s">
        <v>1130</v>
      </c>
    </row>
    <row r="456" spans="2:47" s="1" customFormat="1" ht="12">
      <c r="B456" s="29"/>
      <c r="D456" s="136" t="s">
        <v>135</v>
      </c>
      <c r="F456" s="137" t="s">
        <v>1131</v>
      </c>
      <c r="L456" s="29"/>
      <c r="M456" s="138"/>
      <c r="T456" s="49"/>
      <c r="AT456" s="17" t="s">
        <v>135</v>
      </c>
      <c r="AU456" s="17" t="s">
        <v>80</v>
      </c>
    </row>
    <row r="457" spans="2:51" s="12" customFormat="1" ht="12">
      <c r="B457" s="139"/>
      <c r="D457" s="140" t="s">
        <v>137</v>
      </c>
      <c r="E457" s="141" t="s">
        <v>3</v>
      </c>
      <c r="F457" s="142" t="s">
        <v>1117</v>
      </c>
      <c r="H457" s="143">
        <v>543.4</v>
      </c>
      <c r="L457" s="139"/>
      <c r="M457" s="144"/>
      <c r="T457" s="145"/>
      <c r="AT457" s="141" t="s">
        <v>137</v>
      </c>
      <c r="AU457" s="141" t="s">
        <v>80</v>
      </c>
      <c r="AV457" s="12" t="s">
        <v>80</v>
      </c>
      <c r="AW457" s="12" t="s">
        <v>32</v>
      </c>
      <c r="AX457" s="12" t="s">
        <v>78</v>
      </c>
      <c r="AY457" s="141" t="s">
        <v>126</v>
      </c>
    </row>
    <row r="458" spans="2:65" s="1" customFormat="1" ht="16.5" customHeight="1">
      <c r="B458" s="123"/>
      <c r="C458" s="152" t="s">
        <v>1132</v>
      </c>
      <c r="D458" s="152" t="s">
        <v>405</v>
      </c>
      <c r="E458" s="153" t="s">
        <v>1133</v>
      </c>
      <c r="F458" s="154" t="s">
        <v>1134</v>
      </c>
      <c r="G458" s="155" t="s">
        <v>131</v>
      </c>
      <c r="H458" s="156">
        <v>1141.14</v>
      </c>
      <c r="I458" s="157"/>
      <c r="J458" s="157">
        <f>ROUND(I458*H458,2)</f>
        <v>0</v>
      </c>
      <c r="K458" s="154" t="s">
        <v>132</v>
      </c>
      <c r="L458" s="158"/>
      <c r="M458" s="159" t="s">
        <v>3</v>
      </c>
      <c r="N458" s="160" t="s">
        <v>41</v>
      </c>
      <c r="O458" s="132">
        <v>0</v>
      </c>
      <c r="P458" s="132">
        <f>O458*H458</f>
        <v>0</v>
      </c>
      <c r="Q458" s="132">
        <v>0.00304</v>
      </c>
      <c r="R458" s="132">
        <f>Q458*H458</f>
        <v>3.4690656000000004</v>
      </c>
      <c r="S458" s="132">
        <v>0</v>
      </c>
      <c r="T458" s="133">
        <f>S458*H458</f>
        <v>0</v>
      </c>
      <c r="AR458" s="134" t="s">
        <v>325</v>
      </c>
      <c r="AT458" s="134" t="s">
        <v>405</v>
      </c>
      <c r="AU458" s="134" t="s">
        <v>80</v>
      </c>
      <c r="AY458" s="17" t="s">
        <v>126</v>
      </c>
      <c r="BE458" s="135">
        <f>IF(N458="základní",J458,0)</f>
        <v>0</v>
      </c>
      <c r="BF458" s="135">
        <f>IF(N458="snížená",J458,0)</f>
        <v>0</v>
      </c>
      <c r="BG458" s="135">
        <f>IF(N458="zákl. přenesená",J458,0)</f>
        <v>0</v>
      </c>
      <c r="BH458" s="135">
        <f>IF(N458="sníž. přenesená",J458,0)</f>
        <v>0</v>
      </c>
      <c r="BI458" s="135">
        <f>IF(N458="nulová",J458,0)</f>
        <v>0</v>
      </c>
      <c r="BJ458" s="17" t="s">
        <v>78</v>
      </c>
      <c r="BK458" s="135">
        <f>ROUND(I458*H458,2)</f>
        <v>0</v>
      </c>
      <c r="BL458" s="17" t="s">
        <v>221</v>
      </c>
      <c r="BM458" s="134" t="s">
        <v>1135</v>
      </c>
    </row>
    <row r="459" spans="2:51" s="12" customFormat="1" ht="12">
      <c r="B459" s="139"/>
      <c r="D459" s="140" t="s">
        <v>137</v>
      </c>
      <c r="F459" s="142" t="s">
        <v>1136</v>
      </c>
      <c r="H459" s="143">
        <v>1141.14</v>
      </c>
      <c r="L459" s="139"/>
      <c r="M459" s="144"/>
      <c r="T459" s="145"/>
      <c r="AT459" s="141" t="s">
        <v>137</v>
      </c>
      <c r="AU459" s="141" t="s">
        <v>80</v>
      </c>
      <c r="AV459" s="12" t="s">
        <v>80</v>
      </c>
      <c r="AW459" s="12" t="s">
        <v>4</v>
      </c>
      <c r="AX459" s="12" t="s">
        <v>78</v>
      </c>
      <c r="AY459" s="141" t="s">
        <v>126</v>
      </c>
    </row>
    <row r="460" spans="2:65" s="1" customFormat="1" ht="24.2" customHeight="1">
      <c r="B460" s="123"/>
      <c r="C460" s="124" t="s">
        <v>1137</v>
      </c>
      <c r="D460" s="124" t="s">
        <v>128</v>
      </c>
      <c r="E460" s="125" t="s">
        <v>1138</v>
      </c>
      <c r="F460" s="126" t="s">
        <v>1139</v>
      </c>
      <c r="G460" s="127" t="s">
        <v>131</v>
      </c>
      <c r="H460" s="128">
        <v>4.68</v>
      </c>
      <c r="I460" s="129"/>
      <c r="J460" s="129">
        <f>ROUND(I460*H460,2)</f>
        <v>0</v>
      </c>
      <c r="K460" s="126" t="s">
        <v>132</v>
      </c>
      <c r="L460" s="29"/>
      <c r="M460" s="130" t="s">
        <v>3</v>
      </c>
      <c r="N460" s="131" t="s">
        <v>41</v>
      </c>
      <c r="O460" s="132">
        <v>0.241</v>
      </c>
      <c r="P460" s="132">
        <f>O460*H460</f>
        <v>1.12788</v>
      </c>
      <c r="Q460" s="132">
        <v>0.006</v>
      </c>
      <c r="R460" s="132">
        <f>Q460*H460</f>
        <v>0.028079999999999997</v>
      </c>
      <c r="S460" s="132">
        <v>0</v>
      </c>
      <c r="T460" s="133">
        <f>S460*H460</f>
        <v>0</v>
      </c>
      <c r="AR460" s="134" t="s">
        <v>221</v>
      </c>
      <c r="AT460" s="134" t="s">
        <v>128</v>
      </c>
      <c r="AU460" s="134" t="s">
        <v>80</v>
      </c>
      <c r="AY460" s="17" t="s">
        <v>126</v>
      </c>
      <c r="BE460" s="135">
        <f>IF(N460="základní",J460,0)</f>
        <v>0</v>
      </c>
      <c r="BF460" s="135">
        <f>IF(N460="snížená",J460,0)</f>
        <v>0</v>
      </c>
      <c r="BG460" s="135">
        <f>IF(N460="zákl. přenesená",J460,0)</f>
        <v>0</v>
      </c>
      <c r="BH460" s="135">
        <f>IF(N460="sníž. přenesená",J460,0)</f>
        <v>0</v>
      </c>
      <c r="BI460" s="135">
        <f>IF(N460="nulová",J460,0)</f>
        <v>0</v>
      </c>
      <c r="BJ460" s="17" t="s">
        <v>78</v>
      </c>
      <c r="BK460" s="135">
        <f>ROUND(I460*H460,2)</f>
        <v>0</v>
      </c>
      <c r="BL460" s="17" t="s">
        <v>221</v>
      </c>
      <c r="BM460" s="134" t="s">
        <v>1140</v>
      </c>
    </row>
    <row r="461" spans="2:47" s="1" customFormat="1" ht="12">
      <c r="B461" s="29"/>
      <c r="D461" s="136" t="s">
        <v>135</v>
      </c>
      <c r="F461" s="137" t="s">
        <v>1141</v>
      </c>
      <c r="L461" s="29"/>
      <c r="M461" s="138"/>
      <c r="T461" s="49"/>
      <c r="AT461" s="17" t="s">
        <v>135</v>
      </c>
      <c r="AU461" s="17" t="s">
        <v>80</v>
      </c>
    </row>
    <row r="462" spans="2:51" s="12" customFormat="1" ht="12">
      <c r="B462" s="139"/>
      <c r="D462" s="140" t="s">
        <v>137</v>
      </c>
      <c r="E462" s="141" t="s">
        <v>3</v>
      </c>
      <c r="F462" s="142" t="s">
        <v>1142</v>
      </c>
      <c r="H462" s="143">
        <v>4.68</v>
      </c>
      <c r="L462" s="139"/>
      <c r="M462" s="144"/>
      <c r="T462" s="145"/>
      <c r="AT462" s="141" t="s">
        <v>137</v>
      </c>
      <c r="AU462" s="141" t="s">
        <v>80</v>
      </c>
      <c r="AV462" s="12" t="s">
        <v>80</v>
      </c>
      <c r="AW462" s="12" t="s">
        <v>32</v>
      </c>
      <c r="AX462" s="12" t="s">
        <v>78</v>
      </c>
      <c r="AY462" s="141" t="s">
        <v>126</v>
      </c>
    </row>
    <row r="463" spans="2:65" s="1" customFormat="1" ht="16.5" customHeight="1">
      <c r="B463" s="123"/>
      <c r="C463" s="152" t="s">
        <v>1143</v>
      </c>
      <c r="D463" s="152" t="s">
        <v>405</v>
      </c>
      <c r="E463" s="153" t="s">
        <v>1144</v>
      </c>
      <c r="F463" s="154" t="s">
        <v>1145</v>
      </c>
      <c r="G463" s="155" t="s">
        <v>131</v>
      </c>
      <c r="H463" s="156">
        <v>5.148</v>
      </c>
      <c r="I463" s="157"/>
      <c r="J463" s="157">
        <f>ROUND(I463*H463,2)</f>
        <v>0</v>
      </c>
      <c r="K463" s="154" t="s">
        <v>132</v>
      </c>
      <c r="L463" s="158"/>
      <c r="M463" s="159" t="s">
        <v>3</v>
      </c>
      <c r="N463" s="160" t="s">
        <v>41</v>
      </c>
      <c r="O463" s="132">
        <v>0</v>
      </c>
      <c r="P463" s="132">
        <f>O463*H463</f>
        <v>0</v>
      </c>
      <c r="Q463" s="132">
        <v>0.0018</v>
      </c>
      <c r="R463" s="132">
        <f>Q463*H463</f>
        <v>0.0092664</v>
      </c>
      <c r="S463" s="132">
        <v>0</v>
      </c>
      <c r="T463" s="133">
        <f>S463*H463</f>
        <v>0</v>
      </c>
      <c r="AR463" s="134" t="s">
        <v>325</v>
      </c>
      <c r="AT463" s="134" t="s">
        <v>405</v>
      </c>
      <c r="AU463" s="134" t="s">
        <v>80</v>
      </c>
      <c r="AY463" s="17" t="s">
        <v>126</v>
      </c>
      <c r="BE463" s="135">
        <f>IF(N463="základní",J463,0)</f>
        <v>0</v>
      </c>
      <c r="BF463" s="135">
        <f>IF(N463="snížená",J463,0)</f>
        <v>0</v>
      </c>
      <c r="BG463" s="135">
        <f>IF(N463="zákl. přenesená",J463,0)</f>
        <v>0</v>
      </c>
      <c r="BH463" s="135">
        <f>IF(N463="sníž. přenesená",J463,0)</f>
        <v>0</v>
      </c>
      <c r="BI463" s="135">
        <f>IF(N463="nulová",J463,0)</f>
        <v>0</v>
      </c>
      <c r="BJ463" s="17" t="s">
        <v>78</v>
      </c>
      <c r="BK463" s="135">
        <f>ROUND(I463*H463,2)</f>
        <v>0</v>
      </c>
      <c r="BL463" s="17" t="s">
        <v>221</v>
      </c>
      <c r="BM463" s="134" t="s">
        <v>1146</v>
      </c>
    </row>
    <row r="464" spans="2:51" s="12" customFormat="1" ht="12">
      <c r="B464" s="139"/>
      <c r="D464" s="140" t="s">
        <v>137</v>
      </c>
      <c r="F464" s="142" t="s">
        <v>1147</v>
      </c>
      <c r="H464" s="143">
        <v>5.148</v>
      </c>
      <c r="L464" s="139"/>
      <c r="M464" s="144"/>
      <c r="T464" s="145"/>
      <c r="AT464" s="141" t="s">
        <v>137</v>
      </c>
      <c r="AU464" s="141" t="s">
        <v>80</v>
      </c>
      <c r="AV464" s="12" t="s">
        <v>80</v>
      </c>
      <c r="AW464" s="12" t="s">
        <v>4</v>
      </c>
      <c r="AX464" s="12" t="s">
        <v>78</v>
      </c>
      <c r="AY464" s="141" t="s">
        <v>126</v>
      </c>
    </row>
    <row r="465" spans="2:65" s="1" customFormat="1" ht="24.2" customHeight="1">
      <c r="B465" s="123"/>
      <c r="C465" s="124" t="s">
        <v>1148</v>
      </c>
      <c r="D465" s="124" t="s">
        <v>128</v>
      </c>
      <c r="E465" s="125" t="s">
        <v>1149</v>
      </c>
      <c r="F465" s="126" t="s">
        <v>1150</v>
      </c>
      <c r="G465" s="127" t="s">
        <v>131</v>
      </c>
      <c r="H465" s="128">
        <v>2522</v>
      </c>
      <c r="I465" s="129"/>
      <c r="J465" s="129">
        <f>ROUND(I465*H465,2)</f>
        <v>0</v>
      </c>
      <c r="K465" s="126" t="s">
        <v>132</v>
      </c>
      <c r="L465" s="29"/>
      <c r="M465" s="130" t="s">
        <v>3</v>
      </c>
      <c r="N465" s="131" t="s">
        <v>41</v>
      </c>
      <c r="O465" s="132">
        <v>0.132</v>
      </c>
      <c r="P465" s="132">
        <f>O465*H465</f>
        <v>332.904</v>
      </c>
      <c r="Q465" s="132">
        <v>0</v>
      </c>
      <c r="R465" s="132">
        <f>Q465*H465</f>
        <v>0</v>
      </c>
      <c r="S465" s="132">
        <v>0</v>
      </c>
      <c r="T465" s="133">
        <f>S465*H465</f>
        <v>0</v>
      </c>
      <c r="AR465" s="134" t="s">
        <v>221</v>
      </c>
      <c r="AT465" s="134" t="s">
        <v>128</v>
      </c>
      <c r="AU465" s="134" t="s">
        <v>80</v>
      </c>
      <c r="AY465" s="17" t="s">
        <v>126</v>
      </c>
      <c r="BE465" s="135">
        <f>IF(N465="základní",J465,0)</f>
        <v>0</v>
      </c>
      <c r="BF465" s="135">
        <f>IF(N465="snížená",J465,0)</f>
        <v>0</v>
      </c>
      <c r="BG465" s="135">
        <f>IF(N465="zákl. přenesená",J465,0)</f>
        <v>0</v>
      </c>
      <c r="BH465" s="135">
        <f>IF(N465="sníž. přenesená",J465,0)</f>
        <v>0</v>
      </c>
      <c r="BI465" s="135">
        <f>IF(N465="nulová",J465,0)</f>
        <v>0</v>
      </c>
      <c r="BJ465" s="17" t="s">
        <v>78</v>
      </c>
      <c r="BK465" s="135">
        <f>ROUND(I465*H465,2)</f>
        <v>0</v>
      </c>
      <c r="BL465" s="17" t="s">
        <v>221</v>
      </c>
      <c r="BM465" s="134" t="s">
        <v>1151</v>
      </c>
    </row>
    <row r="466" spans="2:47" s="1" customFormat="1" ht="12">
      <c r="B466" s="29"/>
      <c r="D466" s="136" t="s">
        <v>135</v>
      </c>
      <c r="F466" s="137" t="s">
        <v>1152</v>
      </c>
      <c r="L466" s="29"/>
      <c r="M466" s="138"/>
      <c r="T466" s="49"/>
      <c r="AT466" s="17" t="s">
        <v>135</v>
      </c>
      <c r="AU466" s="17" t="s">
        <v>80</v>
      </c>
    </row>
    <row r="467" spans="2:51" s="12" customFormat="1" ht="12">
      <c r="B467" s="139"/>
      <c r="D467" s="140" t="s">
        <v>137</v>
      </c>
      <c r="E467" s="141" t="s">
        <v>3</v>
      </c>
      <c r="F467" s="142" t="s">
        <v>1153</v>
      </c>
      <c r="H467" s="143">
        <v>790</v>
      </c>
      <c r="L467" s="139"/>
      <c r="M467" s="144"/>
      <c r="T467" s="145"/>
      <c r="AT467" s="141" t="s">
        <v>137</v>
      </c>
      <c r="AU467" s="141" t="s">
        <v>80</v>
      </c>
      <c r="AV467" s="12" t="s">
        <v>80</v>
      </c>
      <c r="AW467" s="12" t="s">
        <v>32</v>
      </c>
      <c r="AX467" s="12" t="s">
        <v>70</v>
      </c>
      <c r="AY467" s="141" t="s">
        <v>126</v>
      </c>
    </row>
    <row r="468" spans="2:51" s="12" customFormat="1" ht="12">
      <c r="B468" s="139"/>
      <c r="D468" s="140" t="s">
        <v>137</v>
      </c>
      <c r="E468" s="141" t="s">
        <v>3</v>
      </c>
      <c r="F468" s="142" t="s">
        <v>1154</v>
      </c>
      <c r="H468" s="143">
        <v>790</v>
      </c>
      <c r="L468" s="139"/>
      <c r="M468" s="144"/>
      <c r="T468" s="145"/>
      <c r="AT468" s="141" t="s">
        <v>137</v>
      </c>
      <c r="AU468" s="141" t="s">
        <v>80</v>
      </c>
      <c r="AV468" s="12" t="s">
        <v>80</v>
      </c>
      <c r="AW468" s="12" t="s">
        <v>32</v>
      </c>
      <c r="AX468" s="12" t="s">
        <v>70</v>
      </c>
      <c r="AY468" s="141" t="s">
        <v>126</v>
      </c>
    </row>
    <row r="469" spans="2:51" s="12" customFormat="1" ht="12">
      <c r="B469" s="139"/>
      <c r="D469" s="140" t="s">
        <v>137</v>
      </c>
      <c r="E469" s="141" t="s">
        <v>3</v>
      </c>
      <c r="F469" s="142" t="s">
        <v>1155</v>
      </c>
      <c r="H469" s="143">
        <v>790</v>
      </c>
      <c r="L469" s="139"/>
      <c r="M469" s="144"/>
      <c r="T469" s="145"/>
      <c r="AT469" s="141" t="s">
        <v>137</v>
      </c>
      <c r="AU469" s="141" t="s">
        <v>80</v>
      </c>
      <c r="AV469" s="12" t="s">
        <v>80</v>
      </c>
      <c r="AW469" s="12" t="s">
        <v>32</v>
      </c>
      <c r="AX469" s="12" t="s">
        <v>70</v>
      </c>
      <c r="AY469" s="141" t="s">
        <v>126</v>
      </c>
    </row>
    <row r="470" spans="2:51" s="12" customFormat="1" ht="12">
      <c r="B470" s="139"/>
      <c r="D470" s="140" t="s">
        <v>137</v>
      </c>
      <c r="E470" s="141" t="s">
        <v>3</v>
      </c>
      <c r="F470" s="142" t="s">
        <v>1156</v>
      </c>
      <c r="H470" s="143">
        <v>47</v>
      </c>
      <c r="L470" s="139"/>
      <c r="M470" s="144"/>
      <c r="T470" s="145"/>
      <c r="AT470" s="141" t="s">
        <v>137</v>
      </c>
      <c r="AU470" s="141" t="s">
        <v>80</v>
      </c>
      <c r="AV470" s="12" t="s">
        <v>80</v>
      </c>
      <c r="AW470" s="12" t="s">
        <v>32</v>
      </c>
      <c r="AX470" s="12" t="s">
        <v>70</v>
      </c>
      <c r="AY470" s="141" t="s">
        <v>126</v>
      </c>
    </row>
    <row r="471" spans="2:51" s="12" customFormat="1" ht="12">
      <c r="B471" s="139"/>
      <c r="D471" s="140" t="s">
        <v>137</v>
      </c>
      <c r="E471" s="141" t="s">
        <v>3</v>
      </c>
      <c r="F471" s="142" t="s">
        <v>1157</v>
      </c>
      <c r="H471" s="143">
        <v>47</v>
      </c>
      <c r="L471" s="139"/>
      <c r="M471" s="144"/>
      <c r="T471" s="145"/>
      <c r="AT471" s="141" t="s">
        <v>137</v>
      </c>
      <c r="AU471" s="141" t="s">
        <v>80</v>
      </c>
      <c r="AV471" s="12" t="s">
        <v>80</v>
      </c>
      <c r="AW471" s="12" t="s">
        <v>32</v>
      </c>
      <c r="AX471" s="12" t="s">
        <v>70</v>
      </c>
      <c r="AY471" s="141" t="s">
        <v>126</v>
      </c>
    </row>
    <row r="472" spans="2:51" s="12" customFormat="1" ht="12">
      <c r="B472" s="139"/>
      <c r="D472" s="140" t="s">
        <v>137</v>
      </c>
      <c r="E472" s="141" t="s">
        <v>3</v>
      </c>
      <c r="F472" s="142" t="s">
        <v>1158</v>
      </c>
      <c r="H472" s="143">
        <v>29</v>
      </c>
      <c r="L472" s="139"/>
      <c r="M472" s="144"/>
      <c r="T472" s="145"/>
      <c r="AT472" s="141" t="s">
        <v>137</v>
      </c>
      <c r="AU472" s="141" t="s">
        <v>80</v>
      </c>
      <c r="AV472" s="12" t="s">
        <v>80</v>
      </c>
      <c r="AW472" s="12" t="s">
        <v>32</v>
      </c>
      <c r="AX472" s="12" t="s">
        <v>70</v>
      </c>
      <c r="AY472" s="141" t="s">
        <v>126</v>
      </c>
    </row>
    <row r="473" spans="2:51" s="12" customFormat="1" ht="12">
      <c r="B473" s="139"/>
      <c r="D473" s="140" t="s">
        <v>137</v>
      </c>
      <c r="E473" s="141" t="s">
        <v>3</v>
      </c>
      <c r="F473" s="142" t="s">
        <v>1159</v>
      </c>
      <c r="H473" s="143">
        <v>29</v>
      </c>
      <c r="L473" s="139"/>
      <c r="M473" s="144"/>
      <c r="T473" s="145"/>
      <c r="AT473" s="141" t="s">
        <v>137</v>
      </c>
      <c r="AU473" s="141" t="s">
        <v>80</v>
      </c>
      <c r="AV473" s="12" t="s">
        <v>80</v>
      </c>
      <c r="AW473" s="12" t="s">
        <v>32</v>
      </c>
      <c r="AX473" s="12" t="s">
        <v>70</v>
      </c>
      <c r="AY473" s="141" t="s">
        <v>126</v>
      </c>
    </row>
    <row r="474" spans="2:51" s="13" customFormat="1" ht="12">
      <c r="B474" s="146"/>
      <c r="D474" s="140" t="s">
        <v>137</v>
      </c>
      <c r="E474" s="147" t="s">
        <v>3</v>
      </c>
      <c r="F474" s="148" t="s">
        <v>151</v>
      </c>
      <c r="H474" s="149">
        <v>2522</v>
      </c>
      <c r="L474" s="146"/>
      <c r="M474" s="150"/>
      <c r="T474" s="151"/>
      <c r="AT474" s="147" t="s">
        <v>137</v>
      </c>
      <c r="AU474" s="147" t="s">
        <v>80</v>
      </c>
      <c r="AV474" s="13" t="s">
        <v>133</v>
      </c>
      <c r="AW474" s="13" t="s">
        <v>32</v>
      </c>
      <c r="AX474" s="13" t="s">
        <v>78</v>
      </c>
      <c r="AY474" s="147" t="s">
        <v>126</v>
      </c>
    </row>
    <row r="475" spans="2:65" s="1" customFormat="1" ht="16.5" customHeight="1">
      <c r="B475" s="123"/>
      <c r="C475" s="152" t="s">
        <v>1160</v>
      </c>
      <c r="D475" s="152" t="s">
        <v>405</v>
      </c>
      <c r="E475" s="153" t="s">
        <v>1161</v>
      </c>
      <c r="F475" s="154" t="s">
        <v>1162</v>
      </c>
      <c r="G475" s="155" t="s">
        <v>131</v>
      </c>
      <c r="H475" s="156">
        <v>1821.6</v>
      </c>
      <c r="I475" s="157"/>
      <c r="J475" s="157">
        <f>ROUND(I475*H475,2)</f>
        <v>0</v>
      </c>
      <c r="K475" s="154" t="s">
        <v>132</v>
      </c>
      <c r="L475" s="158"/>
      <c r="M475" s="159" t="s">
        <v>3</v>
      </c>
      <c r="N475" s="160" t="s">
        <v>41</v>
      </c>
      <c r="O475" s="132">
        <v>0</v>
      </c>
      <c r="P475" s="132">
        <f>O475*H475</f>
        <v>0</v>
      </c>
      <c r="Q475" s="132">
        <v>0.0048</v>
      </c>
      <c r="R475" s="132">
        <f>Q475*H475</f>
        <v>8.74368</v>
      </c>
      <c r="S475" s="132">
        <v>0</v>
      </c>
      <c r="T475" s="133">
        <f>S475*H475</f>
        <v>0</v>
      </c>
      <c r="AR475" s="134" t="s">
        <v>325</v>
      </c>
      <c r="AT475" s="134" t="s">
        <v>405</v>
      </c>
      <c r="AU475" s="134" t="s">
        <v>80</v>
      </c>
      <c r="AY475" s="17" t="s">
        <v>126</v>
      </c>
      <c r="BE475" s="135">
        <f>IF(N475="základní",J475,0)</f>
        <v>0</v>
      </c>
      <c r="BF475" s="135">
        <f>IF(N475="snížená",J475,0)</f>
        <v>0</v>
      </c>
      <c r="BG475" s="135">
        <f>IF(N475="zákl. přenesená",J475,0)</f>
        <v>0</v>
      </c>
      <c r="BH475" s="135">
        <f>IF(N475="sníž. přenesená",J475,0)</f>
        <v>0</v>
      </c>
      <c r="BI475" s="135">
        <f>IF(N475="nulová",J475,0)</f>
        <v>0</v>
      </c>
      <c r="BJ475" s="17" t="s">
        <v>78</v>
      </c>
      <c r="BK475" s="135">
        <f>ROUND(I475*H475,2)</f>
        <v>0</v>
      </c>
      <c r="BL475" s="17" t="s">
        <v>221</v>
      </c>
      <c r="BM475" s="134" t="s">
        <v>1163</v>
      </c>
    </row>
    <row r="476" spans="2:51" s="12" customFormat="1" ht="12">
      <c r="B476" s="139"/>
      <c r="D476" s="140" t="s">
        <v>137</v>
      </c>
      <c r="E476" s="141" t="s">
        <v>3</v>
      </c>
      <c r="F476" s="142" t="s">
        <v>1153</v>
      </c>
      <c r="H476" s="143">
        <v>790</v>
      </c>
      <c r="L476" s="139"/>
      <c r="M476" s="144"/>
      <c r="T476" s="145"/>
      <c r="AT476" s="141" t="s">
        <v>137</v>
      </c>
      <c r="AU476" s="141" t="s">
        <v>80</v>
      </c>
      <c r="AV476" s="12" t="s">
        <v>80</v>
      </c>
      <c r="AW476" s="12" t="s">
        <v>32</v>
      </c>
      <c r="AX476" s="12" t="s">
        <v>70</v>
      </c>
      <c r="AY476" s="141" t="s">
        <v>126</v>
      </c>
    </row>
    <row r="477" spans="2:51" s="12" customFormat="1" ht="12">
      <c r="B477" s="139"/>
      <c r="D477" s="140" t="s">
        <v>137</v>
      </c>
      <c r="E477" s="141" t="s">
        <v>3</v>
      </c>
      <c r="F477" s="142" t="s">
        <v>1154</v>
      </c>
      <c r="H477" s="143">
        <v>790</v>
      </c>
      <c r="L477" s="139"/>
      <c r="M477" s="144"/>
      <c r="T477" s="145"/>
      <c r="AT477" s="141" t="s">
        <v>137</v>
      </c>
      <c r="AU477" s="141" t="s">
        <v>80</v>
      </c>
      <c r="AV477" s="12" t="s">
        <v>80</v>
      </c>
      <c r="AW477" s="12" t="s">
        <v>32</v>
      </c>
      <c r="AX477" s="12" t="s">
        <v>70</v>
      </c>
      <c r="AY477" s="141" t="s">
        <v>126</v>
      </c>
    </row>
    <row r="478" spans="2:51" s="12" customFormat="1" ht="12">
      <c r="B478" s="139"/>
      <c r="D478" s="140" t="s">
        <v>137</v>
      </c>
      <c r="E478" s="141" t="s">
        <v>3</v>
      </c>
      <c r="F478" s="142" t="s">
        <v>1156</v>
      </c>
      <c r="H478" s="143">
        <v>47</v>
      </c>
      <c r="L478" s="139"/>
      <c r="M478" s="144"/>
      <c r="T478" s="145"/>
      <c r="AT478" s="141" t="s">
        <v>137</v>
      </c>
      <c r="AU478" s="141" t="s">
        <v>80</v>
      </c>
      <c r="AV478" s="12" t="s">
        <v>80</v>
      </c>
      <c r="AW478" s="12" t="s">
        <v>32</v>
      </c>
      <c r="AX478" s="12" t="s">
        <v>70</v>
      </c>
      <c r="AY478" s="141" t="s">
        <v>126</v>
      </c>
    </row>
    <row r="479" spans="2:51" s="12" customFormat="1" ht="12">
      <c r="B479" s="139"/>
      <c r="D479" s="140" t="s">
        <v>137</v>
      </c>
      <c r="E479" s="141" t="s">
        <v>3</v>
      </c>
      <c r="F479" s="142" t="s">
        <v>1158</v>
      </c>
      <c r="H479" s="143">
        <v>29</v>
      </c>
      <c r="L479" s="139"/>
      <c r="M479" s="144"/>
      <c r="T479" s="145"/>
      <c r="AT479" s="141" t="s">
        <v>137</v>
      </c>
      <c r="AU479" s="141" t="s">
        <v>80</v>
      </c>
      <c r="AV479" s="12" t="s">
        <v>80</v>
      </c>
      <c r="AW479" s="12" t="s">
        <v>32</v>
      </c>
      <c r="AX479" s="12" t="s">
        <v>70</v>
      </c>
      <c r="AY479" s="141" t="s">
        <v>126</v>
      </c>
    </row>
    <row r="480" spans="2:51" s="13" customFormat="1" ht="12">
      <c r="B480" s="146"/>
      <c r="D480" s="140" t="s">
        <v>137</v>
      </c>
      <c r="E480" s="147" t="s">
        <v>3</v>
      </c>
      <c r="F480" s="148" t="s">
        <v>151</v>
      </c>
      <c r="H480" s="149">
        <v>1656</v>
      </c>
      <c r="L480" s="146"/>
      <c r="M480" s="150"/>
      <c r="T480" s="151"/>
      <c r="AT480" s="147" t="s">
        <v>137</v>
      </c>
      <c r="AU480" s="147" t="s">
        <v>80</v>
      </c>
      <c r="AV480" s="13" t="s">
        <v>133</v>
      </c>
      <c r="AW480" s="13" t="s">
        <v>32</v>
      </c>
      <c r="AX480" s="13" t="s">
        <v>78</v>
      </c>
      <c r="AY480" s="147" t="s">
        <v>126</v>
      </c>
    </row>
    <row r="481" spans="2:51" s="12" customFormat="1" ht="12">
      <c r="B481" s="139"/>
      <c r="D481" s="140" t="s">
        <v>137</v>
      </c>
      <c r="F481" s="142" t="s">
        <v>1164</v>
      </c>
      <c r="H481" s="143">
        <v>1821.6</v>
      </c>
      <c r="L481" s="139"/>
      <c r="M481" s="144"/>
      <c r="T481" s="145"/>
      <c r="AT481" s="141" t="s">
        <v>137</v>
      </c>
      <c r="AU481" s="141" t="s">
        <v>80</v>
      </c>
      <c r="AV481" s="12" t="s">
        <v>80</v>
      </c>
      <c r="AW481" s="12" t="s">
        <v>4</v>
      </c>
      <c r="AX481" s="12" t="s">
        <v>78</v>
      </c>
      <c r="AY481" s="141" t="s">
        <v>126</v>
      </c>
    </row>
    <row r="482" spans="2:65" s="1" customFormat="1" ht="16.5" customHeight="1">
      <c r="B482" s="123"/>
      <c r="C482" s="152" t="s">
        <v>1165</v>
      </c>
      <c r="D482" s="152" t="s">
        <v>405</v>
      </c>
      <c r="E482" s="153" t="s">
        <v>1166</v>
      </c>
      <c r="F482" s="154" t="s">
        <v>1167</v>
      </c>
      <c r="G482" s="155" t="s">
        <v>131</v>
      </c>
      <c r="H482" s="156">
        <v>952.6</v>
      </c>
      <c r="I482" s="157"/>
      <c r="J482" s="157">
        <f>ROUND(I482*H482,2)</f>
        <v>0</v>
      </c>
      <c r="K482" s="154" t="s">
        <v>132</v>
      </c>
      <c r="L482" s="158"/>
      <c r="M482" s="159" t="s">
        <v>3</v>
      </c>
      <c r="N482" s="160" t="s">
        <v>41</v>
      </c>
      <c r="O482" s="132">
        <v>0</v>
      </c>
      <c r="P482" s="132">
        <f>O482*H482</f>
        <v>0</v>
      </c>
      <c r="Q482" s="132">
        <v>0.0054</v>
      </c>
      <c r="R482" s="132">
        <f>Q482*H482</f>
        <v>5.14404</v>
      </c>
      <c r="S482" s="132">
        <v>0</v>
      </c>
      <c r="T482" s="133">
        <f>S482*H482</f>
        <v>0</v>
      </c>
      <c r="AR482" s="134" t="s">
        <v>325</v>
      </c>
      <c r="AT482" s="134" t="s">
        <v>405</v>
      </c>
      <c r="AU482" s="134" t="s">
        <v>80</v>
      </c>
      <c r="AY482" s="17" t="s">
        <v>126</v>
      </c>
      <c r="BE482" s="135">
        <f>IF(N482="základní",J482,0)</f>
        <v>0</v>
      </c>
      <c r="BF482" s="135">
        <f>IF(N482="snížená",J482,0)</f>
        <v>0</v>
      </c>
      <c r="BG482" s="135">
        <f>IF(N482="zákl. přenesená",J482,0)</f>
        <v>0</v>
      </c>
      <c r="BH482" s="135">
        <f>IF(N482="sníž. přenesená",J482,0)</f>
        <v>0</v>
      </c>
      <c r="BI482" s="135">
        <f>IF(N482="nulová",J482,0)</f>
        <v>0</v>
      </c>
      <c r="BJ482" s="17" t="s">
        <v>78</v>
      </c>
      <c r="BK482" s="135">
        <f>ROUND(I482*H482,2)</f>
        <v>0</v>
      </c>
      <c r="BL482" s="17" t="s">
        <v>221</v>
      </c>
      <c r="BM482" s="134" t="s">
        <v>1168</v>
      </c>
    </row>
    <row r="483" spans="2:51" s="12" customFormat="1" ht="12">
      <c r="B483" s="139"/>
      <c r="D483" s="140" t="s">
        <v>137</v>
      </c>
      <c r="E483" s="141" t="s">
        <v>3</v>
      </c>
      <c r="F483" s="142" t="s">
        <v>1155</v>
      </c>
      <c r="H483" s="143">
        <v>790</v>
      </c>
      <c r="L483" s="139"/>
      <c r="M483" s="144"/>
      <c r="T483" s="145"/>
      <c r="AT483" s="141" t="s">
        <v>137</v>
      </c>
      <c r="AU483" s="141" t="s">
        <v>80</v>
      </c>
      <c r="AV483" s="12" t="s">
        <v>80</v>
      </c>
      <c r="AW483" s="12" t="s">
        <v>32</v>
      </c>
      <c r="AX483" s="12" t="s">
        <v>70</v>
      </c>
      <c r="AY483" s="141" t="s">
        <v>126</v>
      </c>
    </row>
    <row r="484" spans="2:51" s="12" customFormat="1" ht="12">
      <c r="B484" s="139"/>
      <c r="D484" s="140" t="s">
        <v>137</v>
      </c>
      <c r="E484" s="141" t="s">
        <v>3</v>
      </c>
      <c r="F484" s="142" t="s">
        <v>1157</v>
      </c>
      <c r="H484" s="143">
        <v>47</v>
      </c>
      <c r="L484" s="139"/>
      <c r="M484" s="144"/>
      <c r="T484" s="145"/>
      <c r="AT484" s="141" t="s">
        <v>137</v>
      </c>
      <c r="AU484" s="141" t="s">
        <v>80</v>
      </c>
      <c r="AV484" s="12" t="s">
        <v>80</v>
      </c>
      <c r="AW484" s="12" t="s">
        <v>32</v>
      </c>
      <c r="AX484" s="12" t="s">
        <v>70</v>
      </c>
      <c r="AY484" s="141" t="s">
        <v>126</v>
      </c>
    </row>
    <row r="485" spans="2:51" s="12" customFormat="1" ht="12">
      <c r="B485" s="139"/>
      <c r="D485" s="140" t="s">
        <v>137</v>
      </c>
      <c r="E485" s="141" t="s">
        <v>3</v>
      </c>
      <c r="F485" s="142" t="s">
        <v>1159</v>
      </c>
      <c r="H485" s="143">
        <v>29</v>
      </c>
      <c r="L485" s="139"/>
      <c r="M485" s="144"/>
      <c r="T485" s="145"/>
      <c r="AT485" s="141" t="s">
        <v>137</v>
      </c>
      <c r="AU485" s="141" t="s">
        <v>80</v>
      </c>
      <c r="AV485" s="12" t="s">
        <v>80</v>
      </c>
      <c r="AW485" s="12" t="s">
        <v>32</v>
      </c>
      <c r="AX485" s="12" t="s">
        <v>70</v>
      </c>
      <c r="AY485" s="141" t="s">
        <v>126</v>
      </c>
    </row>
    <row r="486" spans="2:51" s="13" customFormat="1" ht="12">
      <c r="B486" s="146"/>
      <c r="D486" s="140" t="s">
        <v>137</v>
      </c>
      <c r="E486" s="147" t="s">
        <v>3</v>
      </c>
      <c r="F486" s="148" t="s">
        <v>151</v>
      </c>
      <c r="H486" s="149">
        <v>866</v>
      </c>
      <c r="L486" s="146"/>
      <c r="M486" s="150"/>
      <c r="T486" s="151"/>
      <c r="AT486" s="147" t="s">
        <v>137</v>
      </c>
      <c r="AU486" s="147" t="s">
        <v>80</v>
      </c>
      <c r="AV486" s="13" t="s">
        <v>133</v>
      </c>
      <c r="AW486" s="13" t="s">
        <v>32</v>
      </c>
      <c r="AX486" s="13" t="s">
        <v>78</v>
      </c>
      <c r="AY486" s="147" t="s">
        <v>126</v>
      </c>
    </row>
    <row r="487" spans="2:51" s="12" customFormat="1" ht="12">
      <c r="B487" s="139"/>
      <c r="D487" s="140" t="s">
        <v>137</v>
      </c>
      <c r="F487" s="142" t="s">
        <v>1169</v>
      </c>
      <c r="H487" s="143">
        <v>952.6</v>
      </c>
      <c r="L487" s="139"/>
      <c r="M487" s="144"/>
      <c r="T487" s="145"/>
      <c r="AT487" s="141" t="s">
        <v>137</v>
      </c>
      <c r="AU487" s="141" t="s">
        <v>80</v>
      </c>
      <c r="AV487" s="12" t="s">
        <v>80</v>
      </c>
      <c r="AW487" s="12" t="s">
        <v>4</v>
      </c>
      <c r="AX487" s="12" t="s">
        <v>78</v>
      </c>
      <c r="AY487" s="141" t="s">
        <v>126</v>
      </c>
    </row>
    <row r="488" spans="2:65" s="1" customFormat="1" ht="24.2" customHeight="1">
      <c r="B488" s="123"/>
      <c r="C488" s="124" t="s">
        <v>1170</v>
      </c>
      <c r="D488" s="124" t="s">
        <v>128</v>
      </c>
      <c r="E488" s="125" t="s">
        <v>1171</v>
      </c>
      <c r="F488" s="126" t="s">
        <v>1172</v>
      </c>
      <c r="G488" s="127" t="s">
        <v>131</v>
      </c>
      <c r="H488" s="128">
        <v>1102.448</v>
      </c>
      <c r="I488" s="129"/>
      <c r="J488" s="129">
        <f>ROUND(I488*H488,2)</f>
        <v>0</v>
      </c>
      <c r="K488" s="126" t="s">
        <v>132</v>
      </c>
      <c r="L488" s="29"/>
      <c r="M488" s="130" t="s">
        <v>3</v>
      </c>
      <c r="N488" s="131" t="s">
        <v>41</v>
      </c>
      <c r="O488" s="132">
        <v>0.025</v>
      </c>
      <c r="P488" s="132">
        <f>O488*H488</f>
        <v>27.561200000000003</v>
      </c>
      <c r="Q488" s="132">
        <v>0</v>
      </c>
      <c r="R488" s="132">
        <f>Q488*H488</f>
        <v>0</v>
      </c>
      <c r="S488" s="132">
        <v>0</v>
      </c>
      <c r="T488" s="133">
        <f>S488*H488</f>
        <v>0</v>
      </c>
      <c r="AR488" s="134" t="s">
        <v>221</v>
      </c>
      <c r="AT488" s="134" t="s">
        <v>128</v>
      </c>
      <c r="AU488" s="134" t="s">
        <v>80</v>
      </c>
      <c r="AY488" s="17" t="s">
        <v>126</v>
      </c>
      <c r="BE488" s="135">
        <f>IF(N488="základní",J488,0)</f>
        <v>0</v>
      </c>
      <c r="BF488" s="135">
        <f>IF(N488="snížená",J488,0)</f>
        <v>0</v>
      </c>
      <c r="BG488" s="135">
        <f>IF(N488="zákl. přenesená",J488,0)</f>
        <v>0</v>
      </c>
      <c r="BH488" s="135">
        <f>IF(N488="sníž. přenesená",J488,0)</f>
        <v>0</v>
      </c>
      <c r="BI488" s="135">
        <f>IF(N488="nulová",J488,0)</f>
        <v>0</v>
      </c>
      <c r="BJ488" s="17" t="s">
        <v>78</v>
      </c>
      <c r="BK488" s="135">
        <f>ROUND(I488*H488,2)</f>
        <v>0</v>
      </c>
      <c r="BL488" s="17" t="s">
        <v>221</v>
      </c>
      <c r="BM488" s="134" t="s">
        <v>1173</v>
      </c>
    </row>
    <row r="489" spans="2:47" s="1" customFormat="1" ht="12">
      <c r="B489" s="29"/>
      <c r="D489" s="136" t="s">
        <v>135</v>
      </c>
      <c r="F489" s="137" t="s">
        <v>1174</v>
      </c>
      <c r="L489" s="29"/>
      <c r="M489" s="138"/>
      <c r="T489" s="49"/>
      <c r="AT489" s="17" t="s">
        <v>135</v>
      </c>
      <c r="AU489" s="17" t="s">
        <v>80</v>
      </c>
    </row>
    <row r="490" spans="2:51" s="12" customFormat="1" ht="12">
      <c r="B490" s="139"/>
      <c r="D490" s="140" t="s">
        <v>137</v>
      </c>
      <c r="E490" s="141" t="s">
        <v>3</v>
      </c>
      <c r="F490" s="142" t="s">
        <v>641</v>
      </c>
      <c r="H490" s="143">
        <v>15.648</v>
      </c>
      <c r="L490" s="139"/>
      <c r="M490" s="144"/>
      <c r="T490" s="145"/>
      <c r="AT490" s="141" t="s">
        <v>137</v>
      </c>
      <c r="AU490" s="141" t="s">
        <v>80</v>
      </c>
      <c r="AV490" s="12" t="s">
        <v>80</v>
      </c>
      <c r="AW490" s="12" t="s">
        <v>32</v>
      </c>
      <c r="AX490" s="12" t="s">
        <v>70</v>
      </c>
      <c r="AY490" s="141" t="s">
        <v>126</v>
      </c>
    </row>
    <row r="491" spans="2:51" s="12" customFormat="1" ht="12">
      <c r="B491" s="139"/>
      <c r="D491" s="140" t="s">
        <v>137</v>
      </c>
      <c r="E491" s="141" t="s">
        <v>3</v>
      </c>
      <c r="F491" s="142" t="s">
        <v>1175</v>
      </c>
      <c r="H491" s="143">
        <v>1086.8</v>
      </c>
      <c r="L491" s="139"/>
      <c r="M491" s="144"/>
      <c r="T491" s="145"/>
      <c r="AT491" s="141" t="s">
        <v>137</v>
      </c>
      <c r="AU491" s="141" t="s">
        <v>80</v>
      </c>
      <c r="AV491" s="12" t="s">
        <v>80</v>
      </c>
      <c r="AW491" s="12" t="s">
        <v>32</v>
      </c>
      <c r="AX491" s="12" t="s">
        <v>70</v>
      </c>
      <c r="AY491" s="141" t="s">
        <v>126</v>
      </c>
    </row>
    <row r="492" spans="2:51" s="13" customFormat="1" ht="12">
      <c r="B492" s="146"/>
      <c r="D492" s="140" t="s">
        <v>137</v>
      </c>
      <c r="E492" s="147" t="s">
        <v>3</v>
      </c>
      <c r="F492" s="148" t="s">
        <v>151</v>
      </c>
      <c r="H492" s="149">
        <v>1102.4479999999999</v>
      </c>
      <c r="L492" s="146"/>
      <c r="M492" s="150"/>
      <c r="T492" s="151"/>
      <c r="AT492" s="147" t="s">
        <v>137</v>
      </c>
      <c r="AU492" s="147" t="s">
        <v>80</v>
      </c>
      <c r="AV492" s="13" t="s">
        <v>133</v>
      </c>
      <c r="AW492" s="13" t="s">
        <v>32</v>
      </c>
      <c r="AX492" s="13" t="s">
        <v>78</v>
      </c>
      <c r="AY492" s="147" t="s">
        <v>126</v>
      </c>
    </row>
    <row r="493" spans="2:65" s="1" customFormat="1" ht="16.5" customHeight="1">
      <c r="B493" s="123"/>
      <c r="C493" s="152" t="s">
        <v>1176</v>
      </c>
      <c r="D493" s="152" t="s">
        <v>405</v>
      </c>
      <c r="E493" s="153" t="s">
        <v>1177</v>
      </c>
      <c r="F493" s="154" t="s">
        <v>1178</v>
      </c>
      <c r="G493" s="155" t="s">
        <v>131</v>
      </c>
      <c r="H493" s="156">
        <v>1284.903</v>
      </c>
      <c r="I493" s="157"/>
      <c r="J493" s="157">
        <f>ROUND(I493*H493,2)</f>
        <v>0</v>
      </c>
      <c r="K493" s="154" t="s">
        <v>132</v>
      </c>
      <c r="L493" s="158"/>
      <c r="M493" s="159" t="s">
        <v>3</v>
      </c>
      <c r="N493" s="160" t="s">
        <v>41</v>
      </c>
      <c r="O493" s="132">
        <v>0</v>
      </c>
      <c r="P493" s="132">
        <f>O493*H493</f>
        <v>0</v>
      </c>
      <c r="Q493" s="132">
        <v>0.0004</v>
      </c>
      <c r="R493" s="132">
        <f>Q493*H493</f>
        <v>0.5139612</v>
      </c>
      <c r="S493" s="132">
        <v>0</v>
      </c>
      <c r="T493" s="133">
        <f>S493*H493</f>
        <v>0</v>
      </c>
      <c r="AR493" s="134" t="s">
        <v>325</v>
      </c>
      <c r="AT493" s="134" t="s">
        <v>405</v>
      </c>
      <c r="AU493" s="134" t="s">
        <v>80</v>
      </c>
      <c r="AY493" s="17" t="s">
        <v>126</v>
      </c>
      <c r="BE493" s="135">
        <f>IF(N493="základní",J493,0)</f>
        <v>0</v>
      </c>
      <c r="BF493" s="135">
        <f>IF(N493="snížená",J493,0)</f>
        <v>0</v>
      </c>
      <c r="BG493" s="135">
        <f>IF(N493="zákl. přenesená",J493,0)</f>
        <v>0</v>
      </c>
      <c r="BH493" s="135">
        <f>IF(N493="sníž. přenesená",J493,0)</f>
        <v>0</v>
      </c>
      <c r="BI493" s="135">
        <f>IF(N493="nulová",J493,0)</f>
        <v>0</v>
      </c>
      <c r="BJ493" s="17" t="s">
        <v>78</v>
      </c>
      <c r="BK493" s="135">
        <f>ROUND(I493*H493,2)</f>
        <v>0</v>
      </c>
      <c r="BL493" s="17" t="s">
        <v>221</v>
      </c>
      <c r="BM493" s="134" t="s">
        <v>1179</v>
      </c>
    </row>
    <row r="494" spans="2:51" s="12" customFormat="1" ht="12">
      <c r="B494" s="139"/>
      <c r="D494" s="140" t="s">
        <v>137</v>
      </c>
      <c r="F494" s="142" t="s">
        <v>1180</v>
      </c>
      <c r="H494" s="143">
        <v>1284.903</v>
      </c>
      <c r="L494" s="139"/>
      <c r="M494" s="144"/>
      <c r="T494" s="145"/>
      <c r="AT494" s="141" t="s">
        <v>137</v>
      </c>
      <c r="AU494" s="141" t="s">
        <v>80</v>
      </c>
      <c r="AV494" s="12" t="s">
        <v>80</v>
      </c>
      <c r="AW494" s="12" t="s">
        <v>4</v>
      </c>
      <c r="AX494" s="12" t="s">
        <v>78</v>
      </c>
      <c r="AY494" s="141" t="s">
        <v>126</v>
      </c>
    </row>
    <row r="495" spans="2:65" s="1" customFormat="1" ht="24.2" customHeight="1">
      <c r="B495" s="123"/>
      <c r="C495" s="124" t="s">
        <v>1181</v>
      </c>
      <c r="D495" s="124" t="s">
        <v>128</v>
      </c>
      <c r="E495" s="125" t="s">
        <v>1182</v>
      </c>
      <c r="F495" s="126" t="s">
        <v>1183</v>
      </c>
      <c r="G495" s="127" t="s">
        <v>413</v>
      </c>
      <c r="H495" s="128"/>
      <c r="I495" s="129"/>
      <c r="J495" s="129">
        <f>ROUND(I495*H495,2)</f>
        <v>0</v>
      </c>
      <c r="K495" s="126" t="s">
        <v>132</v>
      </c>
      <c r="L495" s="29"/>
      <c r="M495" s="130" t="s">
        <v>3</v>
      </c>
      <c r="N495" s="131" t="s">
        <v>41</v>
      </c>
      <c r="O495" s="132">
        <v>0</v>
      </c>
      <c r="P495" s="132">
        <f>O495*H495</f>
        <v>0</v>
      </c>
      <c r="Q495" s="132">
        <v>0</v>
      </c>
      <c r="R495" s="132">
        <f>Q495*H495</f>
        <v>0</v>
      </c>
      <c r="S495" s="132">
        <v>0</v>
      </c>
      <c r="T495" s="133">
        <f>S495*H495</f>
        <v>0</v>
      </c>
      <c r="AR495" s="134" t="s">
        <v>221</v>
      </c>
      <c r="AT495" s="134" t="s">
        <v>128</v>
      </c>
      <c r="AU495" s="134" t="s">
        <v>80</v>
      </c>
      <c r="AY495" s="17" t="s">
        <v>126</v>
      </c>
      <c r="BE495" s="135">
        <f>IF(N495="základní",J495,0)</f>
        <v>0</v>
      </c>
      <c r="BF495" s="135">
        <f>IF(N495="snížená",J495,0)</f>
        <v>0</v>
      </c>
      <c r="BG495" s="135">
        <f>IF(N495="zákl. přenesená",J495,0)</f>
        <v>0</v>
      </c>
      <c r="BH495" s="135">
        <f>IF(N495="sníž. přenesená",J495,0)</f>
        <v>0</v>
      </c>
      <c r="BI495" s="135">
        <f>IF(N495="nulová",J495,0)</f>
        <v>0</v>
      </c>
      <c r="BJ495" s="17" t="s">
        <v>78</v>
      </c>
      <c r="BK495" s="135">
        <f>ROUND(I495*H495,2)</f>
        <v>0</v>
      </c>
      <c r="BL495" s="17" t="s">
        <v>221</v>
      </c>
      <c r="BM495" s="134" t="s">
        <v>1184</v>
      </c>
    </row>
    <row r="496" spans="2:47" s="1" customFormat="1" ht="12">
      <c r="B496" s="29"/>
      <c r="D496" s="136" t="s">
        <v>135</v>
      </c>
      <c r="F496" s="137" t="s">
        <v>1185</v>
      </c>
      <c r="L496" s="29"/>
      <c r="M496" s="138"/>
      <c r="T496" s="49"/>
      <c r="AT496" s="17" t="s">
        <v>135</v>
      </c>
      <c r="AU496" s="17" t="s">
        <v>80</v>
      </c>
    </row>
    <row r="497" spans="2:63" s="11" customFormat="1" ht="22.7" customHeight="1">
      <c r="B497" s="112"/>
      <c r="D497" s="113" t="s">
        <v>69</v>
      </c>
      <c r="E497" s="121" t="s">
        <v>416</v>
      </c>
      <c r="F497" s="121" t="s">
        <v>417</v>
      </c>
      <c r="J497" s="122">
        <f>BK497</f>
        <v>0</v>
      </c>
      <c r="L497" s="112"/>
      <c r="M497" s="116"/>
      <c r="P497" s="117">
        <f>SUM(P498:P500)</f>
        <v>0</v>
      </c>
      <c r="R497" s="117">
        <f>SUM(R498:R500)</f>
        <v>0</v>
      </c>
      <c r="T497" s="118">
        <f>SUM(T498:T500)</f>
        <v>0</v>
      </c>
      <c r="AR497" s="113" t="s">
        <v>80</v>
      </c>
      <c r="AT497" s="119" t="s">
        <v>69</v>
      </c>
      <c r="AU497" s="119" t="s">
        <v>78</v>
      </c>
      <c r="AY497" s="113" t="s">
        <v>126</v>
      </c>
      <c r="BK497" s="120">
        <f>SUM(BK498:BK500)</f>
        <v>0</v>
      </c>
    </row>
    <row r="498" spans="2:65" s="1" customFormat="1" ht="16.5" customHeight="1">
      <c r="B498" s="123"/>
      <c r="C498" s="124" t="s">
        <v>1186</v>
      </c>
      <c r="D498" s="124" t="s">
        <v>128</v>
      </c>
      <c r="E498" s="125" t="s">
        <v>419</v>
      </c>
      <c r="F498" s="126" t="s">
        <v>1187</v>
      </c>
      <c r="G498" s="127" t="s">
        <v>183</v>
      </c>
      <c r="H498" s="128">
        <v>1</v>
      </c>
      <c r="I498" s="129">
        <f>zdravotechnika!J150</f>
        <v>0</v>
      </c>
      <c r="J498" s="129">
        <f>ROUND(I498*H498,2)</f>
        <v>0</v>
      </c>
      <c r="K498" s="126" t="s">
        <v>3</v>
      </c>
      <c r="L498" s="29"/>
      <c r="M498" s="130" t="s">
        <v>3</v>
      </c>
      <c r="N498" s="131" t="s">
        <v>41</v>
      </c>
      <c r="O498" s="132">
        <v>0</v>
      </c>
      <c r="P498" s="132">
        <f>O498*H498</f>
        <v>0</v>
      </c>
      <c r="Q498" s="132">
        <v>0</v>
      </c>
      <c r="R498" s="132">
        <f>Q498*H498</f>
        <v>0</v>
      </c>
      <c r="S498" s="132">
        <v>0</v>
      </c>
      <c r="T498" s="133">
        <f>S498*H498</f>
        <v>0</v>
      </c>
      <c r="AR498" s="134" t="s">
        <v>221</v>
      </c>
      <c r="AT498" s="134" t="s">
        <v>128</v>
      </c>
      <c r="AU498" s="134" t="s">
        <v>80</v>
      </c>
      <c r="AY498" s="17" t="s">
        <v>126</v>
      </c>
      <c r="BE498" s="135">
        <f>IF(N498="základní",J498,0)</f>
        <v>0</v>
      </c>
      <c r="BF498" s="135">
        <f>IF(N498="snížená",J498,0)</f>
        <v>0</v>
      </c>
      <c r="BG498" s="135">
        <f>IF(N498="zákl. přenesená",J498,0)</f>
        <v>0</v>
      </c>
      <c r="BH498" s="135">
        <f>IF(N498="sníž. přenesená",J498,0)</f>
        <v>0</v>
      </c>
      <c r="BI498" s="135">
        <f>IF(N498="nulová",J498,0)</f>
        <v>0</v>
      </c>
      <c r="BJ498" s="17" t="s">
        <v>78</v>
      </c>
      <c r="BK498" s="135">
        <f>ROUND(I498*H498,2)</f>
        <v>0</v>
      </c>
      <c r="BL498" s="17" t="s">
        <v>221</v>
      </c>
      <c r="BM498" s="134" t="s">
        <v>1188</v>
      </c>
    </row>
    <row r="499" spans="2:65" s="1" customFormat="1" ht="16.5" customHeight="1">
      <c r="B499" s="123"/>
      <c r="C499" s="124" t="s">
        <v>1189</v>
      </c>
      <c r="D499" s="124" t="s">
        <v>128</v>
      </c>
      <c r="E499" s="125" t="s">
        <v>1190</v>
      </c>
      <c r="F499" s="126" t="s">
        <v>1191</v>
      </c>
      <c r="G499" s="127" t="s">
        <v>183</v>
      </c>
      <c r="H499" s="128">
        <v>1</v>
      </c>
      <c r="I499" s="129">
        <f>plyn!H15</f>
        <v>0</v>
      </c>
      <c r="J499" s="129">
        <f>ROUND(I499*H499,2)</f>
        <v>0</v>
      </c>
      <c r="K499" s="126" t="s">
        <v>3</v>
      </c>
      <c r="L499" s="29"/>
      <c r="M499" s="130" t="s">
        <v>3</v>
      </c>
      <c r="N499" s="131" t="s">
        <v>41</v>
      </c>
      <c r="O499" s="132">
        <v>0</v>
      </c>
      <c r="P499" s="132">
        <f>O499*H499</f>
        <v>0</v>
      </c>
      <c r="Q499" s="132">
        <v>0</v>
      </c>
      <c r="R499" s="132">
        <f>Q499*H499</f>
        <v>0</v>
      </c>
      <c r="S499" s="132">
        <v>0</v>
      </c>
      <c r="T499" s="133">
        <f>S499*H499</f>
        <v>0</v>
      </c>
      <c r="AR499" s="134" t="s">
        <v>221</v>
      </c>
      <c r="AT499" s="134" t="s">
        <v>128</v>
      </c>
      <c r="AU499" s="134" t="s">
        <v>80</v>
      </c>
      <c r="AY499" s="17" t="s">
        <v>126</v>
      </c>
      <c r="BE499" s="135">
        <f>IF(N499="základní",J499,0)</f>
        <v>0</v>
      </c>
      <c r="BF499" s="135">
        <f>IF(N499="snížená",J499,0)</f>
        <v>0</v>
      </c>
      <c r="BG499" s="135">
        <f>IF(N499="zákl. přenesená",J499,0)</f>
        <v>0</v>
      </c>
      <c r="BH499" s="135">
        <f>IF(N499="sníž. přenesená",J499,0)</f>
        <v>0</v>
      </c>
      <c r="BI499" s="135">
        <f>IF(N499="nulová",J499,0)</f>
        <v>0</v>
      </c>
      <c r="BJ499" s="17" t="s">
        <v>78</v>
      </c>
      <c r="BK499" s="135">
        <f>ROUND(I499*H499,2)</f>
        <v>0</v>
      </c>
      <c r="BL499" s="17" t="s">
        <v>221</v>
      </c>
      <c r="BM499" s="134" t="s">
        <v>1192</v>
      </c>
    </row>
    <row r="500" spans="2:65" s="1" customFormat="1" ht="16.5" customHeight="1">
      <c r="B500" s="123"/>
      <c r="C500" s="124" t="s">
        <v>1193</v>
      </c>
      <c r="D500" s="124" t="s">
        <v>128</v>
      </c>
      <c r="E500" s="125" t="s">
        <v>1194</v>
      </c>
      <c r="F500" s="126" t="s">
        <v>1195</v>
      </c>
      <c r="G500" s="127" t="s">
        <v>413</v>
      </c>
      <c r="H500" s="128"/>
      <c r="I500" s="129"/>
      <c r="J500" s="129">
        <f>ROUND(I500*H500,2)</f>
        <v>0</v>
      </c>
      <c r="K500" s="126" t="s">
        <v>3</v>
      </c>
      <c r="L500" s="29"/>
      <c r="M500" s="130" t="s">
        <v>3</v>
      </c>
      <c r="N500" s="131" t="s">
        <v>41</v>
      </c>
      <c r="O500" s="132">
        <v>0</v>
      </c>
      <c r="P500" s="132">
        <f>O500*H500</f>
        <v>0</v>
      </c>
      <c r="Q500" s="132">
        <v>0</v>
      </c>
      <c r="R500" s="132">
        <f>Q500*H500</f>
        <v>0</v>
      </c>
      <c r="S500" s="132">
        <v>0</v>
      </c>
      <c r="T500" s="133">
        <f>S500*H500</f>
        <v>0</v>
      </c>
      <c r="AR500" s="134" t="s">
        <v>221</v>
      </c>
      <c r="AT500" s="134" t="s">
        <v>128</v>
      </c>
      <c r="AU500" s="134" t="s">
        <v>80</v>
      </c>
      <c r="AY500" s="17" t="s">
        <v>126</v>
      </c>
      <c r="BE500" s="135">
        <f>IF(N500="základní",J500,0)</f>
        <v>0</v>
      </c>
      <c r="BF500" s="135">
        <f>IF(N500="snížená",J500,0)</f>
        <v>0</v>
      </c>
      <c r="BG500" s="135">
        <f>IF(N500="zákl. přenesená",J500,0)</f>
        <v>0</v>
      </c>
      <c r="BH500" s="135">
        <f>IF(N500="sníž. přenesená",J500,0)</f>
        <v>0</v>
      </c>
      <c r="BI500" s="135">
        <f>IF(N500="nulová",J500,0)</f>
        <v>0</v>
      </c>
      <c r="BJ500" s="17" t="s">
        <v>78</v>
      </c>
      <c r="BK500" s="135">
        <f>ROUND(I500*H500,2)</f>
        <v>0</v>
      </c>
      <c r="BL500" s="17" t="s">
        <v>221</v>
      </c>
      <c r="BM500" s="134" t="s">
        <v>1196</v>
      </c>
    </row>
    <row r="501" spans="2:63" s="11" customFormat="1" ht="22.7" customHeight="1">
      <c r="B501" s="112"/>
      <c r="D501" s="113" t="s">
        <v>69</v>
      </c>
      <c r="E501" s="121" t="s">
        <v>422</v>
      </c>
      <c r="F501" s="121" t="s">
        <v>423</v>
      </c>
      <c r="J501" s="122">
        <f>BK501</f>
        <v>0</v>
      </c>
      <c r="L501" s="112"/>
      <c r="M501" s="116"/>
      <c r="P501" s="117">
        <f>SUM(P502:P503)</f>
        <v>0</v>
      </c>
      <c r="R501" s="117">
        <f>SUM(R502:R503)</f>
        <v>0</v>
      </c>
      <c r="T501" s="118">
        <f>SUM(T502:T503)</f>
        <v>0</v>
      </c>
      <c r="AR501" s="113" t="s">
        <v>80</v>
      </c>
      <c r="AT501" s="119" t="s">
        <v>69</v>
      </c>
      <c r="AU501" s="119" t="s">
        <v>78</v>
      </c>
      <c r="AY501" s="113" t="s">
        <v>126</v>
      </c>
      <c r="BK501" s="120">
        <f>SUM(BK502:BK503)</f>
        <v>0</v>
      </c>
    </row>
    <row r="502" spans="2:65" s="1" customFormat="1" ht="16.5" customHeight="1">
      <c r="B502" s="123"/>
      <c r="C502" s="124" t="s">
        <v>1197</v>
      </c>
      <c r="D502" s="124" t="s">
        <v>128</v>
      </c>
      <c r="E502" s="125" t="s">
        <v>425</v>
      </c>
      <c r="F502" s="126" t="s">
        <v>1198</v>
      </c>
      <c r="G502" s="127" t="s">
        <v>183</v>
      </c>
      <c r="H502" s="128">
        <v>1</v>
      </c>
      <c r="I502" s="129">
        <f>vytapeni!I113</f>
        <v>0</v>
      </c>
      <c r="J502" s="129">
        <f>ROUND(I502*H502,2)</f>
        <v>0</v>
      </c>
      <c r="K502" s="126" t="s">
        <v>3</v>
      </c>
      <c r="L502" s="29"/>
      <c r="M502" s="130" t="s">
        <v>3</v>
      </c>
      <c r="N502" s="131" t="s">
        <v>41</v>
      </c>
      <c r="O502" s="132">
        <v>0</v>
      </c>
      <c r="P502" s="132">
        <f>O502*H502</f>
        <v>0</v>
      </c>
      <c r="Q502" s="132">
        <v>0</v>
      </c>
      <c r="R502" s="132">
        <f>Q502*H502</f>
        <v>0</v>
      </c>
      <c r="S502" s="132">
        <v>0</v>
      </c>
      <c r="T502" s="133">
        <f>S502*H502</f>
        <v>0</v>
      </c>
      <c r="AR502" s="134" t="s">
        <v>221</v>
      </c>
      <c r="AT502" s="134" t="s">
        <v>128</v>
      </c>
      <c r="AU502" s="134" t="s">
        <v>80</v>
      </c>
      <c r="AY502" s="17" t="s">
        <v>126</v>
      </c>
      <c r="BE502" s="135">
        <f>IF(N502="základní",J502,0)</f>
        <v>0</v>
      </c>
      <c r="BF502" s="135">
        <f>IF(N502="snížená",J502,0)</f>
        <v>0</v>
      </c>
      <c r="BG502" s="135">
        <f>IF(N502="zákl. přenesená",J502,0)</f>
        <v>0</v>
      </c>
      <c r="BH502" s="135">
        <f>IF(N502="sníž. přenesená",J502,0)</f>
        <v>0</v>
      </c>
      <c r="BI502" s="135">
        <f>IF(N502="nulová",J502,0)</f>
        <v>0</v>
      </c>
      <c r="BJ502" s="17" t="s">
        <v>78</v>
      </c>
      <c r="BK502" s="135">
        <f>ROUND(I502*H502,2)</f>
        <v>0</v>
      </c>
      <c r="BL502" s="17" t="s">
        <v>221</v>
      </c>
      <c r="BM502" s="134" t="s">
        <v>1199</v>
      </c>
    </row>
    <row r="503" spans="2:65" s="1" customFormat="1" ht="16.5" customHeight="1">
      <c r="B503" s="123"/>
      <c r="C503" s="124" t="s">
        <v>1200</v>
      </c>
      <c r="D503" s="124" t="s">
        <v>128</v>
      </c>
      <c r="E503" s="125" t="s">
        <v>1201</v>
      </c>
      <c r="F503" s="126" t="s">
        <v>1195</v>
      </c>
      <c r="G503" s="127" t="s">
        <v>413</v>
      </c>
      <c r="H503" s="128"/>
      <c r="I503" s="129"/>
      <c r="J503" s="129">
        <f>ROUND(I503*H503,2)</f>
        <v>0</v>
      </c>
      <c r="K503" s="126" t="s">
        <v>3</v>
      </c>
      <c r="L503" s="29"/>
      <c r="M503" s="130" t="s">
        <v>3</v>
      </c>
      <c r="N503" s="131" t="s">
        <v>41</v>
      </c>
      <c r="O503" s="132">
        <v>0</v>
      </c>
      <c r="P503" s="132">
        <f>O503*H503</f>
        <v>0</v>
      </c>
      <c r="Q503" s="132">
        <v>0</v>
      </c>
      <c r="R503" s="132">
        <f>Q503*H503</f>
        <v>0</v>
      </c>
      <c r="S503" s="132">
        <v>0</v>
      </c>
      <c r="T503" s="133">
        <f>S503*H503</f>
        <v>0</v>
      </c>
      <c r="AR503" s="134" t="s">
        <v>221</v>
      </c>
      <c r="AT503" s="134" t="s">
        <v>128</v>
      </c>
      <c r="AU503" s="134" t="s">
        <v>80</v>
      </c>
      <c r="AY503" s="17" t="s">
        <v>126</v>
      </c>
      <c r="BE503" s="135">
        <f>IF(N503="základní",J503,0)</f>
        <v>0</v>
      </c>
      <c r="BF503" s="135">
        <f>IF(N503="snížená",J503,0)</f>
        <v>0</v>
      </c>
      <c r="BG503" s="135">
        <f>IF(N503="zákl. přenesená",J503,0)</f>
        <v>0</v>
      </c>
      <c r="BH503" s="135">
        <f>IF(N503="sníž. přenesená",J503,0)</f>
        <v>0</v>
      </c>
      <c r="BI503" s="135">
        <f>IF(N503="nulová",J503,0)</f>
        <v>0</v>
      </c>
      <c r="BJ503" s="17" t="s">
        <v>78</v>
      </c>
      <c r="BK503" s="135">
        <f>ROUND(I503*H503,2)</f>
        <v>0</v>
      </c>
      <c r="BL503" s="17" t="s">
        <v>221</v>
      </c>
      <c r="BM503" s="134" t="s">
        <v>1202</v>
      </c>
    </row>
    <row r="504" spans="2:63" s="11" customFormat="1" ht="22.7" customHeight="1">
      <c r="B504" s="112"/>
      <c r="D504" s="113" t="s">
        <v>69</v>
      </c>
      <c r="E504" s="121" t="s">
        <v>428</v>
      </c>
      <c r="F504" s="121" t="s">
        <v>1203</v>
      </c>
      <c r="J504" s="122">
        <f>BK504</f>
        <v>0</v>
      </c>
      <c r="L504" s="112"/>
      <c r="M504" s="116"/>
      <c r="P504" s="117">
        <f>SUM(P505:P507)</f>
        <v>0</v>
      </c>
      <c r="R504" s="117">
        <f>SUM(R505:R507)</f>
        <v>0</v>
      </c>
      <c r="T504" s="118">
        <f>SUM(T505:T507)</f>
        <v>0</v>
      </c>
      <c r="AR504" s="113" t="s">
        <v>80</v>
      </c>
      <c r="AT504" s="119" t="s">
        <v>69</v>
      </c>
      <c r="AU504" s="119" t="s">
        <v>78</v>
      </c>
      <c r="AY504" s="113" t="s">
        <v>126</v>
      </c>
      <c r="BK504" s="120">
        <f>SUM(BK505:BK507)</f>
        <v>0</v>
      </c>
    </row>
    <row r="505" spans="2:65" s="1" customFormat="1" ht="16.5" customHeight="1">
      <c r="B505" s="123"/>
      <c r="C505" s="124" t="s">
        <v>1204</v>
      </c>
      <c r="D505" s="124" t="s">
        <v>128</v>
      </c>
      <c r="E505" s="125" t="s">
        <v>431</v>
      </c>
      <c r="F505" s="126" t="s">
        <v>1205</v>
      </c>
      <c r="G505" s="127" t="s">
        <v>183</v>
      </c>
      <c r="H505" s="128">
        <v>1</v>
      </c>
      <c r="I505" s="129">
        <f>elektroinstalace!F113</f>
        <v>0</v>
      </c>
      <c r="J505" s="129">
        <f>ROUND(I505*H505,2)</f>
        <v>0</v>
      </c>
      <c r="K505" s="126" t="s">
        <v>3</v>
      </c>
      <c r="L505" s="29"/>
      <c r="M505" s="130" t="s">
        <v>3</v>
      </c>
      <c r="N505" s="131" t="s">
        <v>41</v>
      </c>
      <c r="O505" s="132">
        <v>0</v>
      </c>
      <c r="P505" s="132">
        <f>O505*H505</f>
        <v>0</v>
      </c>
      <c r="Q505" s="132">
        <v>0</v>
      </c>
      <c r="R505" s="132">
        <f>Q505*H505</f>
        <v>0</v>
      </c>
      <c r="S505" s="132">
        <v>0</v>
      </c>
      <c r="T505" s="133">
        <f>S505*H505</f>
        <v>0</v>
      </c>
      <c r="AR505" s="134" t="s">
        <v>221</v>
      </c>
      <c r="AT505" s="134" t="s">
        <v>128</v>
      </c>
      <c r="AU505" s="134" t="s">
        <v>80</v>
      </c>
      <c r="AY505" s="17" t="s">
        <v>126</v>
      </c>
      <c r="BE505" s="135">
        <f>IF(N505="základní",J505,0)</f>
        <v>0</v>
      </c>
      <c r="BF505" s="135">
        <f>IF(N505="snížená",J505,0)</f>
        <v>0</v>
      </c>
      <c r="BG505" s="135">
        <f>IF(N505="zákl. přenesená",J505,0)</f>
        <v>0</v>
      </c>
      <c r="BH505" s="135">
        <f>IF(N505="sníž. přenesená",J505,0)</f>
        <v>0</v>
      </c>
      <c r="BI505" s="135">
        <f>IF(N505="nulová",J505,0)</f>
        <v>0</v>
      </c>
      <c r="BJ505" s="17" t="s">
        <v>78</v>
      </c>
      <c r="BK505" s="135">
        <f>ROUND(I505*H505,2)</f>
        <v>0</v>
      </c>
      <c r="BL505" s="17" t="s">
        <v>221</v>
      </c>
      <c r="BM505" s="134" t="s">
        <v>1206</v>
      </c>
    </row>
    <row r="506" spans="2:65" s="1" customFormat="1" ht="16.5" customHeight="1">
      <c r="B506" s="123"/>
      <c r="C506" s="124" t="s">
        <v>1207</v>
      </c>
      <c r="D506" s="124" t="s">
        <v>128</v>
      </c>
      <c r="E506" s="125" t="s">
        <v>435</v>
      </c>
      <c r="F506" s="126" t="s">
        <v>1208</v>
      </c>
      <c r="G506" s="127" t="s">
        <v>183</v>
      </c>
      <c r="H506" s="128">
        <v>1</v>
      </c>
      <c r="I506" s="129"/>
      <c r="J506" s="129">
        <f>ROUND(I506*H506,2)</f>
        <v>0</v>
      </c>
      <c r="K506" s="126" t="s">
        <v>3</v>
      </c>
      <c r="L506" s="29"/>
      <c r="M506" s="130" t="s">
        <v>3</v>
      </c>
      <c r="N506" s="131" t="s">
        <v>41</v>
      </c>
      <c r="O506" s="132">
        <v>0</v>
      </c>
      <c r="P506" s="132">
        <f>O506*H506</f>
        <v>0</v>
      </c>
      <c r="Q506" s="132">
        <v>0</v>
      </c>
      <c r="R506" s="132">
        <f>Q506*H506</f>
        <v>0</v>
      </c>
      <c r="S506" s="132">
        <v>0</v>
      </c>
      <c r="T506" s="133">
        <f>S506*H506</f>
        <v>0</v>
      </c>
      <c r="AR506" s="134" t="s">
        <v>221</v>
      </c>
      <c r="AT506" s="134" t="s">
        <v>128</v>
      </c>
      <c r="AU506" s="134" t="s">
        <v>80</v>
      </c>
      <c r="AY506" s="17" t="s">
        <v>126</v>
      </c>
      <c r="BE506" s="135">
        <f>IF(N506="základní",J506,0)</f>
        <v>0</v>
      </c>
      <c r="BF506" s="135">
        <f>IF(N506="snížená",J506,0)</f>
        <v>0</v>
      </c>
      <c r="BG506" s="135">
        <f>IF(N506="zákl. přenesená",J506,0)</f>
        <v>0</v>
      </c>
      <c r="BH506" s="135">
        <f>IF(N506="sníž. přenesená",J506,0)</f>
        <v>0</v>
      </c>
      <c r="BI506" s="135">
        <f>IF(N506="nulová",J506,0)</f>
        <v>0</v>
      </c>
      <c r="BJ506" s="17" t="s">
        <v>78</v>
      </c>
      <c r="BK506" s="135">
        <f>ROUND(I506*H506,2)</f>
        <v>0</v>
      </c>
      <c r="BL506" s="17" t="s">
        <v>221</v>
      </c>
      <c r="BM506" s="134" t="s">
        <v>1209</v>
      </c>
    </row>
    <row r="507" spans="2:65" s="1" customFormat="1" ht="16.5" customHeight="1">
      <c r="B507" s="123"/>
      <c r="C507" s="124" t="s">
        <v>1210</v>
      </c>
      <c r="D507" s="124" t="s">
        <v>128</v>
      </c>
      <c r="E507" s="125" t="s">
        <v>1211</v>
      </c>
      <c r="F507" s="126" t="s">
        <v>1195</v>
      </c>
      <c r="G507" s="127" t="s">
        <v>413</v>
      </c>
      <c r="H507" s="128"/>
      <c r="I507" s="129"/>
      <c r="J507" s="129">
        <f>ROUND(I507*H507,2)</f>
        <v>0</v>
      </c>
      <c r="K507" s="126" t="s">
        <v>3</v>
      </c>
      <c r="L507" s="29"/>
      <c r="M507" s="130" t="s">
        <v>3</v>
      </c>
      <c r="N507" s="131" t="s">
        <v>41</v>
      </c>
      <c r="O507" s="132">
        <v>0</v>
      </c>
      <c r="P507" s="132">
        <f>O507*H507</f>
        <v>0</v>
      </c>
      <c r="Q507" s="132">
        <v>0</v>
      </c>
      <c r="R507" s="132">
        <f>Q507*H507</f>
        <v>0</v>
      </c>
      <c r="S507" s="132">
        <v>0</v>
      </c>
      <c r="T507" s="133">
        <f>S507*H507</f>
        <v>0</v>
      </c>
      <c r="AR507" s="134" t="s">
        <v>221</v>
      </c>
      <c r="AT507" s="134" t="s">
        <v>128</v>
      </c>
      <c r="AU507" s="134" t="s">
        <v>80</v>
      </c>
      <c r="AY507" s="17" t="s">
        <v>126</v>
      </c>
      <c r="BE507" s="135">
        <f>IF(N507="základní",J507,0)</f>
        <v>0</v>
      </c>
      <c r="BF507" s="135">
        <f>IF(N507="snížená",J507,0)</f>
        <v>0</v>
      </c>
      <c r="BG507" s="135">
        <f>IF(N507="zákl. přenesená",J507,0)</f>
        <v>0</v>
      </c>
      <c r="BH507" s="135">
        <f>IF(N507="sníž. přenesená",J507,0)</f>
        <v>0</v>
      </c>
      <c r="BI507" s="135">
        <f>IF(N507="nulová",J507,0)</f>
        <v>0</v>
      </c>
      <c r="BJ507" s="17" t="s">
        <v>78</v>
      </c>
      <c r="BK507" s="135">
        <f>ROUND(I507*H507,2)</f>
        <v>0</v>
      </c>
      <c r="BL507" s="17" t="s">
        <v>221</v>
      </c>
      <c r="BM507" s="134" t="s">
        <v>1212</v>
      </c>
    </row>
    <row r="508" spans="2:63" s="11" customFormat="1" ht="22.7" customHeight="1">
      <c r="B508" s="112"/>
      <c r="D508" s="113" t="s">
        <v>69</v>
      </c>
      <c r="E508" s="121" t="s">
        <v>438</v>
      </c>
      <c r="F508" s="121" t="s">
        <v>439</v>
      </c>
      <c r="J508" s="122">
        <f>BK508</f>
        <v>0</v>
      </c>
      <c r="L508" s="112"/>
      <c r="M508" s="116"/>
      <c r="P508" s="117">
        <f>SUM(P509:P510)</f>
        <v>0</v>
      </c>
      <c r="R508" s="117">
        <f>SUM(R509:R510)</f>
        <v>0</v>
      </c>
      <c r="T508" s="118">
        <f>SUM(T509:T510)</f>
        <v>0</v>
      </c>
      <c r="AR508" s="113" t="s">
        <v>80</v>
      </c>
      <c r="AT508" s="119" t="s">
        <v>69</v>
      </c>
      <c r="AU508" s="119" t="s">
        <v>78</v>
      </c>
      <c r="AY508" s="113" t="s">
        <v>126</v>
      </c>
      <c r="BK508" s="120">
        <f>SUM(BK509:BK510)</f>
        <v>0</v>
      </c>
    </row>
    <row r="509" spans="2:65" s="1" customFormat="1" ht="16.5" customHeight="1">
      <c r="B509" s="123"/>
      <c r="C509" s="124" t="s">
        <v>1213</v>
      </c>
      <c r="D509" s="124" t="s">
        <v>128</v>
      </c>
      <c r="E509" s="125" t="s">
        <v>1214</v>
      </c>
      <c r="F509" s="126" t="s">
        <v>1215</v>
      </c>
      <c r="G509" s="127" t="s">
        <v>183</v>
      </c>
      <c r="H509" s="128">
        <v>1</v>
      </c>
      <c r="I509" s="129">
        <f>klimatizace!J53</f>
        <v>0</v>
      </c>
      <c r="J509" s="129">
        <f>ROUND(I509*H509,2)</f>
        <v>0</v>
      </c>
      <c r="K509" s="126" t="s">
        <v>3</v>
      </c>
      <c r="L509" s="29"/>
      <c r="M509" s="130" t="s">
        <v>3</v>
      </c>
      <c r="N509" s="131" t="s">
        <v>41</v>
      </c>
      <c r="O509" s="132">
        <v>0</v>
      </c>
      <c r="P509" s="132">
        <f>O509*H509</f>
        <v>0</v>
      </c>
      <c r="Q509" s="132">
        <v>0</v>
      </c>
      <c r="R509" s="132">
        <f>Q509*H509</f>
        <v>0</v>
      </c>
      <c r="S509" s="132">
        <v>0</v>
      </c>
      <c r="T509" s="133">
        <f>S509*H509</f>
        <v>0</v>
      </c>
      <c r="AR509" s="134" t="s">
        <v>221</v>
      </c>
      <c r="AT509" s="134" t="s">
        <v>128</v>
      </c>
      <c r="AU509" s="134" t="s">
        <v>80</v>
      </c>
      <c r="AY509" s="17" t="s">
        <v>126</v>
      </c>
      <c r="BE509" s="135">
        <f>IF(N509="základní",J509,0)</f>
        <v>0</v>
      </c>
      <c r="BF509" s="135">
        <f>IF(N509="snížená",J509,0)</f>
        <v>0</v>
      </c>
      <c r="BG509" s="135">
        <f>IF(N509="zákl. přenesená",J509,0)</f>
        <v>0</v>
      </c>
      <c r="BH509" s="135">
        <f>IF(N509="sníž. přenesená",J509,0)</f>
        <v>0</v>
      </c>
      <c r="BI509" s="135">
        <f>IF(N509="nulová",J509,0)</f>
        <v>0</v>
      </c>
      <c r="BJ509" s="17" t="s">
        <v>78</v>
      </c>
      <c r="BK509" s="135">
        <f>ROUND(I509*H509,2)</f>
        <v>0</v>
      </c>
      <c r="BL509" s="17" t="s">
        <v>221</v>
      </c>
      <c r="BM509" s="134" t="s">
        <v>1216</v>
      </c>
    </row>
    <row r="510" spans="2:65" s="1" customFormat="1" ht="16.5" customHeight="1">
      <c r="B510" s="123"/>
      <c r="C510" s="124" t="s">
        <v>1217</v>
      </c>
      <c r="D510" s="124" t="s">
        <v>128</v>
      </c>
      <c r="E510" s="125" t="s">
        <v>1218</v>
      </c>
      <c r="F510" s="126" t="s">
        <v>1195</v>
      </c>
      <c r="G510" s="127" t="s">
        <v>413</v>
      </c>
      <c r="H510" s="128"/>
      <c r="I510" s="129"/>
      <c r="J510" s="129">
        <f>ROUND(I510*H510,2)</f>
        <v>0</v>
      </c>
      <c r="K510" s="126" t="s">
        <v>3</v>
      </c>
      <c r="L510" s="29"/>
      <c r="M510" s="130" t="s">
        <v>3</v>
      </c>
      <c r="N510" s="131" t="s">
        <v>41</v>
      </c>
      <c r="O510" s="132">
        <v>0</v>
      </c>
      <c r="P510" s="132">
        <f>O510*H510</f>
        <v>0</v>
      </c>
      <c r="Q510" s="132">
        <v>0</v>
      </c>
      <c r="R510" s="132">
        <f>Q510*H510</f>
        <v>0</v>
      </c>
      <c r="S510" s="132">
        <v>0</v>
      </c>
      <c r="T510" s="133">
        <f>S510*H510</f>
        <v>0</v>
      </c>
      <c r="AR510" s="134" t="s">
        <v>221</v>
      </c>
      <c r="AT510" s="134" t="s">
        <v>128</v>
      </c>
      <c r="AU510" s="134" t="s">
        <v>80</v>
      </c>
      <c r="AY510" s="17" t="s">
        <v>126</v>
      </c>
      <c r="BE510" s="135">
        <f>IF(N510="základní",J510,0)</f>
        <v>0</v>
      </c>
      <c r="BF510" s="135">
        <f>IF(N510="snížená",J510,0)</f>
        <v>0</v>
      </c>
      <c r="BG510" s="135">
        <f>IF(N510="zákl. přenesená",J510,0)</f>
        <v>0</v>
      </c>
      <c r="BH510" s="135">
        <f>IF(N510="sníž. přenesená",J510,0)</f>
        <v>0</v>
      </c>
      <c r="BI510" s="135">
        <f>IF(N510="nulová",J510,0)</f>
        <v>0</v>
      </c>
      <c r="BJ510" s="17" t="s">
        <v>78</v>
      </c>
      <c r="BK510" s="135">
        <f>ROUND(I510*H510,2)</f>
        <v>0</v>
      </c>
      <c r="BL510" s="17" t="s">
        <v>221</v>
      </c>
      <c r="BM510" s="134" t="s">
        <v>1219</v>
      </c>
    </row>
    <row r="511" spans="2:63" s="11" customFormat="1" ht="22.7" customHeight="1">
      <c r="B511" s="112"/>
      <c r="D511" s="113" t="s">
        <v>69</v>
      </c>
      <c r="E511" s="121" t="s">
        <v>444</v>
      </c>
      <c r="F511" s="121" t="s">
        <v>445</v>
      </c>
      <c r="J511" s="122">
        <f>BK511</f>
        <v>0</v>
      </c>
      <c r="L511" s="112"/>
      <c r="M511" s="116"/>
      <c r="P511" s="117">
        <f>SUM(P512:P622)</f>
        <v>2814.6534799999995</v>
      </c>
      <c r="R511" s="117">
        <f>SUM(R512:R622)</f>
        <v>80.64345396000002</v>
      </c>
      <c r="T511" s="118">
        <f>SUM(T512:T622)</f>
        <v>0</v>
      </c>
      <c r="AR511" s="113" t="s">
        <v>80</v>
      </c>
      <c r="AT511" s="119" t="s">
        <v>69</v>
      </c>
      <c r="AU511" s="119" t="s">
        <v>78</v>
      </c>
      <c r="AY511" s="113" t="s">
        <v>126</v>
      </c>
      <c r="BK511" s="120">
        <f>SUM(BK512:BK622)</f>
        <v>0</v>
      </c>
    </row>
    <row r="512" spans="2:65" s="1" customFormat="1" ht="16.5" customHeight="1">
      <c r="B512" s="123"/>
      <c r="C512" s="124" t="s">
        <v>1220</v>
      </c>
      <c r="D512" s="124" t="s">
        <v>128</v>
      </c>
      <c r="E512" s="125" t="s">
        <v>1221</v>
      </c>
      <c r="F512" s="126" t="s">
        <v>1222</v>
      </c>
      <c r="G512" s="127" t="s">
        <v>146</v>
      </c>
      <c r="H512" s="128">
        <v>28.069</v>
      </c>
      <c r="I512" s="129"/>
      <c r="J512" s="129">
        <f>ROUND(I512*H512,2)</f>
        <v>0</v>
      </c>
      <c r="K512" s="126" t="s">
        <v>132</v>
      </c>
      <c r="L512" s="29"/>
      <c r="M512" s="130" t="s">
        <v>3</v>
      </c>
      <c r="N512" s="131" t="s">
        <v>41</v>
      </c>
      <c r="O512" s="132">
        <v>3.4</v>
      </c>
      <c r="P512" s="132">
        <f>O512*H512</f>
        <v>95.43459999999999</v>
      </c>
      <c r="Q512" s="132">
        <v>0</v>
      </c>
      <c r="R512" s="132">
        <f>Q512*H512</f>
        <v>0</v>
      </c>
      <c r="S512" s="132">
        <v>0</v>
      </c>
      <c r="T512" s="133">
        <f>S512*H512</f>
        <v>0</v>
      </c>
      <c r="AR512" s="134" t="s">
        <v>221</v>
      </c>
      <c r="AT512" s="134" t="s">
        <v>128</v>
      </c>
      <c r="AU512" s="134" t="s">
        <v>80</v>
      </c>
      <c r="AY512" s="17" t="s">
        <v>126</v>
      </c>
      <c r="BE512" s="135">
        <f>IF(N512="základní",J512,0)</f>
        <v>0</v>
      </c>
      <c r="BF512" s="135">
        <f>IF(N512="snížená",J512,0)</f>
        <v>0</v>
      </c>
      <c r="BG512" s="135">
        <f>IF(N512="zákl. přenesená",J512,0)</f>
        <v>0</v>
      </c>
      <c r="BH512" s="135">
        <f>IF(N512="sníž. přenesená",J512,0)</f>
        <v>0</v>
      </c>
      <c r="BI512" s="135">
        <f>IF(N512="nulová",J512,0)</f>
        <v>0</v>
      </c>
      <c r="BJ512" s="17" t="s">
        <v>78</v>
      </c>
      <c r="BK512" s="135">
        <f>ROUND(I512*H512,2)</f>
        <v>0</v>
      </c>
      <c r="BL512" s="17" t="s">
        <v>221</v>
      </c>
      <c r="BM512" s="134" t="s">
        <v>1223</v>
      </c>
    </row>
    <row r="513" spans="2:47" s="1" customFormat="1" ht="12">
      <c r="B513" s="29"/>
      <c r="D513" s="136" t="s">
        <v>135</v>
      </c>
      <c r="F513" s="137" t="s">
        <v>1224</v>
      </c>
      <c r="L513" s="29"/>
      <c r="M513" s="138"/>
      <c r="T513" s="49"/>
      <c r="AT513" s="17" t="s">
        <v>135</v>
      </c>
      <c r="AU513" s="17" t="s">
        <v>80</v>
      </c>
    </row>
    <row r="514" spans="2:51" s="12" customFormat="1" ht="12">
      <c r="B514" s="139"/>
      <c r="D514" s="140" t="s">
        <v>137</v>
      </c>
      <c r="E514" s="141" t="s">
        <v>3</v>
      </c>
      <c r="F514" s="142" t="s">
        <v>1225</v>
      </c>
      <c r="H514" s="143">
        <v>17.745</v>
      </c>
      <c r="L514" s="139"/>
      <c r="M514" s="144"/>
      <c r="T514" s="145"/>
      <c r="AT514" s="141" t="s">
        <v>137</v>
      </c>
      <c r="AU514" s="141" t="s">
        <v>80</v>
      </c>
      <c r="AV514" s="12" t="s">
        <v>80</v>
      </c>
      <c r="AW514" s="12" t="s">
        <v>32</v>
      </c>
      <c r="AX514" s="12" t="s">
        <v>70</v>
      </c>
      <c r="AY514" s="141" t="s">
        <v>126</v>
      </c>
    </row>
    <row r="515" spans="2:51" s="12" customFormat="1" ht="12">
      <c r="B515" s="139"/>
      <c r="D515" s="140" t="s">
        <v>137</v>
      </c>
      <c r="E515" s="141" t="s">
        <v>3</v>
      </c>
      <c r="F515" s="142" t="s">
        <v>1226</v>
      </c>
      <c r="H515" s="143">
        <v>4.822</v>
      </c>
      <c r="L515" s="139"/>
      <c r="M515" s="144"/>
      <c r="T515" s="145"/>
      <c r="AT515" s="141" t="s">
        <v>137</v>
      </c>
      <c r="AU515" s="141" t="s">
        <v>80</v>
      </c>
      <c r="AV515" s="12" t="s">
        <v>80</v>
      </c>
      <c r="AW515" s="12" t="s">
        <v>32</v>
      </c>
      <c r="AX515" s="12" t="s">
        <v>70</v>
      </c>
      <c r="AY515" s="141" t="s">
        <v>126</v>
      </c>
    </row>
    <row r="516" spans="2:51" s="12" customFormat="1" ht="12">
      <c r="B516" s="139"/>
      <c r="D516" s="140" t="s">
        <v>137</v>
      </c>
      <c r="E516" s="141" t="s">
        <v>3</v>
      </c>
      <c r="F516" s="142" t="s">
        <v>1227</v>
      </c>
      <c r="H516" s="143">
        <v>1.393</v>
      </c>
      <c r="L516" s="139"/>
      <c r="M516" s="144"/>
      <c r="T516" s="145"/>
      <c r="AT516" s="141" t="s">
        <v>137</v>
      </c>
      <c r="AU516" s="141" t="s">
        <v>80</v>
      </c>
      <c r="AV516" s="12" t="s">
        <v>80</v>
      </c>
      <c r="AW516" s="12" t="s">
        <v>32</v>
      </c>
      <c r="AX516" s="12" t="s">
        <v>70</v>
      </c>
      <c r="AY516" s="141" t="s">
        <v>126</v>
      </c>
    </row>
    <row r="517" spans="2:51" s="12" customFormat="1" ht="12">
      <c r="B517" s="139"/>
      <c r="D517" s="140" t="s">
        <v>137</v>
      </c>
      <c r="E517" s="141" t="s">
        <v>3</v>
      </c>
      <c r="F517" s="142" t="s">
        <v>1228</v>
      </c>
      <c r="H517" s="143">
        <v>4.109</v>
      </c>
      <c r="L517" s="139"/>
      <c r="M517" s="144"/>
      <c r="T517" s="145"/>
      <c r="AT517" s="141" t="s">
        <v>137</v>
      </c>
      <c r="AU517" s="141" t="s">
        <v>80</v>
      </c>
      <c r="AV517" s="12" t="s">
        <v>80</v>
      </c>
      <c r="AW517" s="12" t="s">
        <v>32</v>
      </c>
      <c r="AX517" s="12" t="s">
        <v>70</v>
      </c>
      <c r="AY517" s="141" t="s">
        <v>126</v>
      </c>
    </row>
    <row r="518" spans="2:51" s="13" customFormat="1" ht="12">
      <c r="B518" s="146"/>
      <c r="D518" s="140" t="s">
        <v>137</v>
      </c>
      <c r="E518" s="147" t="s">
        <v>3</v>
      </c>
      <c r="F518" s="148" t="s">
        <v>151</v>
      </c>
      <c r="H518" s="149">
        <v>28.069000000000003</v>
      </c>
      <c r="L518" s="146"/>
      <c r="M518" s="150"/>
      <c r="T518" s="151"/>
      <c r="AT518" s="147" t="s">
        <v>137</v>
      </c>
      <c r="AU518" s="147" t="s">
        <v>80</v>
      </c>
      <c r="AV518" s="13" t="s">
        <v>133</v>
      </c>
      <c r="AW518" s="13" t="s">
        <v>32</v>
      </c>
      <c r="AX518" s="13" t="s">
        <v>78</v>
      </c>
      <c r="AY518" s="147" t="s">
        <v>126</v>
      </c>
    </row>
    <row r="519" spans="2:65" s="1" customFormat="1" ht="24.2" customHeight="1">
      <c r="B519" s="123"/>
      <c r="C519" s="124" t="s">
        <v>1229</v>
      </c>
      <c r="D519" s="124" t="s">
        <v>128</v>
      </c>
      <c r="E519" s="125" t="s">
        <v>1230</v>
      </c>
      <c r="F519" s="126" t="s">
        <v>1231</v>
      </c>
      <c r="G519" s="127" t="s">
        <v>146</v>
      </c>
      <c r="H519" s="128">
        <v>32.213</v>
      </c>
      <c r="I519" s="129"/>
      <c r="J519" s="129">
        <f>ROUND(I519*H519,2)</f>
        <v>0</v>
      </c>
      <c r="K519" s="126" t="s">
        <v>132</v>
      </c>
      <c r="L519" s="29"/>
      <c r="M519" s="130" t="s">
        <v>3</v>
      </c>
      <c r="N519" s="131" t="s">
        <v>41</v>
      </c>
      <c r="O519" s="132">
        <v>1.56</v>
      </c>
      <c r="P519" s="132">
        <f>O519*H519</f>
        <v>50.252280000000006</v>
      </c>
      <c r="Q519" s="132">
        <v>0.00108</v>
      </c>
      <c r="R519" s="132">
        <f>Q519*H519</f>
        <v>0.03479004</v>
      </c>
      <c r="S519" s="132">
        <v>0</v>
      </c>
      <c r="T519" s="133">
        <f>S519*H519</f>
        <v>0</v>
      </c>
      <c r="AR519" s="134" t="s">
        <v>221</v>
      </c>
      <c r="AT519" s="134" t="s">
        <v>128</v>
      </c>
      <c r="AU519" s="134" t="s">
        <v>80</v>
      </c>
      <c r="AY519" s="17" t="s">
        <v>126</v>
      </c>
      <c r="BE519" s="135">
        <f>IF(N519="základní",J519,0)</f>
        <v>0</v>
      </c>
      <c r="BF519" s="135">
        <f>IF(N519="snížená",J519,0)</f>
        <v>0</v>
      </c>
      <c r="BG519" s="135">
        <f>IF(N519="zákl. přenesená",J519,0)</f>
        <v>0</v>
      </c>
      <c r="BH519" s="135">
        <f>IF(N519="sníž. přenesená",J519,0)</f>
        <v>0</v>
      </c>
      <c r="BI519" s="135">
        <f>IF(N519="nulová",J519,0)</f>
        <v>0</v>
      </c>
      <c r="BJ519" s="17" t="s">
        <v>78</v>
      </c>
      <c r="BK519" s="135">
        <f>ROUND(I519*H519,2)</f>
        <v>0</v>
      </c>
      <c r="BL519" s="17" t="s">
        <v>221</v>
      </c>
      <c r="BM519" s="134" t="s">
        <v>1232</v>
      </c>
    </row>
    <row r="520" spans="2:47" s="1" customFormat="1" ht="12">
      <c r="B520" s="29"/>
      <c r="D520" s="136" t="s">
        <v>135</v>
      </c>
      <c r="F520" s="137" t="s">
        <v>1233</v>
      </c>
      <c r="L520" s="29"/>
      <c r="M520" s="138"/>
      <c r="T520" s="49"/>
      <c r="AT520" s="17" t="s">
        <v>135</v>
      </c>
      <c r="AU520" s="17" t="s">
        <v>80</v>
      </c>
    </row>
    <row r="521" spans="2:51" s="12" customFormat="1" ht="12">
      <c r="B521" s="139"/>
      <c r="D521" s="140" t="s">
        <v>137</v>
      </c>
      <c r="E521" s="141" t="s">
        <v>3</v>
      </c>
      <c r="F521" s="142" t="s">
        <v>1225</v>
      </c>
      <c r="H521" s="143">
        <v>17.745</v>
      </c>
      <c r="L521" s="139"/>
      <c r="M521" s="144"/>
      <c r="T521" s="145"/>
      <c r="AT521" s="141" t="s">
        <v>137</v>
      </c>
      <c r="AU521" s="141" t="s">
        <v>80</v>
      </c>
      <c r="AV521" s="12" t="s">
        <v>80</v>
      </c>
      <c r="AW521" s="12" t="s">
        <v>32</v>
      </c>
      <c r="AX521" s="12" t="s">
        <v>70</v>
      </c>
      <c r="AY521" s="141" t="s">
        <v>126</v>
      </c>
    </row>
    <row r="522" spans="2:51" s="12" customFormat="1" ht="12">
      <c r="B522" s="139"/>
      <c r="D522" s="140" t="s">
        <v>137</v>
      </c>
      <c r="E522" s="141" t="s">
        <v>3</v>
      </c>
      <c r="F522" s="142" t="s">
        <v>1226</v>
      </c>
      <c r="H522" s="143">
        <v>4.822</v>
      </c>
      <c r="L522" s="139"/>
      <c r="M522" s="144"/>
      <c r="T522" s="145"/>
      <c r="AT522" s="141" t="s">
        <v>137</v>
      </c>
      <c r="AU522" s="141" t="s">
        <v>80</v>
      </c>
      <c r="AV522" s="12" t="s">
        <v>80</v>
      </c>
      <c r="AW522" s="12" t="s">
        <v>32</v>
      </c>
      <c r="AX522" s="12" t="s">
        <v>70</v>
      </c>
      <c r="AY522" s="141" t="s">
        <v>126</v>
      </c>
    </row>
    <row r="523" spans="2:51" s="12" customFormat="1" ht="12">
      <c r="B523" s="139"/>
      <c r="D523" s="140" t="s">
        <v>137</v>
      </c>
      <c r="E523" s="141" t="s">
        <v>3</v>
      </c>
      <c r="F523" s="142" t="s">
        <v>1227</v>
      </c>
      <c r="H523" s="143">
        <v>1.393</v>
      </c>
      <c r="L523" s="139"/>
      <c r="M523" s="144"/>
      <c r="T523" s="145"/>
      <c r="AT523" s="141" t="s">
        <v>137</v>
      </c>
      <c r="AU523" s="141" t="s">
        <v>80</v>
      </c>
      <c r="AV523" s="12" t="s">
        <v>80</v>
      </c>
      <c r="AW523" s="12" t="s">
        <v>32</v>
      </c>
      <c r="AX523" s="12" t="s">
        <v>70</v>
      </c>
      <c r="AY523" s="141" t="s">
        <v>126</v>
      </c>
    </row>
    <row r="524" spans="2:51" s="12" customFormat="1" ht="12">
      <c r="B524" s="139"/>
      <c r="D524" s="140" t="s">
        <v>137</v>
      </c>
      <c r="E524" s="141" t="s">
        <v>3</v>
      </c>
      <c r="F524" s="142" t="s">
        <v>1228</v>
      </c>
      <c r="H524" s="143">
        <v>4.109</v>
      </c>
      <c r="L524" s="139"/>
      <c r="M524" s="144"/>
      <c r="T524" s="145"/>
      <c r="AT524" s="141" t="s">
        <v>137</v>
      </c>
      <c r="AU524" s="141" t="s">
        <v>80</v>
      </c>
      <c r="AV524" s="12" t="s">
        <v>80</v>
      </c>
      <c r="AW524" s="12" t="s">
        <v>32</v>
      </c>
      <c r="AX524" s="12" t="s">
        <v>70</v>
      </c>
      <c r="AY524" s="141" t="s">
        <v>126</v>
      </c>
    </row>
    <row r="525" spans="2:51" s="12" customFormat="1" ht="12">
      <c r="B525" s="139"/>
      <c r="D525" s="140" t="s">
        <v>137</v>
      </c>
      <c r="E525" s="141" t="s">
        <v>3</v>
      </c>
      <c r="F525" s="142" t="s">
        <v>1234</v>
      </c>
      <c r="H525" s="143">
        <v>4.144</v>
      </c>
      <c r="L525" s="139"/>
      <c r="M525" s="144"/>
      <c r="T525" s="145"/>
      <c r="AT525" s="141" t="s">
        <v>137</v>
      </c>
      <c r="AU525" s="141" t="s">
        <v>80</v>
      </c>
      <c r="AV525" s="12" t="s">
        <v>80</v>
      </c>
      <c r="AW525" s="12" t="s">
        <v>32</v>
      </c>
      <c r="AX525" s="12" t="s">
        <v>70</v>
      </c>
      <c r="AY525" s="141" t="s">
        <v>126</v>
      </c>
    </row>
    <row r="526" spans="2:51" s="13" customFormat="1" ht="12">
      <c r="B526" s="146"/>
      <c r="D526" s="140" t="s">
        <v>137</v>
      </c>
      <c r="E526" s="147" t="s">
        <v>3</v>
      </c>
      <c r="F526" s="148" t="s">
        <v>151</v>
      </c>
      <c r="H526" s="149">
        <v>32.213</v>
      </c>
      <c r="L526" s="146"/>
      <c r="M526" s="150"/>
      <c r="T526" s="151"/>
      <c r="AT526" s="147" t="s">
        <v>137</v>
      </c>
      <c r="AU526" s="147" t="s">
        <v>80</v>
      </c>
      <c r="AV526" s="13" t="s">
        <v>133</v>
      </c>
      <c r="AW526" s="13" t="s">
        <v>32</v>
      </c>
      <c r="AX526" s="13" t="s">
        <v>78</v>
      </c>
      <c r="AY526" s="147" t="s">
        <v>126</v>
      </c>
    </row>
    <row r="527" spans="2:65" s="1" customFormat="1" ht="37.7" customHeight="1">
      <c r="B527" s="123"/>
      <c r="C527" s="124" t="s">
        <v>1235</v>
      </c>
      <c r="D527" s="124" t="s">
        <v>128</v>
      </c>
      <c r="E527" s="125" t="s">
        <v>1236</v>
      </c>
      <c r="F527" s="126" t="s">
        <v>1237</v>
      </c>
      <c r="G527" s="127" t="s">
        <v>249</v>
      </c>
      <c r="H527" s="128">
        <v>1170.2</v>
      </c>
      <c r="I527" s="129"/>
      <c r="J527" s="129">
        <f>ROUND(I527*H527,2)</f>
        <v>0</v>
      </c>
      <c r="K527" s="126" t="s">
        <v>132</v>
      </c>
      <c r="L527" s="29"/>
      <c r="M527" s="130" t="s">
        <v>3</v>
      </c>
      <c r="N527" s="131" t="s">
        <v>41</v>
      </c>
      <c r="O527" s="132">
        <v>0.558</v>
      </c>
      <c r="P527" s="132">
        <f>O527*H527</f>
        <v>652.9716000000001</v>
      </c>
      <c r="Q527" s="132">
        <v>0</v>
      </c>
      <c r="R527" s="132">
        <f>Q527*H527</f>
        <v>0</v>
      </c>
      <c r="S527" s="132">
        <v>0</v>
      </c>
      <c r="T527" s="133">
        <f>S527*H527</f>
        <v>0</v>
      </c>
      <c r="AR527" s="134" t="s">
        <v>221</v>
      </c>
      <c r="AT527" s="134" t="s">
        <v>128</v>
      </c>
      <c r="AU527" s="134" t="s">
        <v>80</v>
      </c>
      <c r="AY527" s="17" t="s">
        <v>126</v>
      </c>
      <c r="BE527" s="135">
        <f>IF(N527="základní",J527,0)</f>
        <v>0</v>
      </c>
      <c r="BF527" s="135">
        <f>IF(N527="snížená",J527,0)</f>
        <v>0</v>
      </c>
      <c r="BG527" s="135">
        <f>IF(N527="zákl. přenesená",J527,0)</f>
        <v>0</v>
      </c>
      <c r="BH527" s="135">
        <f>IF(N527="sníž. přenesená",J527,0)</f>
        <v>0</v>
      </c>
      <c r="BI527" s="135">
        <f>IF(N527="nulová",J527,0)</f>
        <v>0</v>
      </c>
      <c r="BJ527" s="17" t="s">
        <v>78</v>
      </c>
      <c r="BK527" s="135">
        <f>ROUND(I527*H527,2)</f>
        <v>0</v>
      </c>
      <c r="BL527" s="17" t="s">
        <v>221</v>
      </c>
      <c r="BM527" s="134" t="s">
        <v>1238</v>
      </c>
    </row>
    <row r="528" spans="2:47" s="1" customFormat="1" ht="12">
      <c r="B528" s="29"/>
      <c r="D528" s="136" t="s">
        <v>135</v>
      </c>
      <c r="F528" s="137" t="s">
        <v>1239</v>
      </c>
      <c r="L528" s="29"/>
      <c r="M528" s="138"/>
      <c r="T528" s="49"/>
      <c r="AT528" s="17" t="s">
        <v>135</v>
      </c>
      <c r="AU528" s="17" t="s">
        <v>80</v>
      </c>
    </row>
    <row r="529" spans="2:51" s="12" customFormat="1" ht="12">
      <c r="B529" s="139"/>
      <c r="D529" s="140" t="s">
        <v>137</v>
      </c>
      <c r="E529" s="141" t="s">
        <v>3</v>
      </c>
      <c r="F529" s="142" t="s">
        <v>1240</v>
      </c>
      <c r="H529" s="143">
        <v>924.2</v>
      </c>
      <c r="L529" s="139"/>
      <c r="M529" s="144"/>
      <c r="T529" s="145"/>
      <c r="AT529" s="141" t="s">
        <v>137</v>
      </c>
      <c r="AU529" s="141" t="s">
        <v>80</v>
      </c>
      <c r="AV529" s="12" t="s">
        <v>80</v>
      </c>
      <c r="AW529" s="12" t="s">
        <v>32</v>
      </c>
      <c r="AX529" s="12" t="s">
        <v>70</v>
      </c>
      <c r="AY529" s="141" t="s">
        <v>126</v>
      </c>
    </row>
    <row r="530" spans="2:51" s="12" customFormat="1" ht="12">
      <c r="B530" s="139"/>
      <c r="D530" s="140" t="s">
        <v>137</v>
      </c>
      <c r="E530" s="141" t="s">
        <v>3</v>
      </c>
      <c r="F530" s="142" t="s">
        <v>1241</v>
      </c>
      <c r="H530" s="143">
        <v>246</v>
      </c>
      <c r="L530" s="139"/>
      <c r="M530" s="144"/>
      <c r="T530" s="145"/>
      <c r="AT530" s="141" t="s">
        <v>137</v>
      </c>
      <c r="AU530" s="141" t="s">
        <v>80</v>
      </c>
      <c r="AV530" s="12" t="s">
        <v>80</v>
      </c>
      <c r="AW530" s="12" t="s">
        <v>32</v>
      </c>
      <c r="AX530" s="12" t="s">
        <v>70</v>
      </c>
      <c r="AY530" s="141" t="s">
        <v>126</v>
      </c>
    </row>
    <row r="531" spans="2:51" s="13" customFormat="1" ht="12">
      <c r="B531" s="146"/>
      <c r="D531" s="140" t="s">
        <v>137</v>
      </c>
      <c r="E531" s="147" t="s">
        <v>3</v>
      </c>
      <c r="F531" s="148" t="s">
        <v>151</v>
      </c>
      <c r="H531" s="149">
        <v>1170.2</v>
      </c>
      <c r="L531" s="146"/>
      <c r="M531" s="150"/>
      <c r="T531" s="151"/>
      <c r="AT531" s="147" t="s">
        <v>137</v>
      </c>
      <c r="AU531" s="147" t="s">
        <v>80</v>
      </c>
      <c r="AV531" s="13" t="s">
        <v>133</v>
      </c>
      <c r="AW531" s="13" t="s">
        <v>32</v>
      </c>
      <c r="AX531" s="13" t="s">
        <v>78</v>
      </c>
      <c r="AY531" s="147" t="s">
        <v>126</v>
      </c>
    </row>
    <row r="532" spans="2:65" s="1" customFormat="1" ht="16.5" customHeight="1">
      <c r="B532" s="123"/>
      <c r="C532" s="152" t="s">
        <v>1242</v>
      </c>
      <c r="D532" s="152" t="s">
        <v>405</v>
      </c>
      <c r="E532" s="153" t="s">
        <v>1243</v>
      </c>
      <c r="F532" s="154" t="s">
        <v>1244</v>
      </c>
      <c r="G532" s="155" t="s">
        <v>146</v>
      </c>
      <c r="H532" s="156">
        <v>24.824</v>
      </c>
      <c r="I532" s="157"/>
      <c r="J532" s="157">
        <f>ROUND(I532*H532,2)</f>
        <v>0</v>
      </c>
      <c r="K532" s="154" t="s">
        <v>132</v>
      </c>
      <c r="L532" s="158"/>
      <c r="M532" s="159" t="s">
        <v>3</v>
      </c>
      <c r="N532" s="160" t="s">
        <v>41</v>
      </c>
      <c r="O532" s="132">
        <v>0</v>
      </c>
      <c r="P532" s="132">
        <f>O532*H532</f>
        <v>0</v>
      </c>
      <c r="Q532" s="132">
        <v>0.55</v>
      </c>
      <c r="R532" s="132">
        <f>Q532*H532</f>
        <v>13.653200000000002</v>
      </c>
      <c r="S532" s="132">
        <v>0</v>
      </c>
      <c r="T532" s="133">
        <f>S532*H532</f>
        <v>0</v>
      </c>
      <c r="AR532" s="134" t="s">
        <v>325</v>
      </c>
      <c r="AT532" s="134" t="s">
        <v>405</v>
      </c>
      <c r="AU532" s="134" t="s">
        <v>80</v>
      </c>
      <c r="AY532" s="17" t="s">
        <v>126</v>
      </c>
      <c r="BE532" s="135">
        <f>IF(N532="základní",J532,0)</f>
        <v>0</v>
      </c>
      <c r="BF532" s="135">
        <f>IF(N532="snížená",J532,0)</f>
        <v>0</v>
      </c>
      <c r="BG532" s="135">
        <f>IF(N532="zákl. přenesená",J532,0)</f>
        <v>0</v>
      </c>
      <c r="BH532" s="135">
        <f>IF(N532="sníž. přenesená",J532,0)</f>
        <v>0</v>
      </c>
      <c r="BI532" s="135">
        <f>IF(N532="nulová",J532,0)</f>
        <v>0</v>
      </c>
      <c r="BJ532" s="17" t="s">
        <v>78</v>
      </c>
      <c r="BK532" s="135">
        <f>ROUND(I532*H532,2)</f>
        <v>0</v>
      </c>
      <c r="BL532" s="17" t="s">
        <v>221</v>
      </c>
      <c r="BM532" s="134" t="s">
        <v>1245</v>
      </c>
    </row>
    <row r="533" spans="2:51" s="12" customFormat="1" ht="12">
      <c r="B533" s="139"/>
      <c r="D533" s="140" t="s">
        <v>137</v>
      </c>
      <c r="E533" s="141" t="s">
        <v>3</v>
      </c>
      <c r="F533" s="142" t="s">
        <v>1225</v>
      </c>
      <c r="H533" s="143">
        <v>17.745</v>
      </c>
      <c r="L533" s="139"/>
      <c r="M533" s="144"/>
      <c r="T533" s="145"/>
      <c r="AT533" s="141" t="s">
        <v>137</v>
      </c>
      <c r="AU533" s="141" t="s">
        <v>80</v>
      </c>
      <c r="AV533" s="12" t="s">
        <v>80</v>
      </c>
      <c r="AW533" s="12" t="s">
        <v>32</v>
      </c>
      <c r="AX533" s="12" t="s">
        <v>70</v>
      </c>
      <c r="AY533" s="141" t="s">
        <v>126</v>
      </c>
    </row>
    <row r="534" spans="2:51" s="12" customFormat="1" ht="12">
      <c r="B534" s="139"/>
      <c r="D534" s="140" t="s">
        <v>137</v>
      </c>
      <c r="E534" s="141" t="s">
        <v>3</v>
      </c>
      <c r="F534" s="142" t="s">
        <v>1226</v>
      </c>
      <c r="H534" s="143">
        <v>4.822</v>
      </c>
      <c r="L534" s="139"/>
      <c r="M534" s="144"/>
      <c r="T534" s="145"/>
      <c r="AT534" s="141" t="s">
        <v>137</v>
      </c>
      <c r="AU534" s="141" t="s">
        <v>80</v>
      </c>
      <c r="AV534" s="12" t="s">
        <v>80</v>
      </c>
      <c r="AW534" s="12" t="s">
        <v>32</v>
      </c>
      <c r="AX534" s="12" t="s">
        <v>70</v>
      </c>
      <c r="AY534" s="141" t="s">
        <v>126</v>
      </c>
    </row>
    <row r="535" spans="2:51" s="13" customFormat="1" ht="12">
      <c r="B535" s="146"/>
      <c r="D535" s="140" t="s">
        <v>137</v>
      </c>
      <c r="E535" s="147" t="s">
        <v>3</v>
      </c>
      <c r="F535" s="148" t="s">
        <v>151</v>
      </c>
      <c r="H535" s="149">
        <v>22.567</v>
      </c>
      <c r="L535" s="146"/>
      <c r="M535" s="150"/>
      <c r="T535" s="151"/>
      <c r="AT535" s="147" t="s">
        <v>137</v>
      </c>
      <c r="AU535" s="147" t="s">
        <v>80</v>
      </c>
      <c r="AV535" s="13" t="s">
        <v>133</v>
      </c>
      <c r="AW535" s="13" t="s">
        <v>32</v>
      </c>
      <c r="AX535" s="13" t="s">
        <v>78</v>
      </c>
      <c r="AY535" s="147" t="s">
        <v>126</v>
      </c>
    </row>
    <row r="536" spans="2:51" s="12" customFormat="1" ht="12">
      <c r="B536" s="139"/>
      <c r="D536" s="140" t="s">
        <v>137</v>
      </c>
      <c r="F536" s="142" t="s">
        <v>1246</v>
      </c>
      <c r="H536" s="143">
        <v>24.824</v>
      </c>
      <c r="L536" s="139"/>
      <c r="M536" s="144"/>
      <c r="T536" s="145"/>
      <c r="AT536" s="141" t="s">
        <v>137</v>
      </c>
      <c r="AU536" s="141" t="s">
        <v>80</v>
      </c>
      <c r="AV536" s="12" t="s">
        <v>80</v>
      </c>
      <c r="AW536" s="12" t="s">
        <v>4</v>
      </c>
      <c r="AX536" s="12" t="s">
        <v>78</v>
      </c>
      <c r="AY536" s="141" t="s">
        <v>126</v>
      </c>
    </row>
    <row r="537" spans="2:65" s="1" customFormat="1" ht="37.7" customHeight="1">
      <c r="B537" s="123"/>
      <c r="C537" s="124" t="s">
        <v>1247</v>
      </c>
      <c r="D537" s="124" t="s">
        <v>128</v>
      </c>
      <c r="E537" s="125" t="s">
        <v>1248</v>
      </c>
      <c r="F537" s="126" t="s">
        <v>1249</v>
      </c>
      <c r="G537" s="127" t="s">
        <v>249</v>
      </c>
      <c r="H537" s="128">
        <v>54.4</v>
      </c>
      <c r="I537" s="129"/>
      <c r="J537" s="129">
        <f>ROUND(I537*H537,2)</f>
        <v>0</v>
      </c>
      <c r="K537" s="126" t="s">
        <v>132</v>
      </c>
      <c r="L537" s="29"/>
      <c r="M537" s="130" t="s">
        <v>3</v>
      </c>
      <c r="N537" s="131" t="s">
        <v>41</v>
      </c>
      <c r="O537" s="132">
        <v>0.71</v>
      </c>
      <c r="P537" s="132">
        <f>O537*H537</f>
        <v>38.623999999999995</v>
      </c>
      <c r="Q537" s="132">
        <v>0</v>
      </c>
      <c r="R537" s="132">
        <f>Q537*H537</f>
        <v>0</v>
      </c>
      <c r="S537" s="132">
        <v>0</v>
      </c>
      <c r="T537" s="133">
        <f>S537*H537</f>
        <v>0</v>
      </c>
      <c r="AR537" s="134" t="s">
        <v>221</v>
      </c>
      <c r="AT537" s="134" t="s">
        <v>128</v>
      </c>
      <c r="AU537" s="134" t="s">
        <v>80</v>
      </c>
      <c r="AY537" s="17" t="s">
        <v>126</v>
      </c>
      <c r="BE537" s="135">
        <f>IF(N537="základní",J537,0)</f>
        <v>0</v>
      </c>
      <c r="BF537" s="135">
        <f>IF(N537="snížená",J537,0)</f>
        <v>0</v>
      </c>
      <c r="BG537" s="135">
        <f>IF(N537="zákl. přenesená",J537,0)</f>
        <v>0</v>
      </c>
      <c r="BH537" s="135">
        <f>IF(N537="sníž. přenesená",J537,0)</f>
        <v>0</v>
      </c>
      <c r="BI537" s="135">
        <f>IF(N537="nulová",J537,0)</f>
        <v>0</v>
      </c>
      <c r="BJ537" s="17" t="s">
        <v>78</v>
      </c>
      <c r="BK537" s="135">
        <f>ROUND(I537*H537,2)</f>
        <v>0</v>
      </c>
      <c r="BL537" s="17" t="s">
        <v>221</v>
      </c>
      <c r="BM537" s="134" t="s">
        <v>1250</v>
      </c>
    </row>
    <row r="538" spans="2:47" s="1" customFormat="1" ht="12">
      <c r="B538" s="29"/>
      <c r="D538" s="136" t="s">
        <v>135</v>
      </c>
      <c r="F538" s="137" t="s">
        <v>1251</v>
      </c>
      <c r="L538" s="29"/>
      <c r="M538" s="138"/>
      <c r="T538" s="49"/>
      <c r="AT538" s="17" t="s">
        <v>135</v>
      </c>
      <c r="AU538" s="17" t="s">
        <v>80</v>
      </c>
    </row>
    <row r="539" spans="2:51" s="12" customFormat="1" ht="12">
      <c r="B539" s="139"/>
      <c r="D539" s="140" t="s">
        <v>137</v>
      </c>
      <c r="E539" s="141" t="s">
        <v>3</v>
      </c>
      <c r="F539" s="142" t="s">
        <v>1252</v>
      </c>
      <c r="H539" s="143">
        <v>54.4</v>
      </c>
      <c r="L539" s="139"/>
      <c r="M539" s="144"/>
      <c r="T539" s="145"/>
      <c r="AT539" s="141" t="s">
        <v>137</v>
      </c>
      <c r="AU539" s="141" t="s">
        <v>80</v>
      </c>
      <c r="AV539" s="12" t="s">
        <v>80</v>
      </c>
      <c r="AW539" s="12" t="s">
        <v>32</v>
      </c>
      <c r="AX539" s="12" t="s">
        <v>78</v>
      </c>
      <c r="AY539" s="141" t="s">
        <v>126</v>
      </c>
    </row>
    <row r="540" spans="2:65" s="1" customFormat="1" ht="16.5" customHeight="1">
      <c r="B540" s="123"/>
      <c r="C540" s="152" t="s">
        <v>1253</v>
      </c>
      <c r="D540" s="152" t="s">
        <v>405</v>
      </c>
      <c r="E540" s="153" t="s">
        <v>1254</v>
      </c>
      <c r="F540" s="154" t="s">
        <v>1255</v>
      </c>
      <c r="G540" s="155" t="s">
        <v>146</v>
      </c>
      <c r="H540" s="156">
        <v>1.532</v>
      </c>
      <c r="I540" s="157"/>
      <c r="J540" s="157">
        <f>ROUND(I540*H540,2)</f>
        <v>0</v>
      </c>
      <c r="K540" s="154" t="s">
        <v>132</v>
      </c>
      <c r="L540" s="158"/>
      <c r="M540" s="159" t="s">
        <v>3</v>
      </c>
      <c r="N540" s="160" t="s">
        <v>41</v>
      </c>
      <c r="O540" s="132">
        <v>0</v>
      </c>
      <c r="P540" s="132">
        <f>O540*H540</f>
        <v>0</v>
      </c>
      <c r="Q540" s="132">
        <v>0.55</v>
      </c>
      <c r="R540" s="132">
        <f>Q540*H540</f>
        <v>0.8426000000000001</v>
      </c>
      <c r="S540" s="132">
        <v>0</v>
      </c>
      <c r="T540" s="133">
        <f>S540*H540</f>
        <v>0</v>
      </c>
      <c r="AR540" s="134" t="s">
        <v>325</v>
      </c>
      <c r="AT540" s="134" t="s">
        <v>405</v>
      </c>
      <c r="AU540" s="134" t="s">
        <v>80</v>
      </c>
      <c r="AY540" s="17" t="s">
        <v>126</v>
      </c>
      <c r="BE540" s="135">
        <f>IF(N540="základní",J540,0)</f>
        <v>0</v>
      </c>
      <c r="BF540" s="135">
        <f>IF(N540="snížená",J540,0)</f>
        <v>0</v>
      </c>
      <c r="BG540" s="135">
        <f>IF(N540="zákl. přenesená",J540,0)</f>
        <v>0</v>
      </c>
      <c r="BH540" s="135">
        <f>IF(N540="sníž. přenesená",J540,0)</f>
        <v>0</v>
      </c>
      <c r="BI540" s="135">
        <f>IF(N540="nulová",J540,0)</f>
        <v>0</v>
      </c>
      <c r="BJ540" s="17" t="s">
        <v>78</v>
      </c>
      <c r="BK540" s="135">
        <f>ROUND(I540*H540,2)</f>
        <v>0</v>
      </c>
      <c r="BL540" s="17" t="s">
        <v>221</v>
      </c>
      <c r="BM540" s="134" t="s">
        <v>1256</v>
      </c>
    </row>
    <row r="541" spans="2:51" s="12" customFormat="1" ht="12">
      <c r="B541" s="139"/>
      <c r="D541" s="140" t="s">
        <v>137</v>
      </c>
      <c r="E541" s="141" t="s">
        <v>3</v>
      </c>
      <c r="F541" s="142" t="s">
        <v>1227</v>
      </c>
      <c r="H541" s="143">
        <v>1.393</v>
      </c>
      <c r="L541" s="139"/>
      <c r="M541" s="144"/>
      <c r="T541" s="145"/>
      <c r="AT541" s="141" t="s">
        <v>137</v>
      </c>
      <c r="AU541" s="141" t="s">
        <v>80</v>
      </c>
      <c r="AV541" s="12" t="s">
        <v>80</v>
      </c>
      <c r="AW541" s="12" t="s">
        <v>32</v>
      </c>
      <c r="AX541" s="12" t="s">
        <v>78</v>
      </c>
      <c r="AY541" s="141" t="s">
        <v>126</v>
      </c>
    </row>
    <row r="542" spans="2:51" s="12" customFormat="1" ht="12">
      <c r="B542" s="139"/>
      <c r="D542" s="140" t="s">
        <v>137</v>
      </c>
      <c r="F542" s="142" t="s">
        <v>1257</v>
      </c>
      <c r="H542" s="143">
        <v>1.532</v>
      </c>
      <c r="L542" s="139"/>
      <c r="M542" s="144"/>
      <c r="T542" s="145"/>
      <c r="AT542" s="141" t="s">
        <v>137</v>
      </c>
      <c r="AU542" s="141" t="s">
        <v>80</v>
      </c>
      <c r="AV542" s="12" t="s">
        <v>80</v>
      </c>
      <c r="AW542" s="12" t="s">
        <v>4</v>
      </c>
      <c r="AX542" s="12" t="s">
        <v>78</v>
      </c>
      <c r="AY542" s="141" t="s">
        <v>126</v>
      </c>
    </row>
    <row r="543" spans="2:65" s="1" customFormat="1" ht="37.7" customHeight="1">
      <c r="B543" s="123"/>
      <c r="C543" s="124" t="s">
        <v>1258</v>
      </c>
      <c r="D543" s="124" t="s">
        <v>128</v>
      </c>
      <c r="E543" s="125" t="s">
        <v>1259</v>
      </c>
      <c r="F543" s="126" t="s">
        <v>1260</v>
      </c>
      <c r="G543" s="127" t="s">
        <v>249</v>
      </c>
      <c r="H543" s="128">
        <v>128.4</v>
      </c>
      <c r="I543" s="129"/>
      <c r="J543" s="129">
        <f>ROUND(I543*H543,2)</f>
        <v>0</v>
      </c>
      <c r="K543" s="126" t="s">
        <v>132</v>
      </c>
      <c r="L543" s="29"/>
      <c r="M543" s="130" t="s">
        <v>3</v>
      </c>
      <c r="N543" s="131" t="s">
        <v>41</v>
      </c>
      <c r="O543" s="132">
        <v>0.852</v>
      </c>
      <c r="P543" s="132">
        <f>O543*H543</f>
        <v>109.3968</v>
      </c>
      <c r="Q543" s="132">
        <v>0</v>
      </c>
      <c r="R543" s="132">
        <f>Q543*H543</f>
        <v>0</v>
      </c>
      <c r="S543" s="132">
        <v>0</v>
      </c>
      <c r="T543" s="133">
        <f>S543*H543</f>
        <v>0</v>
      </c>
      <c r="AR543" s="134" t="s">
        <v>221</v>
      </c>
      <c r="AT543" s="134" t="s">
        <v>128</v>
      </c>
      <c r="AU543" s="134" t="s">
        <v>80</v>
      </c>
      <c r="AY543" s="17" t="s">
        <v>126</v>
      </c>
      <c r="BE543" s="135">
        <f>IF(N543="základní",J543,0)</f>
        <v>0</v>
      </c>
      <c r="BF543" s="135">
        <f>IF(N543="snížená",J543,0)</f>
        <v>0</v>
      </c>
      <c r="BG543" s="135">
        <f>IF(N543="zákl. přenesená",J543,0)</f>
        <v>0</v>
      </c>
      <c r="BH543" s="135">
        <f>IF(N543="sníž. přenesená",J543,0)</f>
        <v>0</v>
      </c>
      <c r="BI543" s="135">
        <f>IF(N543="nulová",J543,0)</f>
        <v>0</v>
      </c>
      <c r="BJ543" s="17" t="s">
        <v>78</v>
      </c>
      <c r="BK543" s="135">
        <f>ROUND(I543*H543,2)</f>
        <v>0</v>
      </c>
      <c r="BL543" s="17" t="s">
        <v>221</v>
      </c>
      <c r="BM543" s="134" t="s">
        <v>1261</v>
      </c>
    </row>
    <row r="544" spans="2:47" s="1" customFormat="1" ht="12">
      <c r="B544" s="29"/>
      <c r="D544" s="136" t="s">
        <v>135</v>
      </c>
      <c r="F544" s="137" t="s">
        <v>1262</v>
      </c>
      <c r="L544" s="29"/>
      <c r="M544" s="138"/>
      <c r="T544" s="49"/>
      <c r="AT544" s="17" t="s">
        <v>135</v>
      </c>
      <c r="AU544" s="17" t="s">
        <v>80</v>
      </c>
    </row>
    <row r="545" spans="2:51" s="12" customFormat="1" ht="12">
      <c r="B545" s="139"/>
      <c r="D545" s="140" t="s">
        <v>137</v>
      </c>
      <c r="E545" s="141" t="s">
        <v>3</v>
      </c>
      <c r="F545" s="142" t="s">
        <v>1263</v>
      </c>
      <c r="H545" s="143">
        <v>128.4</v>
      </c>
      <c r="L545" s="139"/>
      <c r="M545" s="144"/>
      <c r="T545" s="145"/>
      <c r="AT545" s="141" t="s">
        <v>137</v>
      </c>
      <c r="AU545" s="141" t="s">
        <v>80</v>
      </c>
      <c r="AV545" s="12" t="s">
        <v>80</v>
      </c>
      <c r="AW545" s="12" t="s">
        <v>32</v>
      </c>
      <c r="AX545" s="12" t="s">
        <v>78</v>
      </c>
      <c r="AY545" s="141" t="s">
        <v>126</v>
      </c>
    </row>
    <row r="546" spans="2:65" s="1" customFormat="1" ht="16.5" customHeight="1">
      <c r="B546" s="123"/>
      <c r="C546" s="152" t="s">
        <v>1264</v>
      </c>
      <c r="D546" s="152" t="s">
        <v>405</v>
      </c>
      <c r="E546" s="153" t="s">
        <v>1265</v>
      </c>
      <c r="F546" s="154" t="s">
        <v>1266</v>
      </c>
      <c r="G546" s="155" t="s">
        <v>146</v>
      </c>
      <c r="H546" s="156">
        <v>4.52</v>
      </c>
      <c r="I546" s="157"/>
      <c r="J546" s="157">
        <f>ROUND(I546*H546,2)</f>
        <v>0</v>
      </c>
      <c r="K546" s="154" t="s">
        <v>132</v>
      </c>
      <c r="L546" s="158"/>
      <c r="M546" s="159" t="s">
        <v>3</v>
      </c>
      <c r="N546" s="160" t="s">
        <v>41</v>
      </c>
      <c r="O546" s="132">
        <v>0</v>
      </c>
      <c r="P546" s="132">
        <f>O546*H546</f>
        <v>0</v>
      </c>
      <c r="Q546" s="132">
        <v>0.55</v>
      </c>
      <c r="R546" s="132">
        <f>Q546*H546</f>
        <v>2.4859999999999998</v>
      </c>
      <c r="S546" s="132">
        <v>0</v>
      </c>
      <c r="T546" s="133">
        <f>S546*H546</f>
        <v>0</v>
      </c>
      <c r="AR546" s="134" t="s">
        <v>325</v>
      </c>
      <c r="AT546" s="134" t="s">
        <v>405</v>
      </c>
      <c r="AU546" s="134" t="s">
        <v>80</v>
      </c>
      <c r="AY546" s="17" t="s">
        <v>126</v>
      </c>
      <c r="BE546" s="135">
        <f>IF(N546="základní",J546,0)</f>
        <v>0</v>
      </c>
      <c r="BF546" s="135">
        <f>IF(N546="snížená",J546,0)</f>
        <v>0</v>
      </c>
      <c r="BG546" s="135">
        <f>IF(N546="zákl. přenesená",J546,0)</f>
        <v>0</v>
      </c>
      <c r="BH546" s="135">
        <f>IF(N546="sníž. přenesená",J546,0)</f>
        <v>0</v>
      </c>
      <c r="BI546" s="135">
        <f>IF(N546="nulová",J546,0)</f>
        <v>0</v>
      </c>
      <c r="BJ546" s="17" t="s">
        <v>78</v>
      </c>
      <c r="BK546" s="135">
        <f>ROUND(I546*H546,2)</f>
        <v>0</v>
      </c>
      <c r="BL546" s="17" t="s">
        <v>221</v>
      </c>
      <c r="BM546" s="134" t="s">
        <v>1267</v>
      </c>
    </row>
    <row r="547" spans="2:51" s="12" customFormat="1" ht="12">
      <c r="B547" s="139"/>
      <c r="D547" s="140" t="s">
        <v>137</v>
      </c>
      <c r="E547" s="141" t="s">
        <v>3</v>
      </c>
      <c r="F547" s="142" t="s">
        <v>1228</v>
      </c>
      <c r="H547" s="143">
        <v>4.109</v>
      </c>
      <c r="L547" s="139"/>
      <c r="M547" s="144"/>
      <c r="T547" s="145"/>
      <c r="AT547" s="141" t="s">
        <v>137</v>
      </c>
      <c r="AU547" s="141" t="s">
        <v>80</v>
      </c>
      <c r="AV547" s="12" t="s">
        <v>80</v>
      </c>
      <c r="AW547" s="12" t="s">
        <v>32</v>
      </c>
      <c r="AX547" s="12" t="s">
        <v>78</v>
      </c>
      <c r="AY547" s="141" t="s">
        <v>126</v>
      </c>
    </row>
    <row r="548" spans="2:51" s="12" customFormat="1" ht="12">
      <c r="B548" s="139"/>
      <c r="D548" s="140" t="s">
        <v>137</v>
      </c>
      <c r="F548" s="142" t="s">
        <v>1268</v>
      </c>
      <c r="H548" s="143">
        <v>4.52</v>
      </c>
      <c r="L548" s="139"/>
      <c r="M548" s="144"/>
      <c r="T548" s="145"/>
      <c r="AT548" s="141" t="s">
        <v>137</v>
      </c>
      <c r="AU548" s="141" t="s">
        <v>80</v>
      </c>
      <c r="AV548" s="12" t="s">
        <v>80</v>
      </c>
      <c r="AW548" s="12" t="s">
        <v>4</v>
      </c>
      <c r="AX548" s="12" t="s">
        <v>78</v>
      </c>
      <c r="AY548" s="141" t="s">
        <v>126</v>
      </c>
    </row>
    <row r="549" spans="2:65" s="1" customFormat="1" ht="37.7" customHeight="1">
      <c r="B549" s="123"/>
      <c r="C549" s="124" t="s">
        <v>1269</v>
      </c>
      <c r="D549" s="124" t="s">
        <v>128</v>
      </c>
      <c r="E549" s="125" t="s">
        <v>1270</v>
      </c>
      <c r="F549" s="126" t="s">
        <v>1271</v>
      </c>
      <c r="G549" s="127" t="s">
        <v>249</v>
      </c>
      <c r="H549" s="128">
        <v>740</v>
      </c>
      <c r="I549" s="129"/>
      <c r="J549" s="129">
        <f>ROUND(I549*H549,2)</f>
        <v>0</v>
      </c>
      <c r="K549" s="126" t="s">
        <v>132</v>
      </c>
      <c r="L549" s="29"/>
      <c r="M549" s="130" t="s">
        <v>3</v>
      </c>
      <c r="N549" s="131" t="s">
        <v>41</v>
      </c>
      <c r="O549" s="132">
        <v>0.458</v>
      </c>
      <c r="P549" s="132">
        <f>O549*H549</f>
        <v>338.92</v>
      </c>
      <c r="Q549" s="132">
        <v>0</v>
      </c>
      <c r="R549" s="132">
        <f>Q549*H549</f>
        <v>0</v>
      </c>
      <c r="S549" s="132">
        <v>0</v>
      </c>
      <c r="T549" s="133">
        <f>S549*H549</f>
        <v>0</v>
      </c>
      <c r="AR549" s="134" t="s">
        <v>221</v>
      </c>
      <c r="AT549" s="134" t="s">
        <v>128</v>
      </c>
      <c r="AU549" s="134" t="s">
        <v>80</v>
      </c>
      <c r="AY549" s="17" t="s">
        <v>126</v>
      </c>
      <c r="BE549" s="135">
        <f>IF(N549="základní",J549,0)</f>
        <v>0</v>
      </c>
      <c r="BF549" s="135">
        <f>IF(N549="snížená",J549,0)</f>
        <v>0</v>
      </c>
      <c r="BG549" s="135">
        <f>IF(N549="zákl. přenesená",J549,0)</f>
        <v>0</v>
      </c>
      <c r="BH549" s="135">
        <f>IF(N549="sníž. přenesená",J549,0)</f>
        <v>0</v>
      </c>
      <c r="BI549" s="135">
        <f>IF(N549="nulová",J549,0)</f>
        <v>0</v>
      </c>
      <c r="BJ549" s="17" t="s">
        <v>78</v>
      </c>
      <c r="BK549" s="135">
        <f>ROUND(I549*H549,2)</f>
        <v>0</v>
      </c>
      <c r="BL549" s="17" t="s">
        <v>221</v>
      </c>
      <c r="BM549" s="134" t="s">
        <v>1272</v>
      </c>
    </row>
    <row r="550" spans="2:47" s="1" customFormat="1" ht="12">
      <c r="B550" s="29"/>
      <c r="D550" s="136" t="s">
        <v>135</v>
      </c>
      <c r="F550" s="137" t="s">
        <v>1273</v>
      </c>
      <c r="L550" s="29"/>
      <c r="M550" s="138"/>
      <c r="T550" s="49"/>
      <c r="AT550" s="17" t="s">
        <v>135</v>
      </c>
      <c r="AU550" s="17" t="s">
        <v>80</v>
      </c>
    </row>
    <row r="551" spans="2:51" s="12" customFormat="1" ht="12">
      <c r="B551" s="139"/>
      <c r="D551" s="140" t="s">
        <v>137</v>
      </c>
      <c r="E551" s="141" t="s">
        <v>3</v>
      </c>
      <c r="F551" s="142" t="s">
        <v>1274</v>
      </c>
      <c r="H551" s="143">
        <v>740</v>
      </c>
      <c r="L551" s="139"/>
      <c r="M551" s="144"/>
      <c r="T551" s="145"/>
      <c r="AT551" s="141" t="s">
        <v>137</v>
      </c>
      <c r="AU551" s="141" t="s">
        <v>80</v>
      </c>
      <c r="AV551" s="12" t="s">
        <v>80</v>
      </c>
      <c r="AW551" s="12" t="s">
        <v>32</v>
      </c>
      <c r="AX551" s="12" t="s">
        <v>78</v>
      </c>
      <c r="AY551" s="141" t="s">
        <v>126</v>
      </c>
    </row>
    <row r="552" spans="2:65" s="1" customFormat="1" ht="16.5" customHeight="1">
      <c r="B552" s="123"/>
      <c r="C552" s="152" t="s">
        <v>1275</v>
      </c>
      <c r="D552" s="152" t="s">
        <v>405</v>
      </c>
      <c r="E552" s="153" t="s">
        <v>1276</v>
      </c>
      <c r="F552" s="154" t="s">
        <v>1277</v>
      </c>
      <c r="G552" s="155" t="s">
        <v>146</v>
      </c>
      <c r="H552" s="156">
        <v>4.558</v>
      </c>
      <c r="I552" s="157"/>
      <c r="J552" s="157">
        <f>ROUND(I552*H552,2)</f>
        <v>0</v>
      </c>
      <c r="K552" s="154" t="s">
        <v>132</v>
      </c>
      <c r="L552" s="158"/>
      <c r="M552" s="159" t="s">
        <v>3</v>
      </c>
      <c r="N552" s="160" t="s">
        <v>41</v>
      </c>
      <c r="O552" s="132">
        <v>0</v>
      </c>
      <c r="P552" s="132">
        <f>O552*H552</f>
        <v>0</v>
      </c>
      <c r="Q552" s="132">
        <v>0.44</v>
      </c>
      <c r="R552" s="132">
        <f>Q552*H552</f>
        <v>2.0055199999999997</v>
      </c>
      <c r="S552" s="132">
        <v>0</v>
      </c>
      <c r="T552" s="133">
        <f>S552*H552</f>
        <v>0</v>
      </c>
      <c r="AR552" s="134" t="s">
        <v>325</v>
      </c>
      <c r="AT552" s="134" t="s">
        <v>405</v>
      </c>
      <c r="AU552" s="134" t="s">
        <v>80</v>
      </c>
      <c r="AY552" s="17" t="s">
        <v>126</v>
      </c>
      <c r="BE552" s="135">
        <f>IF(N552="základní",J552,0)</f>
        <v>0</v>
      </c>
      <c r="BF552" s="135">
        <f>IF(N552="snížená",J552,0)</f>
        <v>0</v>
      </c>
      <c r="BG552" s="135">
        <f>IF(N552="zákl. přenesená",J552,0)</f>
        <v>0</v>
      </c>
      <c r="BH552" s="135">
        <f>IF(N552="sníž. přenesená",J552,0)</f>
        <v>0</v>
      </c>
      <c r="BI552" s="135">
        <f>IF(N552="nulová",J552,0)</f>
        <v>0</v>
      </c>
      <c r="BJ552" s="17" t="s">
        <v>78</v>
      </c>
      <c r="BK552" s="135">
        <f>ROUND(I552*H552,2)</f>
        <v>0</v>
      </c>
      <c r="BL552" s="17" t="s">
        <v>221</v>
      </c>
      <c r="BM552" s="134" t="s">
        <v>1278</v>
      </c>
    </row>
    <row r="553" spans="2:51" s="12" customFormat="1" ht="12">
      <c r="B553" s="139"/>
      <c r="D553" s="140" t="s">
        <v>137</v>
      </c>
      <c r="E553" s="141" t="s">
        <v>3</v>
      </c>
      <c r="F553" s="142" t="s">
        <v>1234</v>
      </c>
      <c r="H553" s="143">
        <v>4.144</v>
      </c>
      <c r="L553" s="139"/>
      <c r="M553" s="144"/>
      <c r="T553" s="145"/>
      <c r="AT553" s="141" t="s">
        <v>137</v>
      </c>
      <c r="AU553" s="141" t="s">
        <v>80</v>
      </c>
      <c r="AV553" s="12" t="s">
        <v>80</v>
      </c>
      <c r="AW553" s="12" t="s">
        <v>32</v>
      </c>
      <c r="AX553" s="12" t="s">
        <v>78</v>
      </c>
      <c r="AY553" s="141" t="s">
        <v>126</v>
      </c>
    </row>
    <row r="554" spans="2:51" s="12" customFormat="1" ht="12">
      <c r="B554" s="139"/>
      <c r="D554" s="140" t="s">
        <v>137</v>
      </c>
      <c r="F554" s="142" t="s">
        <v>1279</v>
      </c>
      <c r="H554" s="143">
        <v>4.558</v>
      </c>
      <c r="L554" s="139"/>
      <c r="M554" s="144"/>
      <c r="T554" s="145"/>
      <c r="AT554" s="141" t="s">
        <v>137</v>
      </c>
      <c r="AU554" s="141" t="s">
        <v>80</v>
      </c>
      <c r="AV554" s="12" t="s">
        <v>80</v>
      </c>
      <c r="AW554" s="12" t="s">
        <v>4</v>
      </c>
      <c r="AX554" s="12" t="s">
        <v>78</v>
      </c>
      <c r="AY554" s="141" t="s">
        <v>126</v>
      </c>
    </row>
    <row r="555" spans="2:65" s="1" customFormat="1" ht="37.7" customHeight="1">
      <c r="B555" s="123"/>
      <c r="C555" s="124" t="s">
        <v>1280</v>
      </c>
      <c r="D555" s="124" t="s">
        <v>128</v>
      </c>
      <c r="E555" s="125" t="s">
        <v>1281</v>
      </c>
      <c r="F555" s="126" t="s">
        <v>1282</v>
      </c>
      <c r="G555" s="127" t="s">
        <v>249</v>
      </c>
      <c r="H555" s="128">
        <v>650</v>
      </c>
      <c r="I555" s="129"/>
      <c r="J555" s="129">
        <f>ROUND(I555*H555,2)</f>
        <v>0</v>
      </c>
      <c r="K555" s="126" t="s">
        <v>132</v>
      </c>
      <c r="L555" s="29"/>
      <c r="M555" s="130" t="s">
        <v>3</v>
      </c>
      <c r="N555" s="131" t="s">
        <v>41</v>
      </c>
      <c r="O555" s="132">
        <v>1.031</v>
      </c>
      <c r="P555" s="132">
        <f>O555*H555</f>
        <v>670.15</v>
      </c>
      <c r="Q555" s="132">
        <v>0</v>
      </c>
      <c r="R555" s="132">
        <f>Q555*H555</f>
        <v>0</v>
      </c>
      <c r="S555" s="132">
        <v>0</v>
      </c>
      <c r="T555" s="133">
        <f>S555*H555</f>
        <v>0</v>
      </c>
      <c r="AR555" s="134" t="s">
        <v>221</v>
      </c>
      <c r="AT555" s="134" t="s">
        <v>128</v>
      </c>
      <c r="AU555" s="134" t="s">
        <v>80</v>
      </c>
      <c r="AY555" s="17" t="s">
        <v>126</v>
      </c>
      <c r="BE555" s="135">
        <f>IF(N555="základní",J555,0)</f>
        <v>0</v>
      </c>
      <c r="BF555" s="135">
        <f>IF(N555="snížená",J555,0)</f>
        <v>0</v>
      </c>
      <c r="BG555" s="135">
        <f>IF(N555="zákl. přenesená",J555,0)</f>
        <v>0</v>
      </c>
      <c r="BH555" s="135">
        <f>IF(N555="sníž. přenesená",J555,0)</f>
        <v>0</v>
      </c>
      <c r="BI555" s="135">
        <f>IF(N555="nulová",J555,0)</f>
        <v>0</v>
      </c>
      <c r="BJ555" s="17" t="s">
        <v>78</v>
      </c>
      <c r="BK555" s="135">
        <f>ROUND(I555*H555,2)</f>
        <v>0</v>
      </c>
      <c r="BL555" s="17" t="s">
        <v>221</v>
      </c>
      <c r="BM555" s="134" t="s">
        <v>1283</v>
      </c>
    </row>
    <row r="556" spans="2:47" s="1" customFormat="1" ht="12">
      <c r="B556" s="29"/>
      <c r="D556" s="136" t="s">
        <v>135</v>
      </c>
      <c r="F556" s="137" t="s">
        <v>1284</v>
      </c>
      <c r="L556" s="29"/>
      <c r="M556" s="138"/>
      <c r="T556" s="49"/>
      <c r="AT556" s="17" t="s">
        <v>135</v>
      </c>
      <c r="AU556" s="17" t="s">
        <v>80</v>
      </c>
    </row>
    <row r="557" spans="2:51" s="12" customFormat="1" ht="12">
      <c r="B557" s="139"/>
      <c r="D557" s="140" t="s">
        <v>137</v>
      </c>
      <c r="E557" s="141" t="s">
        <v>3</v>
      </c>
      <c r="F557" s="142" t="s">
        <v>1285</v>
      </c>
      <c r="H557" s="143">
        <v>650</v>
      </c>
      <c r="L557" s="139"/>
      <c r="M557" s="144"/>
      <c r="T557" s="145"/>
      <c r="AT557" s="141" t="s">
        <v>137</v>
      </c>
      <c r="AU557" s="141" t="s">
        <v>80</v>
      </c>
      <c r="AV557" s="12" t="s">
        <v>80</v>
      </c>
      <c r="AW557" s="12" t="s">
        <v>32</v>
      </c>
      <c r="AX557" s="12" t="s">
        <v>78</v>
      </c>
      <c r="AY557" s="141" t="s">
        <v>126</v>
      </c>
    </row>
    <row r="558" spans="2:65" s="1" customFormat="1" ht="16.5" customHeight="1">
      <c r="B558" s="123"/>
      <c r="C558" s="152" t="s">
        <v>1286</v>
      </c>
      <c r="D558" s="152" t="s">
        <v>405</v>
      </c>
      <c r="E558" s="153" t="s">
        <v>1287</v>
      </c>
      <c r="F558" s="154" t="s">
        <v>1288</v>
      </c>
      <c r="G558" s="155" t="s">
        <v>146</v>
      </c>
      <c r="H558" s="156">
        <v>4.004</v>
      </c>
      <c r="I558" s="157"/>
      <c r="J558" s="157">
        <f>ROUND(I558*H558,2)</f>
        <v>0</v>
      </c>
      <c r="K558" s="154" t="s">
        <v>132</v>
      </c>
      <c r="L558" s="158"/>
      <c r="M558" s="159" t="s">
        <v>3</v>
      </c>
      <c r="N558" s="160" t="s">
        <v>41</v>
      </c>
      <c r="O558" s="132">
        <v>0</v>
      </c>
      <c r="P558" s="132">
        <f>O558*H558</f>
        <v>0</v>
      </c>
      <c r="Q558" s="132">
        <v>0.44</v>
      </c>
      <c r="R558" s="132">
        <f>Q558*H558</f>
        <v>1.7617599999999998</v>
      </c>
      <c r="S558" s="132">
        <v>0</v>
      </c>
      <c r="T558" s="133">
        <f>S558*H558</f>
        <v>0</v>
      </c>
      <c r="AR558" s="134" t="s">
        <v>325</v>
      </c>
      <c r="AT558" s="134" t="s">
        <v>405</v>
      </c>
      <c r="AU558" s="134" t="s">
        <v>80</v>
      </c>
      <c r="AY558" s="17" t="s">
        <v>126</v>
      </c>
      <c r="BE558" s="135">
        <f>IF(N558="základní",J558,0)</f>
        <v>0</v>
      </c>
      <c r="BF558" s="135">
        <f>IF(N558="snížená",J558,0)</f>
        <v>0</v>
      </c>
      <c r="BG558" s="135">
        <f>IF(N558="zákl. přenesená",J558,0)</f>
        <v>0</v>
      </c>
      <c r="BH558" s="135">
        <f>IF(N558="sníž. přenesená",J558,0)</f>
        <v>0</v>
      </c>
      <c r="BI558" s="135">
        <f>IF(N558="nulová",J558,0)</f>
        <v>0</v>
      </c>
      <c r="BJ558" s="17" t="s">
        <v>78</v>
      </c>
      <c r="BK558" s="135">
        <f>ROUND(I558*H558,2)</f>
        <v>0</v>
      </c>
      <c r="BL558" s="17" t="s">
        <v>221</v>
      </c>
      <c r="BM558" s="134" t="s">
        <v>1289</v>
      </c>
    </row>
    <row r="559" spans="2:51" s="12" customFormat="1" ht="12">
      <c r="B559" s="139"/>
      <c r="D559" s="140" t="s">
        <v>137</v>
      </c>
      <c r="E559" s="141" t="s">
        <v>3</v>
      </c>
      <c r="F559" s="142" t="s">
        <v>1290</v>
      </c>
      <c r="H559" s="143">
        <v>3.64</v>
      </c>
      <c r="L559" s="139"/>
      <c r="M559" s="144"/>
      <c r="T559" s="145"/>
      <c r="AT559" s="141" t="s">
        <v>137</v>
      </c>
      <c r="AU559" s="141" t="s">
        <v>80</v>
      </c>
      <c r="AV559" s="12" t="s">
        <v>80</v>
      </c>
      <c r="AW559" s="12" t="s">
        <v>32</v>
      </c>
      <c r="AX559" s="12" t="s">
        <v>78</v>
      </c>
      <c r="AY559" s="141" t="s">
        <v>126</v>
      </c>
    </row>
    <row r="560" spans="2:51" s="12" customFormat="1" ht="12">
      <c r="B560" s="139"/>
      <c r="D560" s="140" t="s">
        <v>137</v>
      </c>
      <c r="F560" s="142" t="s">
        <v>1291</v>
      </c>
      <c r="H560" s="143">
        <v>4.004</v>
      </c>
      <c r="L560" s="139"/>
      <c r="M560" s="144"/>
      <c r="T560" s="145"/>
      <c r="AT560" s="141" t="s">
        <v>137</v>
      </c>
      <c r="AU560" s="141" t="s">
        <v>80</v>
      </c>
      <c r="AV560" s="12" t="s">
        <v>80</v>
      </c>
      <c r="AW560" s="12" t="s">
        <v>4</v>
      </c>
      <c r="AX560" s="12" t="s">
        <v>78</v>
      </c>
      <c r="AY560" s="141" t="s">
        <v>126</v>
      </c>
    </row>
    <row r="561" spans="2:65" s="1" customFormat="1" ht="24.2" customHeight="1">
      <c r="B561" s="123"/>
      <c r="C561" s="124" t="s">
        <v>1292</v>
      </c>
      <c r="D561" s="124" t="s">
        <v>128</v>
      </c>
      <c r="E561" s="125" t="s">
        <v>1293</v>
      </c>
      <c r="F561" s="126" t="s">
        <v>1294</v>
      </c>
      <c r="G561" s="127" t="s">
        <v>131</v>
      </c>
      <c r="H561" s="128">
        <v>290.4</v>
      </c>
      <c r="I561" s="129"/>
      <c r="J561" s="129">
        <f>ROUND(I561*H561,2)</f>
        <v>0</v>
      </c>
      <c r="K561" s="126" t="s">
        <v>132</v>
      </c>
      <c r="L561" s="29"/>
      <c r="M561" s="130" t="s">
        <v>3</v>
      </c>
      <c r="N561" s="131" t="s">
        <v>41</v>
      </c>
      <c r="O561" s="132">
        <v>0.354</v>
      </c>
      <c r="P561" s="132">
        <f>O561*H561</f>
        <v>102.8016</v>
      </c>
      <c r="Q561" s="132">
        <v>0.008</v>
      </c>
      <c r="R561" s="132">
        <f>Q561*H561</f>
        <v>2.3232</v>
      </c>
      <c r="S561" s="132">
        <v>0</v>
      </c>
      <c r="T561" s="133">
        <f>S561*H561</f>
        <v>0</v>
      </c>
      <c r="AR561" s="134" t="s">
        <v>221</v>
      </c>
      <c r="AT561" s="134" t="s">
        <v>128</v>
      </c>
      <c r="AU561" s="134" t="s">
        <v>80</v>
      </c>
      <c r="AY561" s="17" t="s">
        <v>126</v>
      </c>
      <c r="BE561" s="135">
        <f>IF(N561="základní",J561,0)</f>
        <v>0</v>
      </c>
      <c r="BF561" s="135">
        <f>IF(N561="snížená",J561,0)</f>
        <v>0</v>
      </c>
      <c r="BG561" s="135">
        <f>IF(N561="zákl. přenesená",J561,0)</f>
        <v>0</v>
      </c>
      <c r="BH561" s="135">
        <f>IF(N561="sníž. přenesená",J561,0)</f>
        <v>0</v>
      </c>
      <c r="BI561" s="135">
        <f>IF(N561="nulová",J561,0)</f>
        <v>0</v>
      </c>
      <c r="BJ561" s="17" t="s">
        <v>78</v>
      </c>
      <c r="BK561" s="135">
        <f>ROUND(I561*H561,2)</f>
        <v>0</v>
      </c>
      <c r="BL561" s="17" t="s">
        <v>221</v>
      </c>
      <c r="BM561" s="134" t="s">
        <v>1295</v>
      </c>
    </row>
    <row r="562" spans="2:47" s="1" customFormat="1" ht="12">
      <c r="B562" s="29"/>
      <c r="D562" s="136" t="s">
        <v>135</v>
      </c>
      <c r="F562" s="137" t="s">
        <v>1296</v>
      </c>
      <c r="L562" s="29"/>
      <c r="M562" s="138"/>
      <c r="T562" s="49"/>
      <c r="AT562" s="17" t="s">
        <v>135</v>
      </c>
      <c r="AU562" s="17" t="s">
        <v>80</v>
      </c>
    </row>
    <row r="563" spans="2:51" s="12" customFormat="1" ht="12">
      <c r="B563" s="139"/>
      <c r="D563" s="140" t="s">
        <v>137</v>
      </c>
      <c r="E563" s="141" t="s">
        <v>3</v>
      </c>
      <c r="F563" s="142" t="s">
        <v>1297</v>
      </c>
      <c r="H563" s="143">
        <v>290.4</v>
      </c>
      <c r="L563" s="139"/>
      <c r="M563" s="144"/>
      <c r="T563" s="145"/>
      <c r="AT563" s="141" t="s">
        <v>137</v>
      </c>
      <c r="AU563" s="141" t="s">
        <v>80</v>
      </c>
      <c r="AV563" s="12" t="s">
        <v>80</v>
      </c>
      <c r="AW563" s="12" t="s">
        <v>32</v>
      </c>
      <c r="AX563" s="12" t="s">
        <v>78</v>
      </c>
      <c r="AY563" s="141" t="s">
        <v>126</v>
      </c>
    </row>
    <row r="564" spans="2:65" s="1" customFormat="1" ht="24.2" customHeight="1">
      <c r="B564" s="123"/>
      <c r="C564" s="124" t="s">
        <v>1298</v>
      </c>
      <c r="D564" s="124" t="s">
        <v>128</v>
      </c>
      <c r="E564" s="125" t="s">
        <v>1299</v>
      </c>
      <c r="F564" s="126" t="s">
        <v>1300</v>
      </c>
      <c r="G564" s="127" t="s">
        <v>131</v>
      </c>
      <c r="H564" s="128">
        <v>76</v>
      </c>
      <c r="I564" s="129"/>
      <c r="J564" s="129">
        <f>ROUND(I564*H564,2)</f>
        <v>0</v>
      </c>
      <c r="K564" s="126" t="s">
        <v>132</v>
      </c>
      <c r="L564" s="29"/>
      <c r="M564" s="130" t="s">
        <v>3</v>
      </c>
      <c r="N564" s="131" t="s">
        <v>41</v>
      </c>
      <c r="O564" s="132">
        <v>0.264</v>
      </c>
      <c r="P564" s="132">
        <f>O564*H564</f>
        <v>20.064</v>
      </c>
      <c r="Q564" s="132">
        <v>0</v>
      </c>
      <c r="R564" s="132">
        <f>Q564*H564</f>
        <v>0</v>
      </c>
      <c r="S564" s="132">
        <v>0</v>
      </c>
      <c r="T564" s="133">
        <f>S564*H564</f>
        <v>0</v>
      </c>
      <c r="AR564" s="134" t="s">
        <v>221</v>
      </c>
      <c r="AT564" s="134" t="s">
        <v>128</v>
      </c>
      <c r="AU564" s="134" t="s">
        <v>80</v>
      </c>
      <c r="AY564" s="17" t="s">
        <v>126</v>
      </c>
      <c r="BE564" s="135">
        <f>IF(N564="základní",J564,0)</f>
        <v>0</v>
      </c>
      <c r="BF564" s="135">
        <f>IF(N564="snížená",J564,0)</f>
        <v>0</v>
      </c>
      <c r="BG564" s="135">
        <f>IF(N564="zákl. přenesená",J564,0)</f>
        <v>0</v>
      </c>
      <c r="BH564" s="135">
        <f>IF(N564="sníž. přenesená",J564,0)</f>
        <v>0</v>
      </c>
      <c r="BI564" s="135">
        <f>IF(N564="nulová",J564,0)</f>
        <v>0</v>
      </c>
      <c r="BJ564" s="17" t="s">
        <v>78</v>
      </c>
      <c r="BK564" s="135">
        <f>ROUND(I564*H564,2)</f>
        <v>0</v>
      </c>
      <c r="BL564" s="17" t="s">
        <v>221</v>
      </c>
      <c r="BM564" s="134" t="s">
        <v>1301</v>
      </c>
    </row>
    <row r="565" spans="2:47" s="1" customFormat="1" ht="12">
      <c r="B565" s="29"/>
      <c r="D565" s="136" t="s">
        <v>135</v>
      </c>
      <c r="F565" s="137" t="s">
        <v>1302</v>
      </c>
      <c r="L565" s="29"/>
      <c r="M565" s="138"/>
      <c r="T565" s="49"/>
      <c r="AT565" s="17" t="s">
        <v>135</v>
      </c>
      <c r="AU565" s="17" t="s">
        <v>80</v>
      </c>
    </row>
    <row r="566" spans="2:51" s="12" customFormat="1" ht="12">
      <c r="B566" s="139"/>
      <c r="D566" s="140" t="s">
        <v>137</v>
      </c>
      <c r="E566" s="141" t="s">
        <v>3</v>
      </c>
      <c r="F566" s="142" t="s">
        <v>1303</v>
      </c>
      <c r="H566" s="143">
        <v>47</v>
      </c>
      <c r="L566" s="139"/>
      <c r="M566" s="144"/>
      <c r="T566" s="145"/>
      <c r="AT566" s="141" t="s">
        <v>137</v>
      </c>
      <c r="AU566" s="141" t="s">
        <v>80</v>
      </c>
      <c r="AV566" s="12" t="s">
        <v>80</v>
      </c>
      <c r="AW566" s="12" t="s">
        <v>32</v>
      </c>
      <c r="AX566" s="12" t="s">
        <v>70</v>
      </c>
      <c r="AY566" s="141" t="s">
        <v>126</v>
      </c>
    </row>
    <row r="567" spans="2:51" s="12" customFormat="1" ht="12">
      <c r="B567" s="139"/>
      <c r="D567" s="140" t="s">
        <v>137</v>
      </c>
      <c r="E567" s="141" t="s">
        <v>3</v>
      </c>
      <c r="F567" s="142" t="s">
        <v>1304</v>
      </c>
      <c r="H567" s="143">
        <v>29</v>
      </c>
      <c r="L567" s="139"/>
      <c r="M567" s="144"/>
      <c r="T567" s="145"/>
      <c r="AT567" s="141" t="s">
        <v>137</v>
      </c>
      <c r="AU567" s="141" t="s">
        <v>80</v>
      </c>
      <c r="AV567" s="12" t="s">
        <v>80</v>
      </c>
      <c r="AW567" s="12" t="s">
        <v>32</v>
      </c>
      <c r="AX567" s="12" t="s">
        <v>70</v>
      </c>
      <c r="AY567" s="141" t="s">
        <v>126</v>
      </c>
    </row>
    <row r="568" spans="2:51" s="13" customFormat="1" ht="12">
      <c r="B568" s="146"/>
      <c r="D568" s="140" t="s">
        <v>137</v>
      </c>
      <c r="E568" s="147" t="s">
        <v>3</v>
      </c>
      <c r="F568" s="148" t="s">
        <v>151</v>
      </c>
      <c r="H568" s="149">
        <v>76</v>
      </c>
      <c r="L568" s="146"/>
      <c r="M568" s="150"/>
      <c r="T568" s="151"/>
      <c r="AT568" s="147" t="s">
        <v>137</v>
      </c>
      <c r="AU568" s="147" t="s">
        <v>80</v>
      </c>
      <c r="AV568" s="13" t="s">
        <v>133</v>
      </c>
      <c r="AW568" s="13" t="s">
        <v>32</v>
      </c>
      <c r="AX568" s="13" t="s">
        <v>78</v>
      </c>
      <c r="AY568" s="147" t="s">
        <v>126</v>
      </c>
    </row>
    <row r="569" spans="2:65" s="1" customFormat="1" ht="16.5" customHeight="1">
      <c r="B569" s="123"/>
      <c r="C569" s="152" t="s">
        <v>1305</v>
      </c>
      <c r="D569" s="152" t="s">
        <v>405</v>
      </c>
      <c r="E569" s="153" t="s">
        <v>1306</v>
      </c>
      <c r="F569" s="154" t="s">
        <v>1307</v>
      </c>
      <c r="G569" s="155" t="s">
        <v>131</v>
      </c>
      <c r="H569" s="156">
        <v>83.6</v>
      </c>
      <c r="I569" s="157"/>
      <c r="J569" s="157">
        <f>ROUND(I569*H569,2)</f>
        <v>0</v>
      </c>
      <c r="K569" s="154" t="s">
        <v>132</v>
      </c>
      <c r="L569" s="158"/>
      <c r="M569" s="159" t="s">
        <v>3</v>
      </c>
      <c r="N569" s="160" t="s">
        <v>41</v>
      </c>
      <c r="O569" s="132">
        <v>0</v>
      </c>
      <c r="P569" s="132">
        <f>O569*H569</f>
        <v>0</v>
      </c>
      <c r="Q569" s="132">
        <v>0.0149</v>
      </c>
      <c r="R569" s="132">
        <f>Q569*H569</f>
        <v>1.2456399999999999</v>
      </c>
      <c r="S569" s="132">
        <v>0</v>
      </c>
      <c r="T569" s="133">
        <f>S569*H569</f>
        <v>0</v>
      </c>
      <c r="AR569" s="134" t="s">
        <v>325</v>
      </c>
      <c r="AT569" s="134" t="s">
        <v>405</v>
      </c>
      <c r="AU569" s="134" t="s">
        <v>80</v>
      </c>
      <c r="AY569" s="17" t="s">
        <v>126</v>
      </c>
      <c r="BE569" s="135">
        <f>IF(N569="základní",J569,0)</f>
        <v>0</v>
      </c>
      <c r="BF569" s="135">
        <f>IF(N569="snížená",J569,0)</f>
        <v>0</v>
      </c>
      <c r="BG569" s="135">
        <f>IF(N569="zákl. přenesená",J569,0)</f>
        <v>0</v>
      </c>
      <c r="BH569" s="135">
        <f>IF(N569="sníž. přenesená",J569,0)</f>
        <v>0</v>
      </c>
      <c r="BI569" s="135">
        <f>IF(N569="nulová",J569,0)</f>
        <v>0</v>
      </c>
      <c r="BJ569" s="17" t="s">
        <v>78</v>
      </c>
      <c r="BK569" s="135">
        <f>ROUND(I569*H569,2)</f>
        <v>0</v>
      </c>
      <c r="BL569" s="17" t="s">
        <v>221</v>
      </c>
      <c r="BM569" s="134" t="s">
        <v>1308</v>
      </c>
    </row>
    <row r="570" spans="2:51" s="12" customFormat="1" ht="12">
      <c r="B570" s="139"/>
      <c r="D570" s="140" t="s">
        <v>137</v>
      </c>
      <c r="F570" s="142" t="s">
        <v>1309</v>
      </c>
      <c r="H570" s="143">
        <v>83.6</v>
      </c>
      <c r="L570" s="139"/>
      <c r="M570" s="144"/>
      <c r="T570" s="145"/>
      <c r="AT570" s="141" t="s">
        <v>137</v>
      </c>
      <c r="AU570" s="141" t="s">
        <v>80</v>
      </c>
      <c r="AV570" s="12" t="s">
        <v>80</v>
      </c>
      <c r="AW570" s="12" t="s">
        <v>4</v>
      </c>
      <c r="AX570" s="12" t="s">
        <v>78</v>
      </c>
      <c r="AY570" s="141" t="s">
        <v>126</v>
      </c>
    </row>
    <row r="571" spans="2:65" s="1" customFormat="1" ht="21.75" customHeight="1">
      <c r="B571" s="123"/>
      <c r="C571" s="124" t="s">
        <v>1310</v>
      </c>
      <c r="D571" s="124" t="s">
        <v>128</v>
      </c>
      <c r="E571" s="125" t="s">
        <v>1311</v>
      </c>
      <c r="F571" s="126" t="s">
        <v>1312</v>
      </c>
      <c r="G571" s="127" t="s">
        <v>131</v>
      </c>
      <c r="H571" s="128">
        <v>790</v>
      </c>
      <c r="I571" s="129"/>
      <c r="J571" s="129">
        <f>ROUND(I571*H571,2)</f>
        <v>0</v>
      </c>
      <c r="K571" s="126" t="s">
        <v>132</v>
      </c>
      <c r="L571" s="29"/>
      <c r="M571" s="130" t="s">
        <v>3</v>
      </c>
      <c r="N571" s="131" t="s">
        <v>41</v>
      </c>
      <c r="O571" s="132">
        <v>0.135</v>
      </c>
      <c r="P571" s="132">
        <f>O571*H571</f>
        <v>106.65</v>
      </c>
      <c r="Q571" s="132">
        <v>0</v>
      </c>
      <c r="R571" s="132">
        <f>Q571*H571</f>
        <v>0</v>
      </c>
      <c r="S571" s="132">
        <v>0</v>
      </c>
      <c r="T571" s="133">
        <f>S571*H571</f>
        <v>0</v>
      </c>
      <c r="AR571" s="134" t="s">
        <v>221</v>
      </c>
      <c r="AT571" s="134" t="s">
        <v>128</v>
      </c>
      <c r="AU571" s="134" t="s">
        <v>80</v>
      </c>
      <c r="AY571" s="17" t="s">
        <v>126</v>
      </c>
      <c r="BE571" s="135">
        <f>IF(N571="základní",J571,0)</f>
        <v>0</v>
      </c>
      <c r="BF571" s="135">
        <f>IF(N571="snížená",J571,0)</f>
        <v>0</v>
      </c>
      <c r="BG571" s="135">
        <f>IF(N571="zákl. přenesená",J571,0)</f>
        <v>0</v>
      </c>
      <c r="BH571" s="135">
        <f>IF(N571="sníž. přenesená",J571,0)</f>
        <v>0</v>
      </c>
      <c r="BI571" s="135">
        <f>IF(N571="nulová",J571,0)</f>
        <v>0</v>
      </c>
      <c r="BJ571" s="17" t="s">
        <v>78</v>
      </c>
      <c r="BK571" s="135">
        <f>ROUND(I571*H571,2)</f>
        <v>0</v>
      </c>
      <c r="BL571" s="17" t="s">
        <v>221</v>
      </c>
      <c r="BM571" s="134" t="s">
        <v>1313</v>
      </c>
    </row>
    <row r="572" spans="2:47" s="1" customFormat="1" ht="12">
      <c r="B572" s="29"/>
      <c r="D572" s="136" t="s">
        <v>135</v>
      </c>
      <c r="F572" s="137" t="s">
        <v>1314</v>
      </c>
      <c r="L572" s="29"/>
      <c r="M572" s="138"/>
      <c r="T572" s="49"/>
      <c r="AT572" s="17" t="s">
        <v>135</v>
      </c>
      <c r="AU572" s="17" t="s">
        <v>80</v>
      </c>
    </row>
    <row r="573" spans="2:51" s="12" customFormat="1" ht="12">
      <c r="B573" s="139"/>
      <c r="D573" s="140" t="s">
        <v>137</v>
      </c>
      <c r="E573" s="141" t="s">
        <v>3</v>
      </c>
      <c r="F573" s="142" t="s">
        <v>1315</v>
      </c>
      <c r="H573" s="143">
        <v>790</v>
      </c>
      <c r="L573" s="139"/>
      <c r="M573" s="144"/>
      <c r="T573" s="145"/>
      <c r="AT573" s="141" t="s">
        <v>137</v>
      </c>
      <c r="AU573" s="141" t="s">
        <v>80</v>
      </c>
      <c r="AV573" s="12" t="s">
        <v>80</v>
      </c>
      <c r="AW573" s="12" t="s">
        <v>32</v>
      </c>
      <c r="AX573" s="12" t="s">
        <v>78</v>
      </c>
      <c r="AY573" s="141" t="s">
        <v>126</v>
      </c>
    </row>
    <row r="574" spans="2:65" s="1" customFormat="1" ht="16.5" customHeight="1">
      <c r="B574" s="123"/>
      <c r="C574" s="152" t="s">
        <v>1316</v>
      </c>
      <c r="D574" s="152" t="s">
        <v>405</v>
      </c>
      <c r="E574" s="153" t="s">
        <v>1317</v>
      </c>
      <c r="F574" s="154" t="s">
        <v>1318</v>
      </c>
      <c r="G574" s="155" t="s">
        <v>146</v>
      </c>
      <c r="H574" s="156">
        <v>8.342</v>
      </c>
      <c r="I574" s="157"/>
      <c r="J574" s="157">
        <f>ROUND(I574*H574,2)</f>
        <v>0</v>
      </c>
      <c r="K574" s="154" t="s">
        <v>132</v>
      </c>
      <c r="L574" s="158"/>
      <c r="M574" s="159" t="s">
        <v>3</v>
      </c>
      <c r="N574" s="160" t="s">
        <v>41</v>
      </c>
      <c r="O574" s="132">
        <v>0</v>
      </c>
      <c r="P574" s="132">
        <f>O574*H574</f>
        <v>0</v>
      </c>
      <c r="Q574" s="132">
        <v>0.55</v>
      </c>
      <c r="R574" s="132">
        <f>Q574*H574</f>
        <v>4.588100000000001</v>
      </c>
      <c r="S574" s="132">
        <v>0</v>
      </c>
      <c r="T574" s="133">
        <f>S574*H574</f>
        <v>0</v>
      </c>
      <c r="AR574" s="134" t="s">
        <v>325</v>
      </c>
      <c r="AT574" s="134" t="s">
        <v>405</v>
      </c>
      <c r="AU574" s="134" t="s">
        <v>80</v>
      </c>
      <c r="AY574" s="17" t="s">
        <v>126</v>
      </c>
      <c r="BE574" s="135">
        <f>IF(N574="základní",J574,0)</f>
        <v>0</v>
      </c>
      <c r="BF574" s="135">
        <f>IF(N574="snížená",J574,0)</f>
        <v>0</v>
      </c>
      <c r="BG574" s="135">
        <f>IF(N574="zákl. přenesená",J574,0)</f>
        <v>0</v>
      </c>
      <c r="BH574" s="135">
        <f>IF(N574="sníž. přenesená",J574,0)</f>
        <v>0</v>
      </c>
      <c r="BI574" s="135">
        <f>IF(N574="nulová",J574,0)</f>
        <v>0</v>
      </c>
      <c r="BJ574" s="17" t="s">
        <v>78</v>
      </c>
      <c r="BK574" s="135">
        <f>ROUND(I574*H574,2)</f>
        <v>0</v>
      </c>
      <c r="BL574" s="17" t="s">
        <v>221</v>
      </c>
      <c r="BM574" s="134" t="s">
        <v>1319</v>
      </c>
    </row>
    <row r="575" spans="2:51" s="12" customFormat="1" ht="12">
      <c r="B575" s="139"/>
      <c r="D575" s="140" t="s">
        <v>137</v>
      </c>
      <c r="E575" s="141" t="s">
        <v>3</v>
      </c>
      <c r="F575" s="142" t="s">
        <v>1320</v>
      </c>
      <c r="H575" s="143">
        <v>7.584</v>
      </c>
      <c r="L575" s="139"/>
      <c r="M575" s="144"/>
      <c r="T575" s="145"/>
      <c r="AT575" s="141" t="s">
        <v>137</v>
      </c>
      <c r="AU575" s="141" t="s">
        <v>80</v>
      </c>
      <c r="AV575" s="12" t="s">
        <v>80</v>
      </c>
      <c r="AW575" s="12" t="s">
        <v>32</v>
      </c>
      <c r="AX575" s="12" t="s">
        <v>78</v>
      </c>
      <c r="AY575" s="141" t="s">
        <v>126</v>
      </c>
    </row>
    <row r="576" spans="2:51" s="12" customFormat="1" ht="12">
      <c r="B576" s="139"/>
      <c r="D576" s="140" t="s">
        <v>137</v>
      </c>
      <c r="F576" s="142" t="s">
        <v>1321</v>
      </c>
      <c r="H576" s="143">
        <v>8.342</v>
      </c>
      <c r="L576" s="139"/>
      <c r="M576" s="144"/>
      <c r="T576" s="145"/>
      <c r="AT576" s="141" t="s">
        <v>137</v>
      </c>
      <c r="AU576" s="141" t="s">
        <v>80</v>
      </c>
      <c r="AV576" s="12" t="s">
        <v>80</v>
      </c>
      <c r="AW576" s="12" t="s">
        <v>4</v>
      </c>
      <c r="AX576" s="12" t="s">
        <v>78</v>
      </c>
      <c r="AY576" s="141" t="s">
        <v>126</v>
      </c>
    </row>
    <row r="577" spans="2:65" s="1" customFormat="1" ht="16.5" customHeight="1">
      <c r="B577" s="123"/>
      <c r="C577" s="124" t="s">
        <v>1322</v>
      </c>
      <c r="D577" s="124" t="s">
        <v>128</v>
      </c>
      <c r="E577" s="125" t="s">
        <v>1323</v>
      </c>
      <c r="F577" s="126" t="s">
        <v>1324</v>
      </c>
      <c r="G577" s="127" t="s">
        <v>249</v>
      </c>
      <c r="H577" s="128">
        <v>924.2</v>
      </c>
      <c r="I577" s="129"/>
      <c r="J577" s="129">
        <f>ROUND(I577*H577,2)</f>
        <v>0</v>
      </c>
      <c r="K577" s="126" t="s">
        <v>132</v>
      </c>
      <c r="L577" s="29"/>
      <c r="M577" s="130" t="s">
        <v>3</v>
      </c>
      <c r="N577" s="131" t="s">
        <v>41</v>
      </c>
      <c r="O577" s="132">
        <v>0.03</v>
      </c>
      <c r="P577" s="132">
        <f>O577*H577</f>
        <v>27.726</v>
      </c>
      <c r="Q577" s="132">
        <v>2E-05</v>
      </c>
      <c r="R577" s="132">
        <f>Q577*H577</f>
        <v>0.018484000000000004</v>
      </c>
      <c r="S577" s="132">
        <v>0</v>
      </c>
      <c r="T577" s="133">
        <f>S577*H577</f>
        <v>0</v>
      </c>
      <c r="AR577" s="134" t="s">
        <v>221</v>
      </c>
      <c r="AT577" s="134" t="s">
        <v>128</v>
      </c>
      <c r="AU577" s="134" t="s">
        <v>80</v>
      </c>
      <c r="AY577" s="17" t="s">
        <v>126</v>
      </c>
      <c r="BE577" s="135">
        <f>IF(N577="základní",J577,0)</f>
        <v>0</v>
      </c>
      <c r="BF577" s="135">
        <f>IF(N577="snížená",J577,0)</f>
        <v>0</v>
      </c>
      <c r="BG577" s="135">
        <f>IF(N577="zákl. přenesená",J577,0)</f>
        <v>0</v>
      </c>
      <c r="BH577" s="135">
        <f>IF(N577="sníž. přenesená",J577,0)</f>
        <v>0</v>
      </c>
      <c r="BI577" s="135">
        <f>IF(N577="nulová",J577,0)</f>
        <v>0</v>
      </c>
      <c r="BJ577" s="17" t="s">
        <v>78</v>
      </c>
      <c r="BK577" s="135">
        <f>ROUND(I577*H577,2)</f>
        <v>0</v>
      </c>
      <c r="BL577" s="17" t="s">
        <v>221</v>
      </c>
      <c r="BM577" s="134" t="s">
        <v>1325</v>
      </c>
    </row>
    <row r="578" spans="2:47" s="1" customFormat="1" ht="12">
      <c r="B578" s="29"/>
      <c r="D578" s="136" t="s">
        <v>135</v>
      </c>
      <c r="F578" s="137" t="s">
        <v>1326</v>
      </c>
      <c r="L578" s="29"/>
      <c r="M578" s="138"/>
      <c r="T578" s="49"/>
      <c r="AT578" s="17" t="s">
        <v>135</v>
      </c>
      <c r="AU578" s="17" t="s">
        <v>80</v>
      </c>
    </row>
    <row r="579" spans="2:65" s="1" customFormat="1" ht="16.5" customHeight="1">
      <c r="B579" s="123"/>
      <c r="C579" s="152" t="s">
        <v>1327</v>
      </c>
      <c r="D579" s="152" t="s">
        <v>405</v>
      </c>
      <c r="E579" s="153" t="s">
        <v>1317</v>
      </c>
      <c r="F579" s="154" t="s">
        <v>1318</v>
      </c>
      <c r="G579" s="155" t="s">
        <v>146</v>
      </c>
      <c r="H579" s="156">
        <v>2.44</v>
      </c>
      <c r="I579" s="157"/>
      <c r="J579" s="157">
        <f>ROUND(I579*H579,2)</f>
        <v>0</v>
      </c>
      <c r="K579" s="154" t="s">
        <v>132</v>
      </c>
      <c r="L579" s="158"/>
      <c r="M579" s="159" t="s">
        <v>3</v>
      </c>
      <c r="N579" s="160" t="s">
        <v>41</v>
      </c>
      <c r="O579" s="132">
        <v>0</v>
      </c>
      <c r="P579" s="132">
        <f>O579*H579</f>
        <v>0</v>
      </c>
      <c r="Q579" s="132">
        <v>0.55</v>
      </c>
      <c r="R579" s="132">
        <f>Q579*H579</f>
        <v>1.342</v>
      </c>
      <c r="S579" s="132">
        <v>0</v>
      </c>
      <c r="T579" s="133">
        <f>S579*H579</f>
        <v>0</v>
      </c>
      <c r="AR579" s="134" t="s">
        <v>325</v>
      </c>
      <c r="AT579" s="134" t="s">
        <v>405</v>
      </c>
      <c r="AU579" s="134" t="s">
        <v>80</v>
      </c>
      <c r="AY579" s="17" t="s">
        <v>126</v>
      </c>
      <c r="BE579" s="135">
        <f>IF(N579="základní",J579,0)</f>
        <v>0</v>
      </c>
      <c r="BF579" s="135">
        <f>IF(N579="snížená",J579,0)</f>
        <v>0</v>
      </c>
      <c r="BG579" s="135">
        <f>IF(N579="zákl. přenesená",J579,0)</f>
        <v>0</v>
      </c>
      <c r="BH579" s="135">
        <f>IF(N579="sníž. přenesená",J579,0)</f>
        <v>0</v>
      </c>
      <c r="BI579" s="135">
        <f>IF(N579="nulová",J579,0)</f>
        <v>0</v>
      </c>
      <c r="BJ579" s="17" t="s">
        <v>78</v>
      </c>
      <c r="BK579" s="135">
        <f>ROUND(I579*H579,2)</f>
        <v>0</v>
      </c>
      <c r="BL579" s="17" t="s">
        <v>221</v>
      </c>
      <c r="BM579" s="134" t="s">
        <v>1328</v>
      </c>
    </row>
    <row r="580" spans="2:51" s="12" customFormat="1" ht="12">
      <c r="B580" s="139"/>
      <c r="D580" s="140" t="s">
        <v>137</v>
      </c>
      <c r="E580" s="141" t="s">
        <v>3</v>
      </c>
      <c r="F580" s="142" t="s">
        <v>1329</v>
      </c>
      <c r="H580" s="143">
        <v>2.218</v>
      </c>
      <c r="L580" s="139"/>
      <c r="M580" s="144"/>
      <c r="T580" s="145"/>
      <c r="AT580" s="141" t="s">
        <v>137</v>
      </c>
      <c r="AU580" s="141" t="s">
        <v>80</v>
      </c>
      <c r="AV580" s="12" t="s">
        <v>80</v>
      </c>
      <c r="AW580" s="12" t="s">
        <v>32</v>
      </c>
      <c r="AX580" s="12" t="s">
        <v>78</v>
      </c>
      <c r="AY580" s="141" t="s">
        <v>126</v>
      </c>
    </row>
    <row r="581" spans="2:51" s="12" customFormat="1" ht="12">
      <c r="B581" s="139"/>
      <c r="D581" s="140" t="s">
        <v>137</v>
      </c>
      <c r="F581" s="142" t="s">
        <v>1330</v>
      </c>
      <c r="H581" s="143">
        <v>2.44</v>
      </c>
      <c r="L581" s="139"/>
      <c r="M581" s="144"/>
      <c r="T581" s="145"/>
      <c r="AT581" s="141" t="s">
        <v>137</v>
      </c>
      <c r="AU581" s="141" t="s">
        <v>80</v>
      </c>
      <c r="AV581" s="12" t="s">
        <v>80</v>
      </c>
      <c r="AW581" s="12" t="s">
        <v>4</v>
      </c>
      <c r="AX581" s="12" t="s">
        <v>78</v>
      </c>
      <c r="AY581" s="141" t="s">
        <v>126</v>
      </c>
    </row>
    <row r="582" spans="2:65" s="1" customFormat="1" ht="21.75" customHeight="1">
      <c r="B582" s="123"/>
      <c r="C582" s="124" t="s">
        <v>1331</v>
      </c>
      <c r="D582" s="124" t="s">
        <v>128</v>
      </c>
      <c r="E582" s="125" t="s">
        <v>1332</v>
      </c>
      <c r="F582" s="126" t="s">
        <v>1333</v>
      </c>
      <c r="G582" s="127" t="s">
        <v>146</v>
      </c>
      <c r="H582" s="128">
        <v>47.096</v>
      </c>
      <c r="I582" s="129"/>
      <c r="J582" s="129">
        <f>ROUND(I582*H582,2)</f>
        <v>0</v>
      </c>
      <c r="K582" s="126" t="s">
        <v>132</v>
      </c>
      <c r="L582" s="29"/>
      <c r="M582" s="130" t="s">
        <v>3</v>
      </c>
      <c r="N582" s="131" t="s">
        <v>41</v>
      </c>
      <c r="O582" s="132">
        <v>0</v>
      </c>
      <c r="P582" s="132">
        <f>O582*H582</f>
        <v>0</v>
      </c>
      <c r="Q582" s="132">
        <v>0.02337</v>
      </c>
      <c r="R582" s="132">
        <f>Q582*H582</f>
        <v>1.10063352</v>
      </c>
      <c r="S582" s="132">
        <v>0</v>
      </c>
      <c r="T582" s="133">
        <f>S582*H582</f>
        <v>0</v>
      </c>
      <c r="AR582" s="134" t="s">
        <v>221</v>
      </c>
      <c r="AT582" s="134" t="s">
        <v>128</v>
      </c>
      <c r="AU582" s="134" t="s">
        <v>80</v>
      </c>
      <c r="AY582" s="17" t="s">
        <v>126</v>
      </c>
      <c r="BE582" s="135">
        <f>IF(N582="základní",J582,0)</f>
        <v>0</v>
      </c>
      <c r="BF582" s="135">
        <f>IF(N582="snížená",J582,0)</f>
        <v>0</v>
      </c>
      <c r="BG582" s="135">
        <f>IF(N582="zákl. přenesená",J582,0)</f>
        <v>0</v>
      </c>
      <c r="BH582" s="135">
        <f>IF(N582="sníž. přenesená",J582,0)</f>
        <v>0</v>
      </c>
      <c r="BI582" s="135">
        <f>IF(N582="nulová",J582,0)</f>
        <v>0</v>
      </c>
      <c r="BJ582" s="17" t="s">
        <v>78</v>
      </c>
      <c r="BK582" s="135">
        <f>ROUND(I582*H582,2)</f>
        <v>0</v>
      </c>
      <c r="BL582" s="17" t="s">
        <v>221</v>
      </c>
      <c r="BM582" s="134" t="s">
        <v>1334</v>
      </c>
    </row>
    <row r="583" spans="2:47" s="1" customFormat="1" ht="12">
      <c r="B583" s="29"/>
      <c r="D583" s="136" t="s">
        <v>135</v>
      </c>
      <c r="F583" s="137" t="s">
        <v>1335</v>
      </c>
      <c r="L583" s="29"/>
      <c r="M583" s="138"/>
      <c r="T583" s="49"/>
      <c r="AT583" s="17" t="s">
        <v>135</v>
      </c>
      <c r="AU583" s="17" t="s">
        <v>80</v>
      </c>
    </row>
    <row r="584" spans="2:51" s="12" customFormat="1" ht="12">
      <c r="B584" s="139"/>
      <c r="D584" s="140" t="s">
        <v>137</v>
      </c>
      <c r="E584" s="141" t="s">
        <v>3</v>
      </c>
      <c r="F584" s="142" t="s">
        <v>1225</v>
      </c>
      <c r="H584" s="143">
        <v>17.745</v>
      </c>
      <c r="L584" s="139"/>
      <c r="M584" s="144"/>
      <c r="T584" s="145"/>
      <c r="AT584" s="141" t="s">
        <v>137</v>
      </c>
      <c r="AU584" s="141" t="s">
        <v>80</v>
      </c>
      <c r="AV584" s="12" t="s">
        <v>80</v>
      </c>
      <c r="AW584" s="12" t="s">
        <v>32</v>
      </c>
      <c r="AX584" s="12" t="s">
        <v>70</v>
      </c>
      <c r="AY584" s="141" t="s">
        <v>126</v>
      </c>
    </row>
    <row r="585" spans="2:51" s="12" customFormat="1" ht="12">
      <c r="B585" s="139"/>
      <c r="D585" s="140" t="s">
        <v>137</v>
      </c>
      <c r="E585" s="141" t="s">
        <v>3</v>
      </c>
      <c r="F585" s="142" t="s">
        <v>1226</v>
      </c>
      <c r="H585" s="143">
        <v>4.822</v>
      </c>
      <c r="L585" s="139"/>
      <c r="M585" s="144"/>
      <c r="T585" s="145"/>
      <c r="AT585" s="141" t="s">
        <v>137</v>
      </c>
      <c r="AU585" s="141" t="s">
        <v>80</v>
      </c>
      <c r="AV585" s="12" t="s">
        <v>80</v>
      </c>
      <c r="AW585" s="12" t="s">
        <v>32</v>
      </c>
      <c r="AX585" s="12" t="s">
        <v>70</v>
      </c>
      <c r="AY585" s="141" t="s">
        <v>126</v>
      </c>
    </row>
    <row r="586" spans="2:51" s="12" customFormat="1" ht="12">
      <c r="B586" s="139"/>
      <c r="D586" s="140" t="s">
        <v>137</v>
      </c>
      <c r="E586" s="141" t="s">
        <v>3</v>
      </c>
      <c r="F586" s="142" t="s">
        <v>1227</v>
      </c>
      <c r="H586" s="143">
        <v>1.393</v>
      </c>
      <c r="L586" s="139"/>
      <c r="M586" s="144"/>
      <c r="T586" s="145"/>
      <c r="AT586" s="141" t="s">
        <v>137</v>
      </c>
      <c r="AU586" s="141" t="s">
        <v>80</v>
      </c>
      <c r="AV586" s="12" t="s">
        <v>80</v>
      </c>
      <c r="AW586" s="12" t="s">
        <v>32</v>
      </c>
      <c r="AX586" s="12" t="s">
        <v>70</v>
      </c>
      <c r="AY586" s="141" t="s">
        <v>126</v>
      </c>
    </row>
    <row r="587" spans="2:51" s="12" customFormat="1" ht="12">
      <c r="B587" s="139"/>
      <c r="D587" s="140" t="s">
        <v>137</v>
      </c>
      <c r="E587" s="141" t="s">
        <v>3</v>
      </c>
      <c r="F587" s="142" t="s">
        <v>1228</v>
      </c>
      <c r="H587" s="143">
        <v>4.109</v>
      </c>
      <c r="L587" s="139"/>
      <c r="M587" s="144"/>
      <c r="T587" s="145"/>
      <c r="AT587" s="141" t="s">
        <v>137</v>
      </c>
      <c r="AU587" s="141" t="s">
        <v>80</v>
      </c>
      <c r="AV587" s="12" t="s">
        <v>80</v>
      </c>
      <c r="AW587" s="12" t="s">
        <v>32</v>
      </c>
      <c r="AX587" s="12" t="s">
        <v>70</v>
      </c>
      <c r="AY587" s="141" t="s">
        <v>126</v>
      </c>
    </row>
    <row r="588" spans="2:51" s="12" customFormat="1" ht="12">
      <c r="B588" s="139"/>
      <c r="D588" s="140" t="s">
        <v>137</v>
      </c>
      <c r="E588" s="141" t="s">
        <v>3</v>
      </c>
      <c r="F588" s="142" t="s">
        <v>1234</v>
      </c>
      <c r="H588" s="143">
        <v>4.144</v>
      </c>
      <c r="L588" s="139"/>
      <c r="M588" s="144"/>
      <c r="T588" s="145"/>
      <c r="AT588" s="141" t="s">
        <v>137</v>
      </c>
      <c r="AU588" s="141" t="s">
        <v>80</v>
      </c>
      <c r="AV588" s="12" t="s">
        <v>80</v>
      </c>
      <c r="AW588" s="12" t="s">
        <v>32</v>
      </c>
      <c r="AX588" s="12" t="s">
        <v>70</v>
      </c>
      <c r="AY588" s="141" t="s">
        <v>126</v>
      </c>
    </row>
    <row r="589" spans="2:51" s="12" customFormat="1" ht="12">
      <c r="B589" s="139"/>
      <c r="D589" s="140" t="s">
        <v>137</v>
      </c>
      <c r="E589" s="141" t="s">
        <v>3</v>
      </c>
      <c r="F589" s="142" t="s">
        <v>1336</v>
      </c>
      <c r="H589" s="143">
        <v>7.584</v>
      </c>
      <c r="L589" s="139"/>
      <c r="M589" s="144"/>
      <c r="T589" s="145"/>
      <c r="AT589" s="141" t="s">
        <v>137</v>
      </c>
      <c r="AU589" s="141" t="s">
        <v>80</v>
      </c>
      <c r="AV589" s="12" t="s">
        <v>80</v>
      </c>
      <c r="AW589" s="12" t="s">
        <v>32</v>
      </c>
      <c r="AX589" s="12" t="s">
        <v>70</v>
      </c>
      <c r="AY589" s="141" t="s">
        <v>126</v>
      </c>
    </row>
    <row r="590" spans="2:51" s="12" customFormat="1" ht="12">
      <c r="B590" s="139"/>
      <c r="D590" s="140" t="s">
        <v>137</v>
      </c>
      <c r="E590" s="141" t="s">
        <v>3</v>
      </c>
      <c r="F590" s="142" t="s">
        <v>1329</v>
      </c>
      <c r="H590" s="143">
        <v>2.218</v>
      </c>
      <c r="L590" s="139"/>
      <c r="M590" s="144"/>
      <c r="T590" s="145"/>
      <c r="AT590" s="141" t="s">
        <v>137</v>
      </c>
      <c r="AU590" s="141" t="s">
        <v>80</v>
      </c>
      <c r="AV590" s="12" t="s">
        <v>80</v>
      </c>
      <c r="AW590" s="12" t="s">
        <v>32</v>
      </c>
      <c r="AX590" s="12" t="s">
        <v>70</v>
      </c>
      <c r="AY590" s="141" t="s">
        <v>126</v>
      </c>
    </row>
    <row r="591" spans="2:51" s="12" customFormat="1" ht="12">
      <c r="B591" s="139"/>
      <c r="D591" s="140" t="s">
        <v>137</v>
      </c>
      <c r="E591" s="141" t="s">
        <v>3</v>
      </c>
      <c r="F591" s="142" t="s">
        <v>1337</v>
      </c>
      <c r="H591" s="143">
        <v>0.987</v>
      </c>
      <c r="L591" s="139"/>
      <c r="M591" s="144"/>
      <c r="T591" s="145"/>
      <c r="AT591" s="141" t="s">
        <v>137</v>
      </c>
      <c r="AU591" s="141" t="s">
        <v>80</v>
      </c>
      <c r="AV591" s="12" t="s">
        <v>80</v>
      </c>
      <c r="AW591" s="12" t="s">
        <v>32</v>
      </c>
      <c r="AX591" s="12" t="s">
        <v>70</v>
      </c>
      <c r="AY591" s="141" t="s">
        <v>126</v>
      </c>
    </row>
    <row r="592" spans="2:51" s="12" customFormat="1" ht="12">
      <c r="B592" s="139"/>
      <c r="D592" s="140" t="s">
        <v>137</v>
      </c>
      <c r="E592" s="141" t="s">
        <v>3</v>
      </c>
      <c r="F592" s="142" t="s">
        <v>1338</v>
      </c>
      <c r="H592" s="143">
        <v>0.609</v>
      </c>
      <c r="L592" s="139"/>
      <c r="M592" s="144"/>
      <c r="T592" s="145"/>
      <c r="AT592" s="141" t="s">
        <v>137</v>
      </c>
      <c r="AU592" s="141" t="s">
        <v>80</v>
      </c>
      <c r="AV592" s="12" t="s">
        <v>80</v>
      </c>
      <c r="AW592" s="12" t="s">
        <v>32</v>
      </c>
      <c r="AX592" s="12" t="s">
        <v>70</v>
      </c>
      <c r="AY592" s="141" t="s">
        <v>126</v>
      </c>
    </row>
    <row r="593" spans="2:51" s="12" customFormat="1" ht="12">
      <c r="B593" s="139"/>
      <c r="D593" s="140" t="s">
        <v>137</v>
      </c>
      <c r="E593" s="141" t="s">
        <v>3</v>
      </c>
      <c r="F593" s="142" t="s">
        <v>1339</v>
      </c>
      <c r="H593" s="143">
        <v>3.485</v>
      </c>
      <c r="L593" s="139"/>
      <c r="M593" s="144"/>
      <c r="T593" s="145"/>
      <c r="AT593" s="141" t="s">
        <v>137</v>
      </c>
      <c r="AU593" s="141" t="s">
        <v>80</v>
      </c>
      <c r="AV593" s="12" t="s">
        <v>80</v>
      </c>
      <c r="AW593" s="12" t="s">
        <v>32</v>
      </c>
      <c r="AX593" s="12" t="s">
        <v>70</v>
      </c>
      <c r="AY593" s="141" t="s">
        <v>126</v>
      </c>
    </row>
    <row r="594" spans="2:51" s="13" customFormat="1" ht="12">
      <c r="B594" s="146"/>
      <c r="D594" s="140" t="s">
        <v>137</v>
      </c>
      <c r="E594" s="147" t="s">
        <v>3</v>
      </c>
      <c r="F594" s="148" t="s">
        <v>151</v>
      </c>
      <c r="H594" s="149">
        <v>47.096000000000004</v>
      </c>
      <c r="L594" s="146"/>
      <c r="M594" s="150"/>
      <c r="T594" s="151"/>
      <c r="AT594" s="147" t="s">
        <v>137</v>
      </c>
      <c r="AU594" s="147" t="s">
        <v>80</v>
      </c>
      <c r="AV594" s="13" t="s">
        <v>133</v>
      </c>
      <c r="AW594" s="13" t="s">
        <v>32</v>
      </c>
      <c r="AX594" s="13" t="s">
        <v>78</v>
      </c>
      <c r="AY594" s="147" t="s">
        <v>126</v>
      </c>
    </row>
    <row r="595" spans="2:65" s="1" customFormat="1" ht="21.75" customHeight="1">
      <c r="B595" s="123"/>
      <c r="C595" s="124" t="s">
        <v>1340</v>
      </c>
      <c r="D595" s="124" t="s">
        <v>128</v>
      </c>
      <c r="E595" s="125" t="s">
        <v>1341</v>
      </c>
      <c r="F595" s="126" t="s">
        <v>1342</v>
      </c>
      <c r="G595" s="127" t="s">
        <v>131</v>
      </c>
      <c r="H595" s="128">
        <v>1086.8</v>
      </c>
      <c r="I595" s="129"/>
      <c r="J595" s="129">
        <f>ROUND(I595*H595,2)</f>
        <v>0</v>
      </c>
      <c r="K595" s="126" t="s">
        <v>132</v>
      </c>
      <c r="L595" s="29"/>
      <c r="M595" s="130" t="s">
        <v>3</v>
      </c>
      <c r="N595" s="131" t="s">
        <v>41</v>
      </c>
      <c r="O595" s="132">
        <v>0.24</v>
      </c>
      <c r="P595" s="132">
        <f>O595*H595</f>
        <v>260.832</v>
      </c>
      <c r="Q595" s="132">
        <v>0.03072</v>
      </c>
      <c r="R595" s="132">
        <f>Q595*H595</f>
        <v>33.386496</v>
      </c>
      <c r="S595" s="132">
        <v>0</v>
      </c>
      <c r="T595" s="133">
        <f>S595*H595</f>
        <v>0</v>
      </c>
      <c r="AR595" s="134" t="s">
        <v>221</v>
      </c>
      <c r="AT595" s="134" t="s">
        <v>128</v>
      </c>
      <c r="AU595" s="134" t="s">
        <v>80</v>
      </c>
      <c r="AY595" s="17" t="s">
        <v>126</v>
      </c>
      <c r="BE595" s="135">
        <f>IF(N595="základní",J595,0)</f>
        <v>0</v>
      </c>
      <c r="BF595" s="135">
        <f>IF(N595="snížená",J595,0)</f>
        <v>0</v>
      </c>
      <c r="BG595" s="135">
        <f>IF(N595="zákl. přenesená",J595,0)</f>
        <v>0</v>
      </c>
      <c r="BH595" s="135">
        <f>IF(N595="sníž. přenesená",J595,0)</f>
        <v>0</v>
      </c>
      <c r="BI595" s="135">
        <f>IF(N595="nulová",J595,0)</f>
        <v>0</v>
      </c>
      <c r="BJ595" s="17" t="s">
        <v>78</v>
      </c>
      <c r="BK595" s="135">
        <f>ROUND(I595*H595,2)</f>
        <v>0</v>
      </c>
      <c r="BL595" s="17" t="s">
        <v>221</v>
      </c>
      <c r="BM595" s="134" t="s">
        <v>1343</v>
      </c>
    </row>
    <row r="596" spans="2:47" s="1" customFormat="1" ht="12">
      <c r="B596" s="29"/>
      <c r="D596" s="136" t="s">
        <v>135</v>
      </c>
      <c r="F596" s="137" t="s">
        <v>1344</v>
      </c>
      <c r="L596" s="29"/>
      <c r="M596" s="138"/>
      <c r="T596" s="49"/>
      <c r="AT596" s="17" t="s">
        <v>135</v>
      </c>
      <c r="AU596" s="17" t="s">
        <v>80</v>
      </c>
    </row>
    <row r="597" spans="2:51" s="12" customFormat="1" ht="12">
      <c r="B597" s="139"/>
      <c r="D597" s="140" t="s">
        <v>137</v>
      </c>
      <c r="E597" s="141" t="s">
        <v>3</v>
      </c>
      <c r="F597" s="142" t="s">
        <v>1175</v>
      </c>
      <c r="H597" s="143">
        <v>1086.8</v>
      </c>
      <c r="L597" s="139"/>
      <c r="M597" s="144"/>
      <c r="T597" s="145"/>
      <c r="AT597" s="141" t="s">
        <v>137</v>
      </c>
      <c r="AU597" s="141" t="s">
        <v>80</v>
      </c>
      <c r="AV597" s="12" t="s">
        <v>80</v>
      </c>
      <c r="AW597" s="12" t="s">
        <v>32</v>
      </c>
      <c r="AX597" s="12" t="s">
        <v>78</v>
      </c>
      <c r="AY597" s="141" t="s">
        <v>126</v>
      </c>
    </row>
    <row r="598" spans="2:65" s="1" customFormat="1" ht="24.2" customHeight="1">
      <c r="B598" s="123"/>
      <c r="C598" s="124" t="s">
        <v>1345</v>
      </c>
      <c r="D598" s="124" t="s">
        <v>128</v>
      </c>
      <c r="E598" s="125" t="s">
        <v>1346</v>
      </c>
      <c r="F598" s="126" t="s">
        <v>1347</v>
      </c>
      <c r="G598" s="127" t="s">
        <v>131</v>
      </c>
      <c r="H598" s="128">
        <v>543.4</v>
      </c>
      <c r="I598" s="129"/>
      <c r="J598" s="129">
        <f>ROUND(I598*H598,2)</f>
        <v>0</v>
      </c>
      <c r="K598" s="126" t="s">
        <v>132</v>
      </c>
      <c r="L598" s="29"/>
      <c r="M598" s="130" t="s">
        <v>3</v>
      </c>
      <c r="N598" s="131" t="s">
        <v>41</v>
      </c>
      <c r="O598" s="132">
        <v>0.27</v>
      </c>
      <c r="P598" s="132">
        <f>O598*H598</f>
        <v>146.718</v>
      </c>
      <c r="Q598" s="132">
        <v>0.01574</v>
      </c>
      <c r="R598" s="132">
        <f>Q598*H598</f>
        <v>8.553116</v>
      </c>
      <c r="S598" s="132">
        <v>0</v>
      </c>
      <c r="T598" s="133">
        <f>S598*H598</f>
        <v>0</v>
      </c>
      <c r="AR598" s="134" t="s">
        <v>221</v>
      </c>
      <c r="AT598" s="134" t="s">
        <v>128</v>
      </c>
      <c r="AU598" s="134" t="s">
        <v>80</v>
      </c>
      <c r="AY598" s="17" t="s">
        <v>126</v>
      </c>
      <c r="BE598" s="135">
        <f>IF(N598="základní",J598,0)</f>
        <v>0</v>
      </c>
      <c r="BF598" s="135">
        <f>IF(N598="snížená",J598,0)</f>
        <v>0</v>
      </c>
      <c r="BG598" s="135">
        <f>IF(N598="zákl. přenesená",J598,0)</f>
        <v>0</v>
      </c>
      <c r="BH598" s="135">
        <f>IF(N598="sníž. přenesená",J598,0)</f>
        <v>0</v>
      </c>
      <c r="BI598" s="135">
        <f>IF(N598="nulová",J598,0)</f>
        <v>0</v>
      </c>
      <c r="BJ598" s="17" t="s">
        <v>78</v>
      </c>
      <c r="BK598" s="135">
        <f>ROUND(I598*H598,2)</f>
        <v>0</v>
      </c>
      <c r="BL598" s="17" t="s">
        <v>221</v>
      </c>
      <c r="BM598" s="134" t="s">
        <v>1348</v>
      </c>
    </row>
    <row r="599" spans="2:47" s="1" customFormat="1" ht="12">
      <c r="B599" s="29"/>
      <c r="D599" s="136" t="s">
        <v>135</v>
      </c>
      <c r="F599" s="137" t="s">
        <v>1349</v>
      </c>
      <c r="L599" s="29"/>
      <c r="M599" s="138"/>
      <c r="T599" s="49"/>
      <c r="AT599" s="17" t="s">
        <v>135</v>
      </c>
      <c r="AU599" s="17" t="s">
        <v>80</v>
      </c>
    </row>
    <row r="600" spans="2:51" s="12" customFormat="1" ht="12">
      <c r="B600" s="139"/>
      <c r="D600" s="140" t="s">
        <v>137</v>
      </c>
      <c r="E600" s="141" t="s">
        <v>3</v>
      </c>
      <c r="F600" s="142" t="s">
        <v>1117</v>
      </c>
      <c r="H600" s="143">
        <v>543.4</v>
      </c>
      <c r="L600" s="139"/>
      <c r="M600" s="144"/>
      <c r="T600" s="145"/>
      <c r="AT600" s="141" t="s">
        <v>137</v>
      </c>
      <c r="AU600" s="141" t="s">
        <v>80</v>
      </c>
      <c r="AV600" s="12" t="s">
        <v>80</v>
      </c>
      <c r="AW600" s="12" t="s">
        <v>32</v>
      </c>
      <c r="AX600" s="12" t="s">
        <v>78</v>
      </c>
      <c r="AY600" s="141" t="s">
        <v>126</v>
      </c>
    </row>
    <row r="601" spans="2:65" s="1" customFormat="1" ht="24.2" customHeight="1">
      <c r="B601" s="123"/>
      <c r="C601" s="124" t="s">
        <v>1350</v>
      </c>
      <c r="D601" s="124" t="s">
        <v>128</v>
      </c>
      <c r="E601" s="125" t="s">
        <v>1351</v>
      </c>
      <c r="F601" s="126" t="s">
        <v>1352</v>
      </c>
      <c r="G601" s="127" t="s">
        <v>131</v>
      </c>
      <c r="H601" s="128">
        <v>178.2</v>
      </c>
      <c r="I601" s="129"/>
      <c r="J601" s="129">
        <f>ROUND(I601*H601,2)</f>
        <v>0</v>
      </c>
      <c r="K601" s="126" t="s">
        <v>132</v>
      </c>
      <c r="L601" s="29"/>
      <c r="M601" s="130" t="s">
        <v>3</v>
      </c>
      <c r="N601" s="131" t="s">
        <v>41</v>
      </c>
      <c r="O601" s="132">
        <v>0.262</v>
      </c>
      <c r="P601" s="132">
        <f>O601*H601</f>
        <v>46.6884</v>
      </c>
      <c r="Q601" s="132">
        <v>0.01131</v>
      </c>
      <c r="R601" s="132">
        <f>Q601*H601</f>
        <v>2.015442</v>
      </c>
      <c r="S601" s="132">
        <v>0</v>
      </c>
      <c r="T601" s="133">
        <f>S601*H601</f>
        <v>0</v>
      </c>
      <c r="AR601" s="134" t="s">
        <v>221</v>
      </c>
      <c r="AT601" s="134" t="s">
        <v>128</v>
      </c>
      <c r="AU601" s="134" t="s">
        <v>80</v>
      </c>
      <c r="AY601" s="17" t="s">
        <v>126</v>
      </c>
      <c r="BE601" s="135">
        <f>IF(N601="základní",J601,0)</f>
        <v>0</v>
      </c>
      <c r="BF601" s="135">
        <f>IF(N601="snížená",J601,0)</f>
        <v>0</v>
      </c>
      <c r="BG601" s="135">
        <f>IF(N601="zákl. přenesená",J601,0)</f>
        <v>0</v>
      </c>
      <c r="BH601" s="135">
        <f>IF(N601="sníž. přenesená",J601,0)</f>
        <v>0</v>
      </c>
      <c r="BI601" s="135">
        <f>IF(N601="nulová",J601,0)</f>
        <v>0</v>
      </c>
      <c r="BJ601" s="17" t="s">
        <v>78</v>
      </c>
      <c r="BK601" s="135">
        <f>ROUND(I601*H601,2)</f>
        <v>0</v>
      </c>
      <c r="BL601" s="17" t="s">
        <v>221</v>
      </c>
      <c r="BM601" s="134" t="s">
        <v>1353</v>
      </c>
    </row>
    <row r="602" spans="2:47" s="1" customFormat="1" ht="12">
      <c r="B602" s="29"/>
      <c r="D602" s="136" t="s">
        <v>135</v>
      </c>
      <c r="F602" s="137" t="s">
        <v>1354</v>
      </c>
      <c r="L602" s="29"/>
      <c r="M602" s="138"/>
      <c r="T602" s="49"/>
      <c r="AT602" s="17" t="s">
        <v>135</v>
      </c>
      <c r="AU602" s="17" t="s">
        <v>80</v>
      </c>
    </row>
    <row r="603" spans="2:51" s="12" customFormat="1" ht="12">
      <c r="B603" s="139"/>
      <c r="D603" s="140" t="s">
        <v>137</v>
      </c>
      <c r="E603" s="141" t="s">
        <v>3</v>
      </c>
      <c r="F603" s="142" t="s">
        <v>1355</v>
      </c>
      <c r="H603" s="143">
        <v>178.2</v>
      </c>
      <c r="L603" s="139"/>
      <c r="M603" s="144"/>
      <c r="T603" s="145"/>
      <c r="AT603" s="141" t="s">
        <v>137</v>
      </c>
      <c r="AU603" s="141" t="s">
        <v>80</v>
      </c>
      <c r="AV603" s="12" t="s">
        <v>80</v>
      </c>
      <c r="AW603" s="12" t="s">
        <v>32</v>
      </c>
      <c r="AX603" s="12" t="s">
        <v>78</v>
      </c>
      <c r="AY603" s="141" t="s">
        <v>126</v>
      </c>
    </row>
    <row r="604" spans="2:65" s="1" customFormat="1" ht="16.5" customHeight="1">
      <c r="B604" s="123"/>
      <c r="C604" s="124" t="s">
        <v>1356</v>
      </c>
      <c r="D604" s="124" t="s">
        <v>128</v>
      </c>
      <c r="E604" s="125" t="s">
        <v>1357</v>
      </c>
      <c r="F604" s="126" t="s">
        <v>1358</v>
      </c>
      <c r="G604" s="127" t="s">
        <v>249</v>
      </c>
      <c r="H604" s="128">
        <v>1404.04</v>
      </c>
      <c r="I604" s="129"/>
      <c r="J604" s="129">
        <f>ROUND(I604*H604,2)</f>
        <v>0</v>
      </c>
      <c r="K604" s="126" t="s">
        <v>132</v>
      </c>
      <c r="L604" s="29"/>
      <c r="M604" s="130" t="s">
        <v>3</v>
      </c>
      <c r="N604" s="131" t="s">
        <v>41</v>
      </c>
      <c r="O604" s="132">
        <v>0.105</v>
      </c>
      <c r="P604" s="132">
        <f>O604*H604</f>
        <v>147.42419999999998</v>
      </c>
      <c r="Q604" s="132">
        <v>1E-05</v>
      </c>
      <c r="R604" s="132">
        <f>Q604*H604</f>
        <v>0.014040400000000001</v>
      </c>
      <c r="S604" s="132">
        <v>0</v>
      </c>
      <c r="T604" s="133">
        <f>S604*H604</f>
        <v>0</v>
      </c>
      <c r="AR604" s="134" t="s">
        <v>221</v>
      </c>
      <c r="AT604" s="134" t="s">
        <v>128</v>
      </c>
      <c r="AU604" s="134" t="s">
        <v>80</v>
      </c>
      <c r="AY604" s="17" t="s">
        <v>126</v>
      </c>
      <c r="BE604" s="135">
        <f>IF(N604="základní",J604,0)</f>
        <v>0</v>
      </c>
      <c r="BF604" s="135">
        <f>IF(N604="snížená",J604,0)</f>
        <v>0</v>
      </c>
      <c r="BG604" s="135">
        <f>IF(N604="zákl. přenesená",J604,0)</f>
        <v>0</v>
      </c>
      <c r="BH604" s="135">
        <f>IF(N604="sníž. přenesená",J604,0)</f>
        <v>0</v>
      </c>
      <c r="BI604" s="135">
        <f>IF(N604="nulová",J604,0)</f>
        <v>0</v>
      </c>
      <c r="BJ604" s="17" t="s">
        <v>78</v>
      </c>
      <c r="BK604" s="135">
        <f>ROUND(I604*H604,2)</f>
        <v>0</v>
      </c>
      <c r="BL604" s="17" t="s">
        <v>221</v>
      </c>
      <c r="BM604" s="134" t="s">
        <v>1359</v>
      </c>
    </row>
    <row r="605" spans="2:47" s="1" customFormat="1" ht="12">
      <c r="B605" s="29"/>
      <c r="D605" s="136" t="s">
        <v>135</v>
      </c>
      <c r="F605" s="137" t="s">
        <v>1360</v>
      </c>
      <c r="L605" s="29"/>
      <c r="M605" s="138"/>
      <c r="T605" s="49"/>
      <c r="AT605" s="17" t="s">
        <v>135</v>
      </c>
      <c r="AU605" s="17" t="s">
        <v>80</v>
      </c>
    </row>
    <row r="606" spans="2:51" s="12" customFormat="1" ht="12">
      <c r="B606" s="139"/>
      <c r="D606" s="140" t="s">
        <v>137</v>
      </c>
      <c r="E606" s="141" t="s">
        <v>3</v>
      </c>
      <c r="F606" s="142" t="s">
        <v>1361</v>
      </c>
      <c r="H606" s="143">
        <v>869.44</v>
      </c>
      <c r="L606" s="139"/>
      <c r="M606" s="144"/>
      <c r="T606" s="145"/>
      <c r="AT606" s="141" t="s">
        <v>137</v>
      </c>
      <c r="AU606" s="141" t="s">
        <v>80</v>
      </c>
      <c r="AV606" s="12" t="s">
        <v>80</v>
      </c>
      <c r="AW606" s="12" t="s">
        <v>32</v>
      </c>
      <c r="AX606" s="12" t="s">
        <v>70</v>
      </c>
      <c r="AY606" s="141" t="s">
        <v>126</v>
      </c>
    </row>
    <row r="607" spans="2:51" s="12" customFormat="1" ht="12">
      <c r="B607" s="139"/>
      <c r="D607" s="140" t="s">
        <v>137</v>
      </c>
      <c r="E607" s="141" t="s">
        <v>3</v>
      </c>
      <c r="F607" s="142" t="s">
        <v>1362</v>
      </c>
      <c r="H607" s="143">
        <v>534.6</v>
      </c>
      <c r="L607" s="139"/>
      <c r="M607" s="144"/>
      <c r="T607" s="145"/>
      <c r="AT607" s="141" t="s">
        <v>137</v>
      </c>
      <c r="AU607" s="141" t="s">
        <v>80</v>
      </c>
      <c r="AV607" s="12" t="s">
        <v>80</v>
      </c>
      <c r="AW607" s="12" t="s">
        <v>32</v>
      </c>
      <c r="AX607" s="12" t="s">
        <v>70</v>
      </c>
      <c r="AY607" s="141" t="s">
        <v>126</v>
      </c>
    </row>
    <row r="608" spans="2:51" s="13" customFormat="1" ht="12">
      <c r="B608" s="146"/>
      <c r="D608" s="140" t="s">
        <v>137</v>
      </c>
      <c r="E608" s="147" t="s">
        <v>3</v>
      </c>
      <c r="F608" s="148" t="s">
        <v>151</v>
      </c>
      <c r="H608" s="149">
        <v>1404.04</v>
      </c>
      <c r="L608" s="146"/>
      <c r="M608" s="150"/>
      <c r="T608" s="151"/>
      <c r="AT608" s="147" t="s">
        <v>137</v>
      </c>
      <c r="AU608" s="147" t="s">
        <v>80</v>
      </c>
      <c r="AV608" s="13" t="s">
        <v>133</v>
      </c>
      <c r="AW608" s="13" t="s">
        <v>32</v>
      </c>
      <c r="AX608" s="13" t="s">
        <v>78</v>
      </c>
      <c r="AY608" s="147" t="s">
        <v>126</v>
      </c>
    </row>
    <row r="609" spans="2:65" s="1" customFormat="1" ht="16.5" customHeight="1">
      <c r="B609" s="123"/>
      <c r="C609" s="152" t="s">
        <v>1363</v>
      </c>
      <c r="D609" s="152" t="s">
        <v>405</v>
      </c>
      <c r="E609" s="153" t="s">
        <v>1364</v>
      </c>
      <c r="F609" s="154" t="s">
        <v>1365</v>
      </c>
      <c r="G609" s="155" t="s">
        <v>146</v>
      </c>
      <c r="H609" s="156">
        <v>6.12</v>
      </c>
      <c r="I609" s="157"/>
      <c r="J609" s="157">
        <f>ROUND(I609*H609,2)</f>
        <v>0</v>
      </c>
      <c r="K609" s="154" t="s">
        <v>132</v>
      </c>
      <c r="L609" s="158"/>
      <c r="M609" s="159" t="s">
        <v>3</v>
      </c>
      <c r="N609" s="160" t="s">
        <v>41</v>
      </c>
      <c r="O609" s="132">
        <v>0</v>
      </c>
      <c r="P609" s="132">
        <f>O609*H609</f>
        <v>0</v>
      </c>
      <c r="Q609" s="132">
        <v>0.55</v>
      </c>
      <c r="R609" s="132">
        <f>Q609*H609</f>
        <v>3.3660000000000005</v>
      </c>
      <c r="S609" s="132">
        <v>0</v>
      </c>
      <c r="T609" s="133">
        <f>S609*H609</f>
        <v>0</v>
      </c>
      <c r="AR609" s="134" t="s">
        <v>325</v>
      </c>
      <c r="AT609" s="134" t="s">
        <v>405</v>
      </c>
      <c r="AU609" s="134" t="s">
        <v>80</v>
      </c>
      <c r="AY609" s="17" t="s">
        <v>126</v>
      </c>
      <c r="BE609" s="135">
        <f>IF(N609="základní",J609,0)</f>
        <v>0</v>
      </c>
      <c r="BF609" s="135">
        <f>IF(N609="snížená",J609,0)</f>
        <v>0</v>
      </c>
      <c r="BG609" s="135">
        <f>IF(N609="zákl. přenesená",J609,0)</f>
        <v>0</v>
      </c>
      <c r="BH609" s="135">
        <f>IF(N609="sníž. přenesená",J609,0)</f>
        <v>0</v>
      </c>
      <c r="BI609" s="135">
        <f>IF(N609="nulová",J609,0)</f>
        <v>0</v>
      </c>
      <c r="BJ609" s="17" t="s">
        <v>78</v>
      </c>
      <c r="BK609" s="135">
        <f>ROUND(I609*H609,2)</f>
        <v>0</v>
      </c>
      <c r="BL609" s="17" t="s">
        <v>221</v>
      </c>
      <c r="BM609" s="134" t="s">
        <v>1366</v>
      </c>
    </row>
    <row r="610" spans="2:51" s="12" customFormat="1" ht="12">
      <c r="B610" s="139"/>
      <c r="D610" s="140" t="s">
        <v>137</v>
      </c>
      <c r="E610" s="141" t="s">
        <v>3</v>
      </c>
      <c r="F610" s="142" t="s">
        <v>1367</v>
      </c>
      <c r="H610" s="143">
        <v>5.564</v>
      </c>
      <c r="L610" s="139"/>
      <c r="M610" s="144"/>
      <c r="T610" s="145"/>
      <c r="AT610" s="141" t="s">
        <v>137</v>
      </c>
      <c r="AU610" s="141" t="s">
        <v>80</v>
      </c>
      <c r="AV610" s="12" t="s">
        <v>80</v>
      </c>
      <c r="AW610" s="12" t="s">
        <v>32</v>
      </c>
      <c r="AX610" s="12" t="s">
        <v>78</v>
      </c>
      <c r="AY610" s="141" t="s">
        <v>126</v>
      </c>
    </row>
    <row r="611" spans="2:51" s="12" customFormat="1" ht="12">
      <c r="B611" s="139"/>
      <c r="D611" s="140" t="s">
        <v>137</v>
      </c>
      <c r="F611" s="142" t="s">
        <v>1368</v>
      </c>
      <c r="H611" s="143">
        <v>6.12</v>
      </c>
      <c r="L611" s="139"/>
      <c r="M611" s="144"/>
      <c r="T611" s="145"/>
      <c r="AT611" s="141" t="s">
        <v>137</v>
      </c>
      <c r="AU611" s="141" t="s">
        <v>80</v>
      </c>
      <c r="AV611" s="12" t="s">
        <v>80</v>
      </c>
      <c r="AW611" s="12" t="s">
        <v>4</v>
      </c>
      <c r="AX611" s="12" t="s">
        <v>78</v>
      </c>
      <c r="AY611" s="141" t="s">
        <v>126</v>
      </c>
    </row>
    <row r="612" spans="2:65" s="1" customFormat="1" ht="16.5" customHeight="1">
      <c r="B612" s="123"/>
      <c r="C612" s="152" t="s">
        <v>1369</v>
      </c>
      <c r="D612" s="152" t="s">
        <v>405</v>
      </c>
      <c r="E612" s="153" t="s">
        <v>1287</v>
      </c>
      <c r="F612" s="154" t="s">
        <v>1288</v>
      </c>
      <c r="G612" s="155" t="s">
        <v>146</v>
      </c>
      <c r="H612" s="156">
        <v>3.593</v>
      </c>
      <c r="I612" s="157"/>
      <c r="J612" s="157">
        <f>ROUND(I612*H612,2)</f>
        <v>0</v>
      </c>
      <c r="K612" s="154" t="s">
        <v>132</v>
      </c>
      <c r="L612" s="158"/>
      <c r="M612" s="159" t="s">
        <v>3</v>
      </c>
      <c r="N612" s="160" t="s">
        <v>41</v>
      </c>
      <c r="O612" s="132">
        <v>0</v>
      </c>
      <c r="P612" s="132">
        <f>O612*H612</f>
        <v>0</v>
      </c>
      <c r="Q612" s="132">
        <v>0.44</v>
      </c>
      <c r="R612" s="132">
        <f>Q612*H612</f>
        <v>1.58092</v>
      </c>
      <c r="S612" s="132">
        <v>0</v>
      </c>
      <c r="T612" s="133">
        <f>S612*H612</f>
        <v>0</v>
      </c>
      <c r="AR612" s="134" t="s">
        <v>325</v>
      </c>
      <c r="AT612" s="134" t="s">
        <v>405</v>
      </c>
      <c r="AU612" s="134" t="s">
        <v>80</v>
      </c>
      <c r="AY612" s="17" t="s">
        <v>126</v>
      </c>
      <c r="BE612" s="135">
        <f>IF(N612="základní",J612,0)</f>
        <v>0</v>
      </c>
      <c r="BF612" s="135">
        <f>IF(N612="snížená",J612,0)</f>
        <v>0</v>
      </c>
      <c r="BG612" s="135">
        <f>IF(N612="zákl. přenesená",J612,0)</f>
        <v>0</v>
      </c>
      <c r="BH612" s="135">
        <f>IF(N612="sníž. přenesená",J612,0)</f>
        <v>0</v>
      </c>
      <c r="BI612" s="135">
        <f>IF(N612="nulová",J612,0)</f>
        <v>0</v>
      </c>
      <c r="BJ612" s="17" t="s">
        <v>78</v>
      </c>
      <c r="BK612" s="135">
        <f>ROUND(I612*H612,2)</f>
        <v>0</v>
      </c>
      <c r="BL612" s="17" t="s">
        <v>221</v>
      </c>
      <c r="BM612" s="134" t="s">
        <v>1370</v>
      </c>
    </row>
    <row r="613" spans="2:51" s="12" customFormat="1" ht="12">
      <c r="B613" s="139"/>
      <c r="D613" s="140" t="s">
        <v>137</v>
      </c>
      <c r="E613" s="141" t="s">
        <v>3</v>
      </c>
      <c r="F613" s="142" t="s">
        <v>1371</v>
      </c>
      <c r="H613" s="143">
        <v>2.994</v>
      </c>
      <c r="L613" s="139"/>
      <c r="M613" s="144"/>
      <c r="T613" s="145"/>
      <c r="AT613" s="141" t="s">
        <v>137</v>
      </c>
      <c r="AU613" s="141" t="s">
        <v>80</v>
      </c>
      <c r="AV613" s="12" t="s">
        <v>80</v>
      </c>
      <c r="AW613" s="12" t="s">
        <v>32</v>
      </c>
      <c r="AX613" s="12" t="s">
        <v>78</v>
      </c>
      <c r="AY613" s="141" t="s">
        <v>126</v>
      </c>
    </row>
    <row r="614" spans="2:51" s="12" customFormat="1" ht="12">
      <c r="B614" s="139"/>
      <c r="D614" s="140" t="s">
        <v>137</v>
      </c>
      <c r="F614" s="142" t="s">
        <v>1372</v>
      </c>
      <c r="H614" s="143">
        <v>3.593</v>
      </c>
      <c r="L614" s="139"/>
      <c r="M614" s="144"/>
      <c r="T614" s="145"/>
      <c r="AT614" s="141" t="s">
        <v>137</v>
      </c>
      <c r="AU614" s="141" t="s">
        <v>80</v>
      </c>
      <c r="AV614" s="12" t="s">
        <v>80</v>
      </c>
      <c r="AW614" s="12" t="s">
        <v>4</v>
      </c>
      <c r="AX614" s="12" t="s">
        <v>78</v>
      </c>
      <c r="AY614" s="141" t="s">
        <v>126</v>
      </c>
    </row>
    <row r="615" spans="2:65" s="1" customFormat="1" ht="16.5" customHeight="1">
      <c r="B615" s="123"/>
      <c r="C615" s="124" t="s">
        <v>1373</v>
      </c>
      <c r="D615" s="124" t="s">
        <v>128</v>
      </c>
      <c r="E615" s="125" t="s">
        <v>1374</v>
      </c>
      <c r="F615" s="126" t="s">
        <v>1375</v>
      </c>
      <c r="G615" s="127" t="s">
        <v>131</v>
      </c>
      <c r="H615" s="128">
        <v>1808.4</v>
      </c>
      <c r="I615" s="129"/>
      <c r="J615" s="129">
        <f>ROUND(I615*H615,2)</f>
        <v>0</v>
      </c>
      <c r="K615" s="126" t="s">
        <v>132</v>
      </c>
      <c r="L615" s="29"/>
      <c r="M615" s="130" t="s">
        <v>3</v>
      </c>
      <c r="N615" s="131" t="s">
        <v>41</v>
      </c>
      <c r="O615" s="132">
        <v>0</v>
      </c>
      <c r="P615" s="132">
        <f>O615*H615</f>
        <v>0</v>
      </c>
      <c r="Q615" s="132">
        <v>0.00018</v>
      </c>
      <c r="R615" s="132">
        <f>Q615*H615</f>
        <v>0.325512</v>
      </c>
      <c r="S615" s="132">
        <v>0</v>
      </c>
      <c r="T615" s="133">
        <f>S615*H615</f>
        <v>0</v>
      </c>
      <c r="AR615" s="134" t="s">
        <v>221</v>
      </c>
      <c r="AT615" s="134" t="s">
        <v>128</v>
      </c>
      <c r="AU615" s="134" t="s">
        <v>80</v>
      </c>
      <c r="AY615" s="17" t="s">
        <v>126</v>
      </c>
      <c r="BE615" s="135">
        <f>IF(N615="základní",J615,0)</f>
        <v>0</v>
      </c>
      <c r="BF615" s="135">
        <f>IF(N615="snížená",J615,0)</f>
        <v>0</v>
      </c>
      <c r="BG615" s="135">
        <f>IF(N615="zákl. přenesená",J615,0)</f>
        <v>0</v>
      </c>
      <c r="BH615" s="135">
        <f>IF(N615="sníž. přenesená",J615,0)</f>
        <v>0</v>
      </c>
      <c r="BI615" s="135">
        <f>IF(N615="nulová",J615,0)</f>
        <v>0</v>
      </c>
      <c r="BJ615" s="17" t="s">
        <v>78</v>
      </c>
      <c r="BK615" s="135">
        <f>ROUND(I615*H615,2)</f>
        <v>0</v>
      </c>
      <c r="BL615" s="17" t="s">
        <v>221</v>
      </c>
      <c r="BM615" s="134" t="s">
        <v>1376</v>
      </c>
    </row>
    <row r="616" spans="2:47" s="1" customFormat="1" ht="12">
      <c r="B616" s="29"/>
      <c r="D616" s="136" t="s">
        <v>135</v>
      </c>
      <c r="F616" s="137" t="s">
        <v>1377</v>
      </c>
      <c r="L616" s="29"/>
      <c r="M616" s="138"/>
      <c r="T616" s="49"/>
      <c r="AT616" s="17" t="s">
        <v>135</v>
      </c>
      <c r="AU616" s="17" t="s">
        <v>80</v>
      </c>
    </row>
    <row r="617" spans="2:51" s="12" customFormat="1" ht="12">
      <c r="B617" s="139"/>
      <c r="D617" s="140" t="s">
        <v>137</v>
      </c>
      <c r="E617" s="141" t="s">
        <v>3</v>
      </c>
      <c r="F617" s="142" t="s">
        <v>1117</v>
      </c>
      <c r="H617" s="143">
        <v>543.4</v>
      </c>
      <c r="L617" s="139"/>
      <c r="M617" s="144"/>
      <c r="T617" s="145"/>
      <c r="AT617" s="141" t="s">
        <v>137</v>
      </c>
      <c r="AU617" s="141" t="s">
        <v>80</v>
      </c>
      <c r="AV617" s="12" t="s">
        <v>80</v>
      </c>
      <c r="AW617" s="12" t="s">
        <v>32</v>
      </c>
      <c r="AX617" s="12" t="s">
        <v>70</v>
      </c>
      <c r="AY617" s="141" t="s">
        <v>126</v>
      </c>
    </row>
    <row r="618" spans="2:51" s="12" customFormat="1" ht="12">
      <c r="B618" s="139"/>
      <c r="D618" s="140" t="s">
        <v>137</v>
      </c>
      <c r="E618" s="141" t="s">
        <v>3</v>
      </c>
      <c r="F618" s="142" t="s">
        <v>1378</v>
      </c>
      <c r="H618" s="143">
        <v>1086.8</v>
      </c>
      <c r="L618" s="139"/>
      <c r="M618" s="144"/>
      <c r="T618" s="145"/>
      <c r="AT618" s="141" t="s">
        <v>137</v>
      </c>
      <c r="AU618" s="141" t="s">
        <v>80</v>
      </c>
      <c r="AV618" s="12" t="s">
        <v>80</v>
      </c>
      <c r="AW618" s="12" t="s">
        <v>32</v>
      </c>
      <c r="AX618" s="12" t="s">
        <v>70</v>
      </c>
      <c r="AY618" s="141" t="s">
        <v>126</v>
      </c>
    </row>
    <row r="619" spans="2:51" s="12" customFormat="1" ht="12">
      <c r="B619" s="139"/>
      <c r="D619" s="140" t="s">
        <v>137</v>
      </c>
      <c r="E619" s="141" t="s">
        <v>3</v>
      </c>
      <c r="F619" s="142" t="s">
        <v>1355</v>
      </c>
      <c r="H619" s="143">
        <v>178.2</v>
      </c>
      <c r="L619" s="139"/>
      <c r="M619" s="144"/>
      <c r="T619" s="145"/>
      <c r="AT619" s="141" t="s">
        <v>137</v>
      </c>
      <c r="AU619" s="141" t="s">
        <v>80</v>
      </c>
      <c r="AV619" s="12" t="s">
        <v>80</v>
      </c>
      <c r="AW619" s="12" t="s">
        <v>32</v>
      </c>
      <c r="AX619" s="12" t="s">
        <v>70</v>
      </c>
      <c r="AY619" s="141" t="s">
        <v>126</v>
      </c>
    </row>
    <row r="620" spans="2:51" s="13" customFormat="1" ht="12">
      <c r="B620" s="146"/>
      <c r="D620" s="140" t="s">
        <v>137</v>
      </c>
      <c r="E620" s="147" t="s">
        <v>3</v>
      </c>
      <c r="F620" s="148" t="s">
        <v>151</v>
      </c>
      <c r="H620" s="149">
        <v>1808.3999999999999</v>
      </c>
      <c r="L620" s="146"/>
      <c r="M620" s="150"/>
      <c r="T620" s="151"/>
      <c r="AT620" s="147" t="s">
        <v>137</v>
      </c>
      <c r="AU620" s="147" t="s">
        <v>80</v>
      </c>
      <c r="AV620" s="13" t="s">
        <v>133</v>
      </c>
      <c r="AW620" s="13" t="s">
        <v>32</v>
      </c>
      <c r="AX620" s="13" t="s">
        <v>78</v>
      </c>
      <c r="AY620" s="147" t="s">
        <v>126</v>
      </c>
    </row>
    <row r="621" spans="2:65" s="1" customFormat="1" ht="24.2" customHeight="1">
      <c r="B621" s="123"/>
      <c r="C621" s="124" t="s">
        <v>1379</v>
      </c>
      <c r="D621" s="124" t="s">
        <v>128</v>
      </c>
      <c r="E621" s="125" t="s">
        <v>1380</v>
      </c>
      <c r="F621" s="126" t="s">
        <v>1381</v>
      </c>
      <c r="G621" s="127" t="s">
        <v>413</v>
      </c>
      <c r="H621" s="128"/>
      <c r="I621" s="129"/>
      <c r="J621" s="129">
        <f>ROUND(I621*H621,2)</f>
        <v>0</v>
      </c>
      <c r="K621" s="126" t="s">
        <v>132</v>
      </c>
      <c r="L621" s="29"/>
      <c r="M621" s="130" t="s">
        <v>3</v>
      </c>
      <c r="N621" s="131" t="s">
        <v>41</v>
      </c>
      <c r="O621" s="132">
        <v>0</v>
      </c>
      <c r="P621" s="132">
        <f>O621*H621</f>
        <v>0</v>
      </c>
      <c r="Q621" s="132">
        <v>0</v>
      </c>
      <c r="R621" s="132">
        <f>Q621*H621</f>
        <v>0</v>
      </c>
      <c r="S621" s="132">
        <v>0</v>
      </c>
      <c r="T621" s="133">
        <f>S621*H621</f>
        <v>0</v>
      </c>
      <c r="AR621" s="134" t="s">
        <v>221</v>
      </c>
      <c r="AT621" s="134" t="s">
        <v>128</v>
      </c>
      <c r="AU621" s="134" t="s">
        <v>80</v>
      </c>
      <c r="AY621" s="17" t="s">
        <v>126</v>
      </c>
      <c r="BE621" s="135">
        <f>IF(N621="základní",J621,0)</f>
        <v>0</v>
      </c>
      <c r="BF621" s="135">
        <f>IF(N621="snížená",J621,0)</f>
        <v>0</v>
      </c>
      <c r="BG621" s="135">
        <f>IF(N621="zákl. přenesená",J621,0)</f>
        <v>0</v>
      </c>
      <c r="BH621" s="135">
        <f>IF(N621="sníž. přenesená",J621,0)</f>
        <v>0</v>
      </c>
      <c r="BI621" s="135">
        <f>IF(N621="nulová",J621,0)</f>
        <v>0</v>
      </c>
      <c r="BJ621" s="17" t="s">
        <v>78</v>
      </c>
      <c r="BK621" s="135">
        <f>ROUND(I621*H621,2)</f>
        <v>0</v>
      </c>
      <c r="BL621" s="17" t="s">
        <v>221</v>
      </c>
      <c r="BM621" s="134" t="s">
        <v>1382</v>
      </c>
    </row>
    <row r="622" spans="2:47" s="1" customFormat="1" ht="12">
      <c r="B622" s="29"/>
      <c r="D622" s="136" t="s">
        <v>135</v>
      </c>
      <c r="F622" s="137" t="s">
        <v>1383</v>
      </c>
      <c r="L622" s="29"/>
      <c r="M622" s="138"/>
      <c r="T622" s="49"/>
      <c r="AT622" s="17" t="s">
        <v>135</v>
      </c>
      <c r="AU622" s="17" t="s">
        <v>80</v>
      </c>
    </row>
    <row r="623" spans="2:63" s="11" customFormat="1" ht="22.7" customHeight="1">
      <c r="B623" s="112"/>
      <c r="D623" s="113" t="s">
        <v>69</v>
      </c>
      <c r="E623" s="121" t="s">
        <v>1384</v>
      </c>
      <c r="F623" s="121" t="s">
        <v>1385</v>
      </c>
      <c r="J623" s="122">
        <f>BK623</f>
        <v>0</v>
      </c>
      <c r="L623" s="112"/>
      <c r="M623" s="116"/>
      <c r="P623" s="117">
        <f>SUM(P624:P687)</f>
        <v>2851.659408</v>
      </c>
      <c r="R623" s="117">
        <f>SUM(R624:R687)</f>
        <v>60.872197240000006</v>
      </c>
      <c r="T623" s="118">
        <f>SUM(T624:T687)</f>
        <v>0</v>
      </c>
      <c r="AR623" s="113" t="s">
        <v>80</v>
      </c>
      <c r="AT623" s="119" t="s">
        <v>69</v>
      </c>
      <c r="AU623" s="119" t="s">
        <v>78</v>
      </c>
      <c r="AY623" s="113" t="s">
        <v>126</v>
      </c>
      <c r="BK623" s="120">
        <f>SUM(BK624:BK687)</f>
        <v>0</v>
      </c>
    </row>
    <row r="624" spans="2:65" s="1" customFormat="1" ht="33" customHeight="1">
      <c r="B624" s="123"/>
      <c r="C624" s="124" t="s">
        <v>1386</v>
      </c>
      <c r="D624" s="124" t="s">
        <v>128</v>
      </c>
      <c r="E624" s="125" t="s">
        <v>1387</v>
      </c>
      <c r="F624" s="126" t="s">
        <v>1388</v>
      </c>
      <c r="G624" s="127" t="s">
        <v>131</v>
      </c>
      <c r="H624" s="128">
        <v>191.776</v>
      </c>
      <c r="I624" s="129"/>
      <c r="J624" s="129">
        <f>ROUND(I624*H624,2)</f>
        <v>0</v>
      </c>
      <c r="K624" s="126" t="s">
        <v>132</v>
      </c>
      <c r="L624" s="29"/>
      <c r="M624" s="130" t="s">
        <v>3</v>
      </c>
      <c r="N624" s="131" t="s">
        <v>41</v>
      </c>
      <c r="O624" s="132">
        <v>0.999</v>
      </c>
      <c r="P624" s="132">
        <f>O624*H624</f>
        <v>191.584224</v>
      </c>
      <c r="Q624" s="132">
        <v>0.02551</v>
      </c>
      <c r="R624" s="132">
        <f>Q624*H624</f>
        <v>4.89220576</v>
      </c>
      <c r="S624" s="132">
        <v>0</v>
      </c>
      <c r="T624" s="133">
        <f>S624*H624</f>
        <v>0</v>
      </c>
      <c r="AR624" s="134" t="s">
        <v>221</v>
      </c>
      <c r="AT624" s="134" t="s">
        <v>128</v>
      </c>
      <c r="AU624" s="134" t="s">
        <v>80</v>
      </c>
      <c r="AY624" s="17" t="s">
        <v>126</v>
      </c>
      <c r="BE624" s="135">
        <f>IF(N624="základní",J624,0)</f>
        <v>0</v>
      </c>
      <c r="BF624" s="135">
        <f>IF(N624="snížená",J624,0)</f>
        <v>0</v>
      </c>
      <c r="BG624" s="135">
        <f>IF(N624="zákl. přenesená",J624,0)</f>
        <v>0</v>
      </c>
      <c r="BH624" s="135">
        <f>IF(N624="sníž. přenesená",J624,0)</f>
        <v>0</v>
      </c>
      <c r="BI624" s="135">
        <f>IF(N624="nulová",J624,0)</f>
        <v>0</v>
      </c>
      <c r="BJ624" s="17" t="s">
        <v>78</v>
      </c>
      <c r="BK624" s="135">
        <f>ROUND(I624*H624,2)</f>
        <v>0</v>
      </c>
      <c r="BL624" s="17" t="s">
        <v>221</v>
      </c>
      <c r="BM624" s="134" t="s">
        <v>1389</v>
      </c>
    </row>
    <row r="625" spans="2:47" s="1" customFormat="1" ht="12">
      <c r="B625" s="29"/>
      <c r="D625" s="136" t="s">
        <v>135</v>
      </c>
      <c r="F625" s="137" t="s">
        <v>1390</v>
      </c>
      <c r="L625" s="29"/>
      <c r="M625" s="138"/>
      <c r="T625" s="49"/>
      <c r="AT625" s="17" t="s">
        <v>135</v>
      </c>
      <c r="AU625" s="17" t="s">
        <v>80</v>
      </c>
    </row>
    <row r="626" spans="2:51" s="12" customFormat="1" ht="12">
      <c r="B626" s="139"/>
      <c r="D626" s="140" t="s">
        <v>137</v>
      </c>
      <c r="E626" s="141" t="s">
        <v>3</v>
      </c>
      <c r="F626" s="142" t="s">
        <v>1391</v>
      </c>
      <c r="H626" s="143">
        <v>191.776</v>
      </c>
      <c r="L626" s="139"/>
      <c r="M626" s="144"/>
      <c r="T626" s="145"/>
      <c r="AT626" s="141" t="s">
        <v>137</v>
      </c>
      <c r="AU626" s="141" t="s">
        <v>80</v>
      </c>
      <c r="AV626" s="12" t="s">
        <v>80</v>
      </c>
      <c r="AW626" s="12" t="s">
        <v>32</v>
      </c>
      <c r="AX626" s="12" t="s">
        <v>78</v>
      </c>
      <c r="AY626" s="141" t="s">
        <v>126</v>
      </c>
    </row>
    <row r="627" spans="2:65" s="1" customFormat="1" ht="33" customHeight="1">
      <c r="B627" s="123"/>
      <c r="C627" s="124" t="s">
        <v>1392</v>
      </c>
      <c r="D627" s="124" t="s">
        <v>128</v>
      </c>
      <c r="E627" s="125" t="s">
        <v>1393</v>
      </c>
      <c r="F627" s="126" t="s">
        <v>1394</v>
      </c>
      <c r="G627" s="127" t="s">
        <v>131</v>
      </c>
      <c r="H627" s="128">
        <v>72</v>
      </c>
      <c r="I627" s="129"/>
      <c r="J627" s="129">
        <f>ROUND(I627*H627,2)</f>
        <v>0</v>
      </c>
      <c r="K627" s="126" t="s">
        <v>132</v>
      </c>
      <c r="L627" s="29"/>
      <c r="M627" s="130" t="s">
        <v>3</v>
      </c>
      <c r="N627" s="131" t="s">
        <v>41</v>
      </c>
      <c r="O627" s="132">
        <v>0.999</v>
      </c>
      <c r="P627" s="132">
        <f>O627*H627</f>
        <v>71.928</v>
      </c>
      <c r="Q627" s="132">
        <v>0.02614</v>
      </c>
      <c r="R627" s="132">
        <f>Q627*H627</f>
        <v>1.88208</v>
      </c>
      <c r="S627" s="132">
        <v>0</v>
      </c>
      <c r="T627" s="133">
        <f>S627*H627</f>
        <v>0</v>
      </c>
      <c r="AR627" s="134" t="s">
        <v>221</v>
      </c>
      <c r="AT627" s="134" t="s">
        <v>128</v>
      </c>
      <c r="AU627" s="134" t="s">
        <v>80</v>
      </c>
      <c r="AY627" s="17" t="s">
        <v>126</v>
      </c>
      <c r="BE627" s="135">
        <f>IF(N627="základní",J627,0)</f>
        <v>0</v>
      </c>
      <c r="BF627" s="135">
        <f>IF(N627="snížená",J627,0)</f>
        <v>0</v>
      </c>
      <c r="BG627" s="135">
        <f>IF(N627="zákl. přenesená",J627,0)</f>
        <v>0</v>
      </c>
      <c r="BH627" s="135">
        <f>IF(N627="sníž. přenesená",J627,0)</f>
        <v>0</v>
      </c>
      <c r="BI627" s="135">
        <f>IF(N627="nulová",J627,0)</f>
        <v>0</v>
      </c>
      <c r="BJ627" s="17" t="s">
        <v>78</v>
      </c>
      <c r="BK627" s="135">
        <f>ROUND(I627*H627,2)</f>
        <v>0</v>
      </c>
      <c r="BL627" s="17" t="s">
        <v>221</v>
      </c>
      <c r="BM627" s="134" t="s">
        <v>1395</v>
      </c>
    </row>
    <row r="628" spans="2:47" s="1" customFormat="1" ht="12">
      <c r="B628" s="29"/>
      <c r="D628" s="136" t="s">
        <v>135</v>
      </c>
      <c r="F628" s="137" t="s">
        <v>1396</v>
      </c>
      <c r="L628" s="29"/>
      <c r="M628" s="138"/>
      <c r="T628" s="49"/>
      <c r="AT628" s="17" t="s">
        <v>135</v>
      </c>
      <c r="AU628" s="17" t="s">
        <v>80</v>
      </c>
    </row>
    <row r="629" spans="2:51" s="12" customFormat="1" ht="12">
      <c r="B629" s="139"/>
      <c r="D629" s="140" t="s">
        <v>137</v>
      </c>
      <c r="E629" s="141" t="s">
        <v>3</v>
      </c>
      <c r="F629" s="142" t="s">
        <v>1397</v>
      </c>
      <c r="H629" s="143">
        <v>72</v>
      </c>
      <c r="L629" s="139"/>
      <c r="M629" s="144"/>
      <c r="T629" s="145"/>
      <c r="AT629" s="141" t="s">
        <v>137</v>
      </c>
      <c r="AU629" s="141" t="s">
        <v>80</v>
      </c>
      <c r="AV629" s="12" t="s">
        <v>80</v>
      </c>
      <c r="AW629" s="12" t="s">
        <v>32</v>
      </c>
      <c r="AX629" s="12" t="s">
        <v>78</v>
      </c>
      <c r="AY629" s="141" t="s">
        <v>126</v>
      </c>
    </row>
    <row r="630" spans="2:65" s="1" customFormat="1" ht="33" customHeight="1">
      <c r="B630" s="123"/>
      <c r="C630" s="124" t="s">
        <v>1398</v>
      </c>
      <c r="D630" s="124" t="s">
        <v>128</v>
      </c>
      <c r="E630" s="125" t="s">
        <v>1399</v>
      </c>
      <c r="F630" s="126" t="s">
        <v>1400</v>
      </c>
      <c r="G630" s="127" t="s">
        <v>131</v>
      </c>
      <c r="H630" s="128">
        <v>105.528</v>
      </c>
      <c r="I630" s="129"/>
      <c r="J630" s="129">
        <f>ROUND(I630*H630,2)</f>
        <v>0</v>
      </c>
      <c r="K630" s="126" t="s">
        <v>132</v>
      </c>
      <c r="L630" s="29"/>
      <c r="M630" s="130" t="s">
        <v>3</v>
      </c>
      <c r="N630" s="131" t="s">
        <v>41</v>
      </c>
      <c r="O630" s="132">
        <v>0.699</v>
      </c>
      <c r="P630" s="132">
        <f>O630*H630</f>
        <v>73.764072</v>
      </c>
      <c r="Q630" s="132">
        <v>0.01182</v>
      </c>
      <c r="R630" s="132">
        <f>Q630*H630</f>
        <v>1.24734096</v>
      </c>
      <c r="S630" s="132">
        <v>0</v>
      </c>
      <c r="T630" s="133">
        <f>S630*H630</f>
        <v>0</v>
      </c>
      <c r="AR630" s="134" t="s">
        <v>221</v>
      </c>
      <c r="AT630" s="134" t="s">
        <v>128</v>
      </c>
      <c r="AU630" s="134" t="s">
        <v>80</v>
      </c>
      <c r="AY630" s="17" t="s">
        <v>126</v>
      </c>
      <c r="BE630" s="135">
        <f>IF(N630="základní",J630,0)</f>
        <v>0</v>
      </c>
      <c r="BF630" s="135">
        <f>IF(N630="snížená",J630,0)</f>
        <v>0</v>
      </c>
      <c r="BG630" s="135">
        <f>IF(N630="zákl. přenesená",J630,0)</f>
        <v>0</v>
      </c>
      <c r="BH630" s="135">
        <f>IF(N630="sníž. přenesená",J630,0)</f>
        <v>0</v>
      </c>
      <c r="BI630" s="135">
        <f>IF(N630="nulová",J630,0)</f>
        <v>0</v>
      </c>
      <c r="BJ630" s="17" t="s">
        <v>78</v>
      </c>
      <c r="BK630" s="135">
        <f>ROUND(I630*H630,2)</f>
        <v>0</v>
      </c>
      <c r="BL630" s="17" t="s">
        <v>221</v>
      </c>
      <c r="BM630" s="134" t="s">
        <v>1401</v>
      </c>
    </row>
    <row r="631" spans="2:47" s="1" customFormat="1" ht="12">
      <c r="B631" s="29"/>
      <c r="D631" s="136" t="s">
        <v>135</v>
      </c>
      <c r="F631" s="137" t="s">
        <v>1402</v>
      </c>
      <c r="L631" s="29"/>
      <c r="M631" s="138"/>
      <c r="T631" s="49"/>
      <c r="AT631" s="17" t="s">
        <v>135</v>
      </c>
      <c r="AU631" s="17" t="s">
        <v>80</v>
      </c>
    </row>
    <row r="632" spans="2:51" s="12" customFormat="1" ht="12">
      <c r="B632" s="139"/>
      <c r="D632" s="140" t="s">
        <v>137</v>
      </c>
      <c r="E632" s="141" t="s">
        <v>3</v>
      </c>
      <c r="F632" s="142" t="s">
        <v>1403</v>
      </c>
      <c r="H632" s="143">
        <v>105.528</v>
      </c>
      <c r="L632" s="139"/>
      <c r="M632" s="144"/>
      <c r="T632" s="145"/>
      <c r="AT632" s="141" t="s">
        <v>137</v>
      </c>
      <c r="AU632" s="141" t="s">
        <v>80</v>
      </c>
      <c r="AV632" s="12" t="s">
        <v>80</v>
      </c>
      <c r="AW632" s="12" t="s">
        <v>32</v>
      </c>
      <c r="AX632" s="12" t="s">
        <v>78</v>
      </c>
      <c r="AY632" s="141" t="s">
        <v>126</v>
      </c>
    </row>
    <row r="633" spans="2:65" s="1" customFormat="1" ht="33" customHeight="1">
      <c r="B633" s="123"/>
      <c r="C633" s="124" t="s">
        <v>1404</v>
      </c>
      <c r="D633" s="124" t="s">
        <v>128</v>
      </c>
      <c r="E633" s="125" t="s">
        <v>1405</v>
      </c>
      <c r="F633" s="126" t="s">
        <v>1406</v>
      </c>
      <c r="G633" s="127" t="s">
        <v>131</v>
      </c>
      <c r="H633" s="128">
        <v>15.728</v>
      </c>
      <c r="I633" s="129"/>
      <c r="J633" s="129">
        <f>ROUND(I633*H633,2)</f>
        <v>0</v>
      </c>
      <c r="K633" s="126" t="s">
        <v>132</v>
      </c>
      <c r="L633" s="29"/>
      <c r="M633" s="130" t="s">
        <v>3</v>
      </c>
      <c r="N633" s="131" t="s">
        <v>41</v>
      </c>
      <c r="O633" s="132">
        <v>0.699</v>
      </c>
      <c r="P633" s="132">
        <f>O633*H633</f>
        <v>10.993872</v>
      </c>
      <c r="Q633" s="132">
        <v>0.01324</v>
      </c>
      <c r="R633" s="132">
        <f>Q633*H633</f>
        <v>0.20823872</v>
      </c>
      <c r="S633" s="132">
        <v>0</v>
      </c>
      <c r="T633" s="133">
        <f>S633*H633</f>
        <v>0</v>
      </c>
      <c r="AR633" s="134" t="s">
        <v>221</v>
      </c>
      <c r="AT633" s="134" t="s">
        <v>128</v>
      </c>
      <c r="AU633" s="134" t="s">
        <v>80</v>
      </c>
      <c r="AY633" s="17" t="s">
        <v>126</v>
      </c>
      <c r="BE633" s="135">
        <f>IF(N633="základní",J633,0)</f>
        <v>0</v>
      </c>
      <c r="BF633" s="135">
        <f>IF(N633="snížená",J633,0)</f>
        <v>0</v>
      </c>
      <c r="BG633" s="135">
        <f>IF(N633="zákl. přenesená",J633,0)</f>
        <v>0</v>
      </c>
      <c r="BH633" s="135">
        <f>IF(N633="sníž. přenesená",J633,0)</f>
        <v>0</v>
      </c>
      <c r="BI633" s="135">
        <f>IF(N633="nulová",J633,0)</f>
        <v>0</v>
      </c>
      <c r="BJ633" s="17" t="s">
        <v>78</v>
      </c>
      <c r="BK633" s="135">
        <f>ROUND(I633*H633,2)</f>
        <v>0</v>
      </c>
      <c r="BL633" s="17" t="s">
        <v>221</v>
      </c>
      <c r="BM633" s="134" t="s">
        <v>1407</v>
      </c>
    </row>
    <row r="634" spans="2:47" s="1" customFormat="1" ht="12">
      <c r="B634" s="29"/>
      <c r="D634" s="136" t="s">
        <v>135</v>
      </c>
      <c r="F634" s="137" t="s">
        <v>1408</v>
      </c>
      <c r="L634" s="29"/>
      <c r="M634" s="138"/>
      <c r="T634" s="49"/>
      <c r="AT634" s="17" t="s">
        <v>135</v>
      </c>
      <c r="AU634" s="17" t="s">
        <v>80</v>
      </c>
    </row>
    <row r="635" spans="2:51" s="12" customFormat="1" ht="12">
      <c r="B635" s="139"/>
      <c r="D635" s="140" t="s">
        <v>137</v>
      </c>
      <c r="E635" s="141" t="s">
        <v>3</v>
      </c>
      <c r="F635" s="142" t="s">
        <v>1409</v>
      </c>
      <c r="H635" s="143">
        <v>15.728</v>
      </c>
      <c r="L635" s="139"/>
      <c r="M635" s="144"/>
      <c r="T635" s="145"/>
      <c r="AT635" s="141" t="s">
        <v>137</v>
      </c>
      <c r="AU635" s="141" t="s">
        <v>80</v>
      </c>
      <c r="AV635" s="12" t="s">
        <v>80</v>
      </c>
      <c r="AW635" s="12" t="s">
        <v>32</v>
      </c>
      <c r="AX635" s="12" t="s">
        <v>78</v>
      </c>
      <c r="AY635" s="141" t="s">
        <v>126</v>
      </c>
    </row>
    <row r="636" spans="2:65" s="1" customFormat="1" ht="33" customHeight="1">
      <c r="B636" s="123"/>
      <c r="C636" s="124" t="s">
        <v>1410</v>
      </c>
      <c r="D636" s="124" t="s">
        <v>128</v>
      </c>
      <c r="E636" s="125" t="s">
        <v>1411</v>
      </c>
      <c r="F636" s="126" t="s">
        <v>1412</v>
      </c>
      <c r="G636" s="127" t="s">
        <v>131</v>
      </c>
      <c r="H636" s="128">
        <v>13.5</v>
      </c>
      <c r="I636" s="129"/>
      <c r="J636" s="129">
        <f>ROUND(I636*H636,2)</f>
        <v>0</v>
      </c>
      <c r="K636" s="126" t="s">
        <v>132</v>
      </c>
      <c r="L636" s="29"/>
      <c r="M636" s="130" t="s">
        <v>3</v>
      </c>
      <c r="N636" s="131" t="s">
        <v>41</v>
      </c>
      <c r="O636" s="132">
        <v>0.699</v>
      </c>
      <c r="P636" s="132">
        <f>O636*H636</f>
        <v>9.436499999999999</v>
      </c>
      <c r="Q636" s="132">
        <v>0.01213</v>
      </c>
      <c r="R636" s="132">
        <f>Q636*H636</f>
        <v>0.163755</v>
      </c>
      <c r="S636" s="132">
        <v>0</v>
      </c>
      <c r="T636" s="133">
        <f>S636*H636</f>
        <v>0</v>
      </c>
      <c r="AR636" s="134" t="s">
        <v>221</v>
      </c>
      <c r="AT636" s="134" t="s">
        <v>128</v>
      </c>
      <c r="AU636" s="134" t="s">
        <v>80</v>
      </c>
      <c r="AY636" s="17" t="s">
        <v>126</v>
      </c>
      <c r="BE636" s="135">
        <f>IF(N636="základní",J636,0)</f>
        <v>0</v>
      </c>
      <c r="BF636" s="135">
        <f>IF(N636="snížená",J636,0)</f>
        <v>0</v>
      </c>
      <c r="BG636" s="135">
        <f>IF(N636="zákl. přenesená",J636,0)</f>
        <v>0</v>
      </c>
      <c r="BH636" s="135">
        <f>IF(N636="sníž. přenesená",J636,0)</f>
        <v>0</v>
      </c>
      <c r="BI636" s="135">
        <f>IF(N636="nulová",J636,0)</f>
        <v>0</v>
      </c>
      <c r="BJ636" s="17" t="s">
        <v>78</v>
      </c>
      <c r="BK636" s="135">
        <f>ROUND(I636*H636,2)</f>
        <v>0</v>
      </c>
      <c r="BL636" s="17" t="s">
        <v>221</v>
      </c>
      <c r="BM636" s="134" t="s">
        <v>1413</v>
      </c>
    </row>
    <row r="637" spans="2:47" s="1" customFormat="1" ht="12">
      <c r="B637" s="29"/>
      <c r="D637" s="136" t="s">
        <v>135</v>
      </c>
      <c r="F637" s="137" t="s">
        <v>1414</v>
      </c>
      <c r="L637" s="29"/>
      <c r="M637" s="138"/>
      <c r="T637" s="49"/>
      <c r="AT637" s="17" t="s">
        <v>135</v>
      </c>
      <c r="AU637" s="17" t="s">
        <v>80</v>
      </c>
    </row>
    <row r="638" spans="2:51" s="12" customFormat="1" ht="12">
      <c r="B638" s="139"/>
      <c r="D638" s="140" t="s">
        <v>137</v>
      </c>
      <c r="E638" s="141" t="s">
        <v>3</v>
      </c>
      <c r="F638" s="142" t="s">
        <v>1415</v>
      </c>
      <c r="H638" s="143">
        <v>13.5</v>
      </c>
      <c r="L638" s="139"/>
      <c r="M638" s="144"/>
      <c r="T638" s="145"/>
      <c r="AT638" s="141" t="s">
        <v>137</v>
      </c>
      <c r="AU638" s="141" t="s">
        <v>80</v>
      </c>
      <c r="AV638" s="12" t="s">
        <v>80</v>
      </c>
      <c r="AW638" s="12" t="s">
        <v>32</v>
      </c>
      <c r="AX638" s="12" t="s">
        <v>78</v>
      </c>
      <c r="AY638" s="141" t="s">
        <v>126</v>
      </c>
    </row>
    <row r="639" spans="2:65" s="1" customFormat="1" ht="24.2" customHeight="1">
      <c r="B639" s="123"/>
      <c r="C639" s="124" t="s">
        <v>1416</v>
      </c>
      <c r="D639" s="124" t="s">
        <v>128</v>
      </c>
      <c r="E639" s="125" t="s">
        <v>1417</v>
      </c>
      <c r="F639" s="126" t="s">
        <v>1418</v>
      </c>
      <c r="G639" s="127" t="s">
        <v>131</v>
      </c>
      <c r="H639" s="128">
        <v>60.06</v>
      </c>
      <c r="I639" s="129"/>
      <c r="J639" s="129">
        <f>ROUND(I639*H639,2)</f>
        <v>0</v>
      </c>
      <c r="K639" s="126" t="s">
        <v>132</v>
      </c>
      <c r="L639" s="29"/>
      <c r="M639" s="130" t="s">
        <v>3</v>
      </c>
      <c r="N639" s="131" t="s">
        <v>41</v>
      </c>
      <c r="O639" s="132">
        <v>0.99</v>
      </c>
      <c r="P639" s="132">
        <f>O639*H639</f>
        <v>59.4594</v>
      </c>
      <c r="Q639" s="132">
        <v>0.01385</v>
      </c>
      <c r="R639" s="132">
        <f>Q639*H639</f>
        <v>0.831831</v>
      </c>
      <c r="S639" s="132">
        <v>0</v>
      </c>
      <c r="T639" s="133">
        <f>S639*H639</f>
        <v>0</v>
      </c>
      <c r="AR639" s="134" t="s">
        <v>221</v>
      </c>
      <c r="AT639" s="134" t="s">
        <v>128</v>
      </c>
      <c r="AU639" s="134" t="s">
        <v>80</v>
      </c>
      <c r="AY639" s="17" t="s">
        <v>126</v>
      </c>
      <c r="BE639" s="135">
        <f>IF(N639="základní",J639,0)</f>
        <v>0</v>
      </c>
      <c r="BF639" s="135">
        <f>IF(N639="snížená",J639,0)</f>
        <v>0</v>
      </c>
      <c r="BG639" s="135">
        <f>IF(N639="zákl. přenesená",J639,0)</f>
        <v>0</v>
      </c>
      <c r="BH639" s="135">
        <f>IF(N639="sníž. přenesená",J639,0)</f>
        <v>0</v>
      </c>
      <c r="BI639" s="135">
        <f>IF(N639="nulová",J639,0)</f>
        <v>0</v>
      </c>
      <c r="BJ639" s="17" t="s">
        <v>78</v>
      </c>
      <c r="BK639" s="135">
        <f>ROUND(I639*H639,2)</f>
        <v>0</v>
      </c>
      <c r="BL639" s="17" t="s">
        <v>221</v>
      </c>
      <c r="BM639" s="134" t="s">
        <v>1419</v>
      </c>
    </row>
    <row r="640" spans="2:47" s="1" customFormat="1" ht="12">
      <c r="B640" s="29"/>
      <c r="D640" s="136" t="s">
        <v>135</v>
      </c>
      <c r="F640" s="137" t="s">
        <v>1420</v>
      </c>
      <c r="L640" s="29"/>
      <c r="M640" s="138"/>
      <c r="T640" s="49"/>
      <c r="AT640" s="17" t="s">
        <v>135</v>
      </c>
      <c r="AU640" s="17" t="s">
        <v>80</v>
      </c>
    </row>
    <row r="641" spans="2:51" s="12" customFormat="1" ht="12">
      <c r="B641" s="139"/>
      <c r="D641" s="140" t="s">
        <v>137</v>
      </c>
      <c r="E641" s="141" t="s">
        <v>3</v>
      </c>
      <c r="F641" s="142" t="s">
        <v>1421</v>
      </c>
      <c r="H641" s="143">
        <v>23.66</v>
      </c>
      <c r="L641" s="139"/>
      <c r="M641" s="144"/>
      <c r="T641" s="145"/>
      <c r="AT641" s="141" t="s">
        <v>137</v>
      </c>
      <c r="AU641" s="141" t="s">
        <v>80</v>
      </c>
      <c r="AV641" s="12" t="s">
        <v>80</v>
      </c>
      <c r="AW641" s="12" t="s">
        <v>32</v>
      </c>
      <c r="AX641" s="12" t="s">
        <v>70</v>
      </c>
      <c r="AY641" s="141" t="s">
        <v>126</v>
      </c>
    </row>
    <row r="642" spans="2:51" s="12" customFormat="1" ht="12">
      <c r="B642" s="139"/>
      <c r="D642" s="140" t="s">
        <v>137</v>
      </c>
      <c r="E642" s="141" t="s">
        <v>3</v>
      </c>
      <c r="F642" s="142" t="s">
        <v>1422</v>
      </c>
      <c r="H642" s="143">
        <v>36.4</v>
      </c>
      <c r="L642" s="139"/>
      <c r="M642" s="144"/>
      <c r="T642" s="145"/>
      <c r="AT642" s="141" t="s">
        <v>137</v>
      </c>
      <c r="AU642" s="141" t="s">
        <v>80</v>
      </c>
      <c r="AV642" s="12" t="s">
        <v>80</v>
      </c>
      <c r="AW642" s="12" t="s">
        <v>32</v>
      </c>
      <c r="AX642" s="12" t="s">
        <v>70</v>
      </c>
      <c r="AY642" s="141" t="s">
        <v>126</v>
      </c>
    </row>
    <row r="643" spans="2:51" s="13" customFormat="1" ht="12">
      <c r="B643" s="146"/>
      <c r="D643" s="140" t="s">
        <v>137</v>
      </c>
      <c r="E643" s="147" t="s">
        <v>3</v>
      </c>
      <c r="F643" s="148" t="s">
        <v>151</v>
      </c>
      <c r="H643" s="149">
        <v>60.06</v>
      </c>
      <c r="L643" s="146"/>
      <c r="M643" s="150"/>
      <c r="T643" s="151"/>
      <c r="AT643" s="147" t="s">
        <v>137</v>
      </c>
      <c r="AU643" s="147" t="s">
        <v>80</v>
      </c>
      <c r="AV643" s="13" t="s">
        <v>133</v>
      </c>
      <c r="AW643" s="13" t="s">
        <v>32</v>
      </c>
      <c r="AX643" s="13" t="s">
        <v>78</v>
      </c>
      <c r="AY643" s="147" t="s">
        <v>126</v>
      </c>
    </row>
    <row r="644" spans="2:65" s="1" customFormat="1" ht="24.2" customHeight="1">
      <c r="B644" s="123"/>
      <c r="C644" s="124" t="s">
        <v>1423</v>
      </c>
      <c r="D644" s="124" t="s">
        <v>128</v>
      </c>
      <c r="E644" s="125" t="s">
        <v>1424</v>
      </c>
      <c r="F644" s="126" t="s">
        <v>1425</v>
      </c>
      <c r="G644" s="127" t="s">
        <v>131</v>
      </c>
      <c r="H644" s="128">
        <v>650</v>
      </c>
      <c r="I644" s="129"/>
      <c r="J644" s="129">
        <f>ROUND(I644*H644,2)</f>
        <v>0</v>
      </c>
      <c r="K644" s="126" t="s">
        <v>132</v>
      </c>
      <c r="L644" s="29"/>
      <c r="M644" s="130" t="s">
        <v>3</v>
      </c>
      <c r="N644" s="131" t="s">
        <v>41</v>
      </c>
      <c r="O644" s="132">
        <v>0.09</v>
      </c>
      <c r="P644" s="132">
        <f>O644*H644</f>
        <v>58.5</v>
      </c>
      <c r="Q644" s="132">
        <v>0</v>
      </c>
      <c r="R644" s="132">
        <f>Q644*H644</f>
        <v>0</v>
      </c>
      <c r="S644" s="132">
        <v>0</v>
      </c>
      <c r="T644" s="133">
        <f>S644*H644</f>
        <v>0</v>
      </c>
      <c r="AR644" s="134" t="s">
        <v>221</v>
      </c>
      <c r="AT644" s="134" t="s">
        <v>128</v>
      </c>
      <c r="AU644" s="134" t="s">
        <v>80</v>
      </c>
      <c r="AY644" s="17" t="s">
        <v>126</v>
      </c>
      <c r="BE644" s="135">
        <f>IF(N644="základní",J644,0)</f>
        <v>0</v>
      </c>
      <c r="BF644" s="135">
        <f>IF(N644="snížená",J644,0)</f>
        <v>0</v>
      </c>
      <c r="BG644" s="135">
        <f>IF(N644="zákl. přenesená",J644,0)</f>
        <v>0</v>
      </c>
      <c r="BH644" s="135">
        <f>IF(N644="sníž. přenesená",J644,0)</f>
        <v>0</v>
      </c>
      <c r="BI644" s="135">
        <f>IF(N644="nulová",J644,0)</f>
        <v>0</v>
      </c>
      <c r="BJ644" s="17" t="s">
        <v>78</v>
      </c>
      <c r="BK644" s="135">
        <f>ROUND(I644*H644,2)</f>
        <v>0</v>
      </c>
      <c r="BL644" s="17" t="s">
        <v>221</v>
      </c>
      <c r="BM644" s="134" t="s">
        <v>1426</v>
      </c>
    </row>
    <row r="645" spans="2:47" s="1" customFormat="1" ht="12">
      <c r="B645" s="29"/>
      <c r="D645" s="136" t="s">
        <v>135</v>
      </c>
      <c r="F645" s="137" t="s">
        <v>1427</v>
      </c>
      <c r="L645" s="29"/>
      <c r="M645" s="138"/>
      <c r="T645" s="49"/>
      <c r="AT645" s="17" t="s">
        <v>135</v>
      </c>
      <c r="AU645" s="17" t="s">
        <v>80</v>
      </c>
    </row>
    <row r="646" spans="2:51" s="12" customFormat="1" ht="12">
      <c r="B646" s="139"/>
      <c r="D646" s="140" t="s">
        <v>137</v>
      </c>
      <c r="E646" s="141" t="s">
        <v>3</v>
      </c>
      <c r="F646" s="142" t="s">
        <v>1428</v>
      </c>
      <c r="H646" s="143">
        <v>650</v>
      </c>
      <c r="L646" s="139"/>
      <c r="M646" s="144"/>
      <c r="T646" s="145"/>
      <c r="AT646" s="141" t="s">
        <v>137</v>
      </c>
      <c r="AU646" s="141" t="s">
        <v>80</v>
      </c>
      <c r="AV646" s="12" t="s">
        <v>80</v>
      </c>
      <c r="AW646" s="12" t="s">
        <v>32</v>
      </c>
      <c r="AX646" s="12" t="s">
        <v>78</v>
      </c>
      <c r="AY646" s="141" t="s">
        <v>126</v>
      </c>
    </row>
    <row r="647" spans="2:65" s="1" customFormat="1" ht="16.5" customHeight="1">
      <c r="B647" s="123"/>
      <c r="C647" s="152" t="s">
        <v>1429</v>
      </c>
      <c r="D647" s="152" t="s">
        <v>405</v>
      </c>
      <c r="E647" s="153" t="s">
        <v>1430</v>
      </c>
      <c r="F647" s="154" t="s">
        <v>1431</v>
      </c>
      <c r="G647" s="155" t="s">
        <v>131</v>
      </c>
      <c r="H647" s="156">
        <v>730.275</v>
      </c>
      <c r="I647" s="157"/>
      <c r="J647" s="157">
        <f>ROUND(I647*H647,2)</f>
        <v>0</v>
      </c>
      <c r="K647" s="154" t="s">
        <v>132</v>
      </c>
      <c r="L647" s="158"/>
      <c r="M647" s="159" t="s">
        <v>3</v>
      </c>
      <c r="N647" s="160" t="s">
        <v>41</v>
      </c>
      <c r="O647" s="132">
        <v>0</v>
      </c>
      <c r="P647" s="132">
        <f>O647*H647</f>
        <v>0</v>
      </c>
      <c r="Q647" s="132">
        <v>8E-05</v>
      </c>
      <c r="R647" s="132">
        <f>Q647*H647</f>
        <v>0.058422</v>
      </c>
      <c r="S647" s="132">
        <v>0</v>
      </c>
      <c r="T647" s="133">
        <f>S647*H647</f>
        <v>0</v>
      </c>
      <c r="AR647" s="134" t="s">
        <v>325</v>
      </c>
      <c r="AT647" s="134" t="s">
        <v>405</v>
      </c>
      <c r="AU647" s="134" t="s">
        <v>80</v>
      </c>
      <c r="AY647" s="17" t="s">
        <v>126</v>
      </c>
      <c r="BE647" s="135">
        <f>IF(N647="základní",J647,0)</f>
        <v>0</v>
      </c>
      <c r="BF647" s="135">
        <f>IF(N647="snížená",J647,0)</f>
        <v>0</v>
      </c>
      <c r="BG647" s="135">
        <f>IF(N647="zákl. přenesená",J647,0)</f>
        <v>0</v>
      </c>
      <c r="BH647" s="135">
        <f>IF(N647="sníž. přenesená",J647,0)</f>
        <v>0</v>
      </c>
      <c r="BI647" s="135">
        <f>IF(N647="nulová",J647,0)</f>
        <v>0</v>
      </c>
      <c r="BJ647" s="17" t="s">
        <v>78</v>
      </c>
      <c r="BK647" s="135">
        <f>ROUND(I647*H647,2)</f>
        <v>0</v>
      </c>
      <c r="BL647" s="17" t="s">
        <v>221</v>
      </c>
      <c r="BM647" s="134" t="s">
        <v>1432</v>
      </c>
    </row>
    <row r="648" spans="2:51" s="12" customFormat="1" ht="12">
      <c r="B648" s="139"/>
      <c r="D648" s="140" t="s">
        <v>137</v>
      </c>
      <c r="F648" s="142" t="s">
        <v>1433</v>
      </c>
      <c r="H648" s="143">
        <v>730.275</v>
      </c>
      <c r="L648" s="139"/>
      <c r="M648" s="144"/>
      <c r="T648" s="145"/>
      <c r="AT648" s="141" t="s">
        <v>137</v>
      </c>
      <c r="AU648" s="141" t="s">
        <v>80</v>
      </c>
      <c r="AV648" s="12" t="s">
        <v>80</v>
      </c>
      <c r="AW648" s="12" t="s">
        <v>4</v>
      </c>
      <c r="AX648" s="12" t="s">
        <v>78</v>
      </c>
      <c r="AY648" s="141" t="s">
        <v>126</v>
      </c>
    </row>
    <row r="649" spans="2:65" s="1" customFormat="1" ht="48.95" customHeight="1">
      <c r="B649" s="123"/>
      <c r="C649" s="124" t="s">
        <v>1434</v>
      </c>
      <c r="D649" s="124" t="s">
        <v>128</v>
      </c>
      <c r="E649" s="125" t="s">
        <v>1435</v>
      </c>
      <c r="F649" s="126" t="s">
        <v>1436</v>
      </c>
      <c r="G649" s="127" t="s">
        <v>131</v>
      </c>
      <c r="H649" s="128">
        <v>543.4</v>
      </c>
      <c r="I649" s="129"/>
      <c r="J649" s="129">
        <f>ROUND(I649*H649,2)</f>
        <v>0</v>
      </c>
      <c r="K649" s="126" t="s">
        <v>132</v>
      </c>
      <c r="L649" s="29"/>
      <c r="M649" s="130" t="s">
        <v>3</v>
      </c>
      <c r="N649" s="131" t="s">
        <v>41</v>
      </c>
      <c r="O649" s="132">
        <v>1.178</v>
      </c>
      <c r="P649" s="132">
        <f>O649*H649</f>
        <v>640.1252</v>
      </c>
      <c r="Q649" s="132">
        <v>0.02706</v>
      </c>
      <c r="R649" s="132">
        <f>Q649*H649</f>
        <v>14.704404</v>
      </c>
      <c r="S649" s="132">
        <v>0</v>
      </c>
      <c r="T649" s="133">
        <f>S649*H649</f>
        <v>0</v>
      </c>
      <c r="AR649" s="134" t="s">
        <v>221</v>
      </c>
      <c r="AT649" s="134" t="s">
        <v>128</v>
      </c>
      <c r="AU649" s="134" t="s">
        <v>80</v>
      </c>
      <c r="AY649" s="17" t="s">
        <v>126</v>
      </c>
      <c r="BE649" s="135">
        <f>IF(N649="základní",J649,0)</f>
        <v>0</v>
      </c>
      <c r="BF649" s="135">
        <f>IF(N649="snížená",J649,0)</f>
        <v>0</v>
      </c>
      <c r="BG649" s="135">
        <f>IF(N649="zákl. přenesená",J649,0)</f>
        <v>0</v>
      </c>
      <c r="BH649" s="135">
        <f>IF(N649="sníž. přenesená",J649,0)</f>
        <v>0</v>
      </c>
      <c r="BI649" s="135">
        <f>IF(N649="nulová",J649,0)</f>
        <v>0</v>
      </c>
      <c r="BJ649" s="17" t="s">
        <v>78</v>
      </c>
      <c r="BK649" s="135">
        <f>ROUND(I649*H649,2)</f>
        <v>0</v>
      </c>
      <c r="BL649" s="17" t="s">
        <v>221</v>
      </c>
      <c r="BM649" s="134" t="s">
        <v>1437</v>
      </c>
    </row>
    <row r="650" spans="2:47" s="1" customFormat="1" ht="12">
      <c r="B650" s="29"/>
      <c r="D650" s="136" t="s">
        <v>135</v>
      </c>
      <c r="F650" s="137" t="s">
        <v>1438</v>
      </c>
      <c r="L650" s="29"/>
      <c r="M650" s="138"/>
      <c r="T650" s="49"/>
      <c r="AT650" s="17" t="s">
        <v>135</v>
      </c>
      <c r="AU650" s="17" t="s">
        <v>80</v>
      </c>
    </row>
    <row r="651" spans="2:51" s="12" customFormat="1" ht="12">
      <c r="B651" s="139"/>
      <c r="D651" s="140" t="s">
        <v>137</v>
      </c>
      <c r="E651" s="141" t="s">
        <v>3</v>
      </c>
      <c r="F651" s="142" t="s">
        <v>1439</v>
      </c>
      <c r="H651" s="143">
        <v>543.4</v>
      </c>
      <c r="L651" s="139"/>
      <c r="M651" s="144"/>
      <c r="T651" s="145"/>
      <c r="AT651" s="141" t="s">
        <v>137</v>
      </c>
      <c r="AU651" s="141" t="s">
        <v>80</v>
      </c>
      <c r="AV651" s="12" t="s">
        <v>80</v>
      </c>
      <c r="AW651" s="12" t="s">
        <v>32</v>
      </c>
      <c r="AX651" s="12" t="s">
        <v>78</v>
      </c>
      <c r="AY651" s="141" t="s">
        <v>126</v>
      </c>
    </row>
    <row r="652" spans="2:65" s="1" customFormat="1" ht="16.5" customHeight="1">
      <c r="B652" s="123"/>
      <c r="C652" s="124" t="s">
        <v>1440</v>
      </c>
      <c r="D652" s="124" t="s">
        <v>128</v>
      </c>
      <c r="E652" s="125" t="s">
        <v>1441</v>
      </c>
      <c r="F652" s="126" t="s">
        <v>1442</v>
      </c>
      <c r="G652" s="127" t="s">
        <v>131</v>
      </c>
      <c r="H652" s="128">
        <v>543.4</v>
      </c>
      <c r="I652" s="129"/>
      <c r="J652" s="129">
        <f>ROUND(I652*H652,2)</f>
        <v>0</v>
      </c>
      <c r="K652" s="126" t="s">
        <v>132</v>
      </c>
      <c r="L652" s="29"/>
      <c r="M652" s="130" t="s">
        <v>3</v>
      </c>
      <c r="N652" s="131" t="s">
        <v>41</v>
      </c>
      <c r="O652" s="132">
        <v>0.216</v>
      </c>
      <c r="P652" s="132">
        <f>O652*H652</f>
        <v>117.3744</v>
      </c>
      <c r="Q652" s="132">
        <v>0.005</v>
      </c>
      <c r="R652" s="132">
        <f>Q652*H652</f>
        <v>2.717</v>
      </c>
      <c r="S652" s="132">
        <v>0</v>
      </c>
      <c r="T652" s="133">
        <f>S652*H652</f>
        <v>0</v>
      </c>
      <c r="AR652" s="134" t="s">
        <v>221</v>
      </c>
      <c r="AT652" s="134" t="s">
        <v>128</v>
      </c>
      <c r="AU652" s="134" t="s">
        <v>80</v>
      </c>
      <c r="AY652" s="17" t="s">
        <v>126</v>
      </c>
      <c r="BE652" s="135">
        <f>IF(N652="základní",J652,0)</f>
        <v>0</v>
      </c>
      <c r="BF652" s="135">
        <f>IF(N652="snížená",J652,0)</f>
        <v>0</v>
      </c>
      <c r="BG652" s="135">
        <f>IF(N652="zákl. přenesená",J652,0)</f>
        <v>0</v>
      </c>
      <c r="BH652" s="135">
        <f>IF(N652="sníž. přenesená",J652,0)</f>
        <v>0</v>
      </c>
      <c r="BI652" s="135">
        <f>IF(N652="nulová",J652,0)</f>
        <v>0</v>
      </c>
      <c r="BJ652" s="17" t="s">
        <v>78</v>
      </c>
      <c r="BK652" s="135">
        <f>ROUND(I652*H652,2)</f>
        <v>0</v>
      </c>
      <c r="BL652" s="17" t="s">
        <v>221</v>
      </c>
      <c r="BM652" s="134" t="s">
        <v>1443</v>
      </c>
    </row>
    <row r="653" spans="2:47" s="1" customFormat="1" ht="12">
      <c r="B653" s="29"/>
      <c r="D653" s="136" t="s">
        <v>135</v>
      </c>
      <c r="F653" s="137" t="s">
        <v>1444</v>
      </c>
      <c r="L653" s="29"/>
      <c r="M653" s="138"/>
      <c r="T653" s="49"/>
      <c r="AT653" s="17" t="s">
        <v>135</v>
      </c>
      <c r="AU653" s="17" t="s">
        <v>80</v>
      </c>
    </row>
    <row r="654" spans="2:51" s="12" customFormat="1" ht="12">
      <c r="B654" s="139"/>
      <c r="D654" s="140" t="s">
        <v>137</v>
      </c>
      <c r="E654" s="141" t="s">
        <v>3</v>
      </c>
      <c r="F654" s="142" t="s">
        <v>1117</v>
      </c>
      <c r="H654" s="143">
        <v>543.4</v>
      </c>
      <c r="L654" s="139"/>
      <c r="M654" s="144"/>
      <c r="T654" s="145"/>
      <c r="AT654" s="141" t="s">
        <v>137</v>
      </c>
      <c r="AU654" s="141" t="s">
        <v>80</v>
      </c>
      <c r="AV654" s="12" t="s">
        <v>80</v>
      </c>
      <c r="AW654" s="12" t="s">
        <v>32</v>
      </c>
      <c r="AX654" s="12" t="s">
        <v>78</v>
      </c>
      <c r="AY654" s="141" t="s">
        <v>126</v>
      </c>
    </row>
    <row r="655" spans="2:65" s="1" customFormat="1" ht="16.5" customHeight="1">
      <c r="B655" s="123"/>
      <c r="C655" s="124" t="s">
        <v>1445</v>
      </c>
      <c r="D655" s="124" t="s">
        <v>128</v>
      </c>
      <c r="E655" s="125" t="s">
        <v>1446</v>
      </c>
      <c r="F655" s="126" t="s">
        <v>1447</v>
      </c>
      <c r="G655" s="127" t="s">
        <v>131</v>
      </c>
      <c r="H655" s="128">
        <v>543.4</v>
      </c>
      <c r="I655" s="129"/>
      <c r="J655" s="129">
        <f>ROUND(I655*H655,2)</f>
        <v>0</v>
      </c>
      <c r="K655" s="126" t="s">
        <v>132</v>
      </c>
      <c r="L655" s="29"/>
      <c r="M655" s="130" t="s">
        <v>3</v>
      </c>
      <c r="N655" s="131" t="s">
        <v>41</v>
      </c>
      <c r="O655" s="132">
        <v>0.07</v>
      </c>
      <c r="P655" s="132">
        <f>O655*H655</f>
        <v>38.038000000000004</v>
      </c>
      <c r="Q655" s="132">
        <v>0.005</v>
      </c>
      <c r="R655" s="132">
        <f>Q655*H655</f>
        <v>2.717</v>
      </c>
      <c r="S655" s="132">
        <v>0</v>
      </c>
      <c r="T655" s="133">
        <f>S655*H655</f>
        <v>0</v>
      </c>
      <c r="AR655" s="134" t="s">
        <v>221</v>
      </c>
      <c r="AT655" s="134" t="s">
        <v>128</v>
      </c>
      <c r="AU655" s="134" t="s">
        <v>80</v>
      </c>
      <c r="AY655" s="17" t="s">
        <v>126</v>
      </c>
      <c r="BE655" s="135">
        <f>IF(N655="základní",J655,0)</f>
        <v>0</v>
      </c>
      <c r="BF655" s="135">
        <f>IF(N655="snížená",J655,0)</f>
        <v>0</v>
      </c>
      <c r="BG655" s="135">
        <f>IF(N655="zákl. přenesená",J655,0)</f>
        <v>0</v>
      </c>
      <c r="BH655" s="135">
        <f>IF(N655="sníž. přenesená",J655,0)</f>
        <v>0</v>
      </c>
      <c r="BI655" s="135">
        <f>IF(N655="nulová",J655,0)</f>
        <v>0</v>
      </c>
      <c r="BJ655" s="17" t="s">
        <v>78</v>
      </c>
      <c r="BK655" s="135">
        <f>ROUND(I655*H655,2)</f>
        <v>0</v>
      </c>
      <c r="BL655" s="17" t="s">
        <v>221</v>
      </c>
      <c r="BM655" s="134" t="s">
        <v>1448</v>
      </c>
    </row>
    <row r="656" spans="2:47" s="1" customFormat="1" ht="12">
      <c r="B656" s="29"/>
      <c r="D656" s="136" t="s">
        <v>135</v>
      </c>
      <c r="F656" s="137" t="s">
        <v>1449</v>
      </c>
      <c r="L656" s="29"/>
      <c r="M656" s="138"/>
      <c r="T656" s="49"/>
      <c r="AT656" s="17" t="s">
        <v>135</v>
      </c>
      <c r="AU656" s="17" t="s">
        <v>80</v>
      </c>
    </row>
    <row r="657" spans="2:65" s="1" customFormat="1" ht="33" customHeight="1">
      <c r="B657" s="123"/>
      <c r="C657" s="124" t="s">
        <v>1450</v>
      </c>
      <c r="D657" s="124" t="s">
        <v>128</v>
      </c>
      <c r="E657" s="125" t="s">
        <v>1451</v>
      </c>
      <c r="F657" s="126" t="s">
        <v>1452</v>
      </c>
      <c r="G657" s="127" t="s">
        <v>131</v>
      </c>
      <c r="H657" s="128">
        <v>650</v>
      </c>
      <c r="I657" s="129"/>
      <c r="J657" s="129">
        <f>ROUND(I657*H657,2)</f>
        <v>0</v>
      </c>
      <c r="K657" s="126" t="s">
        <v>132</v>
      </c>
      <c r="L657" s="29"/>
      <c r="M657" s="130" t="s">
        <v>3</v>
      </c>
      <c r="N657" s="131" t="s">
        <v>41</v>
      </c>
      <c r="O657" s="132">
        <v>1.702</v>
      </c>
      <c r="P657" s="132">
        <f>O657*H657</f>
        <v>1106.3</v>
      </c>
      <c r="Q657" s="132">
        <v>0.02846</v>
      </c>
      <c r="R657" s="132">
        <f>Q657*H657</f>
        <v>18.499</v>
      </c>
      <c r="S657" s="132">
        <v>0</v>
      </c>
      <c r="T657" s="133">
        <f>S657*H657</f>
        <v>0</v>
      </c>
      <c r="AR657" s="134" t="s">
        <v>221</v>
      </c>
      <c r="AT657" s="134" t="s">
        <v>128</v>
      </c>
      <c r="AU657" s="134" t="s">
        <v>80</v>
      </c>
      <c r="AY657" s="17" t="s">
        <v>126</v>
      </c>
      <c r="BE657" s="135">
        <f>IF(N657="základní",J657,0)</f>
        <v>0</v>
      </c>
      <c r="BF657" s="135">
        <f>IF(N657="snížená",J657,0)</f>
        <v>0</v>
      </c>
      <c r="BG657" s="135">
        <f>IF(N657="zákl. přenesená",J657,0)</f>
        <v>0</v>
      </c>
      <c r="BH657" s="135">
        <f>IF(N657="sníž. přenesená",J657,0)</f>
        <v>0</v>
      </c>
      <c r="BI657" s="135">
        <f>IF(N657="nulová",J657,0)</f>
        <v>0</v>
      </c>
      <c r="BJ657" s="17" t="s">
        <v>78</v>
      </c>
      <c r="BK657" s="135">
        <f>ROUND(I657*H657,2)</f>
        <v>0</v>
      </c>
      <c r="BL657" s="17" t="s">
        <v>221</v>
      </c>
      <c r="BM657" s="134" t="s">
        <v>1453</v>
      </c>
    </row>
    <row r="658" spans="2:47" s="1" customFormat="1" ht="12">
      <c r="B658" s="29"/>
      <c r="D658" s="136" t="s">
        <v>135</v>
      </c>
      <c r="F658" s="137" t="s">
        <v>1454</v>
      </c>
      <c r="L658" s="29"/>
      <c r="M658" s="138"/>
      <c r="T658" s="49"/>
      <c r="AT658" s="17" t="s">
        <v>135</v>
      </c>
      <c r="AU658" s="17" t="s">
        <v>80</v>
      </c>
    </row>
    <row r="659" spans="2:51" s="12" customFormat="1" ht="12">
      <c r="B659" s="139"/>
      <c r="D659" s="140" t="s">
        <v>137</v>
      </c>
      <c r="E659" s="141" t="s">
        <v>3</v>
      </c>
      <c r="F659" s="142" t="s">
        <v>1428</v>
      </c>
      <c r="H659" s="143">
        <v>650</v>
      </c>
      <c r="L659" s="139"/>
      <c r="M659" s="144"/>
      <c r="T659" s="145"/>
      <c r="AT659" s="141" t="s">
        <v>137</v>
      </c>
      <c r="AU659" s="141" t="s">
        <v>80</v>
      </c>
      <c r="AV659" s="12" t="s">
        <v>80</v>
      </c>
      <c r="AW659" s="12" t="s">
        <v>32</v>
      </c>
      <c r="AX659" s="12" t="s">
        <v>78</v>
      </c>
      <c r="AY659" s="141" t="s">
        <v>126</v>
      </c>
    </row>
    <row r="660" spans="2:65" s="1" customFormat="1" ht="21.75" customHeight="1">
      <c r="B660" s="123"/>
      <c r="C660" s="124" t="s">
        <v>1455</v>
      </c>
      <c r="D660" s="124" t="s">
        <v>128</v>
      </c>
      <c r="E660" s="125" t="s">
        <v>1456</v>
      </c>
      <c r="F660" s="126" t="s">
        <v>1457</v>
      </c>
      <c r="G660" s="127" t="s">
        <v>296</v>
      </c>
      <c r="H660" s="128">
        <v>8</v>
      </c>
      <c r="I660" s="129"/>
      <c r="J660" s="129">
        <f>ROUND(I660*H660,2)</f>
        <v>0</v>
      </c>
      <c r="K660" s="126" t="s">
        <v>132</v>
      </c>
      <c r="L660" s="29"/>
      <c r="M660" s="130" t="s">
        <v>3</v>
      </c>
      <c r="N660" s="131" t="s">
        <v>41</v>
      </c>
      <c r="O660" s="132">
        <v>1.1</v>
      </c>
      <c r="P660" s="132">
        <f>O660*H660</f>
        <v>8.8</v>
      </c>
      <c r="Q660" s="132">
        <v>0.00022</v>
      </c>
      <c r="R660" s="132">
        <f>Q660*H660</f>
        <v>0.00176</v>
      </c>
      <c r="S660" s="132">
        <v>0</v>
      </c>
      <c r="T660" s="133">
        <f>S660*H660</f>
        <v>0</v>
      </c>
      <c r="AR660" s="134" t="s">
        <v>221</v>
      </c>
      <c r="AT660" s="134" t="s">
        <v>128</v>
      </c>
      <c r="AU660" s="134" t="s">
        <v>80</v>
      </c>
      <c r="AY660" s="17" t="s">
        <v>126</v>
      </c>
      <c r="BE660" s="135">
        <f>IF(N660="základní",J660,0)</f>
        <v>0</v>
      </c>
      <c r="BF660" s="135">
        <f>IF(N660="snížená",J660,0)</f>
        <v>0</v>
      </c>
      <c r="BG660" s="135">
        <f>IF(N660="zákl. přenesená",J660,0)</f>
        <v>0</v>
      </c>
      <c r="BH660" s="135">
        <f>IF(N660="sníž. přenesená",J660,0)</f>
        <v>0</v>
      </c>
      <c r="BI660" s="135">
        <f>IF(N660="nulová",J660,0)</f>
        <v>0</v>
      </c>
      <c r="BJ660" s="17" t="s">
        <v>78</v>
      </c>
      <c r="BK660" s="135">
        <f>ROUND(I660*H660,2)</f>
        <v>0</v>
      </c>
      <c r="BL660" s="17" t="s">
        <v>221</v>
      </c>
      <c r="BM660" s="134" t="s">
        <v>1458</v>
      </c>
    </row>
    <row r="661" spans="2:47" s="1" customFormat="1" ht="12">
      <c r="B661" s="29"/>
      <c r="D661" s="136" t="s">
        <v>135</v>
      </c>
      <c r="F661" s="137" t="s">
        <v>1459</v>
      </c>
      <c r="L661" s="29"/>
      <c r="M661" s="138"/>
      <c r="T661" s="49"/>
      <c r="AT661" s="17" t="s">
        <v>135</v>
      </c>
      <c r="AU661" s="17" t="s">
        <v>80</v>
      </c>
    </row>
    <row r="662" spans="2:51" s="12" customFormat="1" ht="12">
      <c r="B662" s="139"/>
      <c r="D662" s="140" t="s">
        <v>137</v>
      </c>
      <c r="E662" s="141" t="s">
        <v>3</v>
      </c>
      <c r="F662" s="142" t="s">
        <v>1460</v>
      </c>
      <c r="H662" s="143">
        <v>6</v>
      </c>
      <c r="L662" s="139"/>
      <c r="M662" s="144"/>
      <c r="T662" s="145"/>
      <c r="AT662" s="141" t="s">
        <v>137</v>
      </c>
      <c r="AU662" s="141" t="s">
        <v>80</v>
      </c>
      <c r="AV662" s="12" t="s">
        <v>80</v>
      </c>
      <c r="AW662" s="12" t="s">
        <v>32</v>
      </c>
      <c r="AX662" s="12" t="s">
        <v>70</v>
      </c>
      <c r="AY662" s="141" t="s">
        <v>126</v>
      </c>
    </row>
    <row r="663" spans="2:51" s="12" customFormat="1" ht="12">
      <c r="B663" s="139"/>
      <c r="D663" s="140" t="s">
        <v>137</v>
      </c>
      <c r="E663" s="141" t="s">
        <v>3</v>
      </c>
      <c r="F663" s="142" t="s">
        <v>977</v>
      </c>
      <c r="H663" s="143">
        <v>2</v>
      </c>
      <c r="L663" s="139"/>
      <c r="M663" s="144"/>
      <c r="T663" s="145"/>
      <c r="AT663" s="141" t="s">
        <v>137</v>
      </c>
      <c r="AU663" s="141" t="s">
        <v>80</v>
      </c>
      <c r="AV663" s="12" t="s">
        <v>80</v>
      </c>
      <c r="AW663" s="12" t="s">
        <v>32</v>
      </c>
      <c r="AX663" s="12" t="s">
        <v>70</v>
      </c>
      <c r="AY663" s="141" t="s">
        <v>126</v>
      </c>
    </row>
    <row r="664" spans="2:51" s="13" customFormat="1" ht="12">
      <c r="B664" s="146"/>
      <c r="D664" s="140" t="s">
        <v>137</v>
      </c>
      <c r="E664" s="147" t="s">
        <v>3</v>
      </c>
      <c r="F664" s="148" t="s">
        <v>151</v>
      </c>
      <c r="H664" s="149">
        <v>8</v>
      </c>
      <c r="L664" s="146"/>
      <c r="M664" s="150"/>
      <c r="T664" s="151"/>
      <c r="AT664" s="147" t="s">
        <v>137</v>
      </c>
      <c r="AU664" s="147" t="s">
        <v>80</v>
      </c>
      <c r="AV664" s="13" t="s">
        <v>133</v>
      </c>
      <c r="AW664" s="13" t="s">
        <v>32</v>
      </c>
      <c r="AX664" s="13" t="s">
        <v>78</v>
      </c>
      <c r="AY664" s="147" t="s">
        <v>126</v>
      </c>
    </row>
    <row r="665" spans="2:65" s="1" customFormat="1" ht="21.75" customHeight="1">
      <c r="B665" s="123"/>
      <c r="C665" s="152" t="s">
        <v>1461</v>
      </c>
      <c r="D665" s="152" t="s">
        <v>405</v>
      </c>
      <c r="E665" s="153" t="s">
        <v>1462</v>
      </c>
      <c r="F665" s="154" t="s">
        <v>1463</v>
      </c>
      <c r="G665" s="155" t="s">
        <v>296</v>
      </c>
      <c r="H665" s="156">
        <v>6</v>
      </c>
      <c r="I665" s="157"/>
      <c r="J665" s="157">
        <f>ROUND(I665*H665,2)</f>
        <v>0</v>
      </c>
      <c r="K665" s="154" t="s">
        <v>132</v>
      </c>
      <c r="L665" s="158"/>
      <c r="M665" s="159" t="s">
        <v>3</v>
      </c>
      <c r="N665" s="160" t="s">
        <v>41</v>
      </c>
      <c r="O665" s="132">
        <v>0</v>
      </c>
      <c r="P665" s="132">
        <f>O665*H665</f>
        <v>0</v>
      </c>
      <c r="Q665" s="132">
        <v>0.01225</v>
      </c>
      <c r="R665" s="132">
        <f>Q665*H665</f>
        <v>0.07350000000000001</v>
      </c>
      <c r="S665" s="132">
        <v>0</v>
      </c>
      <c r="T665" s="133">
        <f>S665*H665</f>
        <v>0</v>
      </c>
      <c r="AR665" s="134" t="s">
        <v>325</v>
      </c>
      <c r="AT665" s="134" t="s">
        <v>405</v>
      </c>
      <c r="AU665" s="134" t="s">
        <v>80</v>
      </c>
      <c r="AY665" s="17" t="s">
        <v>126</v>
      </c>
      <c r="BE665" s="135">
        <f>IF(N665="základní",J665,0)</f>
        <v>0</v>
      </c>
      <c r="BF665" s="135">
        <f>IF(N665="snížená",J665,0)</f>
        <v>0</v>
      </c>
      <c r="BG665" s="135">
        <f>IF(N665="zákl. přenesená",J665,0)</f>
        <v>0</v>
      </c>
      <c r="BH665" s="135">
        <f>IF(N665="sníž. přenesená",J665,0)</f>
        <v>0</v>
      </c>
      <c r="BI665" s="135">
        <f>IF(N665="nulová",J665,0)</f>
        <v>0</v>
      </c>
      <c r="BJ665" s="17" t="s">
        <v>78</v>
      </c>
      <c r="BK665" s="135">
        <f>ROUND(I665*H665,2)</f>
        <v>0</v>
      </c>
      <c r="BL665" s="17" t="s">
        <v>221</v>
      </c>
      <c r="BM665" s="134" t="s">
        <v>1464</v>
      </c>
    </row>
    <row r="666" spans="2:65" s="1" customFormat="1" ht="21.75" customHeight="1">
      <c r="B666" s="123"/>
      <c r="C666" s="152" t="s">
        <v>1465</v>
      </c>
      <c r="D666" s="152" t="s">
        <v>405</v>
      </c>
      <c r="E666" s="153" t="s">
        <v>1466</v>
      </c>
      <c r="F666" s="154" t="s">
        <v>1467</v>
      </c>
      <c r="G666" s="155" t="s">
        <v>296</v>
      </c>
      <c r="H666" s="156">
        <v>2</v>
      </c>
      <c r="I666" s="157"/>
      <c r="J666" s="157">
        <f>ROUND(I666*H666,2)</f>
        <v>0</v>
      </c>
      <c r="K666" s="154" t="s">
        <v>132</v>
      </c>
      <c r="L666" s="158"/>
      <c r="M666" s="159" t="s">
        <v>3</v>
      </c>
      <c r="N666" s="160" t="s">
        <v>41</v>
      </c>
      <c r="O666" s="132">
        <v>0</v>
      </c>
      <c r="P666" s="132">
        <f>O666*H666</f>
        <v>0</v>
      </c>
      <c r="Q666" s="132">
        <v>0.01272</v>
      </c>
      <c r="R666" s="132">
        <f>Q666*H666</f>
        <v>0.02544</v>
      </c>
      <c r="S666" s="132">
        <v>0</v>
      </c>
      <c r="T666" s="133">
        <f>S666*H666</f>
        <v>0</v>
      </c>
      <c r="AR666" s="134" t="s">
        <v>325</v>
      </c>
      <c r="AT666" s="134" t="s">
        <v>405</v>
      </c>
      <c r="AU666" s="134" t="s">
        <v>80</v>
      </c>
      <c r="AY666" s="17" t="s">
        <v>126</v>
      </c>
      <c r="BE666" s="135">
        <f>IF(N666="základní",J666,0)</f>
        <v>0</v>
      </c>
      <c r="BF666" s="135">
        <f>IF(N666="snížená",J666,0)</f>
        <v>0</v>
      </c>
      <c r="BG666" s="135">
        <f>IF(N666="zákl. přenesená",J666,0)</f>
        <v>0</v>
      </c>
      <c r="BH666" s="135">
        <f>IF(N666="sníž. přenesená",J666,0)</f>
        <v>0</v>
      </c>
      <c r="BI666" s="135">
        <f>IF(N666="nulová",J666,0)</f>
        <v>0</v>
      </c>
      <c r="BJ666" s="17" t="s">
        <v>78</v>
      </c>
      <c r="BK666" s="135">
        <f>ROUND(I666*H666,2)</f>
        <v>0</v>
      </c>
      <c r="BL666" s="17" t="s">
        <v>221</v>
      </c>
      <c r="BM666" s="134" t="s">
        <v>1468</v>
      </c>
    </row>
    <row r="667" spans="2:65" s="1" customFormat="1" ht="24.2" customHeight="1">
      <c r="B667" s="123"/>
      <c r="C667" s="124" t="s">
        <v>1469</v>
      </c>
      <c r="D667" s="124" t="s">
        <v>128</v>
      </c>
      <c r="E667" s="125" t="s">
        <v>1470</v>
      </c>
      <c r="F667" s="126" t="s">
        <v>1471</v>
      </c>
      <c r="G667" s="127" t="s">
        <v>249</v>
      </c>
      <c r="H667" s="128">
        <v>147.12</v>
      </c>
      <c r="I667" s="129"/>
      <c r="J667" s="129">
        <f>ROUND(I667*H667,2)</f>
        <v>0</v>
      </c>
      <c r="K667" s="126" t="s">
        <v>132</v>
      </c>
      <c r="L667" s="29"/>
      <c r="M667" s="130" t="s">
        <v>3</v>
      </c>
      <c r="N667" s="131" t="s">
        <v>41</v>
      </c>
      <c r="O667" s="132">
        <v>0.85</v>
      </c>
      <c r="P667" s="132">
        <f>O667*H667</f>
        <v>125.052</v>
      </c>
      <c r="Q667" s="132">
        <v>0.00554</v>
      </c>
      <c r="R667" s="132">
        <f>Q667*H667</f>
        <v>0.8150448</v>
      </c>
      <c r="S667" s="132">
        <v>0</v>
      </c>
      <c r="T667" s="133">
        <f>S667*H667</f>
        <v>0</v>
      </c>
      <c r="AR667" s="134" t="s">
        <v>221</v>
      </c>
      <c r="AT667" s="134" t="s">
        <v>128</v>
      </c>
      <c r="AU667" s="134" t="s">
        <v>80</v>
      </c>
      <c r="AY667" s="17" t="s">
        <v>126</v>
      </c>
      <c r="BE667" s="135">
        <f>IF(N667="základní",J667,0)</f>
        <v>0</v>
      </c>
      <c r="BF667" s="135">
        <f>IF(N667="snížená",J667,0)</f>
        <v>0</v>
      </c>
      <c r="BG667" s="135">
        <f>IF(N667="zákl. přenesená",J667,0)</f>
        <v>0</v>
      </c>
      <c r="BH667" s="135">
        <f>IF(N667="sníž. přenesená",J667,0)</f>
        <v>0</v>
      </c>
      <c r="BI667" s="135">
        <f>IF(N667="nulová",J667,0)</f>
        <v>0</v>
      </c>
      <c r="BJ667" s="17" t="s">
        <v>78</v>
      </c>
      <c r="BK667" s="135">
        <f>ROUND(I667*H667,2)</f>
        <v>0</v>
      </c>
      <c r="BL667" s="17" t="s">
        <v>221</v>
      </c>
      <c r="BM667" s="134" t="s">
        <v>1472</v>
      </c>
    </row>
    <row r="668" spans="2:47" s="1" customFormat="1" ht="12">
      <c r="B668" s="29"/>
      <c r="D668" s="136" t="s">
        <v>135</v>
      </c>
      <c r="F668" s="137" t="s">
        <v>1473</v>
      </c>
      <c r="L668" s="29"/>
      <c r="M668" s="138"/>
      <c r="T668" s="49"/>
      <c r="AT668" s="17" t="s">
        <v>135</v>
      </c>
      <c r="AU668" s="17" t="s">
        <v>80</v>
      </c>
    </row>
    <row r="669" spans="2:51" s="12" customFormat="1" ht="12">
      <c r="B669" s="139"/>
      <c r="D669" s="140" t="s">
        <v>137</v>
      </c>
      <c r="E669" s="141" t="s">
        <v>3</v>
      </c>
      <c r="F669" s="142" t="s">
        <v>1474</v>
      </c>
      <c r="H669" s="143">
        <v>137.12</v>
      </c>
      <c r="L669" s="139"/>
      <c r="M669" s="144"/>
      <c r="T669" s="145"/>
      <c r="AT669" s="141" t="s">
        <v>137</v>
      </c>
      <c r="AU669" s="141" t="s">
        <v>80</v>
      </c>
      <c r="AV669" s="12" t="s">
        <v>80</v>
      </c>
      <c r="AW669" s="12" t="s">
        <v>32</v>
      </c>
      <c r="AX669" s="12" t="s">
        <v>70</v>
      </c>
      <c r="AY669" s="141" t="s">
        <v>126</v>
      </c>
    </row>
    <row r="670" spans="2:51" s="12" customFormat="1" ht="12">
      <c r="B670" s="139"/>
      <c r="D670" s="140" t="s">
        <v>137</v>
      </c>
      <c r="E670" s="141" t="s">
        <v>3</v>
      </c>
      <c r="F670" s="142" t="s">
        <v>1475</v>
      </c>
      <c r="H670" s="143">
        <v>10</v>
      </c>
      <c r="L670" s="139"/>
      <c r="M670" s="144"/>
      <c r="T670" s="145"/>
      <c r="AT670" s="141" t="s">
        <v>137</v>
      </c>
      <c r="AU670" s="141" t="s">
        <v>80</v>
      </c>
      <c r="AV670" s="12" t="s">
        <v>80</v>
      </c>
      <c r="AW670" s="12" t="s">
        <v>32</v>
      </c>
      <c r="AX670" s="12" t="s">
        <v>70</v>
      </c>
      <c r="AY670" s="141" t="s">
        <v>126</v>
      </c>
    </row>
    <row r="671" spans="2:51" s="13" customFormat="1" ht="12">
      <c r="B671" s="146"/>
      <c r="D671" s="140" t="s">
        <v>137</v>
      </c>
      <c r="E671" s="147" t="s">
        <v>3</v>
      </c>
      <c r="F671" s="148" t="s">
        <v>151</v>
      </c>
      <c r="H671" s="149">
        <v>147.12</v>
      </c>
      <c r="L671" s="146"/>
      <c r="M671" s="150"/>
      <c r="T671" s="151"/>
      <c r="AT671" s="147" t="s">
        <v>137</v>
      </c>
      <c r="AU671" s="147" t="s">
        <v>80</v>
      </c>
      <c r="AV671" s="13" t="s">
        <v>133</v>
      </c>
      <c r="AW671" s="13" t="s">
        <v>32</v>
      </c>
      <c r="AX671" s="13" t="s">
        <v>78</v>
      </c>
      <c r="AY671" s="147" t="s">
        <v>126</v>
      </c>
    </row>
    <row r="672" spans="2:65" s="1" customFormat="1" ht="24.2" customHeight="1">
      <c r="B672" s="123"/>
      <c r="C672" s="124" t="s">
        <v>1476</v>
      </c>
      <c r="D672" s="124" t="s">
        <v>128</v>
      </c>
      <c r="E672" s="125" t="s">
        <v>1477</v>
      </c>
      <c r="F672" s="126" t="s">
        <v>1478</v>
      </c>
      <c r="G672" s="127" t="s">
        <v>249</v>
      </c>
      <c r="H672" s="128">
        <v>10.5</v>
      </c>
      <c r="I672" s="129"/>
      <c r="J672" s="129">
        <f>ROUND(I672*H672,2)</f>
        <v>0</v>
      </c>
      <c r="K672" s="126" t="s">
        <v>132</v>
      </c>
      <c r="L672" s="29"/>
      <c r="M672" s="130" t="s">
        <v>3</v>
      </c>
      <c r="N672" s="131" t="s">
        <v>41</v>
      </c>
      <c r="O672" s="132">
        <v>1.981</v>
      </c>
      <c r="P672" s="132">
        <f>O672*H672</f>
        <v>20.8005</v>
      </c>
      <c r="Q672" s="132">
        <v>0.02999</v>
      </c>
      <c r="R672" s="132">
        <f>Q672*H672</f>
        <v>0.314895</v>
      </c>
      <c r="S672" s="132">
        <v>0</v>
      </c>
      <c r="T672" s="133">
        <f>S672*H672</f>
        <v>0</v>
      </c>
      <c r="AR672" s="134" t="s">
        <v>221</v>
      </c>
      <c r="AT672" s="134" t="s">
        <v>128</v>
      </c>
      <c r="AU672" s="134" t="s">
        <v>80</v>
      </c>
      <c r="AY672" s="17" t="s">
        <v>126</v>
      </c>
      <c r="BE672" s="135">
        <f>IF(N672="základní",J672,0)</f>
        <v>0</v>
      </c>
      <c r="BF672" s="135">
        <f>IF(N672="snížená",J672,0)</f>
        <v>0</v>
      </c>
      <c r="BG672" s="135">
        <f>IF(N672="zákl. přenesená",J672,0)</f>
        <v>0</v>
      </c>
      <c r="BH672" s="135">
        <f>IF(N672="sníž. přenesená",J672,0)</f>
        <v>0</v>
      </c>
      <c r="BI672" s="135">
        <f>IF(N672="nulová",J672,0)</f>
        <v>0</v>
      </c>
      <c r="BJ672" s="17" t="s">
        <v>78</v>
      </c>
      <c r="BK672" s="135">
        <f>ROUND(I672*H672,2)</f>
        <v>0</v>
      </c>
      <c r="BL672" s="17" t="s">
        <v>221</v>
      </c>
      <c r="BM672" s="134" t="s">
        <v>1479</v>
      </c>
    </row>
    <row r="673" spans="2:47" s="1" customFormat="1" ht="12">
      <c r="B673" s="29"/>
      <c r="D673" s="136" t="s">
        <v>135</v>
      </c>
      <c r="F673" s="137" t="s">
        <v>1480</v>
      </c>
      <c r="L673" s="29"/>
      <c r="M673" s="138"/>
      <c r="T673" s="49"/>
      <c r="AT673" s="17" t="s">
        <v>135</v>
      </c>
      <c r="AU673" s="17" t="s">
        <v>80</v>
      </c>
    </row>
    <row r="674" spans="2:51" s="12" customFormat="1" ht="12">
      <c r="B674" s="139"/>
      <c r="D674" s="140" t="s">
        <v>137</v>
      </c>
      <c r="E674" s="141" t="s">
        <v>3</v>
      </c>
      <c r="F674" s="142" t="s">
        <v>1481</v>
      </c>
      <c r="H674" s="143">
        <v>10.5</v>
      </c>
      <c r="L674" s="139"/>
      <c r="M674" s="144"/>
      <c r="T674" s="145"/>
      <c r="AT674" s="141" t="s">
        <v>137</v>
      </c>
      <c r="AU674" s="141" t="s">
        <v>80</v>
      </c>
      <c r="AV674" s="12" t="s">
        <v>80</v>
      </c>
      <c r="AW674" s="12" t="s">
        <v>32</v>
      </c>
      <c r="AX674" s="12" t="s">
        <v>78</v>
      </c>
      <c r="AY674" s="141" t="s">
        <v>126</v>
      </c>
    </row>
    <row r="675" spans="2:65" s="1" customFormat="1" ht="24.2" customHeight="1">
      <c r="B675" s="123"/>
      <c r="C675" s="124" t="s">
        <v>1482</v>
      </c>
      <c r="D675" s="124" t="s">
        <v>128</v>
      </c>
      <c r="E675" s="125" t="s">
        <v>1483</v>
      </c>
      <c r="F675" s="126" t="s">
        <v>1484</v>
      </c>
      <c r="G675" s="127" t="s">
        <v>249</v>
      </c>
      <c r="H675" s="128">
        <v>1121.064</v>
      </c>
      <c r="I675" s="129"/>
      <c r="J675" s="129">
        <f>ROUND(I675*H675,2)</f>
        <v>0</v>
      </c>
      <c r="K675" s="126" t="s">
        <v>132</v>
      </c>
      <c r="L675" s="29"/>
      <c r="M675" s="130" t="s">
        <v>3</v>
      </c>
      <c r="N675" s="131" t="s">
        <v>41</v>
      </c>
      <c r="O675" s="132">
        <v>0.285</v>
      </c>
      <c r="P675" s="132">
        <f>O675*H675</f>
        <v>319.50324</v>
      </c>
      <c r="Q675" s="132">
        <v>0</v>
      </c>
      <c r="R675" s="132">
        <f>Q675*H675</f>
        <v>0</v>
      </c>
      <c r="S675" s="132">
        <v>0</v>
      </c>
      <c r="T675" s="133">
        <f>S675*H675</f>
        <v>0</v>
      </c>
      <c r="AR675" s="134" t="s">
        <v>221</v>
      </c>
      <c r="AT675" s="134" t="s">
        <v>128</v>
      </c>
      <c r="AU675" s="134" t="s">
        <v>80</v>
      </c>
      <c r="AY675" s="17" t="s">
        <v>126</v>
      </c>
      <c r="BE675" s="135">
        <f>IF(N675="základní",J675,0)</f>
        <v>0</v>
      </c>
      <c r="BF675" s="135">
        <f>IF(N675="snížená",J675,0)</f>
        <v>0</v>
      </c>
      <c r="BG675" s="135">
        <f>IF(N675="zákl. přenesená",J675,0)</f>
        <v>0</v>
      </c>
      <c r="BH675" s="135">
        <f>IF(N675="sníž. přenesená",J675,0)</f>
        <v>0</v>
      </c>
      <c r="BI675" s="135">
        <f>IF(N675="nulová",J675,0)</f>
        <v>0</v>
      </c>
      <c r="BJ675" s="17" t="s">
        <v>78</v>
      </c>
      <c r="BK675" s="135">
        <f>ROUND(I675*H675,2)</f>
        <v>0</v>
      </c>
      <c r="BL675" s="17" t="s">
        <v>221</v>
      </c>
      <c r="BM675" s="134" t="s">
        <v>1485</v>
      </c>
    </row>
    <row r="676" spans="2:47" s="1" customFormat="1" ht="12">
      <c r="B676" s="29"/>
      <c r="D676" s="136" t="s">
        <v>135</v>
      </c>
      <c r="F676" s="137" t="s">
        <v>1486</v>
      </c>
      <c r="L676" s="29"/>
      <c r="M676" s="138"/>
      <c r="T676" s="49"/>
      <c r="AT676" s="17" t="s">
        <v>135</v>
      </c>
      <c r="AU676" s="17" t="s">
        <v>80</v>
      </c>
    </row>
    <row r="677" spans="2:51" s="12" customFormat="1" ht="12">
      <c r="B677" s="139"/>
      <c r="D677" s="140" t="s">
        <v>137</v>
      </c>
      <c r="E677" s="141" t="s">
        <v>3</v>
      </c>
      <c r="F677" s="142" t="s">
        <v>1487</v>
      </c>
      <c r="H677" s="143">
        <v>560.532</v>
      </c>
      <c r="L677" s="139"/>
      <c r="M677" s="144"/>
      <c r="T677" s="145"/>
      <c r="AT677" s="141" t="s">
        <v>137</v>
      </c>
      <c r="AU677" s="141" t="s">
        <v>80</v>
      </c>
      <c r="AV677" s="12" t="s">
        <v>80</v>
      </c>
      <c r="AW677" s="12" t="s">
        <v>32</v>
      </c>
      <c r="AX677" s="12" t="s">
        <v>70</v>
      </c>
      <c r="AY677" s="141" t="s">
        <v>126</v>
      </c>
    </row>
    <row r="678" spans="2:51" s="12" customFormat="1" ht="12">
      <c r="B678" s="139"/>
      <c r="D678" s="140" t="s">
        <v>137</v>
      </c>
      <c r="E678" s="141" t="s">
        <v>3</v>
      </c>
      <c r="F678" s="142" t="s">
        <v>1488</v>
      </c>
      <c r="H678" s="143">
        <v>560.532</v>
      </c>
      <c r="L678" s="139"/>
      <c r="M678" s="144"/>
      <c r="T678" s="145"/>
      <c r="AT678" s="141" t="s">
        <v>137</v>
      </c>
      <c r="AU678" s="141" t="s">
        <v>80</v>
      </c>
      <c r="AV678" s="12" t="s">
        <v>80</v>
      </c>
      <c r="AW678" s="12" t="s">
        <v>32</v>
      </c>
      <c r="AX678" s="12" t="s">
        <v>70</v>
      </c>
      <c r="AY678" s="141" t="s">
        <v>126</v>
      </c>
    </row>
    <row r="679" spans="2:51" s="13" customFormat="1" ht="12">
      <c r="B679" s="146"/>
      <c r="D679" s="140" t="s">
        <v>137</v>
      </c>
      <c r="E679" s="147" t="s">
        <v>3</v>
      </c>
      <c r="F679" s="148" t="s">
        <v>151</v>
      </c>
      <c r="H679" s="149">
        <v>1121.064</v>
      </c>
      <c r="L679" s="146"/>
      <c r="M679" s="150"/>
      <c r="T679" s="151"/>
      <c r="AT679" s="147" t="s">
        <v>137</v>
      </c>
      <c r="AU679" s="147" t="s">
        <v>80</v>
      </c>
      <c r="AV679" s="13" t="s">
        <v>133</v>
      </c>
      <c r="AW679" s="13" t="s">
        <v>32</v>
      </c>
      <c r="AX679" s="13" t="s">
        <v>78</v>
      </c>
      <c r="AY679" s="147" t="s">
        <v>126</v>
      </c>
    </row>
    <row r="680" spans="2:65" s="1" customFormat="1" ht="16.5" customHeight="1">
      <c r="B680" s="123"/>
      <c r="C680" s="152" t="s">
        <v>1489</v>
      </c>
      <c r="D680" s="152" t="s">
        <v>405</v>
      </c>
      <c r="E680" s="153" t="s">
        <v>1490</v>
      </c>
      <c r="F680" s="154" t="s">
        <v>1491</v>
      </c>
      <c r="G680" s="155" t="s">
        <v>146</v>
      </c>
      <c r="H680" s="156">
        <v>26.637</v>
      </c>
      <c r="I680" s="157"/>
      <c r="J680" s="157">
        <f>ROUND(I680*H680,2)</f>
        <v>0</v>
      </c>
      <c r="K680" s="154" t="s">
        <v>3</v>
      </c>
      <c r="L680" s="158"/>
      <c r="M680" s="159" t="s">
        <v>3</v>
      </c>
      <c r="N680" s="160" t="s">
        <v>41</v>
      </c>
      <c r="O680" s="132">
        <v>0</v>
      </c>
      <c r="P680" s="132">
        <f>O680*H680</f>
        <v>0</v>
      </c>
      <c r="Q680" s="132">
        <v>0.44</v>
      </c>
      <c r="R680" s="132">
        <f>Q680*H680</f>
        <v>11.72028</v>
      </c>
      <c r="S680" s="132">
        <v>0</v>
      </c>
      <c r="T680" s="133">
        <f>S680*H680</f>
        <v>0</v>
      </c>
      <c r="AR680" s="134" t="s">
        <v>325</v>
      </c>
      <c r="AT680" s="134" t="s">
        <v>405</v>
      </c>
      <c r="AU680" s="134" t="s">
        <v>80</v>
      </c>
      <c r="AY680" s="17" t="s">
        <v>126</v>
      </c>
      <c r="BE680" s="135">
        <f>IF(N680="základní",J680,0)</f>
        <v>0</v>
      </c>
      <c r="BF680" s="135">
        <f>IF(N680="snížená",J680,0)</f>
        <v>0</v>
      </c>
      <c r="BG680" s="135">
        <f>IF(N680="zákl. přenesená",J680,0)</f>
        <v>0</v>
      </c>
      <c r="BH680" s="135">
        <f>IF(N680="sníž. přenesená",J680,0)</f>
        <v>0</v>
      </c>
      <c r="BI680" s="135">
        <f>IF(N680="nulová",J680,0)</f>
        <v>0</v>
      </c>
      <c r="BJ680" s="17" t="s">
        <v>78</v>
      </c>
      <c r="BK680" s="135">
        <f>ROUND(I680*H680,2)</f>
        <v>0</v>
      </c>
      <c r="BL680" s="17" t="s">
        <v>221</v>
      </c>
      <c r="BM680" s="134" t="s">
        <v>1492</v>
      </c>
    </row>
    <row r="681" spans="2:51" s="12" customFormat="1" ht="12">
      <c r="B681" s="139"/>
      <c r="D681" s="140" t="s">
        <v>137</v>
      </c>
      <c r="E681" s="141" t="s">
        <v>3</v>
      </c>
      <c r="F681" s="142" t="s">
        <v>1493</v>
      </c>
      <c r="H681" s="143">
        <v>15.134</v>
      </c>
      <c r="L681" s="139"/>
      <c r="M681" s="144"/>
      <c r="T681" s="145"/>
      <c r="AT681" s="141" t="s">
        <v>137</v>
      </c>
      <c r="AU681" s="141" t="s">
        <v>80</v>
      </c>
      <c r="AV681" s="12" t="s">
        <v>80</v>
      </c>
      <c r="AW681" s="12" t="s">
        <v>32</v>
      </c>
      <c r="AX681" s="12" t="s">
        <v>70</v>
      </c>
      <c r="AY681" s="141" t="s">
        <v>126</v>
      </c>
    </row>
    <row r="682" spans="2:51" s="12" customFormat="1" ht="12">
      <c r="B682" s="139"/>
      <c r="D682" s="140" t="s">
        <v>137</v>
      </c>
      <c r="E682" s="141" t="s">
        <v>3</v>
      </c>
      <c r="F682" s="142" t="s">
        <v>1494</v>
      </c>
      <c r="H682" s="143">
        <v>9.081</v>
      </c>
      <c r="L682" s="139"/>
      <c r="M682" s="144"/>
      <c r="T682" s="145"/>
      <c r="AT682" s="141" t="s">
        <v>137</v>
      </c>
      <c r="AU682" s="141" t="s">
        <v>80</v>
      </c>
      <c r="AV682" s="12" t="s">
        <v>80</v>
      </c>
      <c r="AW682" s="12" t="s">
        <v>32</v>
      </c>
      <c r="AX682" s="12" t="s">
        <v>70</v>
      </c>
      <c r="AY682" s="141" t="s">
        <v>126</v>
      </c>
    </row>
    <row r="683" spans="2:51" s="13" customFormat="1" ht="12">
      <c r="B683" s="146"/>
      <c r="D683" s="140" t="s">
        <v>137</v>
      </c>
      <c r="E683" s="147" t="s">
        <v>3</v>
      </c>
      <c r="F683" s="148" t="s">
        <v>151</v>
      </c>
      <c r="H683" s="149">
        <v>24.215</v>
      </c>
      <c r="L683" s="146"/>
      <c r="M683" s="150"/>
      <c r="T683" s="151"/>
      <c r="AT683" s="147" t="s">
        <v>137</v>
      </c>
      <c r="AU683" s="147" t="s">
        <v>80</v>
      </c>
      <c r="AV683" s="13" t="s">
        <v>133</v>
      </c>
      <c r="AW683" s="13" t="s">
        <v>32</v>
      </c>
      <c r="AX683" s="13" t="s">
        <v>78</v>
      </c>
      <c r="AY683" s="147" t="s">
        <v>126</v>
      </c>
    </row>
    <row r="684" spans="2:51" s="12" customFormat="1" ht="12">
      <c r="B684" s="139"/>
      <c r="D684" s="140" t="s">
        <v>137</v>
      </c>
      <c r="F684" s="142" t="s">
        <v>1495</v>
      </c>
      <c r="H684" s="143">
        <v>26.637</v>
      </c>
      <c r="L684" s="139"/>
      <c r="M684" s="144"/>
      <c r="T684" s="145"/>
      <c r="AT684" s="141" t="s">
        <v>137</v>
      </c>
      <c r="AU684" s="141" t="s">
        <v>80</v>
      </c>
      <c r="AV684" s="12" t="s">
        <v>80</v>
      </c>
      <c r="AW684" s="12" t="s">
        <v>4</v>
      </c>
      <c r="AX684" s="12" t="s">
        <v>78</v>
      </c>
      <c r="AY684" s="141" t="s">
        <v>126</v>
      </c>
    </row>
    <row r="685" spans="2:65" s="1" customFormat="1" ht="16.5" customHeight="1">
      <c r="B685" s="123"/>
      <c r="C685" s="124" t="s">
        <v>1496</v>
      </c>
      <c r="D685" s="124" t="s">
        <v>128</v>
      </c>
      <c r="E685" s="125" t="s">
        <v>1497</v>
      </c>
      <c r="F685" s="126" t="s">
        <v>1498</v>
      </c>
      <c r="G685" s="127" t="s">
        <v>183</v>
      </c>
      <c r="H685" s="128">
        <v>8</v>
      </c>
      <c r="I685" s="129"/>
      <c r="J685" s="129">
        <f>ROUND(I685*H685,2)</f>
        <v>0</v>
      </c>
      <c r="K685" s="126" t="s">
        <v>3</v>
      </c>
      <c r="L685" s="29"/>
      <c r="M685" s="130" t="s">
        <v>3</v>
      </c>
      <c r="N685" s="131" t="s">
        <v>41</v>
      </c>
      <c r="O685" s="132">
        <v>0</v>
      </c>
      <c r="P685" s="132">
        <f>O685*H685</f>
        <v>0</v>
      </c>
      <c r="Q685" s="132">
        <v>0</v>
      </c>
      <c r="R685" s="132">
        <f>Q685*H685</f>
        <v>0</v>
      </c>
      <c r="S685" s="132">
        <v>0</v>
      </c>
      <c r="T685" s="133">
        <f>S685*H685</f>
        <v>0</v>
      </c>
      <c r="AR685" s="134" t="s">
        <v>221</v>
      </c>
      <c r="AT685" s="134" t="s">
        <v>128</v>
      </c>
      <c r="AU685" s="134" t="s">
        <v>80</v>
      </c>
      <c r="AY685" s="17" t="s">
        <v>126</v>
      </c>
      <c r="BE685" s="135">
        <f>IF(N685="základní",J685,0)</f>
        <v>0</v>
      </c>
      <c r="BF685" s="135">
        <f>IF(N685="snížená",J685,0)</f>
        <v>0</v>
      </c>
      <c r="BG685" s="135">
        <f>IF(N685="zákl. přenesená",J685,0)</f>
        <v>0</v>
      </c>
      <c r="BH685" s="135">
        <f>IF(N685="sníž. přenesená",J685,0)</f>
        <v>0</v>
      </c>
      <c r="BI685" s="135">
        <f>IF(N685="nulová",J685,0)</f>
        <v>0</v>
      </c>
      <c r="BJ685" s="17" t="s">
        <v>78</v>
      </c>
      <c r="BK685" s="135">
        <f>ROUND(I685*H685,2)</f>
        <v>0</v>
      </c>
      <c r="BL685" s="17" t="s">
        <v>221</v>
      </c>
      <c r="BM685" s="134" t="s">
        <v>1499</v>
      </c>
    </row>
    <row r="686" spans="2:65" s="1" customFormat="1" ht="24.2" customHeight="1">
      <c r="B686" s="123"/>
      <c r="C686" s="124" t="s">
        <v>1500</v>
      </c>
      <c r="D686" s="124" t="s">
        <v>128</v>
      </c>
      <c r="E686" s="125" t="s">
        <v>1501</v>
      </c>
      <c r="F686" s="126" t="s">
        <v>1502</v>
      </c>
      <c r="G686" s="127" t="s">
        <v>413</v>
      </c>
      <c r="H686" s="128"/>
      <c r="I686" s="129"/>
      <c r="J686" s="129">
        <f>ROUND(I686*H686,2)</f>
        <v>0</v>
      </c>
      <c r="K686" s="126" t="s">
        <v>132</v>
      </c>
      <c r="L686" s="29"/>
      <c r="M686" s="130" t="s">
        <v>3</v>
      </c>
      <c r="N686" s="131" t="s">
        <v>41</v>
      </c>
      <c r="O686" s="132">
        <v>0</v>
      </c>
      <c r="P686" s="132">
        <f>O686*H686</f>
        <v>0</v>
      </c>
      <c r="Q686" s="132">
        <v>0</v>
      </c>
      <c r="R686" s="132">
        <f>Q686*H686</f>
        <v>0</v>
      </c>
      <c r="S686" s="132">
        <v>0</v>
      </c>
      <c r="T686" s="133">
        <f>S686*H686</f>
        <v>0</v>
      </c>
      <c r="AR686" s="134" t="s">
        <v>221</v>
      </c>
      <c r="AT686" s="134" t="s">
        <v>128</v>
      </c>
      <c r="AU686" s="134" t="s">
        <v>80</v>
      </c>
      <c r="AY686" s="17" t="s">
        <v>126</v>
      </c>
      <c r="BE686" s="135">
        <f>IF(N686="základní",J686,0)</f>
        <v>0</v>
      </c>
      <c r="BF686" s="135">
        <f>IF(N686="snížená",J686,0)</f>
        <v>0</v>
      </c>
      <c r="BG686" s="135">
        <f>IF(N686="zákl. přenesená",J686,0)</f>
        <v>0</v>
      </c>
      <c r="BH686" s="135">
        <f>IF(N686="sníž. přenesená",J686,0)</f>
        <v>0</v>
      </c>
      <c r="BI686" s="135">
        <f>IF(N686="nulová",J686,0)</f>
        <v>0</v>
      </c>
      <c r="BJ686" s="17" t="s">
        <v>78</v>
      </c>
      <c r="BK686" s="135">
        <f>ROUND(I686*H686,2)</f>
        <v>0</v>
      </c>
      <c r="BL686" s="17" t="s">
        <v>221</v>
      </c>
      <c r="BM686" s="134" t="s">
        <v>1503</v>
      </c>
    </row>
    <row r="687" spans="2:47" s="1" customFormat="1" ht="12">
      <c r="B687" s="29"/>
      <c r="D687" s="136" t="s">
        <v>135</v>
      </c>
      <c r="F687" s="137" t="s">
        <v>1504</v>
      </c>
      <c r="L687" s="29"/>
      <c r="M687" s="138"/>
      <c r="T687" s="49"/>
      <c r="AT687" s="17" t="s">
        <v>135</v>
      </c>
      <c r="AU687" s="17" t="s">
        <v>80</v>
      </c>
    </row>
    <row r="688" spans="2:63" s="11" customFormat="1" ht="22.7" customHeight="1">
      <c r="B688" s="112"/>
      <c r="D688" s="113" t="s">
        <v>69</v>
      </c>
      <c r="E688" s="121" t="s">
        <v>487</v>
      </c>
      <c r="F688" s="121" t="s">
        <v>488</v>
      </c>
      <c r="J688" s="122">
        <f>BK688</f>
        <v>0</v>
      </c>
      <c r="L688" s="112"/>
      <c r="M688" s="116"/>
      <c r="P688" s="117">
        <f>SUM(P689:P744)</f>
        <v>429.45065</v>
      </c>
      <c r="R688" s="117">
        <f>SUM(R689:R744)</f>
        <v>2.9633335</v>
      </c>
      <c r="T688" s="118">
        <f>SUM(T689:T744)</f>
        <v>0</v>
      </c>
      <c r="AR688" s="113" t="s">
        <v>80</v>
      </c>
      <c r="AT688" s="119" t="s">
        <v>69</v>
      </c>
      <c r="AU688" s="119" t="s">
        <v>78</v>
      </c>
      <c r="AY688" s="113" t="s">
        <v>126</v>
      </c>
      <c r="BK688" s="120">
        <f>SUM(BK689:BK744)</f>
        <v>0</v>
      </c>
    </row>
    <row r="689" spans="2:65" s="1" customFormat="1" ht="16.5" customHeight="1">
      <c r="B689" s="123"/>
      <c r="C689" s="124" t="s">
        <v>1505</v>
      </c>
      <c r="D689" s="124" t="s">
        <v>128</v>
      </c>
      <c r="E689" s="125" t="s">
        <v>1506</v>
      </c>
      <c r="F689" s="126" t="s">
        <v>1507</v>
      </c>
      <c r="G689" s="127" t="s">
        <v>131</v>
      </c>
      <c r="H689" s="128">
        <v>76</v>
      </c>
      <c r="I689" s="129"/>
      <c r="J689" s="129">
        <f>ROUND(I689*H689,2)</f>
        <v>0</v>
      </c>
      <c r="K689" s="126" t="s">
        <v>132</v>
      </c>
      <c r="L689" s="29"/>
      <c r="M689" s="130" t="s">
        <v>3</v>
      </c>
      <c r="N689" s="131" t="s">
        <v>41</v>
      </c>
      <c r="O689" s="132">
        <v>0.083</v>
      </c>
      <c r="P689" s="132">
        <f>O689*H689</f>
        <v>6.308000000000001</v>
      </c>
      <c r="Q689" s="132">
        <v>0</v>
      </c>
      <c r="R689" s="132">
        <f>Q689*H689</f>
        <v>0</v>
      </c>
      <c r="S689" s="132">
        <v>0</v>
      </c>
      <c r="T689" s="133">
        <f>S689*H689</f>
        <v>0</v>
      </c>
      <c r="AR689" s="134" t="s">
        <v>221</v>
      </c>
      <c r="AT689" s="134" t="s">
        <v>128</v>
      </c>
      <c r="AU689" s="134" t="s">
        <v>80</v>
      </c>
      <c r="AY689" s="17" t="s">
        <v>126</v>
      </c>
      <c r="BE689" s="135">
        <f>IF(N689="základní",J689,0)</f>
        <v>0</v>
      </c>
      <c r="BF689" s="135">
        <f>IF(N689="snížená",J689,0)</f>
        <v>0</v>
      </c>
      <c r="BG689" s="135">
        <f>IF(N689="zákl. přenesená",J689,0)</f>
        <v>0</v>
      </c>
      <c r="BH689" s="135">
        <f>IF(N689="sníž. přenesená",J689,0)</f>
        <v>0</v>
      </c>
      <c r="BI689" s="135">
        <f>IF(N689="nulová",J689,0)</f>
        <v>0</v>
      </c>
      <c r="BJ689" s="17" t="s">
        <v>78</v>
      </c>
      <c r="BK689" s="135">
        <f>ROUND(I689*H689,2)</f>
        <v>0</v>
      </c>
      <c r="BL689" s="17" t="s">
        <v>221</v>
      </c>
      <c r="BM689" s="134" t="s">
        <v>1508</v>
      </c>
    </row>
    <row r="690" spans="2:47" s="1" customFormat="1" ht="12">
      <c r="B690" s="29"/>
      <c r="D690" s="136" t="s">
        <v>135</v>
      </c>
      <c r="F690" s="137" t="s">
        <v>1509</v>
      </c>
      <c r="L690" s="29"/>
      <c r="M690" s="138"/>
      <c r="T690" s="49"/>
      <c r="AT690" s="17" t="s">
        <v>135</v>
      </c>
      <c r="AU690" s="17" t="s">
        <v>80</v>
      </c>
    </row>
    <row r="691" spans="2:51" s="12" customFormat="1" ht="12">
      <c r="B691" s="139"/>
      <c r="D691" s="140" t="s">
        <v>137</v>
      </c>
      <c r="E691" s="141" t="s">
        <v>3</v>
      </c>
      <c r="F691" s="142" t="s">
        <v>1303</v>
      </c>
      <c r="H691" s="143">
        <v>47</v>
      </c>
      <c r="L691" s="139"/>
      <c r="M691" s="144"/>
      <c r="T691" s="145"/>
      <c r="AT691" s="141" t="s">
        <v>137</v>
      </c>
      <c r="AU691" s="141" t="s">
        <v>80</v>
      </c>
      <c r="AV691" s="12" t="s">
        <v>80</v>
      </c>
      <c r="AW691" s="12" t="s">
        <v>32</v>
      </c>
      <c r="AX691" s="12" t="s">
        <v>70</v>
      </c>
      <c r="AY691" s="141" t="s">
        <v>126</v>
      </c>
    </row>
    <row r="692" spans="2:51" s="12" customFormat="1" ht="12">
      <c r="B692" s="139"/>
      <c r="D692" s="140" t="s">
        <v>137</v>
      </c>
      <c r="E692" s="141" t="s">
        <v>3</v>
      </c>
      <c r="F692" s="142" t="s">
        <v>1304</v>
      </c>
      <c r="H692" s="143">
        <v>29</v>
      </c>
      <c r="L692" s="139"/>
      <c r="M692" s="144"/>
      <c r="T692" s="145"/>
      <c r="AT692" s="141" t="s">
        <v>137</v>
      </c>
      <c r="AU692" s="141" t="s">
        <v>80</v>
      </c>
      <c r="AV692" s="12" t="s">
        <v>80</v>
      </c>
      <c r="AW692" s="12" t="s">
        <v>32</v>
      </c>
      <c r="AX692" s="12" t="s">
        <v>70</v>
      </c>
      <c r="AY692" s="141" t="s">
        <v>126</v>
      </c>
    </row>
    <row r="693" spans="2:51" s="13" customFormat="1" ht="12">
      <c r="B693" s="146"/>
      <c r="D693" s="140" t="s">
        <v>137</v>
      </c>
      <c r="E693" s="147" t="s">
        <v>3</v>
      </c>
      <c r="F693" s="148" t="s">
        <v>151</v>
      </c>
      <c r="H693" s="149">
        <v>76</v>
      </c>
      <c r="L693" s="146"/>
      <c r="M693" s="150"/>
      <c r="T693" s="151"/>
      <c r="AT693" s="147" t="s">
        <v>137</v>
      </c>
      <c r="AU693" s="147" t="s">
        <v>80</v>
      </c>
      <c r="AV693" s="13" t="s">
        <v>133</v>
      </c>
      <c r="AW693" s="13" t="s">
        <v>32</v>
      </c>
      <c r="AX693" s="13" t="s">
        <v>78</v>
      </c>
      <c r="AY693" s="147" t="s">
        <v>126</v>
      </c>
    </row>
    <row r="694" spans="2:65" s="1" customFormat="1" ht="16.5" customHeight="1">
      <c r="B694" s="123"/>
      <c r="C694" s="152" t="s">
        <v>1510</v>
      </c>
      <c r="D694" s="152" t="s">
        <v>405</v>
      </c>
      <c r="E694" s="153" t="s">
        <v>1511</v>
      </c>
      <c r="F694" s="154" t="s">
        <v>1512</v>
      </c>
      <c r="G694" s="155" t="s">
        <v>131</v>
      </c>
      <c r="H694" s="156">
        <v>87.4</v>
      </c>
      <c r="I694" s="157"/>
      <c r="J694" s="157">
        <f>ROUND(I694*H694,2)</f>
        <v>0</v>
      </c>
      <c r="K694" s="154" t="s">
        <v>132</v>
      </c>
      <c r="L694" s="158"/>
      <c r="M694" s="159" t="s">
        <v>3</v>
      </c>
      <c r="N694" s="160" t="s">
        <v>41</v>
      </c>
      <c r="O694" s="132">
        <v>0</v>
      </c>
      <c r="P694" s="132">
        <f>O694*H694</f>
        <v>0</v>
      </c>
      <c r="Q694" s="132">
        <v>0.0005</v>
      </c>
      <c r="R694" s="132">
        <f>Q694*H694</f>
        <v>0.0437</v>
      </c>
      <c r="S694" s="132">
        <v>0</v>
      </c>
      <c r="T694" s="133">
        <f>S694*H694</f>
        <v>0</v>
      </c>
      <c r="AR694" s="134" t="s">
        <v>325</v>
      </c>
      <c r="AT694" s="134" t="s">
        <v>405</v>
      </c>
      <c r="AU694" s="134" t="s">
        <v>80</v>
      </c>
      <c r="AY694" s="17" t="s">
        <v>126</v>
      </c>
      <c r="BE694" s="135">
        <f>IF(N694="základní",J694,0)</f>
        <v>0</v>
      </c>
      <c r="BF694" s="135">
        <f>IF(N694="snížená",J694,0)</f>
        <v>0</v>
      </c>
      <c r="BG694" s="135">
        <f>IF(N694="zákl. přenesená",J694,0)</f>
        <v>0</v>
      </c>
      <c r="BH694" s="135">
        <f>IF(N694="sníž. přenesená",J694,0)</f>
        <v>0</v>
      </c>
      <c r="BI694" s="135">
        <f>IF(N694="nulová",J694,0)</f>
        <v>0</v>
      </c>
      <c r="BJ694" s="17" t="s">
        <v>78</v>
      </c>
      <c r="BK694" s="135">
        <f>ROUND(I694*H694,2)</f>
        <v>0</v>
      </c>
      <c r="BL694" s="17" t="s">
        <v>221</v>
      </c>
      <c r="BM694" s="134" t="s">
        <v>1513</v>
      </c>
    </row>
    <row r="695" spans="2:51" s="12" customFormat="1" ht="12">
      <c r="B695" s="139"/>
      <c r="D695" s="140" t="s">
        <v>137</v>
      </c>
      <c r="F695" s="142" t="s">
        <v>1514</v>
      </c>
      <c r="H695" s="143">
        <v>87.4</v>
      </c>
      <c r="L695" s="139"/>
      <c r="M695" s="144"/>
      <c r="T695" s="145"/>
      <c r="AT695" s="141" t="s">
        <v>137</v>
      </c>
      <c r="AU695" s="141" t="s">
        <v>80</v>
      </c>
      <c r="AV695" s="12" t="s">
        <v>80</v>
      </c>
      <c r="AW695" s="12" t="s">
        <v>4</v>
      </c>
      <c r="AX695" s="12" t="s">
        <v>78</v>
      </c>
      <c r="AY695" s="141" t="s">
        <v>126</v>
      </c>
    </row>
    <row r="696" spans="2:65" s="1" customFormat="1" ht="24.2" customHeight="1">
      <c r="B696" s="123"/>
      <c r="C696" s="124" t="s">
        <v>1515</v>
      </c>
      <c r="D696" s="124" t="s">
        <v>128</v>
      </c>
      <c r="E696" s="125" t="s">
        <v>1516</v>
      </c>
      <c r="F696" s="126" t="s">
        <v>1517</v>
      </c>
      <c r="G696" s="127" t="s">
        <v>131</v>
      </c>
      <c r="H696" s="128">
        <v>76</v>
      </c>
      <c r="I696" s="129"/>
      <c r="J696" s="129">
        <f>ROUND(I696*H696,2)</f>
        <v>0</v>
      </c>
      <c r="K696" s="126" t="s">
        <v>132</v>
      </c>
      <c r="L696" s="29"/>
      <c r="M696" s="130" t="s">
        <v>3</v>
      </c>
      <c r="N696" s="131" t="s">
        <v>41</v>
      </c>
      <c r="O696" s="132">
        <v>1.325</v>
      </c>
      <c r="P696" s="132">
        <f>O696*H696</f>
        <v>100.7</v>
      </c>
      <c r="Q696" s="132">
        <v>0.0067</v>
      </c>
      <c r="R696" s="132">
        <f>Q696*H696</f>
        <v>0.5092</v>
      </c>
      <c r="S696" s="132">
        <v>0</v>
      </c>
      <c r="T696" s="133">
        <f>S696*H696</f>
        <v>0</v>
      </c>
      <c r="AR696" s="134" t="s">
        <v>221</v>
      </c>
      <c r="AT696" s="134" t="s">
        <v>128</v>
      </c>
      <c r="AU696" s="134" t="s">
        <v>80</v>
      </c>
      <c r="AY696" s="17" t="s">
        <v>126</v>
      </c>
      <c r="BE696" s="135">
        <f>IF(N696="základní",J696,0)</f>
        <v>0</v>
      </c>
      <c r="BF696" s="135">
        <f>IF(N696="snížená",J696,0)</f>
        <v>0</v>
      </c>
      <c r="BG696" s="135">
        <f>IF(N696="zákl. přenesená",J696,0)</f>
        <v>0</v>
      </c>
      <c r="BH696" s="135">
        <f>IF(N696="sníž. přenesená",J696,0)</f>
        <v>0</v>
      </c>
      <c r="BI696" s="135">
        <f>IF(N696="nulová",J696,0)</f>
        <v>0</v>
      </c>
      <c r="BJ696" s="17" t="s">
        <v>78</v>
      </c>
      <c r="BK696" s="135">
        <f>ROUND(I696*H696,2)</f>
        <v>0</v>
      </c>
      <c r="BL696" s="17" t="s">
        <v>221</v>
      </c>
      <c r="BM696" s="134" t="s">
        <v>1518</v>
      </c>
    </row>
    <row r="697" spans="2:47" s="1" customFormat="1" ht="12">
      <c r="B697" s="29"/>
      <c r="D697" s="136" t="s">
        <v>135</v>
      </c>
      <c r="F697" s="137" t="s">
        <v>1519</v>
      </c>
      <c r="L697" s="29"/>
      <c r="M697" s="138"/>
      <c r="T697" s="49"/>
      <c r="AT697" s="17" t="s">
        <v>135</v>
      </c>
      <c r="AU697" s="17" t="s">
        <v>80</v>
      </c>
    </row>
    <row r="698" spans="2:51" s="12" customFormat="1" ht="12">
      <c r="B698" s="139"/>
      <c r="D698" s="140" t="s">
        <v>137</v>
      </c>
      <c r="E698" s="141" t="s">
        <v>3</v>
      </c>
      <c r="F698" s="142" t="s">
        <v>1303</v>
      </c>
      <c r="H698" s="143">
        <v>47</v>
      </c>
      <c r="L698" s="139"/>
      <c r="M698" s="144"/>
      <c r="T698" s="145"/>
      <c r="AT698" s="141" t="s">
        <v>137</v>
      </c>
      <c r="AU698" s="141" t="s">
        <v>80</v>
      </c>
      <c r="AV698" s="12" t="s">
        <v>80</v>
      </c>
      <c r="AW698" s="12" t="s">
        <v>32</v>
      </c>
      <c r="AX698" s="12" t="s">
        <v>70</v>
      </c>
      <c r="AY698" s="141" t="s">
        <v>126</v>
      </c>
    </row>
    <row r="699" spans="2:51" s="12" customFormat="1" ht="12">
      <c r="B699" s="139"/>
      <c r="D699" s="140" t="s">
        <v>137</v>
      </c>
      <c r="E699" s="141" t="s">
        <v>3</v>
      </c>
      <c r="F699" s="142" t="s">
        <v>1304</v>
      </c>
      <c r="H699" s="143">
        <v>29</v>
      </c>
      <c r="L699" s="139"/>
      <c r="M699" s="144"/>
      <c r="T699" s="145"/>
      <c r="AT699" s="141" t="s">
        <v>137</v>
      </c>
      <c r="AU699" s="141" t="s">
        <v>80</v>
      </c>
      <c r="AV699" s="12" t="s">
        <v>80</v>
      </c>
      <c r="AW699" s="12" t="s">
        <v>32</v>
      </c>
      <c r="AX699" s="12" t="s">
        <v>70</v>
      </c>
      <c r="AY699" s="141" t="s">
        <v>126</v>
      </c>
    </row>
    <row r="700" spans="2:51" s="13" customFormat="1" ht="12">
      <c r="B700" s="146"/>
      <c r="D700" s="140" t="s">
        <v>137</v>
      </c>
      <c r="E700" s="147" t="s">
        <v>3</v>
      </c>
      <c r="F700" s="148" t="s">
        <v>151</v>
      </c>
      <c r="H700" s="149">
        <v>76</v>
      </c>
      <c r="L700" s="146"/>
      <c r="M700" s="150"/>
      <c r="T700" s="151"/>
      <c r="AT700" s="147" t="s">
        <v>137</v>
      </c>
      <c r="AU700" s="147" t="s">
        <v>80</v>
      </c>
      <c r="AV700" s="13" t="s">
        <v>133</v>
      </c>
      <c r="AW700" s="13" t="s">
        <v>32</v>
      </c>
      <c r="AX700" s="13" t="s">
        <v>78</v>
      </c>
      <c r="AY700" s="147" t="s">
        <v>126</v>
      </c>
    </row>
    <row r="701" spans="2:65" s="1" customFormat="1" ht="24.2" customHeight="1">
      <c r="B701" s="123"/>
      <c r="C701" s="124" t="s">
        <v>1520</v>
      </c>
      <c r="D701" s="124" t="s">
        <v>128</v>
      </c>
      <c r="E701" s="125" t="s">
        <v>1521</v>
      </c>
      <c r="F701" s="126" t="s">
        <v>1522</v>
      </c>
      <c r="G701" s="127" t="s">
        <v>131</v>
      </c>
      <c r="H701" s="128">
        <v>76</v>
      </c>
      <c r="I701" s="129"/>
      <c r="J701" s="129">
        <f>ROUND(I701*H701,2)</f>
        <v>0</v>
      </c>
      <c r="K701" s="126" t="s">
        <v>132</v>
      </c>
      <c r="L701" s="29"/>
      <c r="M701" s="130" t="s">
        <v>3</v>
      </c>
      <c r="N701" s="131" t="s">
        <v>41</v>
      </c>
      <c r="O701" s="132">
        <v>0.032</v>
      </c>
      <c r="P701" s="132">
        <f>O701*H701</f>
        <v>2.432</v>
      </c>
      <c r="Q701" s="132">
        <v>0.00034</v>
      </c>
      <c r="R701" s="132">
        <f>Q701*H701</f>
        <v>0.025840000000000002</v>
      </c>
      <c r="S701" s="132">
        <v>0</v>
      </c>
      <c r="T701" s="133">
        <f>S701*H701</f>
        <v>0</v>
      </c>
      <c r="AR701" s="134" t="s">
        <v>221</v>
      </c>
      <c r="AT701" s="134" t="s">
        <v>128</v>
      </c>
      <c r="AU701" s="134" t="s">
        <v>80</v>
      </c>
      <c r="AY701" s="17" t="s">
        <v>126</v>
      </c>
      <c r="BE701" s="135">
        <f>IF(N701="základní",J701,0)</f>
        <v>0</v>
      </c>
      <c r="BF701" s="135">
        <f>IF(N701="snížená",J701,0)</f>
        <v>0</v>
      </c>
      <c r="BG701" s="135">
        <f>IF(N701="zákl. přenesená",J701,0)</f>
        <v>0</v>
      </c>
      <c r="BH701" s="135">
        <f>IF(N701="sníž. přenesená",J701,0)</f>
        <v>0</v>
      </c>
      <c r="BI701" s="135">
        <f>IF(N701="nulová",J701,0)</f>
        <v>0</v>
      </c>
      <c r="BJ701" s="17" t="s">
        <v>78</v>
      </c>
      <c r="BK701" s="135">
        <f>ROUND(I701*H701,2)</f>
        <v>0</v>
      </c>
      <c r="BL701" s="17" t="s">
        <v>221</v>
      </c>
      <c r="BM701" s="134" t="s">
        <v>1523</v>
      </c>
    </row>
    <row r="702" spans="2:47" s="1" customFormat="1" ht="12">
      <c r="B702" s="29"/>
      <c r="D702" s="136" t="s">
        <v>135</v>
      </c>
      <c r="F702" s="137" t="s">
        <v>1524</v>
      </c>
      <c r="L702" s="29"/>
      <c r="M702" s="138"/>
      <c r="T702" s="49"/>
      <c r="AT702" s="17" t="s">
        <v>135</v>
      </c>
      <c r="AU702" s="17" t="s">
        <v>80</v>
      </c>
    </row>
    <row r="703" spans="2:51" s="12" customFormat="1" ht="12">
      <c r="B703" s="139"/>
      <c r="D703" s="140" t="s">
        <v>137</v>
      </c>
      <c r="E703" s="141" t="s">
        <v>3</v>
      </c>
      <c r="F703" s="142" t="s">
        <v>1303</v>
      </c>
      <c r="H703" s="143">
        <v>47</v>
      </c>
      <c r="L703" s="139"/>
      <c r="M703" s="144"/>
      <c r="T703" s="145"/>
      <c r="AT703" s="141" t="s">
        <v>137</v>
      </c>
      <c r="AU703" s="141" t="s">
        <v>80</v>
      </c>
      <c r="AV703" s="12" t="s">
        <v>80</v>
      </c>
      <c r="AW703" s="12" t="s">
        <v>32</v>
      </c>
      <c r="AX703" s="12" t="s">
        <v>70</v>
      </c>
      <c r="AY703" s="141" t="s">
        <v>126</v>
      </c>
    </row>
    <row r="704" spans="2:51" s="12" customFormat="1" ht="12">
      <c r="B704" s="139"/>
      <c r="D704" s="140" t="s">
        <v>137</v>
      </c>
      <c r="E704" s="141" t="s">
        <v>3</v>
      </c>
      <c r="F704" s="142" t="s">
        <v>1304</v>
      </c>
      <c r="H704" s="143">
        <v>29</v>
      </c>
      <c r="L704" s="139"/>
      <c r="M704" s="144"/>
      <c r="T704" s="145"/>
      <c r="AT704" s="141" t="s">
        <v>137</v>
      </c>
      <c r="AU704" s="141" t="s">
        <v>80</v>
      </c>
      <c r="AV704" s="12" t="s">
        <v>80</v>
      </c>
      <c r="AW704" s="12" t="s">
        <v>32</v>
      </c>
      <c r="AX704" s="12" t="s">
        <v>70</v>
      </c>
      <c r="AY704" s="141" t="s">
        <v>126</v>
      </c>
    </row>
    <row r="705" spans="2:51" s="13" customFormat="1" ht="12">
      <c r="B705" s="146"/>
      <c r="D705" s="140" t="s">
        <v>137</v>
      </c>
      <c r="E705" s="147" t="s">
        <v>3</v>
      </c>
      <c r="F705" s="148" t="s">
        <v>151</v>
      </c>
      <c r="H705" s="149">
        <v>76</v>
      </c>
      <c r="L705" s="146"/>
      <c r="M705" s="150"/>
      <c r="T705" s="151"/>
      <c r="AT705" s="147" t="s">
        <v>137</v>
      </c>
      <c r="AU705" s="147" t="s">
        <v>80</v>
      </c>
      <c r="AV705" s="13" t="s">
        <v>133</v>
      </c>
      <c r="AW705" s="13" t="s">
        <v>32</v>
      </c>
      <c r="AX705" s="13" t="s">
        <v>78</v>
      </c>
      <c r="AY705" s="147" t="s">
        <v>126</v>
      </c>
    </row>
    <row r="706" spans="2:65" s="1" customFormat="1" ht="16.5" customHeight="1">
      <c r="B706" s="123"/>
      <c r="C706" s="124" t="s">
        <v>1525</v>
      </c>
      <c r="D706" s="124" t="s">
        <v>128</v>
      </c>
      <c r="E706" s="125" t="s">
        <v>1526</v>
      </c>
      <c r="F706" s="126" t="s">
        <v>1527</v>
      </c>
      <c r="G706" s="127" t="s">
        <v>249</v>
      </c>
      <c r="H706" s="128">
        <v>94.2</v>
      </c>
      <c r="I706" s="129"/>
      <c r="J706" s="129">
        <f>ROUND(I706*H706,2)</f>
        <v>0</v>
      </c>
      <c r="K706" s="126" t="s">
        <v>132</v>
      </c>
      <c r="L706" s="29"/>
      <c r="M706" s="130" t="s">
        <v>3</v>
      </c>
      <c r="N706" s="131" t="s">
        <v>41</v>
      </c>
      <c r="O706" s="132">
        <v>0.347</v>
      </c>
      <c r="P706" s="132">
        <f>O706*H706</f>
        <v>32.6874</v>
      </c>
      <c r="Q706" s="132">
        <v>0.0038</v>
      </c>
      <c r="R706" s="132">
        <f>Q706*H706</f>
        <v>0.35796</v>
      </c>
      <c r="S706" s="132">
        <v>0</v>
      </c>
      <c r="T706" s="133">
        <f>S706*H706</f>
        <v>0</v>
      </c>
      <c r="AR706" s="134" t="s">
        <v>221</v>
      </c>
      <c r="AT706" s="134" t="s">
        <v>128</v>
      </c>
      <c r="AU706" s="134" t="s">
        <v>80</v>
      </c>
      <c r="AY706" s="17" t="s">
        <v>126</v>
      </c>
      <c r="BE706" s="135">
        <f>IF(N706="základní",J706,0)</f>
        <v>0</v>
      </c>
      <c r="BF706" s="135">
        <f>IF(N706="snížená",J706,0)</f>
        <v>0</v>
      </c>
      <c r="BG706" s="135">
        <f>IF(N706="zákl. přenesená",J706,0)</f>
        <v>0</v>
      </c>
      <c r="BH706" s="135">
        <f>IF(N706="sníž. přenesená",J706,0)</f>
        <v>0</v>
      </c>
      <c r="BI706" s="135">
        <f>IF(N706="nulová",J706,0)</f>
        <v>0</v>
      </c>
      <c r="BJ706" s="17" t="s">
        <v>78</v>
      </c>
      <c r="BK706" s="135">
        <f>ROUND(I706*H706,2)</f>
        <v>0</v>
      </c>
      <c r="BL706" s="17" t="s">
        <v>221</v>
      </c>
      <c r="BM706" s="134" t="s">
        <v>1528</v>
      </c>
    </row>
    <row r="707" spans="2:47" s="1" customFormat="1" ht="12">
      <c r="B707" s="29"/>
      <c r="D707" s="136" t="s">
        <v>135</v>
      </c>
      <c r="F707" s="137" t="s">
        <v>1529</v>
      </c>
      <c r="L707" s="29"/>
      <c r="M707" s="138"/>
      <c r="T707" s="49"/>
      <c r="AT707" s="17" t="s">
        <v>135</v>
      </c>
      <c r="AU707" s="17" t="s">
        <v>80</v>
      </c>
    </row>
    <row r="708" spans="2:51" s="12" customFormat="1" ht="12">
      <c r="B708" s="139"/>
      <c r="D708" s="140" t="s">
        <v>137</v>
      </c>
      <c r="E708" s="141" t="s">
        <v>3</v>
      </c>
      <c r="F708" s="142" t="s">
        <v>1530</v>
      </c>
      <c r="H708" s="143">
        <v>94.2</v>
      </c>
      <c r="L708" s="139"/>
      <c r="M708" s="144"/>
      <c r="T708" s="145"/>
      <c r="AT708" s="141" t="s">
        <v>137</v>
      </c>
      <c r="AU708" s="141" t="s">
        <v>80</v>
      </c>
      <c r="AV708" s="12" t="s">
        <v>80</v>
      </c>
      <c r="AW708" s="12" t="s">
        <v>32</v>
      </c>
      <c r="AX708" s="12" t="s">
        <v>78</v>
      </c>
      <c r="AY708" s="141" t="s">
        <v>126</v>
      </c>
    </row>
    <row r="709" spans="2:65" s="1" customFormat="1" ht="21.75" customHeight="1">
      <c r="B709" s="123"/>
      <c r="C709" s="124" t="s">
        <v>1531</v>
      </c>
      <c r="D709" s="124" t="s">
        <v>128</v>
      </c>
      <c r="E709" s="125" t="s">
        <v>1532</v>
      </c>
      <c r="F709" s="126" t="s">
        <v>1533</v>
      </c>
      <c r="G709" s="127" t="s">
        <v>249</v>
      </c>
      <c r="H709" s="128">
        <v>119.2</v>
      </c>
      <c r="I709" s="129"/>
      <c r="J709" s="129">
        <f>ROUND(I709*H709,2)</f>
        <v>0</v>
      </c>
      <c r="K709" s="126" t="s">
        <v>132</v>
      </c>
      <c r="L709" s="29"/>
      <c r="M709" s="130" t="s">
        <v>3</v>
      </c>
      <c r="N709" s="131" t="s">
        <v>41</v>
      </c>
      <c r="O709" s="132">
        <v>0.341</v>
      </c>
      <c r="P709" s="132">
        <f>O709*H709</f>
        <v>40.647200000000005</v>
      </c>
      <c r="Q709" s="132">
        <v>0.00387</v>
      </c>
      <c r="R709" s="132">
        <f>Q709*H709</f>
        <v>0.46130400000000005</v>
      </c>
      <c r="S709" s="132">
        <v>0</v>
      </c>
      <c r="T709" s="133">
        <f>S709*H709</f>
        <v>0</v>
      </c>
      <c r="AR709" s="134" t="s">
        <v>221</v>
      </c>
      <c r="AT709" s="134" t="s">
        <v>128</v>
      </c>
      <c r="AU709" s="134" t="s">
        <v>80</v>
      </c>
      <c r="AY709" s="17" t="s">
        <v>126</v>
      </c>
      <c r="BE709" s="135">
        <f>IF(N709="základní",J709,0)</f>
        <v>0</v>
      </c>
      <c r="BF709" s="135">
        <f>IF(N709="snížená",J709,0)</f>
        <v>0</v>
      </c>
      <c r="BG709" s="135">
        <f>IF(N709="zákl. přenesená",J709,0)</f>
        <v>0</v>
      </c>
      <c r="BH709" s="135">
        <f>IF(N709="sníž. přenesená",J709,0)</f>
        <v>0</v>
      </c>
      <c r="BI709" s="135">
        <f>IF(N709="nulová",J709,0)</f>
        <v>0</v>
      </c>
      <c r="BJ709" s="17" t="s">
        <v>78</v>
      </c>
      <c r="BK709" s="135">
        <f>ROUND(I709*H709,2)</f>
        <v>0</v>
      </c>
      <c r="BL709" s="17" t="s">
        <v>221</v>
      </c>
      <c r="BM709" s="134" t="s">
        <v>1534</v>
      </c>
    </row>
    <row r="710" spans="2:47" s="1" customFormat="1" ht="12">
      <c r="B710" s="29"/>
      <c r="D710" s="136" t="s">
        <v>135</v>
      </c>
      <c r="F710" s="137" t="s">
        <v>1535</v>
      </c>
      <c r="L710" s="29"/>
      <c r="M710" s="138"/>
      <c r="T710" s="49"/>
      <c r="AT710" s="17" t="s">
        <v>135</v>
      </c>
      <c r="AU710" s="17" t="s">
        <v>80</v>
      </c>
    </row>
    <row r="711" spans="2:51" s="12" customFormat="1" ht="12">
      <c r="B711" s="139"/>
      <c r="D711" s="140" t="s">
        <v>137</v>
      </c>
      <c r="E711" s="141" t="s">
        <v>3</v>
      </c>
      <c r="F711" s="142" t="s">
        <v>1536</v>
      </c>
      <c r="H711" s="143">
        <v>119.2</v>
      </c>
      <c r="L711" s="139"/>
      <c r="M711" s="144"/>
      <c r="T711" s="145"/>
      <c r="AT711" s="141" t="s">
        <v>137</v>
      </c>
      <c r="AU711" s="141" t="s">
        <v>80</v>
      </c>
      <c r="AV711" s="12" t="s">
        <v>80</v>
      </c>
      <c r="AW711" s="12" t="s">
        <v>32</v>
      </c>
      <c r="AX711" s="12" t="s">
        <v>78</v>
      </c>
      <c r="AY711" s="141" t="s">
        <v>126</v>
      </c>
    </row>
    <row r="712" spans="2:65" s="1" customFormat="1" ht="21.75" customHeight="1">
      <c r="B712" s="123"/>
      <c r="C712" s="124" t="s">
        <v>1537</v>
      </c>
      <c r="D712" s="124" t="s">
        <v>128</v>
      </c>
      <c r="E712" s="125" t="s">
        <v>1538</v>
      </c>
      <c r="F712" s="126" t="s">
        <v>1539</v>
      </c>
      <c r="G712" s="127" t="s">
        <v>249</v>
      </c>
      <c r="H712" s="128">
        <v>14</v>
      </c>
      <c r="I712" s="129"/>
      <c r="J712" s="129">
        <f>ROUND(I712*H712,2)</f>
        <v>0</v>
      </c>
      <c r="K712" s="126" t="s">
        <v>132</v>
      </c>
      <c r="L712" s="29"/>
      <c r="M712" s="130" t="s">
        <v>3</v>
      </c>
      <c r="N712" s="131" t="s">
        <v>41</v>
      </c>
      <c r="O712" s="132">
        <v>0.915</v>
      </c>
      <c r="P712" s="132">
        <f>O712*H712</f>
        <v>12.81</v>
      </c>
      <c r="Q712" s="132">
        <v>0.00565</v>
      </c>
      <c r="R712" s="132">
        <f>Q712*H712</f>
        <v>0.07909999999999999</v>
      </c>
      <c r="S712" s="132">
        <v>0</v>
      </c>
      <c r="T712" s="133">
        <f>S712*H712</f>
        <v>0</v>
      </c>
      <c r="AR712" s="134" t="s">
        <v>221</v>
      </c>
      <c r="AT712" s="134" t="s">
        <v>128</v>
      </c>
      <c r="AU712" s="134" t="s">
        <v>80</v>
      </c>
      <c r="AY712" s="17" t="s">
        <v>126</v>
      </c>
      <c r="BE712" s="135">
        <f>IF(N712="základní",J712,0)</f>
        <v>0</v>
      </c>
      <c r="BF712" s="135">
        <f>IF(N712="snížená",J712,0)</f>
        <v>0</v>
      </c>
      <c r="BG712" s="135">
        <f>IF(N712="zákl. přenesená",J712,0)</f>
        <v>0</v>
      </c>
      <c r="BH712" s="135">
        <f>IF(N712="sníž. přenesená",J712,0)</f>
        <v>0</v>
      </c>
      <c r="BI712" s="135">
        <f>IF(N712="nulová",J712,0)</f>
        <v>0</v>
      </c>
      <c r="BJ712" s="17" t="s">
        <v>78</v>
      </c>
      <c r="BK712" s="135">
        <f>ROUND(I712*H712,2)</f>
        <v>0</v>
      </c>
      <c r="BL712" s="17" t="s">
        <v>221</v>
      </c>
      <c r="BM712" s="134" t="s">
        <v>1540</v>
      </c>
    </row>
    <row r="713" spans="2:47" s="1" customFormat="1" ht="12">
      <c r="B713" s="29"/>
      <c r="D713" s="136" t="s">
        <v>135</v>
      </c>
      <c r="F713" s="137" t="s">
        <v>1541</v>
      </c>
      <c r="L713" s="29"/>
      <c r="M713" s="138"/>
      <c r="T713" s="49"/>
      <c r="AT713" s="17" t="s">
        <v>135</v>
      </c>
      <c r="AU713" s="17" t="s">
        <v>80</v>
      </c>
    </row>
    <row r="714" spans="2:51" s="12" customFormat="1" ht="12">
      <c r="B714" s="139"/>
      <c r="D714" s="140" t="s">
        <v>137</v>
      </c>
      <c r="E714" s="141" t="s">
        <v>3</v>
      </c>
      <c r="F714" s="142" t="s">
        <v>1542</v>
      </c>
      <c r="H714" s="143">
        <v>14</v>
      </c>
      <c r="L714" s="139"/>
      <c r="M714" s="144"/>
      <c r="T714" s="145"/>
      <c r="AT714" s="141" t="s">
        <v>137</v>
      </c>
      <c r="AU714" s="141" t="s">
        <v>80</v>
      </c>
      <c r="AV714" s="12" t="s">
        <v>80</v>
      </c>
      <c r="AW714" s="12" t="s">
        <v>32</v>
      </c>
      <c r="AX714" s="12" t="s">
        <v>78</v>
      </c>
      <c r="AY714" s="141" t="s">
        <v>126</v>
      </c>
    </row>
    <row r="715" spans="2:65" s="1" customFormat="1" ht="21.75" customHeight="1">
      <c r="B715" s="123"/>
      <c r="C715" s="124" t="s">
        <v>1543</v>
      </c>
      <c r="D715" s="124" t="s">
        <v>128</v>
      </c>
      <c r="E715" s="125" t="s">
        <v>1544</v>
      </c>
      <c r="F715" s="126" t="s">
        <v>1545</v>
      </c>
      <c r="G715" s="127" t="s">
        <v>131</v>
      </c>
      <c r="H715" s="128">
        <v>1.5</v>
      </c>
      <c r="I715" s="129"/>
      <c r="J715" s="129">
        <f>ROUND(I715*H715,2)</f>
        <v>0</v>
      </c>
      <c r="K715" s="126" t="s">
        <v>132</v>
      </c>
      <c r="L715" s="29"/>
      <c r="M715" s="130" t="s">
        <v>3</v>
      </c>
      <c r="N715" s="131" t="s">
        <v>41</v>
      </c>
      <c r="O715" s="132">
        <v>1.125</v>
      </c>
      <c r="P715" s="132">
        <f>O715*H715</f>
        <v>1.6875</v>
      </c>
      <c r="Q715" s="132">
        <v>0.00735</v>
      </c>
      <c r="R715" s="132">
        <f>Q715*H715</f>
        <v>0.011025</v>
      </c>
      <c r="S715" s="132">
        <v>0</v>
      </c>
      <c r="T715" s="133">
        <f>S715*H715</f>
        <v>0</v>
      </c>
      <c r="AR715" s="134" t="s">
        <v>221</v>
      </c>
      <c r="AT715" s="134" t="s">
        <v>128</v>
      </c>
      <c r="AU715" s="134" t="s">
        <v>80</v>
      </c>
      <c r="AY715" s="17" t="s">
        <v>126</v>
      </c>
      <c r="BE715" s="135">
        <f>IF(N715="základní",J715,0)</f>
        <v>0</v>
      </c>
      <c r="BF715" s="135">
        <f>IF(N715="snížená",J715,0)</f>
        <v>0</v>
      </c>
      <c r="BG715" s="135">
        <f>IF(N715="zákl. přenesená",J715,0)</f>
        <v>0</v>
      </c>
      <c r="BH715" s="135">
        <f>IF(N715="sníž. přenesená",J715,0)</f>
        <v>0</v>
      </c>
      <c r="BI715" s="135">
        <f>IF(N715="nulová",J715,0)</f>
        <v>0</v>
      </c>
      <c r="BJ715" s="17" t="s">
        <v>78</v>
      </c>
      <c r="BK715" s="135">
        <f>ROUND(I715*H715,2)</f>
        <v>0</v>
      </c>
      <c r="BL715" s="17" t="s">
        <v>221</v>
      </c>
      <c r="BM715" s="134" t="s">
        <v>1546</v>
      </c>
    </row>
    <row r="716" spans="2:47" s="1" customFormat="1" ht="12">
      <c r="B716" s="29"/>
      <c r="D716" s="136" t="s">
        <v>135</v>
      </c>
      <c r="F716" s="137" t="s">
        <v>1547</v>
      </c>
      <c r="L716" s="29"/>
      <c r="M716" s="138"/>
      <c r="T716" s="49"/>
      <c r="AT716" s="17" t="s">
        <v>135</v>
      </c>
      <c r="AU716" s="17" t="s">
        <v>80</v>
      </c>
    </row>
    <row r="717" spans="2:51" s="12" customFormat="1" ht="12">
      <c r="B717" s="139"/>
      <c r="D717" s="140" t="s">
        <v>137</v>
      </c>
      <c r="E717" s="141" t="s">
        <v>3</v>
      </c>
      <c r="F717" s="142" t="s">
        <v>1548</v>
      </c>
      <c r="H717" s="143">
        <v>1.5</v>
      </c>
      <c r="L717" s="139"/>
      <c r="M717" s="144"/>
      <c r="T717" s="145"/>
      <c r="AT717" s="141" t="s">
        <v>137</v>
      </c>
      <c r="AU717" s="141" t="s">
        <v>80</v>
      </c>
      <c r="AV717" s="12" t="s">
        <v>80</v>
      </c>
      <c r="AW717" s="12" t="s">
        <v>32</v>
      </c>
      <c r="AX717" s="12" t="s">
        <v>78</v>
      </c>
      <c r="AY717" s="141" t="s">
        <v>126</v>
      </c>
    </row>
    <row r="718" spans="2:65" s="1" customFormat="1" ht="16.5" customHeight="1">
      <c r="B718" s="123"/>
      <c r="C718" s="124" t="s">
        <v>1549</v>
      </c>
      <c r="D718" s="124" t="s">
        <v>128</v>
      </c>
      <c r="E718" s="125" t="s">
        <v>1550</v>
      </c>
      <c r="F718" s="126" t="s">
        <v>1551</v>
      </c>
      <c r="G718" s="127" t="s">
        <v>249</v>
      </c>
      <c r="H718" s="128">
        <v>5.45</v>
      </c>
      <c r="I718" s="129"/>
      <c r="J718" s="129">
        <f>ROUND(I718*H718,2)</f>
        <v>0</v>
      </c>
      <c r="K718" s="126" t="s">
        <v>132</v>
      </c>
      <c r="L718" s="29"/>
      <c r="M718" s="130" t="s">
        <v>3</v>
      </c>
      <c r="N718" s="131" t="s">
        <v>41</v>
      </c>
      <c r="O718" s="132">
        <v>0.347</v>
      </c>
      <c r="P718" s="132">
        <f>O718*H718</f>
        <v>1.8911499999999999</v>
      </c>
      <c r="Q718" s="132">
        <v>0.00259</v>
      </c>
      <c r="R718" s="132">
        <f>Q718*H718</f>
        <v>0.0141155</v>
      </c>
      <c r="S718" s="132">
        <v>0</v>
      </c>
      <c r="T718" s="133">
        <f>S718*H718</f>
        <v>0</v>
      </c>
      <c r="AR718" s="134" t="s">
        <v>221</v>
      </c>
      <c r="AT718" s="134" t="s">
        <v>128</v>
      </c>
      <c r="AU718" s="134" t="s">
        <v>80</v>
      </c>
      <c r="AY718" s="17" t="s">
        <v>126</v>
      </c>
      <c r="BE718" s="135">
        <f>IF(N718="základní",J718,0)</f>
        <v>0</v>
      </c>
      <c r="BF718" s="135">
        <f>IF(N718="snížená",J718,0)</f>
        <v>0</v>
      </c>
      <c r="BG718" s="135">
        <f>IF(N718="zákl. přenesená",J718,0)</f>
        <v>0</v>
      </c>
      <c r="BH718" s="135">
        <f>IF(N718="sníž. přenesená",J718,0)</f>
        <v>0</v>
      </c>
      <c r="BI718" s="135">
        <f>IF(N718="nulová",J718,0)</f>
        <v>0</v>
      </c>
      <c r="BJ718" s="17" t="s">
        <v>78</v>
      </c>
      <c r="BK718" s="135">
        <f>ROUND(I718*H718,2)</f>
        <v>0</v>
      </c>
      <c r="BL718" s="17" t="s">
        <v>221</v>
      </c>
      <c r="BM718" s="134" t="s">
        <v>1552</v>
      </c>
    </row>
    <row r="719" spans="2:47" s="1" customFormat="1" ht="12">
      <c r="B719" s="29"/>
      <c r="D719" s="136" t="s">
        <v>135</v>
      </c>
      <c r="F719" s="137" t="s">
        <v>1553</v>
      </c>
      <c r="L719" s="29"/>
      <c r="M719" s="138"/>
      <c r="T719" s="49"/>
      <c r="AT719" s="17" t="s">
        <v>135</v>
      </c>
      <c r="AU719" s="17" t="s">
        <v>80</v>
      </c>
    </row>
    <row r="720" spans="2:51" s="12" customFormat="1" ht="12">
      <c r="B720" s="139"/>
      <c r="D720" s="140" t="s">
        <v>137</v>
      </c>
      <c r="E720" s="141" t="s">
        <v>3</v>
      </c>
      <c r="F720" s="142" t="s">
        <v>1554</v>
      </c>
      <c r="H720" s="143">
        <v>5.45</v>
      </c>
      <c r="L720" s="139"/>
      <c r="M720" s="144"/>
      <c r="T720" s="145"/>
      <c r="AT720" s="141" t="s">
        <v>137</v>
      </c>
      <c r="AU720" s="141" t="s">
        <v>80</v>
      </c>
      <c r="AV720" s="12" t="s">
        <v>80</v>
      </c>
      <c r="AW720" s="12" t="s">
        <v>32</v>
      </c>
      <c r="AX720" s="12" t="s">
        <v>78</v>
      </c>
      <c r="AY720" s="141" t="s">
        <v>126</v>
      </c>
    </row>
    <row r="721" spans="2:65" s="1" customFormat="1" ht="24.2" customHeight="1">
      <c r="B721" s="123"/>
      <c r="C721" s="124" t="s">
        <v>1555</v>
      </c>
      <c r="D721" s="124" t="s">
        <v>128</v>
      </c>
      <c r="E721" s="125" t="s">
        <v>1556</v>
      </c>
      <c r="F721" s="126" t="s">
        <v>1557</v>
      </c>
      <c r="G721" s="127" t="s">
        <v>249</v>
      </c>
      <c r="H721" s="128">
        <v>8.3</v>
      </c>
      <c r="I721" s="129"/>
      <c r="J721" s="129">
        <f>ROUND(I721*H721,2)</f>
        <v>0</v>
      </c>
      <c r="K721" s="126" t="s">
        <v>132</v>
      </c>
      <c r="L721" s="29"/>
      <c r="M721" s="130" t="s">
        <v>3</v>
      </c>
      <c r="N721" s="131" t="s">
        <v>41</v>
      </c>
      <c r="O721" s="132">
        <v>0.248</v>
      </c>
      <c r="P721" s="132">
        <f>O721*H721</f>
        <v>2.0584000000000002</v>
      </c>
      <c r="Q721" s="132">
        <v>0.00223</v>
      </c>
      <c r="R721" s="132">
        <f>Q721*H721</f>
        <v>0.018509000000000005</v>
      </c>
      <c r="S721" s="132">
        <v>0</v>
      </c>
      <c r="T721" s="133">
        <f>S721*H721</f>
        <v>0</v>
      </c>
      <c r="AR721" s="134" t="s">
        <v>221</v>
      </c>
      <c r="AT721" s="134" t="s">
        <v>128</v>
      </c>
      <c r="AU721" s="134" t="s">
        <v>80</v>
      </c>
      <c r="AY721" s="17" t="s">
        <v>126</v>
      </c>
      <c r="BE721" s="135">
        <f>IF(N721="základní",J721,0)</f>
        <v>0</v>
      </c>
      <c r="BF721" s="135">
        <f>IF(N721="snížená",J721,0)</f>
        <v>0</v>
      </c>
      <c r="BG721" s="135">
        <f>IF(N721="zákl. přenesená",J721,0)</f>
        <v>0</v>
      </c>
      <c r="BH721" s="135">
        <f>IF(N721="sníž. přenesená",J721,0)</f>
        <v>0</v>
      </c>
      <c r="BI721" s="135">
        <f>IF(N721="nulová",J721,0)</f>
        <v>0</v>
      </c>
      <c r="BJ721" s="17" t="s">
        <v>78</v>
      </c>
      <c r="BK721" s="135">
        <f>ROUND(I721*H721,2)</f>
        <v>0</v>
      </c>
      <c r="BL721" s="17" t="s">
        <v>221</v>
      </c>
      <c r="BM721" s="134" t="s">
        <v>1558</v>
      </c>
    </row>
    <row r="722" spans="2:47" s="1" customFormat="1" ht="12">
      <c r="B722" s="29"/>
      <c r="D722" s="136" t="s">
        <v>135</v>
      </c>
      <c r="F722" s="137" t="s">
        <v>1559</v>
      </c>
      <c r="L722" s="29"/>
      <c r="M722" s="138"/>
      <c r="T722" s="49"/>
      <c r="AT722" s="17" t="s">
        <v>135</v>
      </c>
      <c r="AU722" s="17" t="s">
        <v>80</v>
      </c>
    </row>
    <row r="723" spans="2:51" s="12" customFormat="1" ht="12">
      <c r="B723" s="139"/>
      <c r="D723" s="140" t="s">
        <v>137</v>
      </c>
      <c r="E723" s="141" t="s">
        <v>3</v>
      </c>
      <c r="F723" s="142" t="s">
        <v>1560</v>
      </c>
      <c r="H723" s="143">
        <v>8.3</v>
      </c>
      <c r="L723" s="139"/>
      <c r="M723" s="144"/>
      <c r="T723" s="145"/>
      <c r="AT723" s="141" t="s">
        <v>137</v>
      </c>
      <c r="AU723" s="141" t="s">
        <v>80</v>
      </c>
      <c r="AV723" s="12" t="s">
        <v>80</v>
      </c>
      <c r="AW723" s="12" t="s">
        <v>32</v>
      </c>
      <c r="AX723" s="12" t="s">
        <v>78</v>
      </c>
      <c r="AY723" s="141" t="s">
        <v>126</v>
      </c>
    </row>
    <row r="724" spans="2:65" s="1" customFormat="1" ht="24.2" customHeight="1">
      <c r="B724" s="123"/>
      <c r="C724" s="124" t="s">
        <v>1561</v>
      </c>
      <c r="D724" s="124" t="s">
        <v>128</v>
      </c>
      <c r="E724" s="125" t="s">
        <v>1562</v>
      </c>
      <c r="F724" s="126" t="s">
        <v>1563</v>
      </c>
      <c r="G724" s="127" t="s">
        <v>249</v>
      </c>
      <c r="H724" s="128">
        <v>10.9</v>
      </c>
      <c r="I724" s="129"/>
      <c r="J724" s="129">
        <f>ROUND(I724*H724,2)</f>
        <v>0</v>
      </c>
      <c r="K724" s="126" t="s">
        <v>132</v>
      </c>
      <c r="L724" s="29"/>
      <c r="M724" s="130" t="s">
        <v>3</v>
      </c>
      <c r="N724" s="131" t="s">
        <v>41</v>
      </c>
      <c r="O724" s="132">
        <v>0.26</v>
      </c>
      <c r="P724" s="132">
        <f>O724*H724</f>
        <v>2.834</v>
      </c>
      <c r="Q724" s="132">
        <v>0.00278</v>
      </c>
      <c r="R724" s="132">
        <f>Q724*H724</f>
        <v>0.030302</v>
      </c>
      <c r="S724" s="132">
        <v>0</v>
      </c>
      <c r="T724" s="133">
        <f>S724*H724</f>
        <v>0</v>
      </c>
      <c r="AR724" s="134" t="s">
        <v>221</v>
      </c>
      <c r="AT724" s="134" t="s">
        <v>128</v>
      </c>
      <c r="AU724" s="134" t="s">
        <v>80</v>
      </c>
      <c r="AY724" s="17" t="s">
        <v>126</v>
      </c>
      <c r="BE724" s="135">
        <f>IF(N724="základní",J724,0)</f>
        <v>0</v>
      </c>
      <c r="BF724" s="135">
        <f>IF(N724="snížená",J724,0)</f>
        <v>0</v>
      </c>
      <c r="BG724" s="135">
        <f>IF(N724="zákl. přenesená",J724,0)</f>
        <v>0</v>
      </c>
      <c r="BH724" s="135">
        <f>IF(N724="sníž. přenesená",J724,0)</f>
        <v>0</v>
      </c>
      <c r="BI724" s="135">
        <f>IF(N724="nulová",J724,0)</f>
        <v>0</v>
      </c>
      <c r="BJ724" s="17" t="s">
        <v>78</v>
      </c>
      <c r="BK724" s="135">
        <f>ROUND(I724*H724,2)</f>
        <v>0</v>
      </c>
      <c r="BL724" s="17" t="s">
        <v>221</v>
      </c>
      <c r="BM724" s="134" t="s">
        <v>1564</v>
      </c>
    </row>
    <row r="725" spans="2:47" s="1" customFormat="1" ht="12">
      <c r="B725" s="29"/>
      <c r="D725" s="136" t="s">
        <v>135</v>
      </c>
      <c r="F725" s="137" t="s">
        <v>1565</v>
      </c>
      <c r="L725" s="29"/>
      <c r="M725" s="138"/>
      <c r="T725" s="49"/>
      <c r="AT725" s="17" t="s">
        <v>135</v>
      </c>
      <c r="AU725" s="17" t="s">
        <v>80</v>
      </c>
    </row>
    <row r="726" spans="2:51" s="12" customFormat="1" ht="12">
      <c r="B726" s="139"/>
      <c r="D726" s="140" t="s">
        <v>137</v>
      </c>
      <c r="E726" s="141" t="s">
        <v>3</v>
      </c>
      <c r="F726" s="142" t="s">
        <v>1566</v>
      </c>
      <c r="H726" s="143">
        <v>10.9</v>
      </c>
      <c r="L726" s="139"/>
      <c r="M726" s="144"/>
      <c r="T726" s="145"/>
      <c r="AT726" s="141" t="s">
        <v>137</v>
      </c>
      <c r="AU726" s="141" t="s">
        <v>80</v>
      </c>
      <c r="AV726" s="12" t="s">
        <v>80</v>
      </c>
      <c r="AW726" s="12" t="s">
        <v>32</v>
      </c>
      <c r="AX726" s="12" t="s">
        <v>78</v>
      </c>
      <c r="AY726" s="141" t="s">
        <v>126</v>
      </c>
    </row>
    <row r="727" spans="2:65" s="1" customFormat="1" ht="16.5" customHeight="1">
      <c r="B727" s="123"/>
      <c r="C727" s="124" t="s">
        <v>1567</v>
      </c>
      <c r="D727" s="124" t="s">
        <v>128</v>
      </c>
      <c r="E727" s="125" t="s">
        <v>1568</v>
      </c>
      <c r="F727" s="126" t="s">
        <v>1569</v>
      </c>
      <c r="G727" s="127" t="s">
        <v>249</v>
      </c>
      <c r="H727" s="128">
        <v>9.4</v>
      </c>
      <c r="I727" s="129"/>
      <c r="J727" s="129">
        <f>ROUND(I727*H727,2)</f>
        <v>0</v>
      </c>
      <c r="K727" s="126" t="s">
        <v>132</v>
      </c>
      <c r="L727" s="29"/>
      <c r="M727" s="130" t="s">
        <v>3</v>
      </c>
      <c r="N727" s="131" t="s">
        <v>41</v>
      </c>
      <c r="O727" s="132">
        <v>0.265</v>
      </c>
      <c r="P727" s="132">
        <f>O727*H727</f>
        <v>2.491</v>
      </c>
      <c r="Q727" s="132">
        <v>0.00259</v>
      </c>
      <c r="R727" s="132">
        <f>Q727*H727</f>
        <v>0.024346</v>
      </c>
      <c r="S727" s="132">
        <v>0</v>
      </c>
      <c r="T727" s="133">
        <f>S727*H727</f>
        <v>0</v>
      </c>
      <c r="AR727" s="134" t="s">
        <v>221</v>
      </c>
      <c r="AT727" s="134" t="s">
        <v>128</v>
      </c>
      <c r="AU727" s="134" t="s">
        <v>80</v>
      </c>
      <c r="AY727" s="17" t="s">
        <v>126</v>
      </c>
      <c r="BE727" s="135">
        <f>IF(N727="základní",J727,0)</f>
        <v>0</v>
      </c>
      <c r="BF727" s="135">
        <f>IF(N727="snížená",J727,0)</f>
        <v>0</v>
      </c>
      <c r="BG727" s="135">
        <f>IF(N727="zákl. přenesená",J727,0)</f>
        <v>0</v>
      </c>
      <c r="BH727" s="135">
        <f>IF(N727="sníž. přenesená",J727,0)</f>
        <v>0</v>
      </c>
      <c r="BI727" s="135">
        <f>IF(N727="nulová",J727,0)</f>
        <v>0</v>
      </c>
      <c r="BJ727" s="17" t="s">
        <v>78</v>
      </c>
      <c r="BK727" s="135">
        <f>ROUND(I727*H727,2)</f>
        <v>0</v>
      </c>
      <c r="BL727" s="17" t="s">
        <v>221</v>
      </c>
      <c r="BM727" s="134" t="s">
        <v>1570</v>
      </c>
    </row>
    <row r="728" spans="2:47" s="1" customFormat="1" ht="12">
      <c r="B728" s="29"/>
      <c r="D728" s="136" t="s">
        <v>135</v>
      </c>
      <c r="F728" s="137" t="s">
        <v>1571</v>
      </c>
      <c r="L728" s="29"/>
      <c r="M728" s="138"/>
      <c r="T728" s="49"/>
      <c r="AT728" s="17" t="s">
        <v>135</v>
      </c>
      <c r="AU728" s="17" t="s">
        <v>80</v>
      </c>
    </row>
    <row r="729" spans="2:51" s="12" customFormat="1" ht="12">
      <c r="B729" s="139"/>
      <c r="D729" s="140" t="s">
        <v>137</v>
      </c>
      <c r="E729" s="141" t="s">
        <v>3</v>
      </c>
      <c r="F729" s="142" t="s">
        <v>1572</v>
      </c>
      <c r="H729" s="143">
        <v>9.4</v>
      </c>
      <c r="L729" s="139"/>
      <c r="M729" s="144"/>
      <c r="T729" s="145"/>
      <c r="AT729" s="141" t="s">
        <v>137</v>
      </c>
      <c r="AU729" s="141" t="s">
        <v>80</v>
      </c>
      <c r="AV729" s="12" t="s">
        <v>80</v>
      </c>
      <c r="AW729" s="12" t="s">
        <v>32</v>
      </c>
      <c r="AX729" s="12" t="s">
        <v>78</v>
      </c>
      <c r="AY729" s="141" t="s">
        <v>126</v>
      </c>
    </row>
    <row r="730" spans="2:65" s="1" customFormat="1" ht="16.5" customHeight="1">
      <c r="B730" s="123"/>
      <c r="C730" s="124" t="s">
        <v>1573</v>
      </c>
      <c r="D730" s="124" t="s">
        <v>128</v>
      </c>
      <c r="E730" s="125" t="s">
        <v>1574</v>
      </c>
      <c r="F730" s="126" t="s">
        <v>1575</v>
      </c>
      <c r="G730" s="127" t="s">
        <v>296</v>
      </c>
      <c r="H730" s="128">
        <v>10</v>
      </c>
      <c r="I730" s="129"/>
      <c r="J730" s="129">
        <f>ROUND(I730*H730,2)</f>
        <v>0</v>
      </c>
      <c r="K730" s="126" t="s">
        <v>132</v>
      </c>
      <c r="L730" s="29"/>
      <c r="M730" s="130" t="s">
        <v>3</v>
      </c>
      <c r="N730" s="131" t="s">
        <v>41</v>
      </c>
      <c r="O730" s="132">
        <v>0.45</v>
      </c>
      <c r="P730" s="132">
        <f>O730*H730</f>
        <v>4.5</v>
      </c>
      <c r="Q730" s="132">
        <v>0.00389</v>
      </c>
      <c r="R730" s="132">
        <f>Q730*H730</f>
        <v>0.0389</v>
      </c>
      <c r="S730" s="132">
        <v>0</v>
      </c>
      <c r="T730" s="133">
        <f>S730*H730</f>
        <v>0</v>
      </c>
      <c r="AR730" s="134" t="s">
        <v>221</v>
      </c>
      <c r="AT730" s="134" t="s">
        <v>128</v>
      </c>
      <c r="AU730" s="134" t="s">
        <v>80</v>
      </c>
      <c r="AY730" s="17" t="s">
        <v>126</v>
      </c>
      <c r="BE730" s="135">
        <f>IF(N730="základní",J730,0)</f>
        <v>0</v>
      </c>
      <c r="BF730" s="135">
        <f>IF(N730="snížená",J730,0)</f>
        <v>0</v>
      </c>
      <c r="BG730" s="135">
        <f>IF(N730="zákl. přenesená",J730,0)</f>
        <v>0</v>
      </c>
      <c r="BH730" s="135">
        <f>IF(N730="sníž. přenesená",J730,0)</f>
        <v>0</v>
      </c>
      <c r="BI730" s="135">
        <f>IF(N730="nulová",J730,0)</f>
        <v>0</v>
      </c>
      <c r="BJ730" s="17" t="s">
        <v>78</v>
      </c>
      <c r="BK730" s="135">
        <f>ROUND(I730*H730,2)</f>
        <v>0</v>
      </c>
      <c r="BL730" s="17" t="s">
        <v>221</v>
      </c>
      <c r="BM730" s="134" t="s">
        <v>1576</v>
      </c>
    </row>
    <row r="731" spans="2:47" s="1" customFormat="1" ht="12">
      <c r="B731" s="29"/>
      <c r="D731" s="136" t="s">
        <v>135</v>
      </c>
      <c r="F731" s="137" t="s">
        <v>1577</v>
      </c>
      <c r="L731" s="29"/>
      <c r="M731" s="138"/>
      <c r="T731" s="49"/>
      <c r="AT731" s="17" t="s">
        <v>135</v>
      </c>
      <c r="AU731" s="17" t="s">
        <v>80</v>
      </c>
    </row>
    <row r="732" spans="2:51" s="12" customFormat="1" ht="12">
      <c r="B732" s="139"/>
      <c r="D732" s="140" t="s">
        <v>137</v>
      </c>
      <c r="E732" s="141" t="s">
        <v>3</v>
      </c>
      <c r="F732" s="142" t="s">
        <v>1578</v>
      </c>
      <c r="H732" s="143">
        <v>2</v>
      </c>
      <c r="L732" s="139"/>
      <c r="M732" s="144"/>
      <c r="T732" s="145"/>
      <c r="AT732" s="141" t="s">
        <v>137</v>
      </c>
      <c r="AU732" s="141" t="s">
        <v>80</v>
      </c>
      <c r="AV732" s="12" t="s">
        <v>80</v>
      </c>
      <c r="AW732" s="12" t="s">
        <v>32</v>
      </c>
      <c r="AX732" s="12" t="s">
        <v>70</v>
      </c>
      <c r="AY732" s="141" t="s">
        <v>126</v>
      </c>
    </row>
    <row r="733" spans="2:51" s="12" customFormat="1" ht="12">
      <c r="B733" s="139"/>
      <c r="D733" s="140" t="s">
        <v>137</v>
      </c>
      <c r="E733" s="141" t="s">
        <v>3</v>
      </c>
      <c r="F733" s="142" t="s">
        <v>1579</v>
      </c>
      <c r="H733" s="143">
        <v>8</v>
      </c>
      <c r="L733" s="139"/>
      <c r="M733" s="144"/>
      <c r="T733" s="145"/>
      <c r="AT733" s="141" t="s">
        <v>137</v>
      </c>
      <c r="AU733" s="141" t="s">
        <v>80</v>
      </c>
      <c r="AV733" s="12" t="s">
        <v>80</v>
      </c>
      <c r="AW733" s="12" t="s">
        <v>32</v>
      </c>
      <c r="AX733" s="12" t="s">
        <v>70</v>
      </c>
      <c r="AY733" s="141" t="s">
        <v>126</v>
      </c>
    </row>
    <row r="734" spans="2:51" s="13" customFormat="1" ht="12">
      <c r="B734" s="146"/>
      <c r="D734" s="140" t="s">
        <v>137</v>
      </c>
      <c r="E734" s="147" t="s">
        <v>3</v>
      </c>
      <c r="F734" s="148" t="s">
        <v>151</v>
      </c>
      <c r="H734" s="149">
        <v>10</v>
      </c>
      <c r="L734" s="146"/>
      <c r="M734" s="150"/>
      <c r="T734" s="151"/>
      <c r="AT734" s="147" t="s">
        <v>137</v>
      </c>
      <c r="AU734" s="147" t="s">
        <v>80</v>
      </c>
      <c r="AV734" s="13" t="s">
        <v>133</v>
      </c>
      <c r="AW734" s="13" t="s">
        <v>32</v>
      </c>
      <c r="AX734" s="13" t="s">
        <v>78</v>
      </c>
      <c r="AY734" s="147" t="s">
        <v>126</v>
      </c>
    </row>
    <row r="735" spans="2:65" s="1" customFormat="1" ht="21.75" customHeight="1">
      <c r="B735" s="123"/>
      <c r="C735" s="124" t="s">
        <v>1580</v>
      </c>
      <c r="D735" s="124" t="s">
        <v>128</v>
      </c>
      <c r="E735" s="125" t="s">
        <v>1581</v>
      </c>
      <c r="F735" s="126" t="s">
        <v>1582</v>
      </c>
      <c r="G735" s="127" t="s">
        <v>249</v>
      </c>
      <c r="H735" s="128">
        <v>119.2</v>
      </c>
      <c r="I735" s="129"/>
      <c r="J735" s="129">
        <f>ROUND(I735*H735,2)</f>
        <v>0</v>
      </c>
      <c r="K735" s="126" t="s">
        <v>132</v>
      </c>
      <c r="L735" s="29"/>
      <c r="M735" s="130" t="s">
        <v>3</v>
      </c>
      <c r="N735" s="131" t="s">
        <v>41</v>
      </c>
      <c r="O735" s="132">
        <v>1.42</v>
      </c>
      <c r="P735" s="132">
        <f>O735*H735</f>
        <v>169.26399999999998</v>
      </c>
      <c r="Q735" s="132">
        <v>0.00696</v>
      </c>
      <c r="R735" s="132">
        <f>Q735*H735</f>
        <v>0.829632</v>
      </c>
      <c r="S735" s="132">
        <v>0</v>
      </c>
      <c r="T735" s="133">
        <f>S735*H735</f>
        <v>0</v>
      </c>
      <c r="AR735" s="134" t="s">
        <v>221</v>
      </c>
      <c r="AT735" s="134" t="s">
        <v>128</v>
      </c>
      <c r="AU735" s="134" t="s">
        <v>80</v>
      </c>
      <c r="AY735" s="17" t="s">
        <v>126</v>
      </c>
      <c r="BE735" s="135">
        <f>IF(N735="základní",J735,0)</f>
        <v>0</v>
      </c>
      <c r="BF735" s="135">
        <f>IF(N735="snížená",J735,0)</f>
        <v>0</v>
      </c>
      <c r="BG735" s="135">
        <f>IF(N735="zákl. přenesená",J735,0)</f>
        <v>0</v>
      </c>
      <c r="BH735" s="135">
        <f>IF(N735="sníž. přenesená",J735,0)</f>
        <v>0</v>
      </c>
      <c r="BI735" s="135">
        <f>IF(N735="nulová",J735,0)</f>
        <v>0</v>
      </c>
      <c r="BJ735" s="17" t="s">
        <v>78</v>
      </c>
      <c r="BK735" s="135">
        <f>ROUND(I735*H735,2)</f>
        <v>0</v>
      </c>
      <c r="BL735" s="17" t="s">
        <v>221</v>
      </c>
      <c r="BM735" s="134" t="s">
        <v>1583</v>
      </c>
    </row>
    <row r="736" spans="2:47" s="1" customFormat="1" ht="12">
      <c r="B736" s="29"/>
      <c r="D736" s="136" t="s">
        <v>135</v>
      </c>
      <c r="F736" s="137" t="s">
        <v>1584</v>
      </c>
      <c r="L736" s="29"/>
      <c r="M736" s="138"/>
      <c r="T736" s="49"/>
      <c r="AT736" s="17" t="s">
        <v>135</v>
      </c>
      <c r="AU736" s="17" t="s">
        <v>80</v>
      </c>
    </row>
    <row r="737" spans="2:51" s="12" customFormat="1" ht="12">
      <c r="B737" s="139"/>
      <c r="D737" s="140" t="s">
        <v>137</v>
      </c>
      <c r="E737" s="141" t="s">
        <v>3</v>
      </c>
      <c r="F737" s="142" t="s">
        <v>1536</v>
      </c>
      <c r="H737" s="143">
        <v>119.2</v>
      </c>
      <c r="L737" s="139"/>
      <c r="M737" s="144"/>
      <c r="T737" s="145"/>
      <c r="AT737" s="141" t="s">
        <v>137</v>
      </c>
      <c r="AU737" s="141" t="s">
        <v>80</v>
      </c>
      <c r="AV737" s="12" t="s">
        <v>80</v>
      </c>
      <c r="AW737" s="12" t="s">
        <v>32</v>
      </c>
      <c r="AX737" s="12" t="s">
        <v>78</v>
      </c>
      <c r="AY737" s="141" t="s">
        <v>126</v>
      </c>
    </row>
    <row r="738" spans="2:65" s="1" customFormat="1" ht="16.5" customHeight="1">
      <c r="B738" s="123"/>
      <c r="C738" s="124" t="s">
        <v>1585</v>
      </c>
      <c r="D738" s="124" t="s">
        <v>128</v>
      </c>
      <c r="E738" s="125" t="s">
        <v>1586</v>
      </c>
      <c r="F738" s="126" t="s">
        <v>1587</v>
      </c>
      <c r="G738" s="127" t="s">
        <v>249</v>
      </c>
      <c r="H738" s="128">
        <v>140</v>
      </c>
      <c r="I738" s="129"/>
      <c r="J738" s="129">
        <f>ROUND(I738*H738,2)</f>
        <v>0</v>
      </c>
      <c r="K738" s="126" t="s">
        <v>132</v>
      </c>
      <c r="L738" s="29"/>
      <c r="M738" s="130" t="s">
        <v>3</v>
      </c>
      <c r="N738" s="131" t="s">
        <v>41</v>
      </c>
      <c r="O738" s="132">
        <v>0.351</v>
      </c>
      <c r="P738" s="132">
        <f>O738*H738</f>
        <v>49.14</v>
      </c>
      <c r="Q738" s="132">
        <v>0.00371</v>
      </c>
      <c r="R738" s="132">
        <f>Q738*H738</f>
        <v>0.5194</v>
      </c>
      <c r="S738" s="132">
        <v>0</v>
      </c>
      <c r="T738" s="133">
        <f>S738*H738</f>
        <v>0</v>
      </c>
      <c r="AR738" s="134" t="s">
        <v>221</v>
      </c>
      <c r="AT738" s="134" t="s">
        <v>128</v>
      </c>
      <c r="AU738" s="134" t="s">
        <v>80</v>
      </c>
      <c r="AY738" s="17" t="s">
        <v>126</v>
      </c>
      <c r="BE738" s="135">
        <f>IF(N738="základní",J738,0)</f>
        <v>0</v>
      </c>
      <c r="BF738" s="135">
        <f>IF(N738="snížená",J738,0)</f>
        <v>0</v>
      </c>
      <c r="BG738" s="135">
        <f>IF(N738="zákl. přenesená",J738,0)</f>
        <v>0</v>
      </c>
      <c r="BH738" s="135">
        <f>IF(N738="sníž. přenesená",J738,0)</f>
        <v>0</v>
      </c>
      <c r="BI738" s="135">
        <f>IF(N738="nulová",J738,0)</f>
        <v>0</v>
      </c>
      <c r="BJ738" s="17" t="s">
        <v>78</v>
      </c>
      <c r="BK738" s="135">
        <f>ROUND(I738*H738,2)</f>
        <v>0</v>
      </c>
      <c r="BL738" s="17" t="s">
        <v>221</v>
      </c>
      <c r="BM738" s="134" t="s">
        <v>1588</v>
      </c>
    </row>
    <row r="739" spans="2:47" s="1" customFormat="1" ht="12">
      <c r="B739" s="29"/>
      <c r="D739" s="136" t="s">
        <v>135</v>
      </c>
      <c r="F739" s="137" t="s">
        <v>1589</v>
      </c>
      <c r="L739" s="29"/>
      <c r="M739" s="138"/>
      <c r="T739" s="49"/>
      <c r="AT739" s="17" t="s">
        <v>135</v>
      </c>
      <c r="AU739" s="17" t="s">
        <v>80</v>
      </c>
    </row>
    <row r="740" spans="2:51" s="12" customFormat="1" ht="12">
      <c r="B740" s="139"/>
      <c r="D740" s="140" t="s">
        <v>137</v>
      </c>
      <c r="E740" s="141" t="s">
        <v>3</v>
      </c>
      <c r="F740" s="142" t="s">
        <v>1590</v>
      </c>
      <c r="H740" s="143">
        <v>20</v>
      </c>
      <c r="L740" s="139"/>
      <c r="M740" s="144"/>
      <c r="T740" s="145"/>
      <c r="AT740" s="141" t="s">
        <v>137</v>
      </c>
      <c r="AU740" s="141" t="s">
        <v>80</v>
      </c>
      <c r="AV740" s="12" t="s">
        <v>80</v>
      </c>
      <c r="AW740" s="12" t="s">
        <v>32</v>
      </c>
      <c r="AX740" s="12" t="s">
        <v>70</v>
      </c>
      <c r="AY740" s="141" t="s">
        <v>126</v>
      </c>
    </row>
    <row r="741" spans="2:51" s="12" customFormat="1" ht="12">
      <c r="B741" s="139"/>
      <c r="D741" s="140" t="s">
        <v>137</v>
      </c>
      <c r="E741" s="141" t="s">
        <v>3</v>
      </c>
      <c r="F741" s="142" t="s">
        <v>1591</v>
      </c>
      <c r="H741" s="143">
        <v>120</v>
      </c>
      <c r="L741" s="139"/>
      <c r="M741" s="144"/>
      <c r="T741" s="145"/>
      <c r="AT741" s="141" t="s">
        <v>137</v>
      </c>
      <c r="AU741" s="141" t="s">
        <v>80</v>
      </c>
      <c r="AV741" s="12" t="s">
        <v>80</v>
      </c>
      <c r="AW741" s="12" t="s">
        <v>32</v>
      </c>
      <c r="AX741" s="12" t="s">
        <v>70</v>
      </c>
      <c r="AY741" s="141" t="s">
        <v>126</v>
      </c>
    </row>
    <row r="742" spans="2:51" s="13" customFormat="1" ht="12">
      <c r="B742" s="146"/>
      <c r="D742" s="140" t="s">
        <v>137</v>
      </c>
      <c r="E742" s="147" t="s">
        <v>3</v>
      </c>
      <c r="F742" s="148" t="s">
        <v>151</v>
      </c>
      <c r="H742" s="149">
        <v>140</v>
      </c>
      <c r="L742" s="146"/>
      <c r="M742" s="150"/>
      <c r="T742" s="151"/>
      <c r="AT742" s="147" t="s">
        <v>137</v>
      </c>
      <c r="AU742" s="147" t="s">
        <v>80</v>
      </c>
      <c r="AV742" s="13" t="s">
        <v>133</v>
      </c>
      <c r="AW742" s="13" t="s">
        <v>32</v>
      </c>
      <c r="AX742" s="13" t="s">
        <v>78</v>
      </c>
      <c r="AY742" s="147" t="s">
        <v>126</v>
      </c>
    </row>
    <row r="743" spans="2:65" s="1" customFormat="1" ht="24.2" customHeight="1">
      <c r="B743" s="123"/>
      <c r="C743" s="124" t="s">
        <v>1592</v>
      </c>
      <c r="D743" s="124" t="s">
        <v>128</v>
      </c>
      <c r="E743" s="125" t="s">
        <v>1593</v>
      </c>
      <c r="F743" s="126" t="s">
        <v>1594</v>
      </c>
      <c r="G743" s="127" t="s">
        <v>413</v>
      </c>
      <c r="H743" s="128">
        <v>17934.676</v>
      </c>
      <c r="I743" s="129"/>
      <c r="J743" s="129">
        <f>ROUND(I743*H743,2)</f>
        <v>0</v>
      </c>
      <c r="K743" s="126" t="s">
        <v>132</v>
      </c>
      <c r="L743" s="29"/>
      <c r="M743" s="130" t="s">
        <v>3</v>
      </c>
      <c r="N743" s="131" t="s">
        <v>41</v>
      </c>
      <c r="O743" s="132">
        <v>0</v>
      </c>
      <c r="P743" s="132">
        <f>O743*H743</f>
        <v>0</v>
      </c>
      <c r="Q743" s="132">
        <v>0</v>
      </c>
      <c r="R743" s="132">
        <f>Q743*H743</f>
        <v>0</v>
      </c>
      <c r="S743" s="132">
        <v>0</v>
      </c>
      <c r="T743" s="133">
        <f>S743*H743</f>
        <v>0</v>
      </c>
      <c r="AR743" s="134" t="s">
        <v>221</v>
      </c>
      <c r="AT743" s="134" t="s">
        <v>128</v>
      </c>
      <c r="AU743" s="134" t="s">
        <v>80</v>
      </c>
      <c r="AY743" s="17" t="s">
        <v>126</v>
      </c>
      <c r="BE743" s="135">
        <f>IF(N743="základní",J743,0)</f>
        <v>0</v>
      </c>
      <c r="BF743" s="135">
        <f>IF(N743="snížená",J743,0)</f>
        <v>0</v>
      </c>
      <c r="BG743" s="135">
        <f>IF(N743="zákl. přenesená",J743,0)</f>
        <v>0</v>
      </c>
      <c r="BH743" s="135">
        <f>IF(N743="sníž. přenesená",J743,0)</f>
        <v>0</v>
      </c>
      <c r="BI743" s="135">
        <f>IF(N743="nulová",J743,0)</f>
        <v>0</v>
      </c>
      <c r="BJ743" s="17" t="s">
        <v>78</v>
      </c>
      <c r="BK743" s="135">
        <f>ROUND(I743*H743,2)</f>
        <v>0</v>
      </c>
      <c r="BL743" s="17" t="s">
        <v>221</v>
      </c>
      <c r="BM743" s="134" t="s">
        <v>1595</v>
      </c>
    </row>
    <row r="744" spans="2:47" s="1" customFormat="1" ht="12">
      <c r="B744" s="29"/>
      <c r="D744" s="136" t="s">
        <v>135</v>
      </c>
      <c r="F744" s="137" t="s">
        <v>1596</v>
      </c>
      <c r="L744" s="29"/>
      <c r="M744" s="138"/>
      <c r="T744" s="49"/>
      <c r="AT744" s="17" t="s">
        <v>135</v>
      </c>
      <c r="AU744" s="17" t="s">
        <v>80</v>
      </c>
    </row>
    <row r="745" spans="2:63" s="11" customFormat="1" ht="22.7" customHeight="1">
      <c r="B745" s="112"/>
      <c r="D745" s="113" t="s">
        <v>69</v>
      </c>
      <c r="E745" s="121" t="s">
        <v>550</v>
      </c>
      <c r="F745" s="121" t="s">
        <v>551</v>
      </c>
      <c r="J745" s="122">
        <f>BK745</f>
        <v>0</v>
      </c>
      <c r="L745" s="112"/>
      <c r="M745" s="116"/>
      <c r="P745" s="117">
        <f>SUM(P746:P827)</f>
        <v>799.33308</v>
      </c>
      <c r="R745" s="117">
        <f>SUM(R746:R827)</f>
        <v>41.728793599999996</v>
      </c>
      <c r="T745" s="118">
        <f>SUM(T746:T827)</f>
        <v>0</v>
      </c>
      <c r="AR745" s="113" t="s">
        <v>80</v>
      </c>
      <c r="AT745" s="119" t="s">
        <v>69</v>
      </c>
      <c r="AU745" s="119" t="s">
        <v>78</v>
      </c>
      <c r="AY745" s="113" t="s">
        <v>126</v>
      </c>
      <c r="BK745" s="120">
        <f>SUM(BK746:BK827)</f>
        <v>0</v>
      </c>
    </row>
    <row r="746" spans="2:65" s="1" customFormat="1" ht="16.5" customHeight="1">
      <c r="B746" s="123"/>
      <c r="C746" s="124" t="s">
        <v>1597</v>
      </c>
      <c r="D746" s="124" t="s">
        <v>128</v>
      </c>
      <c r="E746" s="125" t="s">
        <v>1598</v>
      </c>
      <c r="F746" s="126" t="s">
        <v>1599</v>
      </c>
      <c r="G746" s="127" t="s">
        <v>131</v>
      </c>
      <c r="H746" s="128">
        <v>790</v>
      </c>
      <c r="I746" s="129"/>
      <c r="J746" s="129">
        <f>ROUND(I746*H746,2)</f>
        <v>0</v>
      </c>
      <c r="K746" s="126" t="s">
        <v>132</v>
      </c>
      <c r="L746" s="29"/>
      <c r="M746" s="130" t="s">
        <v>3</v>
      </c>
      <c r="N746" s="131" t="s">
        <v>41</v>
      </c>
      <c r="O746" s="132">
        <v>0.44</v>
      </c>
      <c r="P746" s="132">
        <f>O746*H746</f>
        <v>347.6</v>
      </c>
      <c r="Q746" s="132">
        <v>0</v>
      </c>
      <c r="R746" s="132">
        <f>Q746*H746</f>
        <v>0</v>
      </c>
      <c r="S746" s="132">
        <v>0</v>
      </c>
      <c r="T746" s="133">
        <f>S746*H746</f>
        <v>0</v>
      </c>
      <c r="AR746" s="134" t="s">
        <v>221</v>
      </c>
      <c r="AT746" s="134" t="s">
        <v>128</v>
      </c>
      <c r="AU746" s="134" t="s">
        <v>80</v>
      </c>
      <c r="AY746" s="17" t="s">
        <v>126</v>
      </c>
      <c r="BE746" s="135">
        <f>IF(N746="základní",J746,0)</f>
        <v>0</v>
      </c>
      <c r="BF746" s="135">
        <f>IF(N746="snížená",J746,0)</f>
        <v>0</v>
      </c>
      <c r="BG746" s="135">
        <f>IF(N746="zákl. přenesená",J746,0)</f>
        <v>0</v>
      </c>
      <c r="BH746" s="135">
        <f>IF(N746="sníž. přenesená",J746,0)</f>
        <v>0</v>
      </c>
      <c r="BI746" s="135">
        <f>IF(N746="nulová",J746,0)</f>
        <v>0</v>
      </c>
      <c r="BJ746" s="17" t="s">
        <v>78</v>
      </c>
      <c r="BK746" s="135">
        <f>ROUND(I746*H746,2)</f>
        <v>0</v>
      </c>
      <c r="BL746" s="17" t="s">
        <v>221</v>
      </c>
      <c r="BM746" s="134" t="s">
        <v>1600</v>
      </c>
    </row>
    <row r="747" spans="2:47" s="1" customFormat="1" ht="12">
      <c r="B747" s="29"/>
      <c r="D747" s="136" t="s">
        <v>135</v>
      </c>
      <c r="F747" s="137" t="s">
        <v>1601</v>
      </c>
      <c r="L747" s="29"/>
      <c r="M747" s="138"/>
      <c r="T747" s="49"/>
      <c r="AT747" s="17" t="s">
        <v>135</v>
      </c>
      <c r="AU747" s="17" t="s">
        <v>80</v>
      </c>
    </row>
    <row r="748" spans="2:51" s="12" customFormat="1" ht="12">
      <c r="B748" s="139"/>
      <c r="D748" s="140" t="s">
        <v>137</v>
      </c>
      <c r="E748" s="141" t="s">
        <v>3</v>
      </c>
      <c r="F748" s="142" t="s">
        <v>1315</v>
      </c>
      <c r="H748" s="143">
        <v>790</v>
      </c>
      <c r="L748" s="139"/>
      <c r="M748" s="144"/>
      <c r="T748" s="145"/>
      <c r="AT748" s="141" t="s">
        <v>137</v>
      </c>
      <c r="AU748" s="141" t="s">
        <v>80</v>
      </c>
      <c r="AV748" s="12" t="s">
        <v>80</v>
      </c>
      <c r="AW748" s="12" t="s">
        <v>32</v>
      </c>
      <c r="AX748" s="12" t="s">
        <v>78</v>
      </c>
      <c r="AY748" s="141" t="s">
        <v>126</v>
      </c>
    </row>
    <row r="749" spans="2:65" s="1" customFormat="1" ht="16.5" customHeight="1">
      <c r="B749" s="123"/>
      <c r="C749" s="152" t="s">
        <v>1602</v>
      </c>
      <c r="D749" s="152" t="s">
        <v>405</v>
      </c>
      <c r="E749" s="153" t="s">
        <v>1603</v>
      </c>
      <c r="F749" s="154" t="s">
        <v>1604</v>
      </c>
      <c r="G749" s="155" t="s">
        <v>296</v>
      </c>
      <c r="H749" s="156">
        <v>9480</v>
      </c>
      <c r="I749" s="157"/>
      <c r="J749" s="157">
        <f>ROUND(I749*H749,2)</f>
        <v>0</v>
      </c>
      <c r="K749" s="154" t="s">
        <v>132</v>
      </c>
      <c r="L749" s="158"/>
      <c r="M749" s="159" t="s">
        <v>3</v>
      </c>
      <c r="N749" s="160" t="s">
        <v>41</v>
      </c>
      <c r="O749" s="132">
        <v>0</v>
      </c>
      <c r="P749" s="132">
        <f>O749*H749</f>
        <v>0</v>
      </c>
      <c r="Q749" s="132">
        <v>0.0036</v>
      </c>
      <c r="R749" s="132">
        <f>Q749*H749</f>
        <v>34.128</v>
      </c>
      <c r="S749" s="132">
        <v>0</v>
      </c>
      <c r="T749" s="133">
        <f>S749*H749</f>
        <v>0</v>
      </c>
      <c r="AR749" s="134" t="s">
        <v>325</v>
      </c>
      <c r="AT749" s="134" t="s">
        <v>405</v>
      </c>
      <c r="AU749" s="134" t="s">
        <v>80</v>
      </c>
      <c r="AY749" s="17" t="s">
        <v>126</v>
      </c>
      <c r="BE749" s="135">
        <f>IF(N749="základní",J749,0)</f>
        <v>0</v>
      </c>
      <c r="BF749" s="135">
        <f>IF(N749="snížená",J749,0)</f>
        <v>0</v>
      </c>
      <c r="BG749" s="135">
        <f>IF(N749="zákl. přenesená",J749,0)</f>
        <v>0</v>
      </c>
      <c r="BH749" s="135">
        <f>IF(N749="sníž. přenesená",J749,0)</f>
        <v>0</v>
      </c>
      <c r="BI749" s="135">
        <f>IF(N749="nulová",J749,0)</f>
        <v>0</v>
      </c>
      <c r="BJ749" s="17" t="s">
        <v>78</v>
      </c>
      <c r="BK749" s="135">
        <f>ROUND(I749*H749,2)</f>
        <v>0</v>
      </c>
      <c r="BL749" s="17" t="s">
        <v>221</v>
      </c>
      <c r="BM749" s="134" t="s">
        <v>1605</v>
      </c>
    </row>
    <row r="750" spans="2:51" s="12" customFormat="1" ht="12">
      <c r="B750" s="139"/>
      <c r="D750" s="140" t="s">
        <v>137</v>
      </c>
      <c r="F750" s="142" t="s">
        <v>1606</v>
      </c>
      <c r="H750" s="143">
        <v>9480</v>
      </c>
      <c r="L750" s="139"/>
      <c r="M750" s="144"/>
      <c r="T750" s="145"/>
      <c r="AT750" s="141" t="s">
        <v>137</v>
      </c>
      <c r="AU750" s="141" t="s">
        <v>80</v>
      </c>
      <c r="AV750" s="12" t="s">
        <v>80</v>
      </c>
      <c r="AW750" s="12" t="s">
        <v>4</v>
      </c>
      <c r="AX750" s="12" t="s">
        <v>78</v>
      </c>
      <c r="AY750" s="141" t="s">
        <v>126</v>
      </c>
    </row>
    <row r="751" spans="2:65" s="1" customFormat="1" ht="16.5" customHeight="1">
      <c r="B751" s="123"/>
      <c r="C751" s="152" t="s">
        <v>1607</v>
      </c>
      <c r="D751" s="152" t="s">
        <v>405</v>
      </c>
      <c r="E751" s="153" t="s">
        <v>1608</v>
      </c>
      <c r="F751" s="154" t="s">
        <v>1609</v>
      </c>
      <c r="G751" s="155" t="s">
        <v>296</v>
      </c>
      <c r="H751" s="156">
        <v>948</v>
      </c>
      <c r="I751" s="157"/>
      <c r="J751" s="157">
        <f>ROUND(I751*H751,2)</f>
        <v>0</v>
      </c>
      <c r="K751" s="154" t="s">
        <v>132</v>
      </c>
      <c r="L751" s="158"/>
      <c r="M751" s="159" t="s">
        <v>3</v>
      </c>
      <c r="N751" s="160" t="s">
        <v>41</v>
      </c>
      <c r="O751" s="132">
        <v>0</v>
      </c>
      <c r="P751" s="132">
        <f>O751*H751</f>
        <v>0</v>
      </c>
      <c r="Q751" s="132">
        <v>0.0022</v>
      </c>
      <c r="R751" s="132">
        <f>Q751*H751</f>
        <v>2.0856000000000003</v>
      </c>
      <c r="S751" s="132">
        <v>0</v>
      </c>
      <c r="T751" s="133">
        <f>S751*H751</f>
        <v>0</v>
      </c>
      <c r="AR751" s="134" t="s">
        <v>325</v>
      </c>
      <c r="AT751" s="134" t="s">
        <v>405</v>
      </c>
      <c r="AU751" s="134" t="s">
        <v>80</v>
      </c>
      <c r="AY751" s="17" t="s">
        <v>126</v>
      </c>
      <c r="BE751" s="135">
        <f>IF(N751="základní",J751,0)</f>
        <v>0</v>
      </c>
      <c r="BF751" s="135">
        <f>IF(N751="snížená",J751,0)</f>
        <v>0</v>
      </c>
      <c r="BG751" s="135">
        <f>IF(N751="zákl. přenesená",J751,0)</f>
        <v>0</v>
      </c>
      <c r="BH751" s="135">
        <f>IF(N751="sníž. přenesená",J751,0)</f>
        <v>0</v>
      </c>
      <c r="BI751" s="135">
        <f>IF(N751="nulová",J751,0)</f>
        <v>0</v>
      </c>
      <c r="BJ751" s="17" t="s">
        <v>78</v>
      </c>
      <c r="BK751" s="135">
        <f>ROUND(I751*H751,2)</f>
        <v>0</v>
      </c>
      <c r="BL751" s="17" t="s">
        <v>221</v>
      </c>
      <c r="BM751" s="134" t="s">
        <v>1610</v>
      </c>
    </row>
    <row r="752" spans="2:51" s="12" customFormat="1" ht="12">
      <c r="B752" s="139"/>
      <c r="D752" s="140" t="s">
        <v>137</v>
      </c>
      <c r="F752" s="142" t="s">
        <v>1611</v>
      </c>
      <c r="H752" s="143">
        <v>948</v>
      </c>
      <c r="L752" s="139"/>
      <c r="M752" s="144"/>
      <c r="T752" s="145"/>
      <c r="AT752" s="141" t="s">
        <v>137</v>
      </c>
      <c r="AU752" s="141" t="s">
        <v>80</v>
      </c>
      <c r="AV752" s="12" t="s">
        <v>80</v>
      </c>
      <c r="AW752" s="12" t="s">
        <v>4</v>
      </c>
      <c r="AX752" s="12" t="s">
        <v>78</v>
      </c>
      <c r="AY752" s="141" t="s">
        <v>126</v>
      </c>
    </row>
    <row r="753" spans="2:65" s="1" customFormat="1" ht="16.5" customHeight="1">
      <c r="B753" s="123"/>
      <c r="C753" s="152" t="s">
        <v>1612</v>
      </c>
      <c r="D753" s="152" t="s">
        <v>405</v>
      </c>
      <c r="E753" s="153" t="s">
        <v>1613</v>
      </c>
      <c r="F753" s="154" t="s">
        <v>1614</v>
      </c>
      <c r="G753" s="155" t="s">
        <v>296</v>
      </c>
      <c r="H753" s="156">
        <v>474</v>
      </c>
      <c r="I753" s="157"/>
      <c r="J753" s="157">
        <f>ROUND(I753*H753,2)</f>
        <v>0</v>
      </c>
      <c r="K753" s="154" t="s">
        <v>132</v>
      </c>
      <c r="L753" s="158"/>
      <c r="M753" s="159" t="s">
        <v>3</v>
      </c>
      <c r="N753" s="160" t="s">
        <v>41</v>
      </c>
      <c r="O753" s="132">
        <v>0</v>
      </c>
      <c r="P753" s="132">
        <f>O753*H753</f>
        <v>0</v>
      </c>
      <c r="Q753" s="132">
        <v>0.0029</v>
      </c>
      <c r="R753" s="132">
        <f>Q753*H753</f>
        <v>1.3745999999999998</v>
      </c>
      <c r="S753" s="132">
        <v>0</v>
      </c>
      <c r="T753" s="133">
        <f>S753*H753</f>
        <v>0</v>
      </c>
      <c r="AR753" s="134" t="s">
        <v>325</v>
      </c>
      <c r="AT753" s="134" t="s">
        <v>405</v>
      </c>
      <c r="AU753" s="134" t="s">
        <v>80</v>
      </c>
      <c r="AY753" s="17" t="s">
        <v>126</v>
      </c>
      <c r="BE753" s="135">
        <f>IF(N753="základní",J753,0)</f>
        <v>0</v>
      </c>
      <c r="BF753" s="135">
        <f>IF(N753="snížená",J753,0)</f>
        <v>0</v>
      </c>
      <c r="BG753" s="135">
        <f>IF(N753="zákl. přenesená",J753,0)</f>
        <v>0</v>
      </c>
      <c r="BH753" s="135">
        <f>IF(N753="sníž. přenesená",J753,0)</f>
        <v>0</v>
      </c>
      <c r="BI753" s="135">
        <f>IF(N753="nulová",J753,0)</f>
        <v>0</v>
      </c>
      <c r="BJ753" s="17" t="s">
        <v>78</v>
      </c>
      <c r="BK753" s="135">
        <f>ROUND(I753*H753,2)</f>
        <v>0</v>
      </c>
      <c r="BL753" s="17" t="s">
        <v>221</v>
      </c>
      <c r="BM753" s="134" t="s">
        <v>1615</v>
      </c>
    </row>
    <row r="754" spans="2:51" s="12" customFormat="1" ht="12">
      <c r="B754" s="139"/>
      <c r="D754" s="140" t="s">
        <v>137</v>
      </c>
      <c r="F754" s="142" t="s">
        <v>1616</v>
      </c>
      <c r="H754" s="143">
        <v>474</v>
      </c>
      <c r="L754" s="139"/>
      <c r="M754" s="144"/>
      <c r="T754" s="145"/>
      <c r="AT754" s="141" t="s">
        <v>137</v>
      </c>
      <c r="AU754" s="141" t="s">
        <v>80</v>
      </c>
      <c r="AV754" s="12" t="s">
        <v>80</v>
      </c>
      <c r="AW754" s="12" t="s">
        <v>4</v>
      </c>
      <c r="AX754" s="12" t="s">
        <v>78</v>
      </c>
      <c r="AY754" s="141" t="s">
        <v>126</v>
      </c>
    </row>
    <row r="755" spans="2:65" s="1" customFormat="1" ht="16.5" customHeight="1">
      <c r="B755" s="123"/>
      <c r="C755" s="152" t="s">
        <v>1617</v>
      </c>
      <c r="D755" s="152" t="s">
        <v>405</v>
      </c>
      <c r="E755" s="153" t="s">
        <v>1618</v>
      </c>
      <c r="F755" s="154" t="s">
        <v>1619</v>
      </c>
      <c r="G755" s="155" t="s">
        <v>296</v>
      </c>
      <c r="H755" s="156">
        <v>474</v>
      </c>
      <c r="I755" s="157"/>
      <c r="J755" s="157">
        <f>ROUND(I755*H755,2)</f>
        <v>0</v>
      </c>
      <c r="K755" s="154" t="s">
        <v>132</v>
      </c>
      <c r="L755" s="158"/>
      <c r="M755" s="159" t="s">
        <v>3</v>
      </c>
      <c r="N755" s="160" t="s">
        <v>41</v>
      </c>
      <c r="O755" s="132">
        <v>0</v>
      </c>
      <c r="P755" s="132">
        <f>O755*H755</f>
        <v>0</v>
      </c>
      <c r="Q755" s="132">
        <v>0.0029</v>
      </c>
      <c r="R755" s="132">
        <f>Q755*H755</f>
        <v>1.3745999999999998</v>
      </c>
      <c r="S755" s="132">
        <v>0</v>
      </c>
      <c r="T755" s="133">
        <f>S755*H755</f>
        <v>0</v>
      </c>
      <c r="AR755" s="134" t="s">
        <v>325</v>
      </c>
      <c r="AT755" s="134" t="s">
        <v>405</v>
      </c>
      <c r="AU755" s="134" t="s">
        <v>80</v>
      </c>
      <c r="AY755" s="17" t="s">
        <v>126</v>
      </c>
      <c r="BE755" s="135">
        <f>IF(N755="základní",J755,0)</f>
        <v>0</v>
      </c>
      <c r="BF755" s="135">
        <f>IF(N755="snížená",J755,0)</f>
        <v>0</v>
      </c>
      <c r="BG755" s="135">
        <f>IF(N755="zákl. přenesená",J755,0)</f>
        <v>0</v>
      </c>
      <c r="BH755" s="135">
        <f>IF(N755="sníž. přenesená",J755,0)</f>
        <v>0</v>
      </c>
      <c r="BI755" s="135">
        <f>IF(N755="nulová",J755,0)</f>
        <v>0</v>
      </c>
      <c r="BJ755" s="17" t="s">
        <v>78</v>
      </c>
      <c r="BK755" s="135">
        <f>ROUND(I755*H755,2)</f>
        <v>0</v>
      </c>
      <c r="BL755" s="17" t="s">
        <v>221</v>
      </c>
      <c r="BM755" s="134" t="s">
        <v>1620</v>
      </c>
    </row>
    <row r="756" spans="2:51" s="12" customFormat="1" ht="12">
      <c r="B756" s="139"/>
      <c r="D756" s="140" t="s">
        <v>137</v>
      </c>
      <c r="F756" s="142" t="s">
        <v>1616</v>
      </c>
      <c r="H756" s="143">
        <v>474</v>
      </c>
      <c r="L756" s="139"/>
      <c r="M756" s="144"/>
      <c r="T756" s="145"/>
      <c r="AT756" s="141" t="s">
        <v>137</v>
      </c>
      <c r="AU756" s="141" t="s">
        <v>80</v>
      </c>
      <c r="AV756" s="12" t="s">
        <v>80</v>
      </c>
      <c r="AW756" s="12" t="s">
        <v>4</v>
      </c>
      <c r="AX756" s="12" t="s">
        <v>78</v>
      </c>
      <c r="AY756" s="141" t="s">
        <v>126</v>
      </c>
    </row>
    <row r="757" spans="2:65" s="1" customFormat="1" ht="16.5" customHeight="1">
      <c r="B757" s="123"/>
      <c r="C757" s="152" t="s">
        <v>1621</v>
      </c>
      <c r="D757" s="152" t="s">
        <v>405</v>
      </c>
      <c r="E757" s="153" t="s">
        <v>1622</v>
      </c>
      <c r="F757" s="154" t="s">
        <v>1623</v>
      </c>
      <c r="G757" s="155" t="s">
        <v>296</v>
      </c>
      <c r="H757" s="156">
        <v>100</v>
      </c>
      <c r="I757" s="157"/>
      <c r="J757" s="157">
        <f>ROUND(I757*H757,2)</f>
        <v>0</v>
      </c>
      <c r="K757" s="154" t="s">
        <v>132</v>
      </c>
      <c r="L757" s="158"/>
      <c r="M757" s="159" t="s">
        <v>3</v>
      </c>
      <c r="N757" s="160" t="s">
        <v>41</v>
      </c>
      <c r="O757" s="132">
        <v>0</v>
      </c>
      <c r="P757" s="132">
        <f>O757*H757</f>
        <v>0</v>
      </c>
      <c r="Q757" s="132">
        <v>0.0041</v>
      </c>
      <c r="R757" s="132">
        <f>Q757*H757</f>
        <v>0.41000000000000003</v>
      </c>
      <c r="S757" s="132">
        <v>0</v>
      </c>
      <c r="T757" s="133">
        <f>S757*H757</f>
        <v>0</v>
      </c>
      <c r="AR757" s="134" t="s">
        <v>325</v>
      </c>
      <c r="AT757" s="134" t="s">
        <v>405</v>
      </c>
      <c r="AU757" s="134" t="s">
        <v>80</v>
      </c>
      <c r="AY757" s="17" t="s">
        <v>126</v>
      </c>
      <c r="BE757" s="135">
        <f>IF(N757="základní",J757,0)</f>
        <v>0</v>
      </c>
      <c r="BF757" s="135">
        <f>IF(N757="snížená",J757,0)</f>
        <v>0</v>
      </c>
      <c r="BG757" s="135">
        <f>IF(N757="zákl. přenesená",J757,0)</f>
        <v>0</v>
      </c>
      <c r="BH757" s="135">
        <f>IF(N757="sníž. přenesená",J757,0)</f>
        <v>0</v>
      </c>
      <c r="BI757" s="135">
        <f>IF(N757="nulová",J757,0)</f>
        <v>0</v>
      </c>
      <c r="BJ757" s="17" t="s">
        <v>78</v>
      </c>
      <c r="BK757" s="135">
        <f>ROUND(I757*H757,2)</f>
        <v>0</v>
      </c>
      <c r="BL757" s="17" t="s">
        <v>221</v>
      </c>
      <c r="BM757" s="134" t="s">
        <v>1624</v>
      </c>
    </row>
    <row r="758" spans="2:65" s="1" customFormat="1" ht="16.5" customHeight="1">
      <c r="B758" s="123"/>
      <c r="C758" s="152" t="s">
        <v>1625</v>
      </c>
      <c r="D758" s="152" t="s">
        <v>405</v>
      </c>
      <c r="E758" s="153" t="s">
        <v>1626</v>
      </c>
      <c r="F758" s="154" t="s">
        <v>1627</v>
      </c>
      <c r="G758" s="155" t="s">
        <v>296</v>
      </c>
      <c r="H758" s="156">
        <v>320</v>
      </c>
      <c r="I758" s="157"/>
      <c r="J758" s="157">
        <f>ROUND(I758*H758,2)</f>
        <v>0</v>
      </c>
      <c r="K758" s="154" t="s">
        <v>132</v>
      </c>
      <c r="L758" s="158"/>
      <c r="M758" s="159" t="s">
        <v>3</v>
      </c>
      <c r="N758" s="160" t="s">
        <v>41</v>
      </c>
      <c r="O758" s="132">
        <v>0</v>
      </c>
      <c r="P758" s="132">
        <f>O758*H758</f>
        <v>0</v>
      </c>
      <c r="Q758" s="132">
        <v>0.0038</v>
      </c>
      <c r="R758" s="132">
        <f>Q758*H758</f>
        <v>1.216</v>
      </c>
      <c r="S758" s="132">
        <v>0</v>
      </c>
      <c r="T758" s="133">
        <f>S758*H758</f>
        <v>0</v>
      </c>
      <c r="AR758" s="134" t="s">
        <v>325</v>
      </c>
      <c r="AT758" s="134" t="s">
        <v>405</v>
      </c>
      <c r="AU758" s="134" t="s">
        <v>80</v>
      </c>
      <c r="AY758" s="17" t="s">
        <v>126</v>
      </c>
      <c r="BE758" s="135">
        <f>IF(N758="základní",J758,0)</f>
        <v>0</v>
      </c>
      <c r="BF758" s="135">
        <f>IF(N758="snížená",J758,0)</f>
        <v>0</v>
      </c>
      <c r="BG758" s="135">
        <f>IF(N758="zákl. přenesená",J758,0)</f>
        <v>0</v>
      </c>
      <c r="BH758" s="135">
        <f>IF(N758="sníž. přenesená",J758,0)</f>
        <v>0</v>
      </c>
      <c r="BI758" s="135">
        <f>IF(N758="nulová",J758,0)</f>
        <v>0</v>
      </c>
      <c r="BJ758" s="17" t="s">
        <v>78</v>
      </c>
      <c r="BK758" s="135">
        <f>ROUND(I758*H758,2)</f>
        <v>0</v>
      </c>
      <c r="BL758" s="17" t="s">
        <v>221</v>
      </c>
      <c r="BM758" s="134" t="s">
        <v>1628</v>
      </c>
    </row>
    <row r="759" spans="2:65" s="1" customFormat="1" ht="16.5" customHeight="1">
      <c r="B759" s="123"/>
      <c r="C759" s="152" t="s">
        <v>1629</v>
      </c>
      <c r="D759" s="152" t="s">
        <v>405</v>
      </c>
      <c r="E759" s="153" t="s">
        <v>1630</v>
      </c>
      <c r="F759" s="154" t="s">
        <v>1631</v>
      </c>
      <c r="G759" s="155" t="s">
        <v>296</v>
      </c>
      <c r="H759" s="156">
        <v>10</v>
      </c>
      <c r="I759" s="157"/>
      <c r="J759" s="157">
        <f>ROUND(I759*H759,2)</f>
        <v>0</v>
      </c>
      <c r="K759" s="154" t="s">
        <v>132</v>
      </c>
      <c r="L759" s="158"/>
      <c r="M759" s="159" t="s">
        <v>3</v>
      </c>
      <c r="N759" s="160" t="s">
        <v>41</v>
      </c>
      <c r="O759" s="132">
        <v>0</v>
      </c>
      <c r="P759" s="132">
        <f>O759*H759</f>
        <v>0</v>
      </c>
      <c r="Q759" s="132">
        <v>0.007</v>
      </c>
      <c r="R759" s="132">
        <f>Q759*H759</f>
        <v>0.07</v>
      </c>
      <c r="S759" s="132">
        <v>0</v>
      </c>
      <c r="T759" s="133">
        <f>S759*H759</f>
        <v>0</v>
      </c>
      <c r="AR759" s="134" t="s">
        <v>325</v>
      </c>
      <c r="AT759" s="134" t="s">
        <v>405</v>
      </c>
      <c r="AU759" s="134" t="s">
        <v>80</v>
      </c>
      <c r="AY759" s="17" t="s">
        <v>126</v>
      </c>
      <c r="BE759" s="135">
        <f>IF(N759="základní",J759,0)</f>
        <v>0</v>
      </c>
      <c r="BF759" s="135">
        <f>IF(N759="snížená",J759,0)</f>
        <v>0</v>
      </c>
      <c r="BG759" s="135">
        <f>IF(N759="zákl. přenesená",J759,0)</f>
        <v>0</v>
      </c>
      <c r="BH759" s="135">
        <f>IF(N759="sníž. přenesená",J759,0)</f>
        <v>0</v>
      </c>
      <c r="BI759" s="135">
        <f>IF(N759="nulová",J759,0)</f>
        <v>0</v>
      </c>
      <c r="BJ759" s="17" t="s">
        <v>78</v>
      </c>
      <c r="BK759" s="135">
        <f>ROUND(I759*H759,2)</f>
        <v>0</v>
      </c>
      <c r="BL759" s="17" t="s">
        <v>221</v>
      </c>
      <c r="BM759" s="134" t="s">
        <v>1632</v>
      </c>
    </row>
    <row r="760" spans="2:65" s="1" customFormat="1" ht="16.5" customHeight="1">
      <c r="B760" s="123"/>
      <c r="C760" s="124" t="s">
        <v>1633</v>
      </c>
      <c r="D760" s="124" t="s">
        <v>128</v>
      </c>
      <c r="E760" s="125" t="s">
        <v>1634</v>
      </c>
      <c r="F760" s="126" t="s">
        <v>1635</v>
      </c>
      <c r="G760" s="127" t="s">
        <v>249</v>
      </c>
      <c r="H760" s="128">
        <v>108.65</v>
      </c>
      <c r="I760" s="129"/>
      <c r="J760" s="129">
        <f>ROUND(I760*H760,2)</f>
        <v>0</v>
      </c>
      <c r="K760" s="126" t="s">
        <v>132</v>
      </c>
      <c r="L760" s="29"/>
      <c r="M760" s="130" t="s">
        <v>3</v>
      </c>
      <c r="N760" s="131" t="s">
        <v>41</v>
      </c>
      <c r="O760" s="132">
        <v>0.108</v>
      </c>
      <c r="P760" s="132">
        <f>O760*H760</f>
        <v>11.734200000000001</v>
      </c>
      <c r="Q760" s="132">
        <v>1E-05</v>
      </c>
      <c r="R760" s="132">
        <f>Q760*H760</f>
        <v>0.0010865000000000002</v>
      </c>
      <c r="S760" s="132">
        <v>0</v>
      </c>
      <c r="T760" s="133">
        <f>S760*H760</f>
        <v>0</v>
      </c>
      <c r="AR760" s="134" t="s">
        <v>221</v>
      </c>
      <c r="AT760" s="134" t="s">
        <v>128</v>
      </c>
      <c r="AU760" s="134" t="s">
        <v>80</v>
      </c>
      <c r="AY760" s="17" t="s">
        <v>126</v>
      </c>
      <c r="BE760" s="135">
        <f>IF(N760="základní",J760,0)</f>
        <v>0</v>
      </c>
      <c r="BF760" s="135">
        <f>IF(N760="snížená",J760,0)</f>
        <v>0</v>
      </c>
      <c r="BG760" s="135">
        <f>IF(N760="zákl. přenesená",J760,0)</f>
        <v>0</v>
      </c>
      <c r="BH760" s="135">
        <f>IF(N760="sníž. přenesená",J760,0)</f>
        <v>0</v>
      </c>
      <c r="BI760" s="135">
        <f>IF(N760="nulová",J760,0)</f>
        <v>0</v>
      </c>
      <c r="BJ760" s="17" t="s">
        <v>78</v>
      </c>
      <c r="BK760" s="135">
        <f>ROUND(I760*H760,2)</f>
        <v>0</v>
      </c>
      <c r="BL760" s="17" t="s">
        <v>221</v>
      </c>
      <c r="BM760" s="134" t="s">
        <v>1636</v>
      </c>
    </row>
    <row r="761" spans="2:47" s="1" customFormat="1" ht="12">
      <c r="B761" s="29"/>
      <c r="D761" s="136" t="s">
        <v>135</v>
      </c>
      <c r="F761" s="137" t="s">
        <v>1637</v>
      </c>
      <c r="L761" s="29"/>
      <c r="M761" s="138"/>
      <c r="T761" s="49"/>
      <c r="AT761" s="17" t="s">
        <v>135</v>
      </c>
      <c r="AU761" s="17" t="s">
        <v>80</v>
      </c>
    </row>
    <row r="762" spans="2:51" s="12" customFormat="1" ht="12">
      <c r="B762" s="139"/>
      <c r="D762" s="140" t="s">
        <v>137</v>
      </c>
      <c r="E762" s="141" t="s">
        <v>3</v>
      </c>
      <c r="F762" s="142" t="s">
        <v>1638</v>
      </c>
      <c r="H762" s="143">
        <v>108.65</v>
      </c>
      <c r="L762" s="139"/>
      <c r="M762" s="144"/>
      <c r="T762" s="145"/>
      <c r="AT762" s="141" t="s">
        <v>137</v>
      </c>
      <c r="AU762" s="141" t="s">
        <v>80</v>
      </c>
      <c r="AV762" s="12" t="s">
        <v>80</v>
      </c>
      <c r="AW762" s="12" t="s">
        <v>32</v>
      </c>
      <c r="AX762" s="12" t="s">
        <v>78</v>
      </c>
      <c r="AY762" s="141" t="s">
        <v>126</v>
      </c>
    </row>
    <row r="763" spans="2:65" s="1" customFormat="1" ht="16.5" customHeight="1">
      <c r="B763" s="123"/>
      <c r="C763" s="152" t="s">
        <v>1639</v>
      </c>
      <c r="D763" s="152" t="s">
        <v>405</v>
      </c>
      <c r="E763" s="153" t="s">
        <v>1640</v>
      </c>
      <c r="F763" s="154" t="s">
        <v>1641</v>
      </c>
      <c r="G763" s="155" t="s">
        <v>249</v>
      </c>
      <c r="H763" s="156">
        <v>119.515</v>
      </c>
      <c r="I763" s="157"/>
      <c r="J763" s="157">
        <f>ROUND(I763*H763,2)</f>
        <v>0</v>
      </c>
      <c r="K763" s="154" t="s">
        <v>132</v>
      </c>
      <c r="L763" s="158"/>
      <c r="M763" s="159" t="s">
        <v>3</v>
      </c>
      <c r="N763" s="160" t="s">
        <v>41</v>
      </c>
      <c r="O763" s="132">
        <v>0</v>
      </c>
      <c r="P763" s="132">
        <f>O763*H763</f>
        <v>0</v>
      </c>
      <c r="Q763" s="132">
        <v>0.0001</v>
      </c>
      <c r="R763" s="132">
        <f>Q763*H763</f>
        <v>0.0119515</v>
      </c>
      <c r="S763" s="132">
        <v>0</v>
      </c>
      <c r="T763" s="133">
        <f>S763*H763</f>
        <v>0</v>
      </c>
      <c r="AR763" s="134" t="s">
        <v>325</v>
      </c>
      <c r="AT763" s="134" t="s">
        <v>405</v>
      </c>
      <c r="AU763" s="134" t="s">
        <v>80</v>
      </c>
      <c r="AY763" s="17" t="s">
        <v>126</v>
      </c>
      <c r="BE763" s="135">
        <f>IF(N763="základní",J763,0)</f>
        <v>0</v>
      </c>
      <c r="BF763" s="135">
        <f>IF(N763="snížená",J763,0)</f>
        <v>0</v>
      </c>
      <c r="BG763" s="135">
        <f>IF(N763="zákl. přenesená",J763,0)</f>
        <v>0</v>
      </c>
      <c r="BH763" s="135">
        <f>IF(N763="sníž. přenesená",J763,0)</f>
        <v>0</v>
      </c>
      <c r="BI763" s="135">
        <f>IF(N763="nulová",J763,0)</f>
        <v>0</v>
      </c>
      <c r="BJ763" s="17" t="s">
        <v>78</v>
      </c>
      <c r="BK763" s="135">
        <f>ROUND(I763*H763,2)</f>
        <v>0</v>
      </c>
      <c r="BL763" s="17" t="s">
        <v>221</v>
      </c>
      <c r="BM763" s="134" t="s">
        <v>1642</v>
      </c>
    </row>
    <row r="764" spans="2:51" s="12" customFormat="1" ht="12">
      <c r="B764" s="139"/>
      <c r="D764" s="140" t="s">
        <v>137</v>
      </c>
      <c r="F764" s="142" t="s">
        <v>1643</v>
      </c>
      <c r="H764" s="143">
        <v>119.515</v>
      </c>
      <c r="L764" s="139"/>
      <c r="M764" s="144"/>
      <c r="T764" s="145"/>
      <c r="AT764" s="141" t="s">
        <v>137</v>
      </c>
      <c r="AU764" s="141" t="s">
        <v>80</v>
      </c>
      <c r="AV764" s="12" t="s">
        <v>80</v>
      </c>
      <c r="AW764" s="12" t="s">
        <v>4</v>
      </c>
      <c r="AX764" s="12" t="s">
        <v>78</v>
      </c>
      <c r="AY764" s="141" t="s">
        <v>126</v>
      </c>
    </row>
    <row r="765" spans="2:65" s="1" customFormat="1" ht="21.75" customHeight="1">
      <c r="B765" s="123"/>
      <c r="C765" s="124" t="s">
        <v>1644</v>
      </c>
      <c r="D765" s="124" t="s">
        <v>128</v>
      </c>
      <c r="E765" s="125" t="s">
        <v>1645</v>
      </c>
      <c r="F765" s="126" t="s">
        <v>1646</v>
      </c>
      <c r="G765" s="127" t="s">
        <v>249</v>
      </c>
      <c r="H765" s="128">
        <v>48.2</v>
      </c>
      <c r="I765" s="129"/>
      <c r="J765" s="129">
        <f>ROUND(I765*H765,2)</f>
        <v>0</v>
      </c>
      <c r="K765" s="126" t="s">
        <v>132</v>
      </c>
      <c r="L765" s="29"/>
      <c r="M765" s="130" t="s">
        <v>3</v>
      </c>
      <c r="N765" s="131" t="s">
        <v>41</v>
      </c>
      <c r="O765" s="132">
        <v>1.161</v>
      </c>
      <c r="P765" s="132">
        <f>O765*H765</f>
        <v>55.96020000000001</v>
      </c>
      <c r="Q765" s="132">
        <v>0.00125</v>
      </c>
      <c r="R765" s="132">
        <f>Q765*H765</f>
        <v>0.060250000000000005</v>
      </c>
      <c r="S765" s="132">
        <v>0</v>
      </c>
      <c r="T765" s="133">
        <f>S765*H765</f>
        <v>0</v>
      </c>
      <c r="AR765" s="134" t="s">
        <v>221</v>
      </c>
      <c r="AT765" s="134" t="s">
        <v>128</v>
      </c>
      <c r="AU765" s="134" t="s">
        <v>80</v>
      </c>
      <c r="AY765" s="17" t="s">
        <v>126</v>
      </c>
      <c r="BE765" s="135">
        <f>IF(N765="základní",J765,0)</f>
        <v>0</v>
      </c>
      <c r="BF765" s="135">
        <f>IF(N765="snížená",J765,0)</f>
        <v>0</v>
      </c>
      <c r="BG765" s="135">
        <f>IF(N765="zákl. přenesená",J765,0)</f>
        <v>0</v>
      </c>
      <c r="BH765" s="135">
        <f>IF(N765="sníž. přenesená",J765,0)</f>
        <v>0</v>
      </c>
      <c r="BI765" s="135">
        <f>IF(N765="nulová",J765,0)</f>
        <v>0</v>
      </c>
      <c r="BJ765" s="17" t="s">
        <v>78</v>
      </c>
      <c r="BK765" s="135">
        <f>ROUND(I765*H765,2)</f>
        <v>0</v>
      </c>
      <c r="BL765" s="17" t="s">
        <v>221</v>
      </c>
      <c r="BM765" s="134" t="s">
        <v>1647</v>
      </c>
    </row>
    <row r="766" spans="2:47" s="1" customFormat="1" ht="12">
      <c r="B766" s="29"/>
      <c r="D766" s="136" t="s">
        <v>135</v>
      </c>
      <c r="F766" s="137" t="s">
        <v>1648</v>
      </c>
      <c r="L766" s="29"/>
      <c r="M766" s="138"/>
      <c r="T766" s="49"/>
      <c r="AT766" s="17" t="s">
        <v>135</v>
      </c>
      <c r="AU766" s="17" t="s">
        <v>80</v>
      </c>
    </row>
    <row r="767" spans="2:51" s="12" customFormat="1" ht="12">
      <c r="B767" s="139"/>
      <c r="D767" s="140" t="s">
        <v>137</v>
      </c>
      <c r="E767" s="141" t="s">
        <v>3</v>
      </c>
      <c r="F767" s="142" t="s">
        <v>1649</v>
      </c>
      <c r="H767" s="143">
        <v>48.2</v>
      </c>
      <c r="L767" s="139"/>
      <c r="M767" s="144"/>
      <c r="T767" s="145"/>
      <c r="AT767" s="141" t="s">
        <v>137</v>
      </c>
      <c r="AU767" s="141" t="s">
        <v>80</v>
      </c>
      <c r="AV767" s="12" t="s">
        <v>80</v>
      </c>
      <c r="AW767" s="12" t="s">
        <v>32</v>
      </c>
      <c r="AX767" s="12" t="s">
        <v>78</v>
      </c>
      <c r="AY767" s="141" t="s">
        <v>126</v>
      </c>
    </row>
    <row r="768" spans="2:65" s="1" customFormat="1" ht="16.5" customHeight="1">
      <c r="B768" s="123"/>
      <c r="C768" s="152" t="s">
        <v>1650</v>
      </c>
      <c r="D768" s="152" t="s">
        <v>405</v>
      </c>
      <c r="E768" s="153" t="s">
        <v>1651</v>
      </c>
      <c r="F768" s="154" t="s">
        <v>1652</v>
      </c>
      <c r="G768" s="155" t="s">
        <v>296</v>
      </c>
      <c r="H768" s="156">
        <v>148.938</v>
      </c>
      <c r="I768" s="157"/>
      <c r="J768" s="157">
        <f>ROUND(I768*H768,2)</f>
        <v>0</v>
      </c>
      <c r="K768" s="154" t="s">
        <v>132</v>
      </c>
      <c r="L768" s="158"/>
      <c r="M768" s="159" t="s">
        <v>3</v>
      </c>
      <c r="N768" s="160" t="s">
        <v>41</v>
      </c>
      <c r="O768" s="132">
        <v>0</v>
      </c>
      <c r="P768" s="132">
        <f>O768*H768</f>
        <v>0</v>
      </c>
      <c r="Q768" s="132">
        <v>0.0032</v>
      </c>
      <c r="R768" s="132">
        <f>Q768*H768</f>
        <v>0.47660159999999996</v>
      </c>
      <c r="S768" s="132">
        <v>0</v>
      </c>
      <c r="T768" s="133">
        <f>S768*H768</f>
        <v>0</v>
      </c>
      <c r="AR768" s="134" t="s">
        <v>325</v>
      </c>
      <c r="AT768" s="134" t="s">
        <v>405</v>
      </c>
      <c r="AU768" s="134" t="s">
        <v>80</v>
      </c>
      <c r="AY768" s="17" t="s">
        <v>126</v>
      </c>
      <c r="BE768" s="135">
        <f>IF(N768="základní",J768,0)</f>
        <v>0</v>
      </c>
      <c r="BF768" s="135">
        <f>IF(N768="snížená",J768,0)</f>
        <v>0</v>
      </c>
      <c r="BG768" s="135">
        <f>IF(N768="zákl. přenesená",J768,0)</f>
        <v>0</v>
      </c>
      <c r="BH768" s="135">
        <f>IF(N768="sníž. přenesená",J768,0)</f>
        <v>0</v>
      </c>
      <c r="BI768" s="135">
        <f>IF(N768="nulová",J768,0)</f>
        <v>0</v>
      </c>
      <c r="BJ768" s="17" t="s">
        <v>78</v>
      </c>
      <c r="BK768" s="135">
        <f>ROUND(I768*H768,2)</f>
        <v>0</v>
      </c>
      <c r="BL768" s="17" t="s">
        <v>221</v>
      </c>
      <c r="BM768" s="134" t="s">
        <v>1653</v>
      </c>
    </row>
    <row r="769" spans="2:51" s="12" customFormat="1" ht="12">
      <c r="B769" s="139"/>
      <c r="D769" s="140" t="s">
        <v>137</v>
      </c>
      <c r="F769" s="142" t="s">
        <v>1654</v>
      </c>
      <c r="H769" s="143">
        <v>148.938</v>
      </c>
      <c r="L769" s="139"/>
      <c r="M769" s="144"/>
      <c r="T769" s="145"/>
      <c r="AT769" s="141" t="s">
        <v>137</v>
      </c>
      <c r="AU769" s="141" t="s">
        <v>80</v>
      </c>
      <c r="AV769" s="12" t="s">
        <v>80</v>
      </c>
      <c r="AW769" s="12" t="s">
        <v>4</v>
      </c>
      <c r="AX769" s="12" t="s">
        <v>78</v>
      </c>
      <c r="AY769" s="141" t="s">
        <v>126</v>
      </c>
    </row>
    <row r="770" spans="2:65" s="1" customFormat="1" ht="21.75" customHeight="1">
      <c r="B770" s="123"/>
      <c r="C770" s="124" t="s">
        <v>1655</v>
      </c>
      <c r="D770" s="124" t="s">
        <v>128</v>
      </c>
      <c r="E770" s="125" t="s">
        <v>1656</v>
      </c>
      <c r="F770" s="126" t="s">
        <v>1657</v>
      </c>
      <c r="G770" s="127" t="s">
        <v>296</v>
      </c>
      <c r="H770" s="128">
        <v>5</v>
      </c>
      <c r="I770" s="129"/>
      <c r="J770" s="129">
        <f>ROUND(I770*H770,2)</f>
        <v>0</v>
      </c>
      <c r="K770" s="126" t="s">
        <v>132</v>
      </c>
      <c r="L770" s="29"/>
      <c r="M770" s="130" t="s">
        <v>3</v>
      </c>
      <c r="N770" s="131" t="s">
        <v>41</v>
      </c>
      <c r="O770" s="132">
        <v>1.188</v>
      </c>
      <c r="P770" s="132">
        <f>O770*H770</f>
        <v>5.9399999999999995</v>
      </c>
      <c r="Q770" s="132">
        <v>0</v>
      </c>
      <c r="R770" s="132">
        <f>Q770*H770</f>
        <v>0</v>
      </c>
      <c r="S770" s="132">
        <v>0</v>
      </c>
      <c r="T770" s="133">
        <f>S770*H770</f>
        <v>0</v>
      </c>
      <c r="AR770" s="134" t="s">
        <v>221</v>
      </c>
      <c r="AT770" s="134" t="s">
        <v>128</v>
      </c>
      <c r="AU770" s="134" t="s">
        <v>80</v>
      </c>
      <c r="AY770" s="17" t="s">
        <v>126</v>
      </c>
      <c r="BE770" s="135">
        <f>IF(N770="základní",J770,0)</f>
        <v>0</v>
      </c>
      <c r="BF770" s="135">
        <f>IF(N770="snížená",J770,0)</f>
        <v>0</v>
      </c>
      <c r="BG770" s="135">
        <f>IF(N770="zákl. přenesená",J770,0)</f>
        <v>0</v>
      </c>
      <c r="BH770" s="135">
        <f>IF(N770="sníž. přenesená",J770,0)</f>
        <v>0</v>
      </c>
      <c r="BI770" s="135">
        <f>IF(N770="nulová",J770,0)</f>
        <v>0</v>
      </c>
      <c r="BJ770" s="17" t="s">
        <v>78</v>
      </c>
      <c r="BK770" s="135">
        <f>ROUND(I770*H770,2)</f>
        <v>0</v>
      </c>
      <c r="BL770" s="17" t="s">
        <v>221</v>
      </c>
      <c r="BM770" s="134" t="s">
        <v>1658</v>
      </c>
    </row>
    <row r="771" spans="2:47" s="1" customFormat="1" ht="12">
      <c r="B771" s="29"/>
      <c r="D771" s="136" t="s">
        <v>135</v>
      </c>
      <c r="F771" s="137" t="s">
        <v>1659</v>
      </c>
      <c r="L771" s="29"/>
      <c r="M771" s="138"/>
      <c r="T771" s="49"/>
      <c r="AT771" s="17" t="s">
        <v>135</v>
      </c>
      <c r="AU771" s="17" t="s">
        <v>80</v>
      </c>
    </row>
    <row r="772" spans="2:51" s="12" customFormat="1" ht="12">
      <c r="B772" s="139"/>
      <c r="D772" s="140" t="s">
        <v>137</v>
      </c>
      <c r="E772" s="141" t="s">
        <v>3</v>
      </c>
      <c r="F772" s="142" t="s">
        <v>1660</v>
      </c>
      <c r="H772" s="143">
        <v>5</v>
      </c>
      <c r="L772" s="139"/>
      <c r="M772" s="144"/>
      <c r="T772" s="145"/>
      <c r="AT772" s="141" t="s">
        <v>137</v>
      </c>
      <c r="AU772" s="141" t="s">
        <v>80</v>
      </c>
      <c r="AV772" s="12" t="s">
        <v>80</v>
      </c>
      <c r="AW772" s="12" t="s">
        <v>32</v>
      </c>
      <c r="AX772" s="12" t="s">
        <v>78</v>
      </c>
      <c r="AY772" s="141" t="s">
        <v>126</v>
      </c>
    </row>
    <row r="773" spans="2:65" s="1" customFormat="1" ht="16.5" customHeight="1">
      <c r="B773" s="123"/>
      <c r="C773" s="124" t="s">
        <v>1661</v>
      </c>
      <c r="D773" s="124" t="s">
        <v>128</v>
      </c>
      <c r="E773" s="125" t="s">
        <v>1662</v>
      </c>
      <c r="F773" s="126" t="s">
        <v>1663</v>
      </c>
      <c r="G773" s="127" t="s">
        <v>249</v>
      </c>
      <c r="H773" s="128">
        <v>49.648</v>
      </c>
      <c r="I773" s="129"/>
      <c r="J773" s="129">
        <f>ROUND(I773*H773,2)</f>
        <v>0</v>
      </c>
      <c r="K773" s="126" t="s">
        <v>132</v>
      </c>
      <c r="L773" s="29"/>
      <c r="M773" s="130" t="s">
        <v>3</v>
      </c>
      <c r="N773" s="131" t="s">
        <v>41</v>
      </c>
      <c r="O773" s="132">
        <v>0.185</v>
      </c>
      <c r="P773" s="132">
        <f>O773*H773</f>
        <v>9.18488</v>
      </c>
      <c r="Q773" s="132">
        <v>0</v>
      </c>
      <c r="R773" s="132">
        <f>Q773*H773</f>
        <v>0</v>
      </c>
      <c r="S773" s="132">
        <v>0</v>
      </c>
      <c r="T773" s="133">
        <f>S773*H773</f>
        <v>0</v>
      </c>
      <c r="AR773" s="134" t="s">
        <v>221</v>
      </c>
      <c r="AT773" s="134" t="s">
        <v>128</v>
      </c>
      <c r="AU773" s="134" t="s">
        <v>80</v>
      </c>
      <c r="AY773" s="17" t="s">
        <v>126</v>
      </c>
      <c r="BE773" s="135">
        <f>IF(N773="základní",J773,0)</f>
        <v>0</v>
      </c>
      <c r="BF773" s="135">
        <f>IF(N773="snížená",J773,0)</f>
        <v>0</v>
      </c>
      <c r="BG773" s="135">
        <f>IF(N773="zákl. přenesená",J773,0)</f>
        <v>0</v>
      </c>
      <c r="BH773" s="135">
        <f>IF(N773="sníž. přenesená",J773,0)</f>
        <v>0</v>
      </c>
      <c r="BI773" s="135">
        <f>IF(N773="nulová",J773,0)</f>
        <v>0</v>
      </c>
      <c r="BJ773" s="17" t="s">
        <v>78</v>
      </c>
      <c r="BK773" s="135">
        <f>ROUND(I773*H773,2)</f>
        <v>0</v>
      </c>
      <c r="BL773" s="17" t="s">
        <v>221</v>
      </c>
      <c r="BM773" s="134" t="s">
        <v>1664</v>
      </c>
    </row>
    <row r="774" spans="2:47" s="1" customFormat="1" ht="12">
      <c r="B774" s="29"/>
      <c r="D774" s="136" t="s">
        <v>135</v>
      </c>
      <c r="F774" s="137" t="s">
        <v>1665</v>
      </c>
      <c r="L774" s="29"/>
      <c r="M774" s="138"/>
      <c r="T774" s="49"/>
      <c r="AT774" s="17" t="s">
        <v>135</v>
      </c>
      <c r="AU774" s="17" t="s">
        <v>80</v>
      </c>
    </row>
    <row r="775" spans="2:51" s="12" customFormat="1" ht="12">
      <c r="B775" s="139"/>
      <c r="D775" s="140" t="s">
        <v>137</v>
      </c>
      <c r="E775" s="141" t="s">
        <v>3</v>
      </c>
      <c r="F775" s="142" t="s">
        <v>1666</v>
      </c>
      <c r="H775" s="143">
        <v>49.648</v>
      </c>
      <c r="L775" s="139"/>
      <c r="M775" s="144"/>
      <c r="T775" s="145"/>
      <c r="AT775" s="141" t="s">
        <v>137</v>
      </c>
      <c r="AU775" s="141" t="s">
        <v>80</v>
      </c>
      <c r="AV775" s="12" t="s">
        <v>80</v>
      </c>
      <c r="AW775" s="12" t="s">
        <v>32</v>
      </c>
      <c r="AX775" s="12" t="s">
        <v>78</v>
      </c>
      <c r="AY775" s="141" t="s">
        <v>126</v>
      </c>
    </row>
    <row r="776" spans="2:65" s="1" customFormat="1" ht="21.75" customHeight="1">
      <c r="B776" s="123"/>
      <c r="C776" s="124" t="s">
        <v>1667</v>
      </c>
      <c r="D776" s="124" t="s">
        <v>128</v>
      </c>
      <c r="E776" s="125" t="s">
        <v>1668</v>
      </c>
      <c r="F776" s="126" t="s">
        <v>1669</v>
      </c>
      <c r="G776" s="127" t="s">
        <v>131</v>
      </c>
      <c r="H776" s="128">
        <v>790</v>
      </c>
      <c r="I776" s="129"/>
      <c r="J776" s="129">
        <f>ROUND(I776*H776,2)</f>
        <v>0</v>
      </c>
      <c r="K776" s="126" t="s">
        <v>132</v>
      </c>
      <c r="L776" s="29"/>
      <c r="M776" s="130" t="s">
        <v>3</v>
      </c>
      <c r="N776" s="131" t="s">
        <v>41</v>
      </c>
      <c r="O776" s="132">
        <v>0.153</v>
      </c>
      <c r="P776" s="132">
        <f>O776*H776</f>
        <v>120.87</v>
      </c>
      <c r="Q776" s="132">
        <v>4E-05</v>
      </c>
      <c r="R776" s="132">
        <f>Q776*H776</f>
        <v>0.0316</v>
      </c>
      <c r="S776" s="132">
        <v>0</v>
      </c>
      <c r="T776" s="133">
        <f>S776*H776</f>
        <v>0</v>
      </c>
      <c r="AR776" s="134" t="s">
        <v>221</v>
      </c>
      <c r="AT776" s="134" t="s">
        <v>128</v>
      </c>
      <c r="AU776" s="134" t="s">
        <v>80</v>
      </c>
      <c r="AY776" s="17" t="s">
        <v>126</v>
      </c>
      <c r="BE776" s="135">
        <f>IF(N776="základní",J776,0)</f>
        <v>0</v>
      </c>
      <c r="BF776" s="135">
        <f>IF(N776="snížená",J776,0)</f>
        <v>0</v>
      </c>
      <c r="BG776" s="135">
        <f>IF(N776="zákl. přenesená",J776,0)</f>
        <v>0</v>
      </c>
      <c r="BH776" s="135">
        <f>IF(N776="sníž. přenesená",J776,0)</f>
        <v>0</v>
      </c>
      <c r="BI776" s="135">
        <f>IF(N776="nulová",J776,0)</f>
        <v>0</v>
      </c>
      <c r="BJ776" s="17" t="s">
        <v>78</v>
      </c>
      <c r="BK776" s="135">
        <f>ROUND(I776*H776,2)</f>
        <v>0</v>
      </c>
      <c r="BL776" s="17" t="s">
        <v>221</v>
      </c>
      <c r="BM776" s="134" t="s">
        <v>1670</v>
      </c>
    </row>
    <row r="777" spans="2:47" s="1" customFormat="1" ht="12">
      <c r="B777" s="29"/>
      <c r="D777" s="136" t="s">
        <v>135</v>
      </c>
      <c r="F777" s="137" t="s">
        <v>1671</v>
      </c>
      <c r="L777" s="29"/>
      <c r="M777" s="138"/>
      <c r="T777" s="49"/>
      <c r="AT777" s="17" t="s">
        <v>135</v>
      </c>
      <c r="AU777" s="17" t="s">
        <v>80</v>
      </c>
    </row>
    <row r="778" spans="2:51" s="12" customFormat="1" ht="12">
      <c r="B778" s="139"/>
      <c r="D778" s="140" t="s">
        <v>137</v>
      </c>
      <c r="E778" s="141" t="s">
        <v>3</v>
      </c>
      <c r="F778" s="142" t="s">
        <v>1315</v>
      </c>
      <c r="H778" s="143">
        <v>790</v>
      </c>
      <c r="L778" s="139"/>
      <c r="M778" s="144"/>
      <c r="T778" s="145"/>
      <c r="AT778" s="141" t="s">
        <v>137</v>
      </c>
      <c r="AU778" s="141" t="s">
        <v>80</v>
      </c>
      <c r="AV778" s="12" t="s">
        <v>80</v>
      </c>
      <c r="AW778" s="12" t="s">
        <v>32</v>
      </c>
      <c r="AX778" s="12" t="s">
        <v>78</v>
      </c>
      <c r="AY778" s="141" t="s">
        <v>126</v>
      </c>
    </row>
    <row r="779" spans="2:65" s="1" customFormat="1" ht="16.5" customHeight="1">
      <c r="B779" s="123"/>
      <c r="C779" s="124" t="s">
        <v>1672</v>
      </c>
      <c r="D779" s="124" t="s">
        <v>128</v>
      </c>
      <c r="E779" s="125" t="s">
        <v>1673</v>
      </c>
      <c r="F779" s="126" t="s">
        <v>1674</v>
      </c>
      <c r="G779" s="127" t="s">
        <v>296</v>
      </c>
      <c r="H779" s="128">
        <v>5</v>
      </c>
      <c r="I779" s="129"/>
      <c r="J779" s="129">
        <f>ROUND(I779*H779,2)</f>
        <v>0</v>
      </c>
      <c r="K779" s="126" t="s">
        <v>132</v>
      </c>
      <c r="L779" s="29"/>
      <c r="M779" s="130" t="s">
        <v>3</v>
      </c>
      <c r="N779" s="131" t="s">
        <v>41</v>
      </c>
      <c r="O779" s="132">
        <v>0.936</v>
      </c>
      <c r="P779" s="132">
        <f>O779*H779</f>
        <v>4.680000000000001</v>
      </c>
      <c r="Q779" s="132">
        <v>0</v>
      </c>
      <c r="R779" s="132">
        <f>Q779*H779</f>
        <v>0</v>
      </c>
      <c r="S779" s="132">
        <v>0</v>
      </c>
      <c r="T779" s="133">
        <f>S779*H779</f>
        <v>0</v>
      </c>
      <c r="AR779" s="134" t="s">
        <v>221</v>
      </c>
      <c r="AT779" s="134" t="s">
        <v>128</v>
      </c>
      <c r="AU779" s="134" t="s">
        <v>80</v>
      </c>
      <c r="AY779" s="17" t="s">
        <v>126</v>
      </c>
      <c r="BE779" s="135">
        <f>IF(N779="základní",J779,0)</f>
        <v>0</v>
      </c>
      <c r="BF779" s="135">
        <f>IF(N779="snížená",J779,0)</f>
        <v>0</v>
      </c>
      <c r="BG779" s="135">
        <f>IF(N779="zákl. přenesená",J779,0)</f>
        <v>0</v>
      </c>
      <c r="BH779" s="135">
        <f>IF(N779="sníž. přenesená",J779,0)</f>
        <v>0</v>
      </c>
      <c r="BI779" s="135">
        <f>IF(N779="nulová",J779,0)</f>
        <v>0</v>
      </c>
      <c r="BJ779" s="17" t="s">
        <v>78</v>
      </c>
      <c r="BK779" s="135">
        <f>ROUND(I779*H779,2)</f>
        <v>0</v>
      </c>
      <c r="BL779" s="17" t="s">
        <v>221</v>
      </c>
      <c r="BM779" s="134" t="s">
        <v>1675</v>
      </c>
    </row>
    <row r="780" spans="2:47" s="1" customFormat="1" ht="12">
      <c r="B780" s="29"/>
      <c r="D780" s="136" t="s">
        <v>135</v>
      </c>
      <c r="F780" s="137" t="s">
        <v>1676</v>
      </c>
      <c r="L780" s="29"/>
      <c r="M780" s="138"/>
      <c r="T780" s="49"/>
      <c r="AT780" s="17" t="s">
        <v>135</v>
      </c>
      <c r="AU780" s="17" t="s">
        <v>80</v>
      </c>
    </row>
    <row r="781" spans="2:51" s="12" customFormat="1" ht="12">
      <c r="B781" s="139"/>
      <c r="D781" s="140" t="s">
        <v>137</v>
      </c>
      <c r="E781" s="141" t="s">
        <v>3</v>
      </c>
      <c r="F781" s="142" t="s">
        <v>1660</v>
      </c>
      <c r="H781" s="143">
        <v>5</v>
      </c>
      <c r="L781" s="139"/>
      <c r="M781" s="144"/>
      <c r="T781" s="145"/>
      <c r="AT781" s="141" t="s">
        <v>137</v>
      </c>
      <c r="AU781" s="141" t="s">
        <v>80</v>
      </c>
      <c r="AV781" s="12" t="s">
        <v>80</v>
      </c>
      <c r="AW781" s="12" t="s">
        <v>32</v>
      </c>
      <c r="AX781" s="12" t="s">
        <v>78</v>
      </c>
      <c r="AY781" s="141" t="s">
        <v>126</v>
      </c>
    </row>
    <row r="782" spans="2:65" s="1" customFormat="1" ht="16.5" customHeight="1">
      <c r="B782" s="123"/>
      <c r="C782" s="152" t="s">
        <v>1677</v>
      </c>
      <c r="D782" s="152" t="s">
        <v>405</v>
      </c>
      <c r="E782" s="153" t="s">
        <v>1678</v>
      </c>
      <c r="F782" s="154" t="s">
        <v>1679</v>
      </c>
      <c r="G782" s="155" t="s">
        <v>296</v>
      </c>
      <c r="H782" s="156">
        <v>5</v>
      </c>
      <c r="I782" s="157"/>
      <c r="J782" s="157">
        <f>ROUND(I782*H782,2)</f>
        <v>0</v>
      </c>
      <c r="K782" s="154" t="s">
        <v>132</v>
      </c>
      <c r="L782" s="158"/>
      <c r="M782" s="159" t="s">
        <v>3</v>
      </c>
      <c r="N782" s="160" t="s">
        <v>41</v>
      </c>
      <c r="O782" s="132">
        <v>0</v>
      </c>
      <c r="P782" s="132">
        <f>O782*H782</f>
        <v>0</v>
      </c>
      <c r="Q782" s="132">
        <v>0.014</v>
      </c>
      <c r="R782" s="132">
        <f>Q782*H782</f>
        <v>0.07</v>
      </c>
      <c r="S782" s="132">
        <v>0</v>
      </c>
      <c r="T782" s="133">
        <f>S782*H782</f>
        <v>0</v>
      </c>
      <c r="AR782" s="134" t="s">
        <v>325</v>
      </c>
      <c r="AT782" s="134" t="s">
        <v>405</v>
      </c>
      <c r="AU782" s="134" t="s">
        <v>80</v>
      </c>
      <c r="AY782" s="17" t="s">
        <v>126</v>
      </c>
      <c r="BE782" s="135">
        <f>IF(N782="základní",J782,0)</f>
        <v>0</v>
      </c>
      <c r="BF782" s="135">
        <f>IF(N782="snížená",J782,0)</f>
        <v>0</v>
      </c>
      <c r="BG782" s="135">
        <f>IF(N782="zákl. přenesená",J782,0)</f>
        <v>0</v>
      </c>
      <c r="BH782" s="135">
        <f>IF(N782="sníž. přenesená",J782,0)</f>
        <v>0</v>
      </c>
      <c r="BI782" s="135">
        <f>IF(N782="nulová",J782,0)</f>
        <v>0</v>
      </c>
      <c r="BJ782" s="17" t="s">
        <v>78</v>
      </c>
      <c r="BK782" s="135">
        <f>ROUND(I782*H782,2)</f>
        <v>0</v>
      </c>
      <c r="BL782" s="17" t="s">
        <v>221</v>
      </c>
      <c r="BM782" s="134" t="s">
        <v>1680</v>
      </c>
    </row>
    <row r="783" spans="2:65" s="1" customFormat="1" ht="16.5" customHeight="1">
      <c r="B783" s="123"/>
      <c r="C783" s="124" t="s">
        <v>1681</v>
      </c>
      <c r="D783" s="124" t="s">
        <v>128</v>
      </c>
      <c r="E783" s="125" t="s">
        <v>1682</v>
      </c>
      <c r="F783" s="126" t="s">
        <v>1683</v>
      </c>
      <c r="G783" s="127" t="s">
        <v>296</v>
      </c>
      <c r="H783" s="128">
        <v>1</v>
      </c>
      <c r="I783" s="129"/>
      <c r="J783" s="129">
        <f>ROUND(I783*H783,2)</f>
        <v>0</v>
      </c>
      <c r="K783" s="126" t="s">
        <v>132</v>
      </c>
      <c r="L783" s="29"/>
      <c r="M783" s="130" t="s">
        <v>3</v>
      </c>
      <c r="N783" s="131" t="s">
        <v>41</v>
      </c>
      <c r="O783" s="132">
        <v>0.524</v>
      </c>
      <c r="P783" s="132">
        <f>O783*H783</f>
        <v>0.524</v>
      </c>
      <c r="Q783" s="132">
        <v>0</v>
      </c>
      <c r="R783" s="132">
        <f>Q783*H783</f>
        <v>0</v>
      </c>
      <c r="S783" s="132">
        <v>0</v>
      </c>
      <c r="T783" s="133">
        <f>S783*H783</f>
        <v>0</v>
      </c>
      <c r="AR783" s="134" t="s">
        <v>221</v>
      </c>
      <c r="AT783" s="134" t="s">
        <v>128</v>
      </c>
      <c r="AU783" s="134" t="s">
        <v>80</v>
      </c>
      <c r="AY783" s="17" t="s">
        <v>126</v>
      </c>
      <c r="BE783" s="135">
        <f>IF(N783="základní",J783,0)</f>
        <v>0</v>
      </c>
      <c r="BF783" s="135">
        <f>IF(N783="snížená",J783,0)</f>
        <v>0</v>
      </c>
      <c r="BG783" s="135">
        <f>IF(N783="zákl. přenesená",J783,0)</f>
        <v>0</v>
      </c>
      <c r="BH783" s="135">
        <f>IF(N783="sníž. přenesená",J783,0)</f>
        <v>0</v>
      </c>
      <c r="BI783" s="135">
        <f>IF(N783="nulová",J783,0)</f>
        <v>0</v>
      </c>
      <c r="BJ783" s="17" t="s">
        <v>78</v>
      </c>
      <c r="BK783" s="135">
        <f>ROUND(I783*H783,2)</f>
        <v>0</v>
      </c>
      <c r="BL783" s="17" t="s">
        <v>221</v>
      </c>
      <c r="BM783" s="134" t="s">
        <v>1684</v>
      </c>
    </row>
    <row r="784" spans="2:47" s="1" customFormat="1" ht="12">
      <c r="B784" s="29"/>
      <c r="D784" s="136" t="s">
        <v>135</v>
      </c>
      <c r="F784" s="137" t="s">
        <v>1685</v>
      </c>
      <c r="L784" s="29"/>
      <c r="M784" s="138"/>
      <c r="T784" s="49"/>
      <c r="AT784" s="17" t="s">
        <v>135</v>
      </c>
      <c r="AU784" s="17" t="s">
        <v>80</v>
      </c>
    </row>
    <row r="785" spans="2:51" s="12" customFormat="1" ht="12">
      <c r="B785" s="139"/>
      <c r="D785" s="140" t="s">
        <v>137</v>
      </c>
      <c r="E785" s="141" t="s">
        <v>3</v>
      </c>
      <c r="F785" s="142" t="s">
        <v>1686</v>
      </c>
      <c r="H785" s="143">
        <v>1</v>
      </c>
      <c r="L785" s="139"/>
      <c r="M785" s="144"/>
      <c r="T785" s="145"/>
      <c r="AT785" s="141" t="s">
        <v>137</v>
      </c>
      <c r="AU785" s="141" t="s">
        <v>80</v>
      </c>
      <c r="AV785" s="12" t="s">
        <v>80</v>
      </c>
      <c r="AW785" s="12" t="s">
        <v>32</v>
      </c>
      <c r="AX785" s="12" t="s">
        <v>78</v>
      </c>
      <c r="AY785" s="141" t="s">
        <v>126</v>
      </c>
    </row>
    <row r="786" spans="2:65" s="1" customFormat="1" ht="16.5" customHeight="1">
      <c r="B786" s="123"/>
      <c r="C786" s="152" t="s">
        <v>1687</v>
      </c>
      <c r="D786" s="152" t="s">
        <v>405</v>
      </c>
      <c r="E786" s="153" t="s">
        <v>1688</v>
      </c>
      <c r="F786" s="154" t="s">
        <v>1689</v>
      </c>
      <c r="G786" s="155" t="s">
        <v>1690</v>
      </c>
      <c r="H786" s="156">
        <v>1</v>
      </c>
      <c r="I786" s="157"/>
      <c r="J786" s="157">
        <f>ROUND(I786*H786,2)</f>
        <v>0</v>
      </c>
      <c r="K786" s="154" t="s">
        <v>132</v>
      </c>
      <c r="L786" s="158"/>
      <c r="M786" s="159" t="s">
        <v>3</v>
      </c>
      <c r="N786" s="160" t="s">
        <v>41</v>
      </c>
      <c r="O786" s="132">
        <v>0</v>
      </c>
      <c r="P786" s="132">
        <f>O786*H786</f>
        <v>0</v>
      </c>
      <c r="Q786" s="132">
        <v>0.006</v>
      </c>
      <c r="R786" s="132">
        <f>Q786*H786</f>
        <v>0.006</v>
      </c>
      <c r="S786" s="132">
        <v>0</v>
      </c>
      <c r="T786" s="133">
        <f>S786*H786</f>
        <v>0</v>
      </c>
      <c r="AR786" s="134" t="s">
        <v>325</v>
      </c>
      <c r="AT786" s="134" t="s">
        <v>405</v>
      </c>
      <c r="AU786" s="134" t="s">
        <v>80</v>
      </c>
      <c r="AY786" s="17" t="s">
        <v>126</v>
      </c>
      <c r="BE786" s="135">
        <f>IF(N786="základní",J786,0)</f>
        <v>0</v>
      </c>
      <c r="BF786" s="135">
        <f>IF(N786="snížená",J786,0)</f>
        <v>0</v>
      </c>
      <c r="BG786" s="135">
        <f>IF(N786="zákl. přenesená",J786,0)</f>
        <v>0</v>
      </c>
      <c r="BH786" s="135">
        <f>IF(N786="sníž. přenesená",J786,0)</f>
        <v>0</v>
      </c>
      <c r="BI786" s="135">
        <f>IF(N786="nulová",J786,0)</f>
        <v>0</v>
      </c>
      <c r="BJ786" s="17" t="s">
        <v>78</v>
      </c>
      <c r="BK786" s="135">
        <f>ROUND(I786*H786,2)</f>
        <v>0</v>
      </c>
      <c r="BL786" s="17" t="s">
        <v>221</v>
      </c>
      <c r="BM786" s="134" t="s">
        <v>1691</v>
      </c>
    </row>
    <row r="787" spans="2:65" s="1" customFormat="1" ht="16.5" customHeight="1">
      <c r="B787" s="123"/>
      <c r="C787" s="124" t="s">
        <v>1692</v>
      </c>
      <c r="D787" s="124" t="s">
        <v>128</v>
      </c>
      <c r="E787" s="125" t="s">
        <v>1693</v>
      </c>
      <c r="F787" s="126" t="s">
        <v>1694</v>
      </c>
      <c r="G787" s="127" t="s">
        <v>296</v>
      </c>
      <c r="H787" s="128">
        <v>4</v>
      </c>
      <c r="I787" s="129"/>
      <c r="J787" s="129">
        <f>ROUND(I787*H787,2)</f>
        <v>0</v>
      </c>
      <c r="K787" s="126" t="s">
        <v>132</v>
      </c>
      <c r="L787" s="29"/>
      <c r="M787" s="130" t="s">
        <v>3</v>
      </c>
      <c r="N787" s="131" t="s">
        <v>41</v>
      </c>
      <c r="O787" s="132">
        <v>0.549</v>
      </c>
      <c r="P787" s="132">
        <f>O787*H787</f>
        <v>2.196</v>
      </c>
      <c r="Q787" s="132">
        <v>0</v>
      </c>
      <c r="R787" s="132">
        <f>Q787*H787</f>
        <v>0</v>
      </c>
      <c r="S787" s="132">
        <v>0</v>
      </c>
      <c r="T787" s="133">
        <f>S787*H787</f>
        <v>0</v>
      </c>
      <c r="AR787" s="134" t="s">
        <v>221</v>
      </c>
      <c r="AT787" s="134" t="s">
        <v>128</v>
      </c>
      <c r="AU787" s="134" t="s">
        <v>80</v>
      </c>
      <c r="AY787" s="17" t="s">
        <v>126</v>
      </c>
      <c r="BE787" s="135">
        <f>IF(N787="základní",J787,0)</f>
        <v>0</v>
      </c>
      <c r="BF787" s="135">
        <f>IF(N787="snížená",J787,0)</f>
        <v>0</v>
      </c>
      <c r="BG787" s="135">
        <f>IF(N787="zákl. přenesená",J787,0)</f>
        <v>0</v>
      </c>
      <c r="BH787" s="135">
        <f>IF(N787="sníž. přenesená",J787,0)</f>
        <v>0</v>
      </c>
      <c r="BI787" s="135">
        <f>IF(N787="nulová",J787,0)</f>
        <v>0</v>
      </c>
      <c r="BJ787" s="17" t="s">
        <v>78</v>
      </c>
      <c r="BK787" s="135">
        <f>ROUND(I787*H787,2)</f>
        <v>0</v>
      </c>
      <c r="BL787" s="17" t="s">
        <v>221</v>
      </c>
      <c r="BM787" s="134" t="s">
        <v>1695</v>
      </c>
    </row>
    <row r="788" spans="2:47" s="1" customFormat="1" ht="12">
      <c r="B788" s="29"/>
      <c r="D788" s="136" t="s">
        <v>135</v>
      </c>
      <c r="F788" s="137" t="s">
        <v>1696</v>
      </c>
      <c r="L788" s="29"/>
      <c r="M788" s="138"/>
      <c r="T788" s="49"/>
      <c r="AT788" s="17" t="s">
        <v>135</v>
      </c>
      <c r="AU788" s="17" t="s">
        <v>80</v>
      </c>
    </row>
    <row r="789" spans="2:51" s="12" customFormat="1" ht="12">
      <c r="B789" s="139"/>
      <c r="D789" s="140" t="s">
        <v>137</v>
      </c>
      <c r="E789" s="141" t="s">
        <v>3</v>
      </c>
      <c r="F789" s="142" t="s">
        <v>1697</v>
      </c>
      <c r="H789" s="143">
        <v>4</v>
      </c>
      <c r="L789" s="139"/>
      <c r="M789" s="144"/>
      <c r="T789" s="145"/>
      <c r="AT789" s="141" t="s">
        <v>137</v>
      </c>
      <c r="AU789" s="141" t="s">
        <v>80</v>
      </c>
      <c r="AV789" s="12" t="s">
        <v>80</v>
      </c>
      <c r="AW789" s="12" t="s">
        <v>32</v>
      </c>
      <c r="AX789" s="12" t="s">
        <v>78</v>
      </c>
      <c r="AY789" s="141" t="s">
        <v>126</v>
      </c>
    </row>
    <row r="790" spans="2:65" s="1" customFormat="1" ht="16.5" customHeight="1">
      <c r="B790" s="123"/>
      <c r="C790" s="152" t="s">
        <v>1698</v>
      </c>
      <c r="D790" s="152" t="s">
        <v>405</v>
      </c>
      <c r="E790" s="153" t="s">
        <v>1699</v>
      </c>
      <c r="F790" s="154" t="s">
        <v>1700</v>
      </c>
      <c r="G790" s="155" t="s">
        <v>1690</v>
      </c>
      <c r="H790" s="156">
        <v>4</v>
      </c>
      <c r="I790" s="157"/>
      <c r="J790" s="157">
        <f>ROUND(I790*H790,2)</f>
        <v>0</v>
      </c>
      <c r="K790" s="154" t="s">
        <v>132</v>
      </c>
      <c r="L790" s="158"/>
      <c r="M790" s="159" t="s">
        <v>3</v>
      </c>
      <c r="N790" s="160" t="s">
        <v>41</v>
      </c>
      <c r="O790" s="132">
        <v>0</v>
      </c>
      <c r="P790" s="132">
        <f>O790*H790</f>
        <v>0</v>
      </c>
      <c r="Q790" s="132">
        <v>0.0076</v>
      </c>
      <c r="R790" s="132">
        <f>Q790*H790</f>
        <v>0.0304</v>
      </c>
      <c r="S790" s="132">
        <v>0</v>
      </c>
      <c r="T790" s="133">
        <f>S790*H790</f>
        <v>0</v>
      </c>
      <c r="AR790" s="134" t="s">
        <v>325</v>
      </c>
      <c r="AT790" s="134" t="s">
        <v>405</v>
      </c>
      <c r="AU790" s="134" t="s">
        <v>80</v>
      </c>
      <c r="AY790" s="17" t="s">
        <v>126</v>
      </c>
      <c r="BE790" s="135">
        <f>IF(N790="základní",J790,0)</f>
        <v>0</v>
      </c>
      <c r="BF790" s="135">
        <f>IF(N790="snížená",J790,0)</f>
        <v>0</v>
      </c>
      <c r="BG790" s="135">
        <f>IF(N790="zákl. přenesená",J790,0)</f>
        <v>0</v>
      </c>
      <c r="BH790" s="135">
        <f>IF(N790="sníž. přenesená",J790,0)</f>
        <v>0</v>
      </c>
      <c r="BI790" s="135">
        <f>IF(N790="nulová",J790,0)</f>
        <v>0</v>
      </c>
      <c r="BJ790" s="17" t="s">
        <v>78</v>
      </c>
      <c r="BK790" s="135">
        <f>ROUND(I790*H790,2)</f>
        <v>0</v>
      </c>
      <c r="BL790" s="17" t="s">
        <v>221</v>
      </c>
      <c r="BM790" s="134" t="s">
        <v>1701</v>
      </c>
    </row>
    <row r="791" spans="2:65" s="1" customFormat="1" ht="16.5" customHeight="1">
      <c r="B791" s="123"/>
      <c r="C791" s="124" t="s">
        <v>1702</v>
      </c>
      <c r="D791" s="124" t="s">
        <v>128</v>
      </c>
      <c r="E791" s="125" t="s">
        <v>1703</v>
      </c>
      <c r="F791" s="126" t="s">
        <v>1704</v>
      </c>
      <c r="G791" s="127" t="s">
        <v>296</v>
      </c>
      <c r="H791" s="128">
        <v>1106</v>
      </c>
      <c r="I791" s="129"/>
      <c r="J791" s="129">
        <f>ROUND(I791*H791,2)</f>
        <v>0</v>
      </c>
      <c r="K791" s="126" t="s">
        <v>132</v>
      </c>
      <c r="L791" s="29"/>
      <c r="M791" s="130" t="s">
        <v>3</v>
      </c>
      <c r="N791" s="131" t="s">
        <v>41</v>
      </c>
      <c r="O791" s="132">
        <v>0.055</v>
      </c>
      <c r="P791" s="132">
        <f>O791*H791</f>
        <v>60.83</v>
      </c>
      <c r="Q791" s="132">
        <v>0</v>
      </c>
      <c r="R791" s="132">
        <f>Q791*H791</f>
        <v>0</v>
      </c>
      <c r="S791" s="132">
        <v>0</v>
      </c>
      <c r="T791" s="133">
        <f>S791*H791</f>
        <v>0</v>
      </c>
      <c r="AR791" s="134" t="s">
        <v>221</v>
      </c>
      <c r="AT791" s="134" t="s">
        <v>128</v>
      </c>
      <c r="AU791" s="134" t="s">
        <v>80</v>
      </c>
      <c r="AY791" s="17" t="s">
        <v>126</v>
      </c>
      <c r="BE791" s="135">
        <f>IF(N791="základní",J791,0)</f>
        <v>0</v>
      </c>
      <c r="BF791" s="135">
        <f>IF(N791="snížená",J791,0)</f>
        <v>0</v>
      </c>
      <c r="BG791" s="135">
        <f>IF(N791="zákl. přenesená",J791,0)</f>
        <v>0</v>
      </c>
      <c r="BH791" s="135">
        <f>IF(N791="sníž. přenesená",J791,0)</f>
        <v>0</v>
      </c>
      <c r="BI791" s="135">
        <f>IF(N791="nulová",J791,0)</f>
        <v>0</v>
      </c>
      <c r="BJ791" s="17" t="s">
        <v>78</v>
      </c>
      <c r="BK791" s="135">
        <f>ROUND(I791*H791,2)</f>
        <v>0</v>
      </c>
      <c r="BL791" s="17" t="s">
        <v>221</v>
      </c>
      <c r="BM791" s="134" t="s">
        <v>1705</v>
      </c>
    </row>
    <row r="792" spans="2:47" s="1" customFormat="1" ht="12">
      <c r="B792" s="29"/>
      <c r="D792" s="136" t="s">
        <v>135</v>
      </c>
      <c r="F792" s="137" t="s">
        <v>1706</v>
      </c>
      <c r="L792" s="29"/>
      <c r="M792" s="138"/>
      <c r="T792" s="49"/>
      <c r="AT792" s="17" t="s">
        <v>135</v>
      </c>
      <c r="AU792" s="17" t="s">
        <v>80</v>
      </c>
    </row>
    <row r="793" spans="2:51" s="12" customFormat="1" ht="12">
      <c r="B793" s="139"/>
      <c r="D793" s="140" t="s">
        <v>137</v>
      </c>
      <c r="E793" s="141" t="s">
        <v>3</v>
      </c>
      <c r="F793" s="142" t="s">
        <v>1707</v>
      </c>
      <c r="H793" s="143">
        <v>1106</v>
      </c>
      <c r="L793" s="139"/>
      <c r="M793" s="144"/>
      <c r="T793" s="145"/>
      <c r="AT793" s="141" t="s">
        <v>137</v>
      </c>
      <c r="AU793" s="141" t="s">
        <v>80</v>
      </c>
      <c r="AV793" s="12" t="s">
        <v>80</v>
      </c>
      <c r="AW793" s="12" t="s">
        <v>32</v>
      </c>
      <c r="AX793" s="12" t="s">
        <v>78</v>
      </c>
      <c r="AY793" s="141" t="s">
        <v>126</v>
      </c>
    </row>
    <row r="794" spans="2:65" s="1" customFormat="1" ht="16.5" customHeight="1">
      <c r="B794" s="123"/>
      <c r="C794" s="152" t="s">
        <v>1708</v>
      </c>
      <c r="D794" s="152" t="s">
        <v>405</v>
      </c>
      <c r="E794" s="153" t="s">
        <v>1709</v>
      </c>
      <c r="F794" s="154" t="s">
        <v>1710</v>
      </c>
      <c r="G794" s="155" t="s">
        <v>296</v>
      </c>
      <c r="H794" s="156">
        <v>1216.6</v>
      </c>
      <c r="I794" s="157"/>
      <c r="J794" s="157">
        <f>ROUND(I794*H794,2)</f>
        <v>0</v>
      </c>
      <c r="K794" s="154" t="s">
        <v>132</v>
      </c>
      <c r="L794" s="158"/>
      <c r="M794" s="159" t="s">
        <v>3</v>
      </c>
      <c r="N794" s="160" t="s">
        <v>41</v>
      </c>
      <c r="O794" s="132">
        <v>0</v>
      </c>
      <c r="P794" s="132">
        <f>O794*H794</f>
        <v>0</v>
      </c>
      <c r="Q794" s="132">
        <v>0.00022</v>
      </c>
      <c r="R794" s="132">
        <f>Q794*H794</f>
        <v>0.267652</v>
      </c>
      <c r="S794" s="132">
        <v>0</v>
      </c>
      <c r="T794" s="133">
        <f>S794*H794</f>
        <v>0</v>
      </c>
      <c r="AR794" s="134" t="s">
        <v>325</v>
      </c>
      <c r="AT794" s="134" t="s">
        <v>405</v>
      </c>
      <c r="AU794" s="134" t="s">
        <v>80</v>
      </c>
      <c r="AY794" s="17" t="s">
        <v>126</v>
      </c>
      <c r="BE794" s="135">
        <f>IF(N794="základní",J794,0)</f>
        <v>0</v>
      </c>
      <c r="BF794" s="135">
        <f>IF(N794="snížená",J794,0)</f>
        <v>0</v>
      </c>
      <c r="BG794" s="135">
        <f>IF(N794="zákl. přenesená",J794,0)</f>
        <v>0</v>
      </c>
      <c r="BH794" s="135">
        <f>IF(N794="sníž. přenesená",J794,0)</f>
        <v>0</v>
      </c>
      <c r="BI794" s="135">
        <f>IF(N794="nulová",J794,0)</f>
        <v>0</v>
      </c>
      <c r="BJ794" s="17" t="s">
        <v>78</v>
      </c>
      <c r="BK794" s="135">
        <f>ROUND(I794*H794,2)</f>
        <v>0</v>
      </c>
      <c r="BL794" s="17" t="s">
        <v>221</v>
      </c>
      <c r="BM794" s="134" t="s">
        <v>1711</v>
      </c>
    </row>
    <row r="795" spans="2:51" s="12" customFormat="1" ht="12">
      <c r="B795" s="139"/>
      <c r="D795" s="140" t="s">
        <v>137</v>
      </c>
      <c r="F795" s="142" t="s">
        <v>1712</v>
      </c>
      <c r="H795" s="143">
        <v>1216.6</v>
      </c>
      <c r="L795" s="139"/>
      <c r="M795" s="144"/>
      <c r="T795" s="145"/>
      <c r="AT795" s="141" t="s">
        <v>137</v>
      </c>
      <c r="AU795" s="141" t="s">
        <v>80</v>
      </c>
      <c r="AV795" s="12" t="s">
        <v>80</v>
      </c>
      <c r="AW795" s="12" t="s">
        <v>4</v>
      </c>
      <c r="AX795" s="12" t="s">
        <v>78</v>
      </c>
      <c r="AY795" s="141" t="s">
        <v>126</v>
      </c>
    </row>
    <row r="796" spans="2:65" s="1" customFormat="1" ht="16.5" customHeight="1">
      <c r="B796" s="123"/>
      <c r="C796" s="124" t="s">
        <v>1713</v>
      </c>
      <c r="D796" s="124" t="s">
        <v>128</v>
      </c>
      <c r="E796" s="125" t="s">
        <v>1714</v>
      </c>
      <c r="F796" s="126" t="s">
        <v>1715</v>
      </c>
      <c r="G796" s="127" t="s">
        <v>296</v>
      </c>
      <c r="H796" s="128">
        <v>5</v>
      </c>
      <c r="I796" s="129"/>
      <c r="J796" s="129">
        <f>ROUND(I796*H796,2)</f>
        <v>0</v>
      </c>
      <c r="K796" s="126" t="s">
        <v>132</v>
      </c>
      <c r="L796" s="29"/>
      <c r="M796" s="130" t="s">
        <v>3</v>
      </c>
      <c r="N796" s="131" t="s">
        <v>41</v>
      </c>
      <c r="O796" s="132">
        <v>0.743</v>
      </c>
      <c r="P796" s="132">
        <f>O796*H796</f>
        <v>3.715</v>
      </c>
      <c r="Q796" s="132">
        <v>0</v>
      </c>
      <c r="R796" s="132">
        <f>Q796*H796</f>
        <v>0</v>
      </c>
      <c r="S796" s="132">
        <v>0</v>
      </c>
      <c r="T796" s="133">
        <f>S796*H796</f>
        <v>0</v>
      </c>
      <c r="AR796" s="134" t="s">
        <v>221</v>
      </c>
      <c r="AT796" s="134" t="s">
        <v>128</v>
      </c>
      <c r="AU796" s="134" t="s">
        <v>80</v>
      </c>
      <c r="AY796" s="17" t="s">
        <v>126</v>
      </c>
      <c r="BE796" s="135">
        <f>IF(N796="základní",J796,0)</f>
        <v>0</v>
      </c>
      <c r="BF796" s="135">
        <f>IF(N796="snížená",J796,0)</f>
        <v>0</v>
      </c>
      <c r="BG796" s="135">
        <f>IF(N796="zákl. přenesená",J796,0)</f>
        <v>0</v>
      </c>
      <c r="BH796" s="135">
        <f>IF(N796="sníž. přenesená",J796,0)</f>
        <v>0</v>
      </c>
      <c r="BI796" s="135">
        <f>IF(N796="nulová",J796,0)</f>
        <v>0</v>
      </c>
      <c r="BJ796" s="17" t="s">
        <v>78</v>
      </c>
      <c r="BK796" s="135">
        <f>ROUND(I796*H796,2)</f>
        <v>0</v>
      </c>
      <c r="BL796" s="17" t="s">
        <v>221</v>
      </c>
      <c r="BM796" s="134" t="s">
        <v>1716</v>
      </c>
    </row>
    <row r="797" spans="2:47" s="1" customFormat="1" ht="12">
      <c r="B797" s="29"/>
      <c r="D797" s="136" t="s">
        <v>135</v>
      </c>
      <c r="F797" s="137" t="s">
        <v>1717</v>
      </c>
      <c r="L797" s="29"/>
      <c r="M797" s="138"/>
      <c r="T797" s="49"/>
      <c r="AT797" s="17" t="s">
        <v>135</v>
      </c>
      <c r="AU797" s="17" t="s">
        <v>80</v>
      </c>
    </row>
    <row r="798" spans="2:65" s="1" customFormat="1" ht="16.5" customHeight="1">
      <c r="B798" s="123"/>
      <c r="C798" s="152" t="s">
        <v>1718</v>
      </c>
      <c r="D798" s="152" t="s">
        <v>405</v>
      </c>
      <c r="E798" s="153" t="s">
        <v>1719</v>
      </c>
      <c r="F798" s="154" t="s">
        <v>1720</v>
      </c>
      <c r="G798" s="155" t="s">
        <v>1690</v>
      </c>
      <c r="H798" s="156">
        <v>5</v>
      </c>
      <c r="I798" s="157"/>
      <c r="J798" s="157">
        <f>ROUND(I798*H798,2)</f>
        <v>0</v>
      </c>
      <c r="K798" s="154" t="s">
        <v>132</v>
      </c>
      <c r="L798" s="158"/>
      <c r="M798" s="159" t="s">
        <v>3</v>
      </c>
      <c r="N798" s="160" t="s">
        <v>41</v>
      </c>
      <c r="O798" s="132">
        <v>0</v>
      </c>
      <c r="P798" s="132">
        <f>O798*H798</f>
        <v>0</v>
      </c>
      <c r="Q798" s="132">
        <v>0.01</v>
      </c>
      <c r="R798" s="132">
        <f>Q798*H798</f>
        <v>0.05</v>
      </c>
      <c r="S798" s="132">
        <v>0</v>
      </c>
      <c r="T798" s="133">
        <f>S798*H798</f>
        <v>0</v>
      </c>
      <c r="AR798" s="134" t="s">
        <v>325</v>
      </c>
      <c r="AT798" s="134" t="s">
        <v>405</v>
      </c>
      <c r="AU798" s="134" t="s">
        <v>80</v>
      </c>
      <c r="AY798" s="17" t="s">
        <v>126</v>
      </c>
      <c r="BE798" s="135">
        <f>IF(N798="základní",J798,0)</f>
        <v>0</v>
      </c>
      <c r="BF798" s="135">
        <f>IF(N798="snížená",J798,0)</f>
        <v>0</v>
      </c>
      <c r="BG798" s="135">
        <f>IF(N798="zákl. přenesená",J798,0)</f>
        <v>0</v>
      </c>
      <c r="BH798" s="135">
        <f>IF(N798="sníž. přenesená",J798,0)</f>
        <v>0</v>
      </c>
      <c r="BI798" s="135">
        <f>IF(N798="nulová",J798,0)</f>
        <v>0</v>
      </c>
      <c r="BJ798" s="17" t="s">
        <v>78</v>
      </c>
      <c r="BK798" s="135">
        <f>ROUND(I798*H798,2)</f>
        <v>0</v>
      </c>
      <c r="BL798" s="17" t="s">
        <v>221</v>
      </c>
      <c r="BM798" s="134" t="s">
        <v>1721</v>
      </c>
    </row>
    <row r="799" spans="2:65" s="1" customFormat="1" ht="24.2" customHeight="1">
      <c r="B799" s="123"/>
      <c r="C799" s="124" t="s">
        <v>1722</v>
      </c>
      <c r="D799" s="124" t="s">
        <v>128</v>
      </c>
      <c r="E799" s="125" t="s">
        <v>1723</v>
      </c>
      <c r="F799" s="126" t="s">
        <v>1724</v>
      </c>
      <c r="G799" s="127" t="s">
        <v>131</v>
      </c>
      <c r="H799" s="128">
        <v>29</v>
      </c>
      <c r="I799" s="129"/>
      <c r="J799" s="129">
        <f>ROUND(I799*H799,2)</f>
        <v>0</v>
      </c>
      <c r="K799" s="126" t="s">
        <v>132</v>
      </c>
      <c r="L799" s="29"/>
      <c r="M799" s="130" t="s">
        <v>3</v>
      </c>
      <c r="N799" s="131" t="s">
        <v>41</v>
      </c>
      <c r="O799" s="132">
        <v>0.1</v>
      </c>
      <c r="P799" s="132">
        <f>O799*H799</f>
        <v>2.9000000000000004</v>
      </c>
      <c r="Q799" s="132">
        <v>1E-05</v>
      </c>
      <c r="R799" s="132">
        <f>Q799*H799</f>
        <v>0.00029</v>
      </c>
      <c r="S799" s="132">
        <v>0</v>
      </c>
      <c r="T799" s="133">
        <f>S799*H799</f>
        <v>0</v>
      </c>
      <c r="AR799" s="134" t="s">
        <v>221</v>
      </c>
      <c r="AT799" s="134" t="s">
        <v>128</v>
      </c>
      <c r="AU799" s="134" t="s">
        <v>80</v>
      </c>
      <c r="AY799" s="17" t="s">
        <v>126</v>
      </c>
      <c r="BE799" s="135">
        <f>IF(N799="základní",J799,0)</f>
        <v>0</v>
      </c>
      <c r="BF799" s="135">
        <f>IF(N799="snížená",J799,0)</f>
        <v>0</v>
      </c>
      <c r="BG799" s="135">
        <f>IF(N799="zákl. přenesená",J799,0)</f>
        <v>0</v>
      </c>
      <c r="BH799" s="135">
        <f>IF(N799="sníž. přenesená",J799,0)</f>
        <v>0</v>
      </c>
      <c r="BI799" s="135">
        <f>IF(N799="nulová",J799,0)</f>
        <v>0</v>
      </c>
      <c r="BJ799" s="17" t="s">
        <v>78</v>
      </c>
      <c r="BK799" s="135">
        <f>ROUND(I799*H799,2)</f>
        <v>0</v>
      </c>
      <c r="BL799" s="17" t="s">
        <v>221</v>
      </c>
      <c r="BM799" s="134" t="s">
        <v>1725</v>
      </c>
    </row>
    <row r="800" spans="2:47" s="1" customFormat="1" ht="12">
      <c r="B800" s="29"/>
      <c r="D800" s="136" t="s">
        <v>135</v>
      </c>
      <c r="F800" s="137" t="s">
        <v>1726</v>
      </c>
      <c r="L800" s="29"/>
      <c r="M800" s="138"/>
      <c r="T800" s="49"/>
      <c r="AT800" s="17" t="s">
        <v>135</v>
      </c>
      <c r="AU800" s="17" t="s">
        <v>80</v>
      </c>
    </row>
    <row r="801" spans="2:51" s="12" customFormat="1" ht="12">
      <c r="B801" s="139"/>
      <c r="D801" s="140" t="s">
        <v>137</v>
      </c>
      <c r="E801" s="141" t="s">
        <v>3</v>
      </c>
      <c r="F801" s="142" t="s">
        <v>1304</v>
      </c>
      <c r="H801" s="143">
        <v>29</v>
      </c>
      <c r="L801" s="139"/>
      <c r="M801" s="144"/>
      <c r="T801" s="145"/>
      <c r="AT801" s="141" t="s">
        <v>137</v>
      </c>
      <c r="AU801" s="141" t="s">
        <v>80</v>
      </c>
      <c r="AV801" s="12" t="s">
        <v>80</v>
      </c>
      <c r="AW801" s="12" t="s">
        <v>32</v>
      </c>
      <c r="AX801" s="12" t="s">
        <v>78</v>
      </c>
      <c r="AY801" s="141" t="s">
        <v>126</v>
      </c>
    </row>
    <row r="802" spans="2:65" s="1" customFormat="1" ht="16.5" customHeight="1">
      <c r="B802" s="123"/>
      <c r="C802" s="152" t="s">
        <v>1727</v>
      </c>
      <c r="D802" s="152" t="s">
        <v>405</v>
      </c>
      <c r="E802" s="153" t="s">
        <v>1430</v>
      </c>
      <c r="F802" s="154" t="s">
        <v>1431</v>
      </c>
      <c r="G802" s="155" t="s">
        <v>131</v>
      </c>
      <c r="H802" s="156">
        <v>33.35</v>
      </c>
      <c r="I802" s="157"/>
      <c r="J802" s="157">
        <f>ROUND(I802*H802,2)</f>
        <v>0</v>
      </c>
      <c r="K802" s="154" t="s">
        <v>132</v>
      </c>
      <c r="L802" s="158"/>
      <c r="M802" s="159" t="s">
        <v>3</v>
      </c>
      <c r="N802" s="160" t="s">
        <v>41</v>
      </c>
      <c r="O802" s="132">
        <v>0</v>
      </c>
      <c r="P802" s="132">
        <f>O802*H802</f>
        <v>0</v>
      </c>
      <c r="Q802" s="132">
        <v>8E-05</v>
      </c>
      <c r="R802" s="132">
        <f>Q802*H802</f>
        <v>0.0026680000000000002</v>
      </c>
      <c r="S802" s="132">
        <v>0</v>
      </c>
      <c r="T802" s="133">
        <f>S802*H802</f>
        <v>0</v>
      </c>
      <c r="AR802" s="134" t="s">
        <v>325</v>
      </c>
      <c r="AT802" s="134" t="s">
        <v>405</v>
      </c>
      <c r="AU802" s="134" t="s">
        <v>80</v>
      </c>
      <c r="AY802" s="17" t="s">
        <v>126</v>
      </c>
      <c r="BE802" s="135">
        <f>IF(N802="základní",J802,0)</f>
        <v>0</v>
      </c>
      <c r="BF802" s="135">
        <f>IF(N802="snížená",J802,0)</f>
        <v>0</v>
      </c>
      <c r="BG802" s="135">
        <f>IF(N802="zákl. přenesená",J802,0)</f>
        <v>0</v>
      </c>
      <c r="BH802" s="135">
        <f>IF(N802="sníž. přenesená",J802,0)</f>
        <v>0</v>
      </c>
      <c r="BI802" s="135">
        <f>IF(N802="nulová",J802,0)</f>
        <v>0</v>
      </c>
      <c r="BJ802" s="17" t="s">
        <v>78</v>
      </c>
      <c r="BK802" s="135">
        <f>ROUND(I802*H802,2)</f>
        <v>0</v>
      </c>
      <c r="BL802" s="17" t="s">
        <v>221</v>
      </c>
      <c r="BM802" s="134" t="s">
        <v>1728</v>
      </c>
    </row>
    <row r="803" spans="2:51" s="12" customFormat="1" ht="12">
      <c r="B803" s="139"/>
      <c r="D803" s="140" t="s">
        <v>137</v>
      </c>
      <c r="F803" s="142" t="s">
        <v>1729</v>
      </c>
      <c r="H803" s="143">
        <v>33.35</v>
      </c>
      <c r="L803" s="139"/>
      <c r="M803" s="144"/>
      <c r="T803" s="145"/>
      <c r="AT803" s="141" t="s">
        <v>137</v>
      </c>
      <c r="AU803" s="141" t="s">
        <v>80</v>
      </c>
      <c r="AV803" s="12" t="s">
        <v>80</v>
      </c>
      <c r="AW803" s="12" t="s">
        <v>4</v>
      </c>
      <c r="AX803" s="12" t="s">
        <v>78</v>
      </c>
      <c r="AY803" s="141" t="s">
        <v>126</v>
      </c>
    </row>
    <row r="804" spans="2:65" s="1" customFormat="1" ht="21.75" customHeight="1">
      <c r="B804" s="123"/>
      <c r="C804" s="124" t="s">
        <v>1730</v>
      </c>
      <c r="D804" s="124" t="s">
        <v>128</v>
      </c>
      <c r="E804" s="125" t="s">
        <v>1731</v>
      </c>
      <c r="F804" s="126" t="s">
        <v>1732</v>
      </c>
      <c r="G804" s="127" t="s">
        <v>131</v>
      </c>
      <c r="H804" s="128">
        <v>866</v>
      </c>
      <c r="I804" s="129"/>
      <c r="J804" s="129">
        <f>ROUND(I804*H804,2)</f>
        <v>0</v>
      </c>
      <c r="K804" s="126" t="s">
        <v>132</v>
      </c>
      <c r="L804" s="29"/>
      <c r="M804" s="130" t="s">
        <v>3</v>
      </c>
      <c r="N804" s="131" t="s">
        <v>41</v>
      </c>
      <c r="O804" s="132">
        <v>0.093</v>
      </c>
      <c r="P804" s="132">
        <f>O804*H804</f>
        <v>80.538</v>
      </c>
      <c r="Q804" s="132">
        <v>0</v>
      </c>
      <c r="R804" s="132">
        <f>Q804*H804</f>
        <v>0</v>
      </c>
      <c r="S804" s="132">
        <v>0</v>
      </c>
      <c r="T804" s="133">
        <f>S804*H804</f>
        <v>0</v>
      </c>
      <c r="AR804" s="134" t="s">
        <v>221</v>
      </c>
      <c r="AT804" s="134" t="s">
        <v>128</v>
      </c>
      <c r="AU804" s="134" t="s">
        <v>80</v>
      </c>
      <c r="AY804" s="17" t="s">
        <v>126</v>
      </c>
      <c r="BE804" s="135">
        <f>IF(N804="základní",J804,0)</f>
        <v>0</v>
      </c>
      <c r="BF804" s="135">
        <f>IF(N804="snížená",J804,0)</f>
        <v>0</v>
      </c>
      <c r="BG804" s="135">
        <f>IF(N804="zákl. přenesená",J804,0)</f>
        <v>0</v>
      </c>
      <c r="BH804" s="135">
        <f>IF(N804="sníž. přenesená",J804,0)</f>
        <v>0</v>
      </c>
      <c r="BI804" s="135">
        <f>IF(N804="nulová",J804,0)</f>
        <v>0</v>
      </c>
      <c r="BJ804" s="17" t="s">
        <v>78</v>
      </c>
      <c r="BK804" s="135">
        <f>ROUND(I804*H804,2)</f>
        <v>0</v>
      </c>
      <c r="BL804" s="17" t="s">
        <v>221</v>
      </c>
      <c r="BM804" s="134" t="s">
        <v>1733</v>
      </c>
    </row>
    <row r="805" spans="2:47" s="1" customFormat="1" ht="12">
      <c r="B805" s="29"/>
      <c r="D805" s="136" t="s">
        <v>135</v>
      </c>
      <c r="F805" s="137" t="s">
        <v>1734</v>
      </c>
      <c r="L805" s="29"/>
      <c r="M805" s="138"/>
      <c r="T805" s="49"/>
      <c r="AT805" s="17" t="s">
        <v>135</v>
      </c>
      <c r="AU805" s="17" t="s">
        <v>80</v>
      </c>
    </row>
    <row r="806" spans="2:51" s="12" customFormat="1" ht="12">
      <c r="B806" s="139"/>
      <c r="D806" s="140" t="s">
        <v>137</v>
      </c>
      <c r="E806" s="141" t="s">
        <v>3</v>
      </c>
      <c r="F806" s="142" t="s">
        <v>1315</v>
      </c>
      <c r="H806" s="143">
        <v>790</v>
      </c>
      <c r="L806" s="139"/>
      <c r="M806" s="144"/>
      <c r="T806" s="145"/>
      <c r="AT806" s="141" t="s">
        <v>137</v>
      </c>
      <c r="AU806" s="141" t="s">
        <v>80</v>
      </c>
      <c r="AV806" s="12" t="s">
        <v>80</v>
      </c>
      <c r="AW806" s="12" t="s">
        <v>32</v>
      </c>
      <c r="AX806" s="12" t="s">
        <v>70</v>
      </c>
      <c r="AY806" s="141" t="s">
        <v>126</v>
      </c>
    </row>
    <row r="807" spans="2:51" s="12" customFormat="1" ht="12">
      <c r="B807" s="139"/>
      <c r="D807" s="140" t="s">
        <v>137</v>
      </c>
      <c r="E807" s="141" t="s">
        <v>3</v>
      </c>
      <c r="F807" s="142" t="s">
        <v>1303</v>
      </c>
      <c r="H807" s="143">
        <v>47</v>
      </c>
      <c r="L807" s="139"/>
      <c r="M807" s="144"/>
      <c r="T807" s="145"/>
      <c r="AT807" s="141" t="s">
        <v>137</v>
      </c>
      <c r="AU807" s="141" t="s">
        <v>80</v>
      </c>
      <c r="AV807" s="12" t="s">
        <v>80</v>
      </c>
      <c r="AW807" s="12" t="s">
        <v>32</v>
      </c>
      <c r="AX807" s="12" t="s">
        <v>70</v>
      </c>
      <c r="AY807" s="141" t="s">
        <v>126</v>
      </c>
    </row>
    <row r="808" spans="2:51" s="12" customFormat="1" ht="12">
      <c r="B808" s="139"/>
      <c r="D808" s="140" t="s">
        <v>137</v>
      </c>
      <c r="E808" s="141" t="s">
        <v>3</v>
      </c>
      <c r="F808" s="142" t="s">
        <v>1304</v>
      </c>
      <c r="H808" s="143">
        <v>29</v>
      </c>
      <c r="L808" s="139"/>
      <c r="M808" s="144"/>
      <c r="T808" s="145"/>
      <c r="AT808" s="141" t="s">
        <v>137</v>
      </c>
      <c r="AU808" s="141" t="s">
        <v>80</v>
      </c>
      <c r="AV808" s="12" t="s">
        <v>80</v>
      </c>
      <c r="AW808" s="12" t="s">
        <v>32</v>
      </c>
      <c r="AX808" s="12" t="s">
        <v>70</v>
      </c>
      <c r="AY808" s="141" t="s">
        <v>126</v>
      </c>
    </row>
    <row r="809" spans="2:51" s="13" customFormat="1" ht="12">
      <c r="B809" s="146"/>
      <c r="D809" s="140" t="s">
        <v>137</v>
      </c>
      <c r="E809" s="147" t="s">
        <v>3</v>
      </c>
      <c r="F809" s="148" t="s">
        <v>151</v>
      </c>
      <c r="H809" s="149">
        <v>866</v>
      </c>
      <c r="L809" s="146"/>
      <c r="M809" s="150"/>
      <c r="T809" s="151"/>
      <c r="AT809" s="147" t="s">
        <v>137</v>
      </c>
      <c r="AU809" s="147" t="s">
        <v>80</v>
      </c>
      <c r="AV809" s="13" t="s">
        <v>133</v>
      </c>
      <c r="AW809" s="13" t="s">
        <v>32</v>
      </c>
      <c r="AX809" s="13" t="s">
        <v>78</v>
      </c>
      <c r="AY809" s="147" t="s">
        <v>126</v>
      </c>
    </row>
    <row r="810" spans="2:65" s="1" customFormat="1" ht="24.2" customHeight="1">
      <c r="B810" s="123"/>
      <c r="C810" s="152" t="s">
        <v>1735</v>
      </c>
      <c r="D810" s="152" t="s">
        <v>405</v>
      </c>
      <c r="E810" s="153" t="s">
        <v>1736</v>
      </c>
      <c r="F810" s="154" t="s">
        <v>1737</v>
      </c>
      <c r="G810" s="155" t="s">
        <v>131</v>
      </c>
      <c r="H810" s="156">
        <v>995.9</v>
      </c>
      <c r="I810" s="157"/>
      <c r="J810" s="157">
        <f>ROUND(I810*H810,2)</f>
        <v>0</v>
      </c>
      <c r="K810" s="154" t="s">
        <v>132</v>
      </c>
      <c r="L810" s="158"/>
      <c r="M810" s="159" t="s">
        <v>3</v>
      </c>
      <c r="N810" s="160" t="s">
        <v>41</v>
      </c>
      <c r="O810" s="132">
        <v>0</v>
      </c>
      <c r="P810" s="132">
        <f>O810*H810</f>
        <v>0</v>
      </c>
      <c r="Q810" s="132">
        <v>6E-05</v>
      </c>
      <c r="R810" s="132">
        <f>Q810*H810</f>
        <v>0.059754</v>
      </c>
      <c r="S810" s="132">
        <v>0</v>
      </c>
      <c r="T810" s="133">
        <f>S810*H810</f>
        <v>0</v>
      </c>
      <c r="AR810" s="134" t="s">
        <v>325</v>
      </c>
      <c r="AT810" s="134" t="s">
        <v>405</v>
      </c>
      <c r="AU810" s="134" t="s">
        <v>80</v>
      </c>
      <c r="AY810" s="17" t="s">
        <v>126</v>
      </c>
      <c r="BE810" s="135">
        <f>IF(N810="základní",J810,0)</f>
        <v>0</v>
      </c>
      <c r="BF810" s="135">
        <f>IF(N810="snížená",J810,0)</f>
        <v>0</v>
      </c>
      <c r="BG810" s="135">
        <f>IF(N810="zákl. přenesená",J810,0)</f>
        <v>0</v>
      </c>
      <c r="BH810" s="135">
        <f>IF(N810="sníž. přenesená",J810,0)</f>
        <v>0</v>
      </c>
      <c r="BI810" s="135">
        <f>IF(N810="nulová",J810,0)</f>
        <v>0</v>
      </c>
      <c r="BJ810" s="17" t="s">
        <v>78</v>
      </c>
      <c r="BK810" s="135">
        <f>ROUND(I810*H810,2)</f>
        <v>0</v>
      </c>
      <c r="BL810" s="17" t="s">
        <v>221</v>
      </c>
      <c r="BM810" s="134" t="s">
        <v>1738</v>
      </c>
    </row>
    <row r="811" spans="2:51" s="12" customFormat="1" ht="12">
      <c r="B811" s="139"/>
      <c r="D811" s="140" t="s">
        <v>137</v>
      </c>
      <c r="F811" s="142" t="s">
        <v>1739</v>
      </c>
      <c r="H811" s="143">
        <v>995.9</v>
      </c>
      <c r="L811" s="139"/>
      <c r="M811" s="144"/>
      <c r="T811" s="145"/>
      <c r="AT811" s="141" t="s">
        <v>137</v>
      </c>
      <c r="AU811" s="141" t="s">
        <v>80</v>
      </c>
      <c r="AV811" s="12" t="s">
        <v>80</v>
      </c>
      <c r="AW811" s="12" t="s">
        <v>4</v>
      </c>
      <c r="AX811" s="12" t="s">
        <v>78</v>
      </c>
      <c r="AY811" s="141" t="s">
        <v>126</v>
      </c>
    </row>
    <row r="812" spans="2:65" s="1" customFormat="1" ht="21.75" customHeight="1">
      <c r="B812" s="123"/>
      <c r="C812" s="124" t="s">
        <v>1740</v>
      </c>
      <c r="D812" s="124" t="s">
        <v>128</v>
      </c>
      <c r="E812" s="125" t="s">
        <v>1741</v>
      </c>
      <c r="F812" s="126" t="s">
        <v>1742</v>
      </c>
      <c r="G812" s="127" t="s">
        <v>296</v>
      </c>
      <c r="H812" s="128">
        <v>29</v>
      </c>
      <c r="I812" s="129"/>
      <c r="J812" s="129">
        <f>ROUND(I812*H812,2)</f>
        <v>0</v>
      </c>
      <c r="K812" s="126" t="s">
        <v>132</v>
      </c>
      <c r="L812" s="29"/>
      <c r="M812" s="130" t="s">
        <v>3</v>
      </c>
      <c r="N812" s="131" t="s">
        <v>41</v>
      </c>
      <c r="O812" s="132">
        <v>0.36</v>
      </c>
      <c r="P812" s="132">
        <f>O812*H812</f>
        <v>10.44</v>
      </c>
      <c r="Q812" s="132">
        <v>6E-05</v>
      </c>
      <c r="R812" s="132">
        <f>Q812*H812</f>
        <v>0.00174</v>
      </c>
      <c r="S812" s="132">
        <v>0</v>
      </c>
      <c r="T812" s="133">
        <f>S812*H812</f>
        <v>0</v>
      </c>
      <c r="AR812" s="134" t="s">
        <v>221</v>
      </c>
      <c r="AT812" s="134" t="s">
        <v>128</v>
      </c>
      <c r="AU812" s="134" t="s">
        <v>80</v>
      </c>
      <c r="AY812" s="17" t="s">
        <v>126</v>
      </c>
      <c r="BE812" s="135">
        <f>IF(N812="základní",J812,0)</f>
        <v>0</v>
      </c>
      <c r="BF812" s="135">
        <f>IF(N812="snížená",J812,0)</f>
        <v>0</v>
      </c>
      <c r="BG812" s="135">
        <f>IF(N812="zákl. přenesená",J812,0)</f>
        <v>0</v>
      </c>
      <c r="BH812" s="135">
        <f>IF(N812="sníž. přenesená",J812,0)</f>
        <v>0</v>
      </c>
      <c r="BI812" s="135">
        <f>IF(N812="nulová",J812,0)</f>
        <v>0</v>
      </c>
      <c r="BJ812" s="17" t="s">
        <v>78</v>
      </c>
      <c r="BK812" s="135">
        <f>ROUND(I812*H812,2)</f>
        <v>0</v>
      </c>
      <c r="BL812" s="17" t="s">
        <v>221</v>
      </c>
      <c r="BM812" s="134" t="s">
        <v>1743</v>
      </c>
    </row>
    <row r="813" spans="2:47" s="1" customFormat="1" ht="12">
      <c r="B813" s="29"/>
      <c r="D813" s="136" t="s">
        <v>135</v>
      </c>
      <c r="F813" s="137" t="s">
        <v>1744</v>
      </c>
      <c r="L813" s="29"/>
      <c r="M813" s="138"/>
      <c r="T813" s="49"/>
      <c r="AT813" s="17" t="s">
        <v>135</v>
      </c>
      <c r="AU813" s="17" t="s">
        <v>80</v>
      </c>
    </row>
    <row r="814" spans="2:51" s="12" customFormat="1" ht="12">
      <c r="B814" s="139"/>
      <c r="D814" s="140" t="s">
        <v>137</v>
      </c>
      <c r="E814" s="141" t="s">
        <v>3</v>
      </c>
      <c r="F814" s="142" t="s">
        <v>1660</v>
      </c>
      <c r="H814" s="143">
        <v>5</v>
      </c>
      <c r="L814" s="139"/>
      <c r="M814" s="144"/>
      <c r="T814" s="145"/>
      <c r="AT814" s="141" t="s">
        <v>137</v>
      </c>
      <c r="AU814" s="141" t="s">
        <v>80</v>
      </c>
      <c r="AV814" s="12" t="s">
        <v>80</v>
      </c>
      <c r="AW814" s="12" t="s">
        <v>32</v>
      </c>
      <c r="AX814" s="12" t="s">
        <v>70</v>
      </c>
      <c r="AY814" s="141" t="s">
        <v>126</v>
      </c>
    </row>
    <row r="815" spans="2:51" s="12" customFormat="1" ht="12">
      <c r="B815" s="139"/>
      <c r="D815" s="140" t="s">
        <v>137</v>
      </c>
      <c r="E815" s="141" t="s">
        <v>3</v>
      </c>
      <c r="F815" s="142" t="s">
        <v>1745</v>
      </c>
      <c r="H815" s="143">
        <v>24</v>
      </c>
      <c r="L815" s="139"/>
      <c r="M815" s="144"/>
      <c r="T815" s="145"/>
      <c r="AT815" s="141" t="s">
        <v>137</v>
      </c>
      <c r="AU815" s="141" t="s">
        <v>80</v>
      </c>
      <c r="AV815" s="12" t="s">
        <v>80</v>
      </c>
      <c r="AW815" s="12" t="s">
        <v>32</v>
      </c>
      <c r="AX815" s="12" t="s">
        <v>70</v>
      </c>
      <c r="AY815" s="141" t="s">
        <v>126</v>
      </c>
    </row>
    <row r="816" spans="2:51" s="13" customFormat="1" ht="12">
      <c r="B816" s="146"/>
      <c r="D816" s="140" t="s">
        <v>137</v>
      </c>
      <c r="E816" s="147" t="s">
        <v>3</v>
      </c>
      <c r="F816" s="148" t="s">
        <v>151</v>
      </c>
      <c r="H816" s="149">
        <v>29</v>
      </c>
      <c r="L816" s="146"/>
      <c r="M816" s="150"/>
      <c r="T816" s="151"/>
      <c r="AT816" s="147" t="s">
        <v>137</v>
      </c>
      <c r="AU816" s="147" t="s">
        <v>80</v>
      </c>
      <c r="AV816" s="13" t="s">
        <v>133</v>
      </c>
      <c r="AW816" s="13" t="s">
        <v>32</v>
      </c>
      <c r="AX816" s="13" t="s">
        <v>78</v>
      </c>
      <c r="AY816" s="147" t="s">
        <v>126</v>
      </c>
    </row>
    <row r="817" spans="2:65" s="1" customFormat="1" ht="16.5" customHeight="1">
      <c r="B817" s="123"/>
      <c r="C817" s="124" t="s">
        <v>1746</v>
      </c>
      <c r="D817" s="124" t="s">
        <v>128</v>
      </c>
      <c r="E817" s="125" t="s">
        <v>1747</v>
      </c>
      <c r="F817" s="126" t="s">
        <v>1748</v>
      </c>
      <c r="G817" s="127" t="s">
        <v>249</v>
      </c>
      <c r="H817" s="128">
        <v>96.4</v>
      </c>
      <c r="I817" s="129"/>
      <c r="J817" s="129">
        <f>ROUND(I817*H817,2)</f>
        <v>0</v>
      </c>
      <c r="K817" s="126" t="s">
        <v>132</v>
      </c>
      <c r="L817" s="29"/>
      <c r="M817" s="130" t="s">
        <v>3</v>
      </c>
      <c r="N817" s="131" t="s">
        <v>41</v>
      </c>
      <c r="O817" s="132">
        <v>0.126</v>
      </c>
      <c r="P817" s="132">
        <f>O817*H817</f>
        <v>12.146400000000002</v>
      </c>
      <c r="Q817" s="132">
        <v>0</v>
      </c>
      <c r="R817" s="132">
        <f>Q817*H817</f>
        <v>0</v>
      </c>
      <c r="S817" s="132">
        <v>0</v>
      </c>
      <c r="T817" s="133">
        <f>S817*H817</f>
        <v>0</v>
      </c>
      <c r="AR817" s="134" t="s">
        <v>221</v>
      </c>
      <c r="AT817" s="134" t="s">
        <v>128</v>
      </c>
      <c r="AU817" s="134" t="s">
        <v>80</v>
      </c>
      <c r="AY817" s="17" t="s">
        <v>126</v>
      </c>
      <c r="BE817" s="135">
        <f>IF(N817="základní",J817,0)</f>
        <v>0</v>
      </c>
      <c r="BF817" s="135">
        <f>IF(N817="snížená",J817,0)</f>
        <v>0</v>
      </c>
      <c r="BG817" s="135">
        <f>IF(N817="zákl. přenesená",J817,0)</f>
        <v>0</v>
      </c>
      <c r="BH817" s="135">
        <f>IF(N817="sníž. přenesená",J817,0)</f>
        <v>0</v>
      </c>
      <c r="BI817" s="135">
        <f>IF(N817="nulová",J817,0)</f>
        <v>0</v>
      </c>
      <c r="BJ817" s="17" t="s">
        <v>78</v>
      </c>
      <c r="BK817" s="135">
        <f>ROUND(I817*H817,2)</f>
        <v>0</v>
      </c>
      <c r="BL817" s="17" t="s">
        <v>221</v>
      </c>
      <c r="BM817" s="134" t="s">
        <v>1749</v>
      </c>
    </row>
    <row r="818" spans="2:47" s="1" customFormat="1" ht="12">
      <c r="B818" s="29"/>
      <c r="D818" s="136" t="s">
        <v>135</v>
      </c>
      <c r="F818" s="137" t="s">
        <v>1750</v>
      </c>
      <c r="L818" s="29"/>
      <c r="M818" s="138"/>
      <c r="T818" s="49"/>
      <c r="AT818" s="17" t="s">
        <v>135</v>
      </c>
      <c r="AU818" s="17" t="s">
        <v>80</v>
      </c>
    </row>
    <row r="819" spans="2:51" s="12" customFormat="1" ht="12">
      <c r="B819" s="139"/>
      <c r="D819" s="140" t="s">
        <v>137</v>
      </c>
      <c r="E819" s="141" t="s">
        <v>3</v>
      </c>
      <c r="F819" s="142" t="s">
        <v>1751</v>
      </c>
      <c r="H819" s="143">
        <v>96.4</v>
      </c>
      <c r="L819" s="139"/>
      <c r="M819" s="144"/>
      <c r="T819" s="145"/>
      <c r="AT819" s="141" t="s">
        <v>137</v>
      </c>
      <c r="AU819" s="141" t="s">
        <v>80</v>
      </c>
      <c r="AV819" s="12" t="s">
        <v>80</v>
      </c>
      <c r="AW819" s="12" t="s">
        <v>32</v>
      </c>
      <c r="AX819" s="12" t="s">
        <v>78</v>
      </c>
      <c r="AY819" s="141" t="s">
        <v>126</v>
      </c>
    </row>
    <row r="820" spans="2:65" s="1" customFormat="1" ht="16.5" customHeight="1">
      <c r="B820" s="123"/>
      <c r="C820" s="124" t="s">
        <v>1752</v>
      </c>
      <c r="D820" s="124" t="s">
        <v>128</v>
      </c>
      <c r="E820" s="125" t="s">
        <v>1753</v>
      </c>
      <c r="F820" s="126" t="s">
        <v>1754</v>
      </c>
      <c r="G820" s="127" t="s">
        <v>249</v>
      </c>
      <c r="H820" s="128">
        <v>108.65</v>
      </c>
      <c r="I820" s="129"/>
      <c r="J820" s="129">
        <f>ROUND(I820*H820,2)</f>
        <v>0</v>
      </c>
      <c r="K820" s="126" t="s">
        <v>132</v>
      </c>
      <c r="L820" s="29"/>
      <c r="M820" s="130" t="s">
        <v>3</v>
      </c>
      <c r="N820" s="131" t="s">
        <v>41</v>
      </c>
      <c r="O820" s="132">
        <v>0.056</v>
      </c>
      <c r="P820" s="132">
        <f>O820*H820</f>
        <v>6.0844000000000005</v>
      </c>
      <c r="Q820" s="132">
        <v>0</v>
      </c>
      <c r="R820" s="132">
        <f>Q820*H820</f>
        <v>0</v>
      </c>
      <c r="S820" s="132">
        <v>0</v>
      </c>
      <c r="T820" s="133">
        <f>S820*H820</f>
        <v>0</v>
      </c>
      <c r="AR820" s="134" t="s">
        <v>221</v>
      </c>
      <c r="AT820" s="134" t="s">
        <v>128</v>
      </c>
      <c r="AU820" s="134" t="s">
        <v>80</v>
      </c>
      <c r="AY820" s="17" t="s">
        <v>126</v>
      </c>
      <c r="BE820" s="135">
        <f>IF(N820="základní",J820,0)</f>
        <v>0</v>
      </c>
      <c r="BF820" s="135">
        <f>IF(N820="snížená",J820,0)</f>
        <v>0</v>
      </c>
      <c r="BG820" s="135">
        <f>IF(N820="zákl. přenesená",J820,0)</f>
        <v>0</v>
      </c>
      <c r="BH820" s="135">
        <f>IF(N820="sníž. přenesená",J820,0)</f>
        <v>0</v>
      </c>
      <c r="BI820" s="135">
        <f>IF(N820="nulová",J820,0)</f>
        <v>0</v>
      </c>
      <c r="BJ820" s="17" t="s">
        <v>78</v>
      </c>
      <c r="BK820" s="135">
        <f>ROUND(I820*H820,2)</f>
        <v>0</v>
      </c>
      <c r="BL820" s="17" t="s">
        <v>221</v>
      </c>
      <c r="BM820" s="134" t="s">
        <v>1755</v>
      </c>
    </row>
    <row r="821" spans="2:47" s="1" customFormat="1" ht="12">
      <c r="B821" s="29"/>
      <c r="D821" s="136" t="s">
        <v>135</v>
      </c>
      <c r="F821" s="137" t="s">
        <v>1756</v>
      </c>
      <c r="L821" s="29"/>
      <c r="M821" s="138"/>
      <c r="T821" s="49"/>
      <c r="AT821" s="17" t="s">
        <v>135</v>
      </c>
      <c r="AU821" s="17" t="s">
        <v>80</v>
      </c>
    </row>
    <row r="822" spans="2:51" s="12" customFormat="1" ht="12">
      <c r="B822" s="139"/>
      <c r="D822" s="140" t="s">
        <v>137</v>
      </c>
      <c r="E822" s="141" t="s">
        <v>3</v>
      </c>
      <c r="F822" s="142" t="s">
        <v>1638</v>
      </c>
      <c r="H822" s="143">
        <v>108.65</v>
      </c>
      <c r="L822" s="139"/>
      <c r="M822" s="144"/>
      <c r="T822" s="145"/>
      <c r="AT822" s="141" t="s">
        <v>137</v>
      </c>
      <c r="AU822" s="141" t="s">
        <v>80</v>
      </c>
      <c r="AV822" s="12" t="s">
        <v>80</v>
      </c>
      <c r="AW822" s="12" t="s">
        <v>32</v>
      </c>
      <c r="AX822" s="12" t="s">
        <v>78</v>
      </c>
      <c r="AY822" s="141" t="s">
        <v>126</v>
      </c>
    </row>
    <row r="823" spans="2:65" s="1" customFormat="1" ht="24.2" customHeight="1">
      <c r="B823" s="123"/>
      <c r="C823" s="124" t="s">
        <v>1757</v>
      </c>
      <c r="D823" s="124" t="s">
        <v>128</v>
      </c>
      <c r="E823" s="125" t="s">
        <v>1758</v>
      </c>
      <c r="F823" s="126" t="s">
        <v>1759</v>
      </c>
      <c r="G823" s="127" t="s">
        <v>131</v>
      </c>
      <c r="H823" s="128">
        <v>790</v>
      </c>
      <c r="I823" s="129"/>
      <c r="J823" s="129">
        <f>ROUND(I823*H823,2)</f>
        <v>0</v>
      </c>
      <c r="K823" s="126" t="s">
        <v>132</v>
      </c>
      <c r="L823" s="29"/>
      <c r="M823" s="130" t="s">
        <v>3</v>
      </c>
      <c r="N823" s="131" t="s">
        <v>41</v>
      </c>
      <c r="O823" s="132">
        <v>0.081</v>
      </c>
      <c r="P823" s="132">
        <f>O823*H823</f>
        <v>63.99</v>
      </c>
      <c r="Q823" s="132">
        <v>0</v>
      </c>
      <c r="R823" s="132">
        <f>Q823*H823</f>
        <v>0</v>
      </c>
      <c r="S823" s="132">
        <v>0</v>
      </c>
      <c r="T823" s="133">
        <f>S823*H823</f>
        <v>0</v>
      </c>
      <c r="AR823" s="134" t="s">
        <v>221</v>
      </c>
      <c r="AT823" s="134" t="s">
        <v>128</v>
      </c>
      <c r="AU823" s="134" t="s">
        <v>80</v>
      </c>
      <c r="AY823" s="17" t="s">
        <v>126</v>
      </c>
      <c r="BE823" s="135">
        <f>IF(N823="základní",J823,0)</f>
        <v>0</v>
      </c>
      <c r="BF823" s="135">
        <f>IF(N823="snížená",J823,0)</f>
        <v>0</v>
      </c>
      <c r="BG823" s="135">
        <f>IF(N823="zákl. přenesená",J823,0)</f>
        <v>0</v>
      </c>
      <c r="BH823" s="135">
        <f>IF(N823="sníž. přenesená",J823,0)</f>
        <v>0</v>
      </c>
      <c r="BI823" s="135">
        <f>IF(N823="nulová",J823,0)</f>
        <v>0</v>
      </c>
      <c r="BJ823" s="17" t="s">
        <v>78</v>
      </c>
      <c r="BK823" s="135">
        <f>ROUND(I823*H823,2)</f>
        <v>0</v>
      </c>
      <c r="BL823" s="17" t="s">
        <v>221</v>
      </c>
      <c r="BM823" s="134" t="s">
        <v>1760</v>
      </c>
    </row>
    <row r="824" spans="2:47" s="1" customFormat="1" ht="12">
      <c r="B824" s="29"/>
      <c r="D824" s="136" t="s">
        <v>135</v>
      </c>
      <c r="F824" s="137" t="s">
        <v>1761</v>
      </c>
      <c r="L824" s="29"/>
      <c r="M824" s="138"/>
      <c r="T824" s="49"/>
      <c r="AT824" s="17" t="s">
        <v>135</v>
      </c>
      <c r="AU824" s="17" t="s">
        <v>80</v>
      </c>
    </row>
    <row r="825" spans="2:51" s="12" customFormat="1" ht="12">
      <c r="B825" s="139"/>
      <c r="D825" s="140" t="s">
        <v>137</v>
      </c>
      <c r="E825" s="141" t="s">
        <v>3</v>
      </c>
      <c r="F825" s="142" t="s">
        <v>1315</v>
      </c>
      <c r="H825" s="143">
        <v>790</v>
      </c>
      <c r="L825" s="139"/>
      <c r="M825" s="144"/>
      <c r="T825" s="145"/>
      <c r="AT825" s="141" t="s">
        <v>137</v>
      </c>
      <c r="AU825" s="141" t="s">
        <v>80</v>
      </c>
      <c r="AV825" s="12" t="s">
        <v>80</v>
      </c>
      <c r="AW825" s="12" t="s">
        <v>32</v>
      </c>
      <c r="AX825" s="12" t="s">
        <v>78</v>
      </c>
      <c r="AY825" s="141" t="s">
        <v>126</v>
      </c>
    </row>
    <row r="826" spans="2:65" s="1" customFormat="1" ht="24.2" customHeight="1">
      <c r="B826" s="123"/>
      <c r="C826" s="124" t="s">
        <v>1762</v>
      </c>
      <c r="D826" s="124" t="s">
        <v>128</v>
      </c>
      <c r="E826" s="125" t="s">
        <v>1763</v>
      </c>
      <c r="F826" s="126" t="s">
        <v>1764</v>
      </c>
      <c r="G826" s="127" t="s">
        <v>413</v>
      </c>
      <c r="H826" s="128"/>
      <c r="I826" s="129"/>
      <c r="J826" s="129">
        <f>ROUND(I826*H826,2)</f>
        <v>0</v>
      </c>
      <c r="K826" s="126" t="s">
        <v>132</v>
      </c>
      <c r="L826" s="29"/>
      <c r="M826" s="130" t="s">
        <v>3</v>
      </c>
      <c r="N826" s="131" t="s">
        <v>41</v>
      </c>
      <c r="O826" s="132">
        <v>0</v>
      </c>
      <c r="P826" s="132">
        <f>O826*H826</f>
        <v>0</v>
      </c>
      <c r="Q826" s="132">
        <v>0</v>
      </c>
      <c r="R826" s="132">
        <f>Q826*H826</f>
        <v>0</v>
      </c>
      <c r="S826" s="132">
        <v>0</v>
      </c>
      <c r="T826" s="133">
        <f>S826*H826</f>
        <v>0</v>
      </c>
      <c r="AR826" s="134" t="s">
        <v>221</v>
      </c>
      <c r="AT826" s="134" t="s">
        <v>128</v>
      </c>
      <c r="AU826" s="134" t="s">
        <v>80</v>
      </c>
      <c r="AY826" s="17" t="s">
        <v>126</v>
      </c>
      <c r="BE826" s="135">
        <f>IF(N826="základní",J826,0)</f>
        <v>0</v>
      </c>
      <c r="BF826" s="135">
        <f>IF(N826="snížená",J826,0)</f>
        <v>0</v>
      </c>
      <c r="BG826" s="135">
        <f>IF(N826="zákl. přenesená",J826,0)</f>
        <v>0</v>
      </c>
      <c r="BH826" s="135">
        <f>IF(N826="sníž. přenesená",J826,0)</f>
        <v>0</v>
      </c>
      <c r="BI826" s="135">
        <f>IF(N826="nulová",J826,0)</f>
        <v>0</v>
      </c>
      <c r="BJ826" s="17" t="s">
        <v>78</v>
      </c>
      <c r="BK826" s="135">
        <f>ROUND(I826*H826,2)</f>
        <v>0</v>
      </c>
      <c r="BL826" s="17" t="s">
        <v>221</v>
      </c>
      <c r="BM826" s="134" t="s">
        <v>1765</v>
      </c>
    </row>
    <row r="827" spans="2:47" s="1" customFormat="1" ht="12">
      <c r="B827" s="29"/>
      <c r="D827" s="136" t="s">
        <v>135</v>
      </c>
      <c r="F827" s="137" t="s">
        <v>1766</v>
      </c>
      <c r="L827" s="29"/>
      <c r="M827" s="138"/>
      <c r="T827" s="49"/>
      <c r="AT827" s="17" t="s">
        <v>135</v>
      </c>
      <c r="AU827" s="17" t="s">
        <v>80</v>
      </c>
    </row>
    <row r="828" spans="2:63" s="11" customFormat="1" ht="22.7" customHeight="1">
      <c r="B828" s="112"/>
      <c r="D828" s="113" t="s">
        <v>69</v>
      </c>
      <c r="E828" s="121" t="s">
        <v>577</v>
      </c>
      <c r="F828" s="121" t="s">
        <v>578</v>
      </c>
      <c r="J828" s="122">
        <f>BK828</f>
        <v>0</v>
      </c>
      <c r="L828" s="112"/>
      <c r="M828" s="116"/>
      <c r="P828" s="117">
        <f>SUM(P829:P903)</f>
        <v>245.64800000000002</v>
      </c>
      <c r="R828" s="117">
        <f>SUM(R829:R903)</f>
        <v>1.12802</v>
      </c>
      <c r="T828" s="118">
        <f>SUM(T829:T903)</f>
        <v>0</v>
      </c>
      <c r="AR828" s="113" t="s">
        <v>80</v>
      </c>
      <c r="AT828" s="119" t="s">
        <v>69</v>
      </c>
      <c r="AU828" s="119" t="s">
        <v>78</v>
      </c>
      <c r="AY828" s="113" t="s">
        <v>126</v>
      </c>
      <c r="BK828" s="120">
        <f>SUM(BK829:BK903)</f>
        <v>0</v>
      </c>
    </row>
    <row r="829" spans="2:65" s="1" customFormat="1" ht="16.5" customHeight="1">
      <c r="B829" s="123"/>
      <c r="C829" s="124" t="s">
        <v>1767</v>
      </c>
      <c r="D829" s="124" t="s">
        <v>128</v>
      </c>
      <c r="E829" s="125" t="s">
        <v>1768</v>
      </c>
      <c r="F829" s="126" t="s">
        <v>1769</v>
      </c>
      <c r="G829" s="127" t="s">
        <v>296</v>
      </c>
      <c r="H829" s="128">
        <v>2</v>
      </c>
      <c r="I829" s="129"/>
      <c r="J829" s="129">
        <f>ROUND(I829*H829,2)</f>
        <v>0</v>
      </c>
      <c r="K829" s="126" t="s">
        <v>132</v>
      </c>
      <c r="L829" s="29"/>
      <c r="M829" s="130" t="s">
        <v>3</v>
      </c>
      <c r="N829" s="131" t="s">
        <v>41</v>
      </c>
      <c r="O829" s="132">
        <v>3.492</v>
      </c>
      <c r="P829" s="132">
        <f>O829*H829</f>
        <v>6.984</v>
      </c>
      <c r="Q829" s="132">
        <v>0.00044</v>
      </c>
      <c r="R829" s="132">
        <f>Q829*H829</f>
        <v>0.00088</v>
      </c>
      <c r="S829" s="132">
        <v>0</v>
      </c>
      <c r="T829" s="133">
        <f>S829*H829</f>
        <v>0</v>
      </c>
      <c r="AR829" s="134" t="s">
        <v>221</v>
      </c>
      <c r="AT829" s="134" t="s">
        <v>128</v>
      </c>
      <c r="AU829" s="134" t="s">
        <v>80</v>
      </c>
      <c r="AY829" s="17" t="s">
        <v>126</v>
      </c>
      <c r="BE829" s="135">
        <f>IF(N829="základní",J829,0)</f>
        <v>0</v>
      </c>
      <c r="BF829" s="135">
        <f>IF(N829="snížená",J829,0)</f>
        <v>0</v>
      </c>
      <c r="BG829" s="135">
        <f>IF(N829="zákl. přenesená",J829,0)</f>
        <v>0</v>
      </c>
      <c r="BH829" s="135">
        <f>IF(N829="sníž. přenesená",J829,0)</f>
        <v>0</v>
      </c>
      <c r="BI829" s="135">
        <f>IF(N829="nulová",J829,0)</f>
        <v>0</v>
      </c>
      <c r="BJ829" s="17" t="s">
        <v>78</v>
      </c>
      <c r="BK829" s="135">
        <f>ROUND(I829*H829,2)</f>
        <v>0</v>
      </c>
      <c r="BL829" s="17" t="s">
        <v>221</v>
      </c>
      <c r="BM829" s="134" t="s">
        <v>1770</v>
      </c>
    </row>
    <row r="830" spans="2:47" s="1" customFormat="1" ht="12">
      <c r="B830" s="29"/>
      <c r="D830" s="136" t="s">
        <v>135</v>
      </c>
      <c r="F830" s="137" t="s">
        <v>1771</v>
      </c>
      <c r="L830" s="29"/>
      <c r="M830" s="138"/>
      <c r="T830" s="49"/>
      <c r="AT830" s="17" t="s">
        <v>135</v>
      </c>
      <c r="AU830" s="17" t="s">
        <v>80</v>
      </c>
    </row>
    <row r="831" spans="2:51" s="12" customFormat="1" ht="12">
      <c r="B831" s="139"/>
      <c r="D831" s="140" t="s">
        <v>137</v>
      </c>
      <c r="E831" s="141" t="s">
        <v>3</v>
      </c>
      <c r="F831" s="142" t="s">
        <v>1772</v>
      </c>
      <c r="H831" s="143">
        <v>2</v>
      </c>
      <c r="L831" s="139"/>
      <c r="M831" s="144"/>
      <c r="T831" s="145"/>
      <c r="AT831" s="141" t="s">
        <v>137</v>
      </c>
      <c r="AU831" s="141" t="s">
        <v>80</v>
      </c>
      <c r="AV831" s="12" t="s">
        <v>80</v>
      </c>
      <c r="AW831" s="12" t="s">
        <v>32</v>
      </c>
      <c r="AX831" s="12" t="s">
        <v>78</v>
      </c>
      <c r="AY831" s="141" t="s">
        <v>126</v>
      </c>
    </row>
    <row r="832" spans="2:65" s="1" customFormat="1" ht="21.75" customHeight="1">
      <c r="B832" s="123"/>
      <c r="C832" s="152" t="s">
        <v>1773</v>
      </c>
      <c r="D832" s="152" t="s">
        <v>405</v>
      </c>
      <c r="E832" s="153" t="s">
        <v>1774</v>
      </c>
      <c r="F832" s="154" t="s">
        <v>1775</v>
      </c>
      <c r="G832" s="155" t="s">
        <v>296</v>
      </c>
      <c r="H832" s="156">
        <v>2</v>
      </c>
      <c r="I832" s="157"/>
      <c r="J832" s="157">
        <f>ROUND(I832*H832,2)</f>
        <v>0</v>
      </c>
      <c r="K832" s="154" t="s">
        <v>132</v>
      </c>
      <c r="L832" s="158"/>
      <c r="M832" s="159" t="s">
        <v>3</v>
      </c>
      <c r="N832" s="160" t="s">
        <v>41</v>
      </c>
      <c r="O832" s="132">
        <v>0</v>
      </c>
      <c r="P832" s="132">
        <f>O832*H832</f>
        <v>0</v>
      </c>
      <c r="Q832" s="132">
        <v>0.052</v>
      </c>
      <c r="R832" s="132">
        <f>Q832*H832</f>
        <v>0.104</v>
      </c>
      <c r="S832" s="132">
        <v>0</v>
      </c>
      <c r="T832" s="133">
        <f>S832*H832</f>
        <v>0</v>
      </c>
      <c r="AR832" s="134" t="s">
        <v>325</v>
      </c>
      <c r="AT832" s="134" t="s">
        <v>405</v>
      </c>
      <c r="AU832" s="134" t="s">
        <v>80</v>
      </c>
      <c r="AY832" s="17" t="s">
        <v>126</v>
      </c>
      <c r="BE832" s="135">
        <f>IF(N832="základní",J832,0)</f>
        <v>0</v>
      </c>
      <c r="BF832" s="135">
        <f>IF(N832="snížená",J832,0)</f>
        <v>0</v>
      </c>
      <c r="BG832" s="135">
        <f>IF(N832="zákl. přenesená",J832,0)</f>
        <v>0</v>
      </c>
      <c r="BH832" s="135">
        <f>IF(N832="sníž. přenesená",J832,0)</f>
        <v>0</v>
      </c>
      <c r="BI832" s="135">
        <f>IF(N832="nulová",J832,0)</f>
        <v>0</v>
      </c>
      <c r="BJ832" s="17" t="s">
        <v>78</v>
      </c>
      <c r="BK832" s="135">
        <f>ROUND(I832*H832,2)</f>
        <v>0</v>
      </c>
      <c r="BL832" s="17" t="s">
        <v>221</v>
      </c>
      <c r="BM832" s="134" t="s">
        <v>1776</v>
      </c>
    </row>
    <row r="833" spans="2:65" s="1" customFormat="1" ht="24.2" customHeight="1">
      <c r="B833" s="123"/>
      <c r="C833" s="124" t="s">
        <v>1777</v>
      </c>
      <c r="D833" s="124" t="s">
        <v>128</v>
      </c>
      <c r="E833" s="125" t="s">
        <v>1778</v>
      </c>
      <c r="F833" s="126" t="s">
        <v>1779</v>
      </c>
      <c r="G833" s="127" t="s">
        <v>296</v>
      </c>
      <c r="H833" s="128">
        <v>6</v>
      </c>
      <c r="I833" s="129"/>
      <c r="J833" s="129">
        <f>ROUND(I833*H833,2)</f>
        <v>0</v>
      </c>
      <c r="K833" s="126" t="s">
        <v>132</v>
      </c>
      <c r="L833" s="29"/>
      <c r="M833" s="130" t="s">
        <v>3</v>
      </c>
      <c r="N833" s="131" t="s">
        <v>41</v>
      </c>
      <c r="O833" s="132">
        <v>1.682</v>
      </c>
      <c r="P833" s="132">
        <f>O833*H833</f>
        <v>10.091999999999999</v>
      </c>
      <c r="Q833" s="132">
        <v>0</v>
      </c>
      <c r="R833" s="132">
        <f>Q833*H833</f>
        <v>0</v>
      </c>
      <c r="S833" s="132">
        <v>0</v>
      </c>
      <c r="T833" s="133">
        <f>S833*H833</f>
        <v>0</v>
      </c>
      <c r="AR833" s="134" t="s">
        <v>221</v>
      </c>
      <c r="AT833" s="134" t="s">
        <v>128</v>
      </c>
      <c r="AU833" s="134" t="s">
        <v>80</v>
      </c>
      <c r="AY833" s="17" t="s">
        <v>126</v>
      </c>
      <c r="BE833" s="135">
        <f>IF(N833="základní",J833,0)</f>
        <v>0</v>
      </c>
      <c r="BF833" s="135">
        <f>IF(N833="snížená",J833,0)</f>
        <v>0</v>
      </c>
      <c r="BG833" s="135">
        <f>IF(N833="zákl. přenesená",J833,0)</f>
        <v>0</v>
      </c>
      <c r="BH833" s="135">
        <f>IF(N833="sníž. přenesená",J833,0)</f>
        <v>0</v>
      </c>
      <c r="BI833" s="135">
        <f>IF(N833="nulová",J833,0)</f>
        <v>0</v>
      </c>
      <c r="BJ833" s="17" t="s">
        <v>78</v>
      </c>
      <c r="BK833" s="135">
        <f>ROUND(I833*H833,2)</f>
        <v>0</v>
      </c>
      <c r="BL833" s="17" t="s">
        <v>221</v>
      </c>
      <c r="BM833" s="134" t="s">
        <v>1780</v>
      </c>
    </row>
    <row r="834" spans="2:47" s="1" customFormat="1" ht="12">
      <c r="B834" s="29"/>
      <c r="D834" s="136" t="s">
        <v>135</v>
      </c>
      <c r="F834" s="137" t="s">
        <v>1781</v>
      </c>
      <c r="L834" s="29"/>
      <c r="M834" s="138"/>
      <c r="T834" s="49"/>
      <c r="AT834" s="17" t="s">
        <v>135</v>
      </c>
      <c r="AU834" s="17" t="s">
        <v>80</v>
      </c>
    </row>
    <row r="835" spans="2:51" s="12" customFormat="1" ht="12">
      <c r="B835" s="139"/>
      <c r="D835" s="140" t="s">
        <v>137</v>
      </c>
      <c r="E835" s="141" t="s">
        <v>3</v>
      </c>
      <c r="F835" s="142" t="s">
        <v>1460</v>
      </c>
      <c r="H835" s="143">
        <v>6</v>
      </c>
      <c r="L835" s="139"/>
      <c r="M835" s="144"/>
      <c r="T835" s="145"/>
      <c r="AT835" s="141" t="s">
        <v>137</v>
      </c>
      <c r="AU835" s="141" t="s">
        <v>80</v>
      </c>
      <c r="AV835" s="12" t="s">
        <v>80</v>
      </c>
      <c r="AW835" s="12" t="s">
        <v>32</v>
      </c>
      <c r="AX835" s="12" t="s">
        <v>78</v>
      </c>
      <c r="AY835" s="141" t="s">
        <v>126</v>
      </c>
    </row>
    <row r="836" spans="2:65" s="1" customFormat="1" ht="16.5" customHeight="1">
      <c r="B836" s="123"/>
      <c r="C836" s="152" t="s">
        <v>1782</v>
      </c>
      <c r="D836" s="152" t="s">
        <v>405</v>
      </c>
      <c r="E836" s="153" t="s">
        <v>1783</v>
      </c>
      <c r="F836" s="154" t="s">
        <v>1784</v>
      </c>
      <c r="G836" s="155" t="s">
        <v>296</v>
      </c>
      <c r="H836" s="156">
        <v>6</v>
      </c>
      <c r="I836" s="157"/>
      <c r="J836" s="157">
        <f>ROUND(I836*H836,2)</f>
        <v>0</v>
      </c>
      <c r="K836" s="154" t="s">
        <v>132</v>
      </c>
      <c r="L836" s="158"/>
      <c r="M836" s="159" t="s">
        <v>3</v>
      </c>
      <c r="N836" s="160" t="s">
        <v>41</v>
      </c>
      <c r="O836" s="132">
        <v>0</v>
      </c>
      <c r="P836" s="132">
        <f>O836*H836</f>
        <v>0</v>
      </c>
      <c r="Q836" s="132">
        <v>0.0175</v>
      </c>
      <c r="R836" s="132">
        <f>Q836*H836</f>
        <v>0.10500000000000001</v>
      </c>
      <c r="S836" s="132">
        <v>0</v>
      </c>
      <c r="T836" s="133">
        <f>S836*H836</f>
        <v>0</v>
      </c>
      <c r="AR836" s="134" t="s">
        <v>325</v>
      </c>
      <c r="AT836" s="134" t="s">
        <v>405</v>
      </c>
      <c r="AU836" s="134" t="s">
        <v>80</v>
      </c>
      <c r="AY836" s="17" t="s">
        <v>126</v>
      </c>
      <c r="BE836" s="135">
        <f>IF(N836="základní",J836,0)</f>
        <v>0</v>
      </c>
      <c r="BF836" s="135">
        <f>IF(N836="snížená",J836,0)</f>
        <v>0</v>
      </c>
      <c r="BG836" s="135">
        <f>IF(N836="zákl. přenesená",J836,0)</f>
        <v>0</v>
      </c>
      <c r="BH836" s="135">
        <f>IF(N836="sníž. přenesená",J836,0)</f>
        <v>0</v>
      </c>
      <c r="BI836" s="135">
        <f>IF(N836="nulová",J836,0)</f>
        <v>0</v>
      </c>
      <c r="BJ836" s="17" t="s">
        <v>78</v>
      </c>
      <c r="BK836" s="135">
        <f>ROUND(I836*H836,2)</f>
        <v>0</v>
      </c>
      <c r="BL836" s="17" t="s">
        <v>221</v>
      </c>
      <c r="BM836" s="134" t="s">
        <v>1785</v>
      </c>
    </row>
    <row r="837" spans="2:65" s="1" customFormat="1" ht="24.2" customHeight="1">
      <c r="B837" s="123"/>
      <c r="C837" s="124" t="s">
        <v>1786</v>
      </c>
      <c r="D837" s="124" t="s">
        <v>128</v>
      </c>
      <c r="E837" s="125" t="s">
        <v>1787</v>
      </c>
      <c r="F837" s="126" t="s">
        <v>1788</v>
      </c>
      <c r="G837" s="127" t="s">
        <v>296</v>
      </c>
      <c r="H837" s="128">
        <v>1</v>
      </c>
      <c r="I837" s="129"/>
      <c r="J837" s="129">
        <f>ROUND(I837*H837,2)</f>
        <v>0</v>
      </c>
      <c r="K837" s="126" t="s">
        <v>132</v>
      </c>
      <c r="L837" s="29"/>
      <c r="M837" s="130" t="s">
        <v>3</v>
      </c>
      <c r="N837" s="131" t="s">
        <v>41</v>
      </c>
      <c r="O837" s="132">
        <v>1.825</v>
      </c>
      <c r="P837" s="132">
        <f>O837*H837</f>
        <v>1.825</v>
      </c>
      <c r="Q837" s="132">
        <v>0</v>
      </c>
      <c r="R837" s="132">
        <f>Q837*H837</f>
        <v>0</v>
      </c>
      <c r="S837" s="132">
        <v>0</v>
      </c>
      <c r="T837" s="133">
        <f>S837*H837</f>
        <v>0</v>
      </c>
      <c r="AR837" s="134" t="s">
        <v>221</v>
      </c>
      <c r="AT837" s="134" t="s">
        <v>128</v>
      </c>
      <c r="AU837" s="134" t="s">
        <v>80</v>
      </c>
      <c r="AY837" s="17" t="s">
        <v>126</v>
      </c>
      <c r="BE837" s="135">
        <f>IF(N837="základní",J837,0)</f>
        <v>0</v>
      </c>
      <c r="BF837" s="135">
        <f>IF(N837="snížená",J837,0)</f>
        <v>0</v>
      </c>
      <c r="BG837" s="135">
        <f>IF(N837="zákl. přenesená",J837,0)</f>
        <v>0</v>
      </c>
      <c r="BH837" s="135">
        <f>IF(N837="sníž. přenesená",J837,0)</f>
        <v>0</v>
      </c>
      <c r="BI837" s="135">
        <f>IF(N837="nulová",J837,0)</f>
        <v>0</v>
      </c>
      <c r="BJ837" s="17" t="s">
        <v>78</v>
      </c>
      <c r="BK837" s="135">
        <f>ROUND(I837*H837,2)</f>
        <v>0</v>
      </c>
      <c r="BL837" s="17" t="s">
        <v>221</v>
      </c>
      <c r="BM837" s="134" t="s">
        <v>1789</v>
      </c>
    </row>
    <row r="838" spans="2:47" s="1" customFormat="1" ht="12">
      <c r="B838" s="29"/>
      <c r="D838" s="136" t="s">
        <v>135</v>
      </c>
      <c r="F838" s="137" t="s">
        <v>1790</v>
      </c>
      <c r="L838" s="29"/>
      <c r="M838" s="138"/>
      <c r="T838" s="49"/>
      <c r="AT838" s="17" t="s">
        <v>135</v>
      </c>
      <c r="AU838" s="17" t="s">
        <v>80</v>
      </c>
    </row>
    <row r="839" spans="2:51" s="12" customFormat="1" ht="12">
      <c r="B839" s="139"/>
      <c r="D839" s="140" t="s">
        <v>137</v>
      </c>
      <c r="E839" s="141" t="s">
        <v>3</v>
      </c>
      <c r="F839" s="142" t="s">
        <v>1791</v>
      </c>
      <c r="H839" s="143">
        <v>1</v>
      </c>
      <c r="L839" s="139"/>
      <c r="M839" s="144"/>
      <c r="T839" s="145"/>
      <c r="AT839" s="141" t="s">
        <v>137</v>
      </c>
      <c r="AU839" s="141" t="s">
        <v>80</v>
      </c>
      <c r="AV839" s="12" t="s">
        <v>80</v>
      </c>
      <c r="AW839" s="12" t="s">
        <v>32</v>
      </c>
      <c r="AX839" s="12" t="s">
        <v>78</v>
      </c>
      <c r="AY839" s="141" t="s">
        <v>126</v>
      </c>
    </row>
    <row r="840" spans="2:65" s="1" customFormat="1" ht="16.5" customHeight="1">
      <c r="B840" s="123"/>
      <c r="C840" s="152" t="s">
        <v>1792</v>
      </c>
      <c r="D840" s="152" t="s">
        <v>405</v>
      </c>
      <c r="E840" s="153" t="s">
        <v>1793</v>
      </c>
      <c r="F840" s="154" t="s">
        <v>1794</v>
      </c>
      <c r="G840" s="155" t="s">
        <v>296</v>
      </c>
      <c r="H840" s="156">
        <v>1</v>
      </c>
      <c r="I840" s="157"/>
      <c r="J840" s="157">
        <f>ROUND(I840*H840,2)</f>
        <v>0</v>
      </c>
      <c r="K840" s="154" t="s">
        <v>132</v>
      </c>
      <c r="L840" s="158"/>
      <c r="M840" s="159" t="s">
        <v>3</v>
      </c>
      <c r="N840" s="160" t="s">
        <v>41</v>
      </c>
      <c r="O840" s="132">
        <v>0</v>
      </c>
      <c r="P840" s="132">
        <f>O840*H840</f>
        <v>0</v>
      </c>
      <c r="Q840" s="132">
        <v>0.0205</v>
      </c>
      <c r="R840" s="132">
        <f>Q840*H840</f>
        <v>0.0205</v>
      </c>
      <c r="S840" s="132">
        <v>0</v>
      </c>
      <c r="T840" s="133">
        <f>S840*H840</f>
        <v>0</v>
      </c>
      <c r="AR840" s="134" t="s">
        <v>325</v>
      </c>
      <c r="AT840" s="134" t="s">
        <v>405</v>
      </c>
      <c r="AU840" s="134" t="s">
        <v>80</v>
      </c>
      <c r="AY840" s="17" t="s">
        <v>126</v>
      </c>
      <c r="BE840" s="135">
        <f>IF(N840="základní",J840,0)</f>
        <v>0</v>
      </c>
      <c r="BF840" s="135">
        <f>IF(N840="snížená",J840,0)</f>
        <v>0</v>
      </c>
      <c r="BG840" s="135">
        <f>IF(N840="zákl. přenesená",J840,0)</f>
        <v>0</v>
      </c>
      <c r="BH840" s="135">
        <f>IF(N840="sníž. přenesená",J840,0)</f>
        <v>0</v>
      </c>
      <c r="BI840" s="135">
        <f>IF(N840="nulová",J840,0)</f>
        <v>0</v>
      </c>
      <c r="BJ840" s="17" t="s">
        <v>78</v>
      </c>
      <c r="BK840" s="135">
        <f>ROUND(I840*H840,2)</f>
        <v>0</v>
      </c>
      <c r="BL840" s="17" t="s">
        <v>221</v>
      </c>
      <c r="BM840" s="134" t="s">
        <v>1795</v>
      </c>
    </row>
    <row r="841" spans="2:65" s="1" customFormat="1" ht="24.2" customHeight="1">
      <c r="B841" s="123"/>
      <c r="C841" s="124" t="s">
        <v>1796</v>
      </c>
      <c r="D841" s="124" t="s">
        <v>128</v>
      </c>
      <c r="E841" s="125" t="s">
        <v>1797</v>
      </c>
      <c r="F841" s="126" t="s">
        <v>1798</v>
      </c>
      <c r="G841" s="127" t="s">
        <v>296</v>
      </c>
      <c r="H841" s="128">
        <v>11</v>
      </c>
      <c r="I841" s="129"/>
      <c r="J841" s="129">
        <f>ROUND(I841*H841,2)</f>
        <v>0</v>
      </c>
      <c r="K841" s="126" t="s">
        <v>132</v>
      </c>
      <c r="L841" s="29"/>
      <c r="M841" s="130" t="s">
        <v>3</v>
      </c>
      <c r="N841" s="131" t="s">
        <v>41</v>
      </c>
      <c r="O841" s="132">
        <v>3.304</v>
      </c>
      <c r="P841" s="132">
        <f>O841*H841</f>
        <v>36.344</v>
      </c>
      <c r="Q841" s="132">
        <v>0</v>
      </c>
      <c r="R841" s="132">
        <f>Q841*H841</f>
        <v>0</v>
      </c>
      <c r="S841" s="132">
        <v>0</v>
      </c>
      <c r="T841" s="133">
        <f>S841*H841</f>
        <v>0</v>
      </c>
      <c r="AR841" s="134" t="s">
        <v>221</v>
      </c>
      <c r="AT841" s="134" t="s">
        <v>128</v>
      </c>
      <c r="AU841" s="134" t="s">
        <v>80</v>
      </c>
      <c r="AY841" s="17" t="s">
        <v>126</v>
      </c>
      <c r="BE841" s="135">
        <f>IF(N841="základní",J841,0)</f>
        <v>0</v>
      </c>
      <c r="BF841" s="135">
        <f>IF(N841="snížená",J841,0)</f>
        <v>0</v>
      </c>
      <c r="BG841" s="135">
        <f>IF(N841="zákl. přenesená",J841,0)</f>
        <v>0</v>
      </c>
      <c r="BH841" s="135">
        <f>IF(N841="sníž. přenesená",J841,0)</f>
        <v>0</v>
      </c>
      <c r="BI841" s="135">
        <f>IF(N841="nulová",J841,0)</f>
        <v>0</v>
      </c>
      <c r="BJ841" s="17" t="s">
        <v>78</v>
      </c>
      <c r="BK841" s="135">
        <f>ROUND(I841*H841,2)</f>
        <v>0</v>
      </c>
      <c r="BL841" s="17" t="s">
        <v>221</v>
      </c>
      <c r="BM841" s="134" t="s">
        <v>1799</v>
      </c>
    </row>
    <row r="842" spans="2:47" s="1" customFormat="1" ht="12">
      <c r="B842" s="29"/>
      <c r="D842" s="136" t="s">
        <v>135</v>
      </c>
      <c r="F842" s="137" t="s">
        <v>1800</v>
      </c>
      <c r="L842" s="29"/>
      <c r="M842" s="138"/>
      <c r="T842" s="49"/>
      <c r="AT842" s="17" t="s">
        <v>135</v>
      </c>
      <c r="AU842" s="17" t="s">
        <v>80</v>
      </c>
    </row>
    <row r="843" spans="2:51" s="12" customFormat="1" ht="12">
      <c r="B843" s="139"/>
      <c r="D843" s="140" t="s">
        <v>137</v>
      </c>
      <c r="E843" s="141" t="s">
        <v>3</v>
      </c>
      <c r="F843" s="142" t="s">
        <v>966</v>
      </c>
      <c r="H843" s="143">
        <v>1</v>
      </c>
      <c r="L843" s="139"/>
      <c r="M843" s="144"/>
      <c r="T843" s="145"/>
      <c r="AT843" s="141" t="s">
        <v>137</v>
      </c>
      <c r="AU843" s="141" t="s">
        <v>80</v>
      </c>
      <c r="AV843" s="12" t="s">
        <v>80</v>
      </c>
      <c r="AW843" s="12" t="s">
        <v>32</v>
      </c>
      <c r="AX843" s="12" t="s">
        <v>70</v>
      </c>
      <c r="AY843" s="141" t="s">
        <v>126</v>
      </c>
    </row>
    <row r="844" spans="2:51" s="12" customFormat="1" ht="12">
      <c r="B844" s="139"/>
      <c r="D844" s="140" t="s">
        <v>137</v>
      </c>
      <c r="E844" s="141" t="s">
        <v>3</v>
      </c>
      <c r="F844" s="142" t="s">
        <v>965</v>
      </c>
      <c r="H844" s="143">
        <v>10</v>
      </c>
      <c r="L844" s="139"/>
      <c r="M844" s="144"/>
      <c r="T844" s="145"/>
      <c r="AT844" s="141" t="s">
        <v>137</v>
      </c>
      <c r="AU844" s="141" t="s">
        <v>80</v>
      </c>
      <c r="AV844" s="12" t="s">
        <v>80</v>
      </c>
      <c r="AW844" s="12" t="s">
        <v>32</v>
      </c>
      <c r="AX844" s="12" t="s">
        <v>70</v>
      </c>
      <c r="AY844" s="141" t="s">
        <v>126</v>
      </c>
    </row>
    <row r="845" spans="2:51" s="13" customFormat="1" ht="12">
      <c r="B845" s="146"/>
      <c r="D845" s="140" t="s">
        <v>137</v>
      </c>
      <c r="E845" s="147" t="s">
        <v>3</v>
      </c>
      <c r="F845" s="148" t="s">
        <v>151</v>
      </c>
      <c r="H845" s="149">
        <v>11</v>
      </c>
      <c r="L845" s="146"/>
      <c r="M845" s="150"/>
      <c r="T845" s="151"/>
      <c r="AT845" s="147" t="s">
        <v>137</v>
      </c>
      <c r="AU845" s="147" t="s">
        <v>80</v>
      </c>
      <c r="AV845" s="13" t="s">
        <v>133</v>
      </c>
      <c r="AW845" s="13" t="s">
        <v>32</v>
      </c>
      <c r="AX845" s="13" t="s">
        <v>78</v>
      </c>
      <c r="AY845" s="147" t="s">
        <v>126</v>
      </c>
    </row>
    <row r="846" spans="2:65" s="1" customFormat="1" ht="21.75" customHeight="1">
      <c r="B846" s="123"/>
      <c r="C846" s="152" t="s">
        <v>1801</v>
      </c>
      <c r="D846" s="152" t="s">
        <v>405</v>
      </c>
      <c r="E846" s="153" t="s">
        <v>1802</v>
      </c>
      <c r="F846" s="154" t="s">
        <v>1803</v>
      </c>
      <c r="G846" s="155" t="s">
        <v>296</v>
      </c>
      <c r="H846" s="156">
        <v>10</v>
      </c>
      <c r="I846" s="157"/>
      <c r="J846" s="157">
        <f>ROUND(I846*H846,2)</f>
        <v>0</v>
      </c>
      <c r="K846" s="154" t="s">
        <v>132</v>
      </c>
      <c r="L846" s="158"/>
      <c r="M846" s="159" t="s">
        <v>3</v>
      </c>
      <c r="N846" s="160" t="s">
        <v>41</v>
      </c>
      <c r="O846" s="132">
        <v>0</v>
      </c>
      <c r="P846" s="132">
        <f>O846*H846</f>
        <v>0</v>
      </c>
      <c r="Q846" s="132">
        <v>0.043</v>
      </c>
      <c r="R846" s="132">
        <f>Q846*H846</f>
        <v>0.42999999999999994</v>
      </c>
      <c r="S846" s="132">
        <v>0</v>
      </c>
      <c r="T846" s="133">
        <f>S846*H846</f>
        <v>0</v>
      </c>
      <c r="AR846" s="134" t="s">
        <v>325</v>
      </c>
      <c r="AT846" s="134" t="s">
        <v>405</v>
      </c>
      <c r="AU846" s="134" t="s">
        <v>80</v>
      </c>
      <c r="AY846" s="17" t="s">
        <v>126</v>
      </c>
      <c r="BE846" s="135">
        <f>IF(N846="základní",J846,0)</f>
        <v>0</v>
      </c>
      <c r="BF846" s="135">
        <f>IF(N846="snížená",J846,0)</f>
        <v>0</v>
      </c>
      <c r="BG846" s="135">
        <f>IF(N846="zákl. přenesená",J846,0)</f>
        <v>0</v>
      </c>
      <c r="BH846" s="135">
        <f>IF(N846="sníž. přenesená",J846,0)</f>
        <v>0</v>
      </c>
      <c r="BI846" s="135">
        <f>IF(N846="nulová",J846,0)</f>
        <v>0</v>
      </c>
      <c r="BJ846" s="17" t="s">
        <v>78</v>
      </c>
      <c r="BK846" s="135">
        <f>ROUND(I846*H846,2)</f>
        <v>0</v>
      </c>
      <c r="BL846" s="17" t="s">
        <v>221</v>
      </c>
      <c r="BM846" s="134" t="s">
        <v>1804</v>
      </c>
    </row>
    <row r="847" spans="2:65" s="1" customFormat="1" ht="21.75" customHeight="1">
      <c r="B847" s="123"/>
      <c r="C847" s="152" t="s">
        <v>1805</v>
      </c>
      <c r="D847" s="152" t="s">
        <v>405</v>
      </c>
      <c r="E847" s="153" t="s">
        <v>1806</v>
      </c>
      <c r="F847" s="154" t="s">
        <v>1807</v>
      </c>
      <c r="G847" s="155" t="s">
        <v>296</v>
      </c>
      <c r="H847" s="156">
        <v>1</v>
      </c>
      <c r="I847" s="157"/>
      <c r="J847" s="157">
        <f>ROUND(I847*H847,2)</f>
        <v>0</v>
      </c>
      <c r="K847" s="154" t="s">
        <v>132</v>
      </c>
      <c r="L847" s="158"/>
      <c r="M847" s="159" t="s">
        <v>3</v>
      </c>
      <c r="N847" s="160" t="s">
        <v>41</v>
      </c>
      <c r="O847" s="132">
        <v>0</v>
      </c>
      <c r="P847" s="132">
        <f>O847*H847</f>
        <v>0</v>
      </c>
      <c r="Q847" s="132">
        <v>0.0215</v>
      </c>
      <c r="R847" s="132">
        <f>Q847*H847</f>
        <v>0.0215</v>
      </c>
      <c r="S847" s="132">
        <v>0</v>
      </c>
      <c r="T847" s="133">
        <f>S847*H847</f>
        <v>0</v>
      </c>
      <c r="AR847" s="134" t="s">
        <v>325</v>
      </c>
      <c r="AT847" s="134" t="s">
        <v>405</v>
      </c>
      <c r="AU847" s="134" t="s">
        <v>80</v>
      </c>
      <c r="AY847" s="17" t="s">
        <v>126</v>
      </c>
      <c r="BE847" s="135">
        <f>IF(N847="základní",J847,0)</f>
        <v>0</v>
      </c>
      <c r="BF847" s="135">
        <f>IF(N847="snížená",J847,0)</f>
        <v>0</v>
      </c>
      <c r="BG847" s="135">
        <f>IF(N847="zákl. přenesená",J847,0)</f>
        <v>0</v>
      </c>
      <c r="BH847" s="135">
        <f>IF(N847="sníž. přenesená",J847,0)</f>
        <v>0</v>
      </c>
      <c r="BI847" s="135">
        <f>IF(N847="nulová",J847,0)</f>
        <v>0</v>
      </c>
      <c r="BJ847" s="17" t="s">
        <v>78</v>
      </c>
      <c r="BK847" s="135">
        <f>ROUND(I847*H847,2)</f>
        <v>0</v>
      </c>
      <c r="BL847" s="17" t="s">
        <v>221</v>
      </c>
      <c r="BM847" s="134" t="s">
        <v>1808</v>
      </c>
    </row>
    <row r="848" spans="2:65" s="1" customFormat="1" ht="16.5" customHeight="1">
      <c r="B848" s="123"/>
      <c r="C848" s="124" t="s">
        <v>1809</v>
      </c>
      <c r="D848" s="124" t="s">
        <v>128</v>
      </c>
      <c r="E848" s="125" t="s">
        <v>1810</v>
      </c>
      <c r="F848" s="126" t="s">
        <v>1811</v>
      </c>
      <c r="G848" s="127" t="s">
        <v>296</v>
      </c>
      <c r="H848" s="128">
        <v>11</v>
      </c>
      <c r="I848" s="129"/>
      <c r="J848" s="129">
        <f>ROUND(I848*H848,2)</f>
        <v>0</v>
      </c>
      <c r="K848" s="126" t="s">
        <v>132</v>
      </c>
      <c r="L848" s="29"/>
      <c r="M848" s="130" t="s">
        <v>3</v>
      </c>
      <c r="N848" s="131" t="s">
        <v>41</v>
      </c>
      <c r="O848" s="132">
        <v>0.555</v>
      </c>
      <c r="P848" s="132">
        <f>O848*H848</f>
        <v>6.105</v>
      </c>
      <c r="Q848" s="132">
        <v>0</v>
      </c>
      <c r="R848" s="132">
        <f>Q848*H848</f>
        <v>0</v>
      </c>
      <c r="S848" s="132">
        <v>0</v>
      </c>
      <c r="T848" s="133">
        <f>S848*H848</f>
        <v>0</v>
      </c>
      <c r="AR848" s="134" t="s">
        <v>221</v>
      </c>
      <c r="AT848" s="134" t="s">
        <v>128</v>
      </c>
      <c r="AU848" s="134" t="s">
        <v>80</v>
      </c>
      <c r="AY848" s="17" t="s">
        <v>126</v>
      </c>
      <c r="BE848" s="135">
        <f>IF(N848="základní",J848,0)</f>
        <v>0</v>
      </c>
      <c r="BF848" s="135">
        <f>IF(N848="snížená",J848,0)</f>
        <v>0</v>
      </c>
      <c r="BG848" s="135">
        <f>IF(N848="zákl. přenesená",J848,0)</f>
        <v>0</v>
      </c>
      <c r="BH848" s="135">
        <f>IF(N848="sníž. přenesená",J848,0)</f>
        <v>0</v>
      </c>
      <c r="BI848" s="135">
        <f>IF(N848="nulová",J848,0)</f>
        <v>0</v>
      </c>
      <c r="BJ848" s="17" t="s">
        <v>78</v>
      </c>
      <c r="BK848" s="135">
        <f>ROUND(I848*H848,2)</f>
        <v>0</v>
      </c>
      <c r="BL848" s="17" t="s">
        <v>221</v>
      </c>
      <c r="BM848" s="134" t="s">
        <v>1812</v>
      </c>
    </row>
    <row r="849" spans="2:47" s="1" customFormat="1" ht="12">
      <c r="B849" s="29"/>
      <c r="D849" s="136" t="s">
        <v>135</v>
      </c>
      <c r="F849" s="137" t="s">
        <v>1813</v>
      </c>
      <c r="L849" s="29"/>
      <c r="M849" s="138"/>
      <c r="T849" s="49"/>
      <c r="AT849" s="17" t="s">
        <v>135</v>
      </c>
      <c r="AU849" s="17" t="s">
        <v>80</v>
      </c>
    </row>
    <row r="850" spans="2:51" s="12" customFormat="1" ht="12">
      <c r="B850" s="139"/>
      <c r="D850" s="140" t="s">
        <v>137</v>
      </c>
      <c r="E850" s="141" t="s">
        <v>3</v>
      </c>
      <c r="F850" s="142" t="s">
        <v>965</v>
      </c>
      <c r="H850" s="143">
        <v>10</v>
      </c>
      <c r="L850" s="139"/>
      <c r="M850" s="144"/>
      <c r="T850" s="145"/>
      <c r="AT850" s="141" t="s">
        <v>137</v>
      </c>
      <c r="AU850" s="141" t="s">
        <v>80</v>
      </c>
      <c r="AV850" s="12" t="s">
        <v>80</v>
      </c>
      <c r="AW850" s="12" t="s">
        <v>32</v>
      </c>
      <c r="AX850" s="12" t="s">
        <v>70</v>
      </c>
      <c r="AY850" s="141" t="s">
        <v>126</v>
      </c>
    </row>
    <row r="851" spans="2:51" s="12" customFormat="1" ht="12">
      <c r="B851" s="139"/>
      <c r="D851" s="140" t="s">
        <v>137</v>
      </c>
      <c r="E851" s="141" t="s">
        <v>3</v>
      </c>
      <c r="F851" s="142" t="s">
        <v>966</v>
      </c>
      <c r="H851" s="143">
        <v>1</v>
      </c>
      <c r="L851" s="139"/>
      <c r="M851" s="144"/>
      <c r="T851" s="145"/>
      <c r="AT851" s="141" t="s">
        <v>137</v>
      </c>
      <c r="AU851" s="141" t="s">
        <v>80</v>
      </c>
      <c r="AV851" s="12" t="s">
        <v>80</v>
      </c>
      <c r="AW851" s="12" t="s">
        <v>32</v>
      </c>
      <c r="AX851" s="12" t="s">
        <v>70</v>
      </c>
      <c r="AY851" s="141" t="s">
        <v>126</v>
      </c>
    </row>
    <row r="852" spans="2:51" s="13" customFormat="1" ht="12">
      <c r="B852" s="146"/>
      <c r="D852" s="140" t="s">
        <v>137</v>
      </c>
      <c r="E852" s="147" t="s">
        <v>3</v>
      </c>
      <c r="F852" s="148" t="s">
        <v>151</v>
      </c>
      <c r="H852" s="149">
        <v>11</v>
      </c>
      <c r="L852" s="146"/>
      <c r="M852" s="150"/>
      <c r="T852" s="151"/>
      <c r="AT852" s="147" t="s">
        <v>137</v>
      </c>
      <c r="AU852" s="147" t="s">
        <v>80</v>
      </c>
      <c r="AV852" s="13" t="s">
        <v>133</v>
      </c>
      <c r="AW852" s="13" t="s">
        <v>32</v>
      </c>
      <c r="AX852" s="13" t="s">
        <v>78</v>
      </c>
      <c r="AY852" s="147" t="s">
        <v>126</v>
      </c>
    </row>
    <row r="853" spans="2:65" s="1" customFormat="1" ht="16.5" customHeight="1">
      <c r="B853" s="123"/>
      <c r="C853" s="152" t="s">
        <v>1814</v>
      </c>
      <c r="D853" s="152" t="s">
        <v>405</v>
      </c>
      <c r="E853" s="153" t="s">
        <v>1815</v>
      </c>
      <c r="F853" s="154" t="s">
        <v>1816</v>
      </c>
      <c r="G853" s="155" t="s">
        <v>296</v>
      </c>
      <c r="H853" s="156">
        <v>11</v>
      </c>
      <c r="I853" s="157"/>
      <c r="J853" s="157">
        <f>ROUND(I853*H853,2)</f>
        <v>0</v>
      </c>
      <c r="K853" s="154" t="s">
        <v>132</v>
      </c>
      <c r="L853" s="158"/>
      <c r="M853" s="159" t="s">
        <v>3</v>
      </c>
      <c r="N853" s="160" t="s">
        <v>41</v>
      </c>
      <c r="O853" s="132">
        <v>0</v>
      </c>
      <c r="P853" s="132">
        <f>O853*H853</f>
        <v>0</v>
      </c>
      <c r="Q853" s="132">
        <v>0.0024</v>
      </c>
      <c r="R853" s="132">
        <f>Q853*H853</f>
        <v>0.026399999999999996</v>
      </c>
      <c r="S853" s="132">
        <v>0</v>
      </c>
      <c r="T853" s="133">
        <f>S853*H853</f>
        <v>0</v>
      </c>
      <c r="AR853" s="134" t="s">
        <v>325</v>
      </c>
      <c r="AT853" s="134" t="s">
        <v>405</v>
      </c>
      <c r="AU853" s="134" t="s">
        <v>80</v>
      </c>
      <c r="AY853" s="17" t="s">
        <v>126</v>
      </c>
      <c r="BE853" s="135">
        <f>IF(N853="základní",J853,0)</f>
        <v>0</v>
      </c>
      <c r="BF853" s="135">
        <f>IF(N853="snížená",J853,0)</f>
        <v>0</v>
      </c>
      <c r="BG853" s="135">
        <f>IF(N853="zákl. přenesená",J853,0)</f>
        <v>0</v>
      </c>
      <c r="BH853" s="135">
        <f>IF(N853="sníž. přenesená",J853,0)</f>
        <v>0</v>
      </c>
      <c r="BI853" s="135">
        <f>IF(N853="nulová",J853,0)</f>
        <v>0</v>
      </c>
      <c r="BJ853" s="17" t="s">
        <v>78</v>
      </c>
      <c r="BK853" s="135">
        <f>ROUND(I853*H853,2)</f>
        <v>0</v>
      </c>
      <c r="BL853" s="17" t="s">
        <v>221</v>
      </c>
      <c r="BM853" s="134" t="s">
        <v>1817</v>
      </c>
    </row>
    <row r="854" spans="2:65" s="1" customFormat="1" ht="16.5" customHeight="1">
      <c r="B854" s="123"/>
      <c r="C854" s="124" t="s">
        <v>1818</v>
      </c>
      <c r="D854" s="124" t="s">
        <v>128</v>
      </c>
      <c r="E854" s="125" t="s">
        <v>1819</v>
      </c>
      <c r="F854" s="126" t="s">
        <v>1820</v>
      </c>
      <c r="G854" s="127" t="s">
        <v>296</v>
      </c>
      <c r="H854" s="128">
        <v>7</v>
      </c>
      <c r="I854" s="129"/>
      <c r="J854" s="129">
        <f>ROUND(I854*H854,2)</f>
        <v>0</v>
      </c>
      <c r="K854" s="126" t="s">
        <v>132</v>
      </c>
      <c r="L854" s="29"/>
      <c r="M854" s="130" t="s">
        <v>3</v>
      </c>
      <c r="N854" s="131" t="s">
        <v>41</v>
      </c>
      <c r="O854" s="132">
        <v>0.335</v>
      </c>
      <c r="P854" s="132">
        <f>O854*H854</f>
        <v>2.345</v>
      </c>
      <c r="Q854" s="132">
        <v>0</v>
      </c>
      <c r="R854" s="132">
        <f>Q854*H854</f>
        <v>0</v>
      </c>
      <c r="S854" s="132">
        <v>0</v>
      </c>
      <c r="T854" s="133">
        <f>S854*H854</f>
        <v>0</v>
      </c>
      <c r="AR854" s="134" t="s">
        <v>221</v>
      </c>
      <c r="AT854" s="134" t="s">
        <v>128</v>
      </c>
      <c r="AU854" s="134" t="s">
        <v>80</v>
      </c>
      <c r="AY854" s="17" t="s">
        <v>126</v>
      </c>
      <c r="BE854" s="135">
        <f>IF(N854="základní",J854,0)</f>
        <v>0</v>
      </c>
      <c r="BF854" s="135">
        <f>IF(N854="snížená",J854,0)</f>
        <v>0</v>
      </c>
      <c r="BG854" s="135">
        <f>IF(N854="zákl. přenesená",J854,0)</f>
        <v>0</v>
      </c>
      <c r="BH854" s="135">
        <f>IF(N854="sníž. přenesená",J854,0)</f>
        <v>0</v>
      </c>
      <c r="BI854" s="135">
        <f>IF(N854="nulová",J854,0)</f>
        <v>0</v>
      </c>
      <c r="BJ854" s="17" t="s">
        <v>78</v>
      </c>
      <c r="BK854" s="135">
        <f>ROUND(I854*H854,2)</f>
        <v>0</v>
      </c>
      <c r="BL854" s="17" t="s">
        <v>221</v>
      </c>
      <c r="BM854" s="134" t="s">
        <v>1821</v>
      </c>
    </row>
    <row r="855" spans="2:47" s="1" customFormat="1" ht="12">
      <c r="B855" s="29"/>
      <c r="D855" s="136" t="s">
        <v>135</v>
      </c>
      <c r="F855" s="137" t="s">
        <v>1822</v>
      </c>
      <c r="L855" s="29"/>
      <c r="M855" s="138"/>
      <c r="T855" s="49"/>
      <c r="AT855" s="17" t="s">
        <v>135</v>
      </c>
      <c r="AU855" s="17" t="s">
        <v>80</v>
      </c>
    </row>
    <row r="856" spans="2:51" s="12" customFormat="1" ht="12">
      <c r="B856" s="139"/>
      <c r="D856" s="140" t="s">
        <v>137</v>
      </c>
      <c r="E856" s="141" t="s">
        <v>3</v>
      </c>
      <c r="F856" s="142" t="s">
        <v>1460</v>
      </c>
      <c r="H856" s="143">
        <v>6</v>
      </c>
      <c r="L856" s="139"/>
      <c r="M856" s="144"/>
      <c r="T856" s="145"/>
      <c r="AT856" s="141" t="s">
        <v>137</v>
      </c>
      <c r="AU856" s="141" t="s">
        <v>80</v>
      </c>
      <c r="AV856" s="12" t="s">
        <v>80</v>
      </c>
      <c r="AW856" s="12" t="s">
        <v>32</v>
      </c>
      <c r="AX856" s="12" t="s">
        <v>70</v>
      </c>
      <c r="AY856" s="141" t="s">
        <v>126</v>
      </c>
    </row>
    <row r="857" spans="2:51" s="12" customFormat="1" ht="12">
      <c r="B857" s="139"/>
      <c r="D857" s="140" t="s">
        <v>137</v>
      </c>
      <c r="E857" s="141" t="s">
        <v>3</v>
      </c>
      <c r="F857" s="142" t="s">
        <v>1791</v>
      </c>
      <c r="H857" s="143">
        <v>1</v>
      </c>
      <c r="L857" s="139"/>
      <c r="M857" s="144"/>
      <c r="T857" s="145"/>
      <c r="AT857" s="141" t="s">
        <v>137</v>
      </c>
      <c r="AU857" s="141" t="s">
        <v>80</v>
      </c>
      <c r="AV857" s="12" t="s">
        <v>80</v>
      </c>
      <c r="AW857" s="12" t="s">
        <v>32</v>
      </c>
      <c r="AX857" s="12" t="s">
        <v>70</v>
      </c>
      <c r="AY857" s="141" t="s">
        <v>126</v>
      </c>
    </row>
    <row r="858" spans="2:51" s="13" customFormat="1" ht="12">
      <c r="B858" s="146"/>
      <c r="D858" s="140" t="s">
        <v>137</v>
      </c>
      <c r="E858" s="147" t="s">
        <v>3</v>
      </c>
      <c r="F858" s="148" t="s">
        <v>151</v>
      </c>
      <c r="H858" s="149">
        <v>7</v>
      </c>
      <c r="L858" s="146"/>
      <c r="M858" s="150"/>
      <c r="T858" s="151"/>
      <c r="AT858" s="147" t="s">
        <v>137</v>
      </c>
      <c r="AU858" s="147" t="s">
        <v>80</v>
      </c>
      <c r="AV858" s="13" t="s">
        <v>133</v>
      </c>
      <c r="AW858" s="13" t="s">
        <v>32</v>
      </c>
      <c r="AX858" s="13" t="s">
        <v>78</v>
      </c>
      <c r="AY858" s="147" t="s">
        <v>126</v>
      </c>
    </row>
    <row r="859" spans="2:65" s="1" customFormat="1" ht="16.5" customHeight="1">
      <c r="B859" s="123"/>
      <c r="C859" s="152" t="s">
        <v>1823</v>
      </c>
      <c r="D859" s="152" t="s">
        <v>405</v>
      </c>
      <c r="E859" s="153" t="s">
        <v>1824</v>
      </c>
      <c r="F859" s="154" t="s">
        <v>1825</v>
      </c>
      <c r="G859" s="155" t="s">
        <v>296</v>
      </c>
      <c r="H859" s="156">
        <v>7</v>
      </c>
      <c r="I859" s="157"/>
      <c r="J859" s="157">
        <f>ROUND(I859*H859,2)</f>
        <v>0</v>
      </c>
      <c r="K859" s="154" t="s">
        <v>132</v>
      </c>
      <c r="L859" s="158"/>
      <c r="M859" s="159" t="s">
        <v>3</v>
      </c>
      <c r="N859" s="160" t="s">
        <v>41</v>
      </c>
      <c r="O859" s="132">
        <v>0</v>
      </c>
      <c r="P859" s="132">
        <f>O859*H859</f>
        <v>0</v>
      </c>
      <c r="Q859" s="132">
        <v>0.0022</v>
      </c>
      <c r="R859" s="132">
        <f>Q859*H859</f>
        <v>0.0154</v>
      </c>
      <c r="S859" s="132">
        <v>0</v>
      </c>
      <c r="T859" s="133">
        <f>S859*H859</f>
        <v>0</v>
      </c>
      <c r="AR859" s="134" t="s">
        <v>325</v>
      </c>
      <c r="AT859" s="134" t="s">
        <v>405</v>
      </c>
      <c r="AU859" s="134" t="s">
        <v>80</v>
      </c>
      <c r="AY859" s="17" t="s">
        <v>126</v>
      </c>
      <c r="BE859" s="135">
        <f>IF(N859="základní",J859,0)</f>
        <v>0</v>
      </c>
      <c r="BF859" s="135">
        <f>IF(N859="snížená",J859,0)</f>
        <v>0</v>
      </c>
      <c r="BG859" s="135">
        <f>IF(N859="zákl. přenesená",J859,0)</f>
        <v>0</v>
      </c>
      <c r="BH859" s="135">
        <f>IF(N859="sníž. přenesená",J859,0)</f>
        <v>0</v>
      </c>
      <c r="BI859" s="135">
        <f>IF(N859="nulová",J859,0)</f>
        <v>0</v>
      </c>
      <c r="BJ859" s="17" t="s">
        <v>78</v>
      </c>
      <c r="BK859" s="135">
        <f>ROUND(I859*H859,2)</f>
        <v>0</v>
      </c>
      <c r="BL859" s="17" t="s">
        <v>221</v>
      </c>
      <c r="BM859" s="134" t="s">
        <v>1826</v>
      </c>
    </row>
    <row r="860" spans="2:65" s="1" customFormat="1" ht="16.5" customHeight="1">
      <c r="B860" s="123"/>
      <c r="C860" s="124" t="s">
        <v>1827</v>
      </c>
      <c r="D860" s="124" t="s">
        <v>128</v>
      </c>
      <c r="E860" s="125" t="s">
        <v>1828</v>
      </c>
      <c r="F860" s="126" t="s">
        <v>1829</v>
      </c>
      <c r="G860" s="127" t="s">
        <v>296</v>
      </c>
      <c r="H860" s="128">
        <v>11</v>
      </c>
      <c r="I860" s="129"/>
      <c r="J860" s="129">
        <f>ROUND(I860*H860,2)</f>
        <v>0</v>
      </c>
      <c r="K860" s="126" t="s">
        <v>132</v>
      </c>
      <c r="L860" s="29"/>
      <c r="M860" s="130" t="s">
        <v>3</v>
      </c>
      <c r="N860" s="131" t="s">
        <v>41</v>
      </c>
      <c r="O860" s="132">
        <v>4.185</v>
      </c>
      <c r="P860" s="132">
        <f>O860*H860</f>
        <v>46.035</v>
      </c>
      <c r="Q860" s="132">
        <v>0</v>
      </c>
      <c r="R860" s="132">
        <f>Q860*H860</f>
        <v>0</v>
      </c>
      <c r="S860" s="132">
        <v>0</v>
      </c>
      <c r="T860" s="133">
        <f>S860*H860</f>
        <v>0</v>
      </c>
      <c r="AR860" s="134" t="s">
        <v>221</v>
      </c>
      <c r="AT860" s="134" t="s">
        <v>128</v>
      </c>
      <c r="AU860" s="134" t="s">
        <v>80</v>
      </c>
      <c r="AY860" s="17" t="s">
        <v>126</v>
      </c>
      <c r="BE860" s="135">
        <f>IF(N860="základní",J860,0)</f>
        <v>0</v>
      </c>
      <c r="BF860" s="135">
        <f>IF(N860="snížená",J860,0)</f>
        <v>0</v>
      </c>
      <c r="BG860" s="135">
        <f>IF(N860="zákl. přenesená",J860,0)</f>
        <v>0</v>
      </c>
      <c r="BH860" s="135">
        <f>IF(N860="sníž. přenesená",J860,0)</f>
        <v>0</v>
      </c>
      <c r="BI860" s="135">
        <f>IF(N860="nulová",J860,0)</f>
        <v>0</v>
      </c>
      <c r="BJ860" s="17" t="s">
        <v>78</v>
      </c>
      <c r="BK860" s="135">
        <f>ROUND(I860*H860,2)</f>
        <v>0</v>
      </c>
      <c r="BL860" s="17" t="s">
        <v>221</v>
      </c>
      <c r="BM860" s="134" t="s">
        <v>1830</v>
      </c>
    </row>
    <row r="861" spans="2:47" s="1" customFormat="1" ht="12">
      <c r="B861" s="29"/>
      <c r="D861" s="136" t="s">
        <v>135</v>
      </c>
      <c r="F861" s="137" t="s">
        <v>1831</v>
      </c>
      <c r="L861" s="29"/>
      <c r="M861" s="138"/>
      <c r="T861" s="49"/>
      <c r="AT861" s="17" t="s">
        <v>135</v>
      </c>
      <c r="AU861" s="17" t="s">
        <v>80</v>
      </c>
    </row>
    <row r="862" spans="2:51" s="12" customFormat="1" ht="12">
      <c r="B862" s="139"/>
      <c r="D862" s="140" t="s">
        <v>137</v>
      </c>
      <c r="E862" s="141" t="s">
        <v>3</v>
      </c>
      <c r="F862" s="142" t="s">
        <v>966</v>
      </c>
      <c r="H862" s="143">
        <v>1</v>
      </c>
      <c r="L862" s="139"/>
      <c r="M862" s="144"/>
      <c r="T862" s="145"/>
      <c r="AT862" s="141" t="s">
        <v>137</v>
      </c>
      <c r="AU862" s="141" t="s">
        <v>80</v>
      </c>
      <c r="AV862" s="12" t="s">
        <v>80</v>
      </c>
      <c r="AW862" s="12" t="s">
        <v>32</v>
      </c>
      <c r="AX862" s="12" t="s">
        <v>70</v>
      </c>
      <c r="AY862" s="141" t="s">
        <v>126</v>
      </c>
    </row>
    <row r="863" spans="2:51" s="12" customFormat="1" ht="12">
      <c r="B863" s="139"/>
      <c r="D863" s="140" t="s">
        <v>137</v>
      </c>
      <c r="E863" s="141" t="s">
        <v>3</v>
      </c>
      <c r="F863" s="142" t="s">
        <v>965</v>
      </c>
      <c r="H863" s="143">
        <v>10</v>
      </c>
      <c r="L863" s="139"/>
      <c r="M863" s="144"/>
      <c r="T863" s="145"/>
      <c r="AT863" s="141" t="s">
        <v>137</v>
      </c>
      <c r="AU863" s="141" t="s">
        <v>80</v>
      </c>
      <c r="AV863" s="12" t="s">
        <v>80</v>
      </c>
      <c r="AW863" s="12" t="s">
        <v>32</v>
      </c>
      <c r="AX863" s="12" t="s">
        <v>70</v>
      </c>
      <c r="AY863" s="141" t="s">
        <v>126</v>
      </c>
    </row>
    <row r="864" spans="2:51" s="13" customFormat="1" ht="12">
      <c r="B864" s="146"/>
      <c r="D864" s="140" t="s">
        <v>137</v>
      </c>
      <c r="E864" s="147" t="s">
        <v>3</v>
      </c>
      <c r="F864" s="148" t="s">
        <v>151</v>
      </c>
      <c r="H864" s="149">
        <v>11</v>
      </c>
      <c r="L864" s="146"/>
      <c r="M864" s="150"/>
      <c r="T864" s="151"/>
      <c r="AT864" s="147" t="s">
        <v>137</v>
      </c>
      <c r="AU864" s="147" t="s">
        <v>80</v>
      </c>
      <c r="AV864" s="13" t="s">
        <v>133</v>
      </c>
      <c r="AW864" s="13" t="s">
        <v>32</v>
      </c>
      <c r="AX864" s="13" t="s">
        <v>78</v>
      </c>
      <c r="AY864" s="147" t="s">
        <v>126</v>
      </c>
    </row>
    <row r="865" spans="2:65" s="1" customFormat="1" ht="16.5" customHeight="1">
      <c r="B865" s="123"/>
      <c r="C865" s="152" t="s">
        <v>1832</v>
      </c>
      <c r="D865" s="152" t="s">
        <v>405</v>
      </c>
      <c r="E865" s="153" t="s">
        <v>1833</v>
      </c>
      <c r="F865" s="154" t="s">
        <v>1834</v>
      </c>
      <c r="G865" s="155" t="s">
        <v>296</v>
      </c>
      <c r="H865" s="156">
        <v>11</v>
      </c>
      <c r="I865" s="157"/>
      <c r="J865" s="157">
        <f>ROUND(I865*H865,2)</f>
        <v>0</v>
      </c>
      <c r="K865" s="154" t="s">
        <v>132</v>
      </c>
      <c r="L865" s="158"/>
      <c r="M865" s="159" t="s">
        <v>3</v>
      </c>
      <c r="N865" s="160" t="s">
        <v>41</v>
      </c>
      <c r="O865" s="132">
        <v>0</v>
      </c>
      <c r="P865" s="132">
        <f>O865*H865</f>
        <v>0</v>
      </c>
      <c r="Q865" s="132">
        <v>0.0022</v>
      </c>
      <c r="R865" s="132">
        <f>Q865*H865</f>
        <v>0.024200000000000003</v>
      </c>
      <c r="S865" s="132">
        <v>0</v>
      </c>
      <c r="T865" s="133">
        <f>S865*H865</f>
        <v>0</v>
      </c>
      <c r="AR865" s="134" t="s">
        <v>325</v>
      </c>
      <c r="AT865" s="134" t="s">
        <v>405</v>
      </c>
      <c r="AU865" s="134" t="s">
        <v>80</v>
      </c>
      <c r="AY865" s="17" t="s">
        <v>126</v>
      </c>
      <c r="BE865" s="135">
        <f>IF(N865="základní",J865,0)</f>
        <v>0</v>
      </c>
      <c r="BF865" s="135">
        <f>IF(N865="snížená",J865,0)</f>
        <v>0</v>
      </c>
      <c r="BG865" s="135">
        <f>IF(N865="zákl. přenesená",J865,0)</f>
        <v>0</v>
      </c>
      <c r="BH865" s="135">
        <f>IF(N865="sníž. přenesená",J865,0)</f>
        <v>0</v>
      </c>
      <c r="BI865" s="135">
        <f>IF(N865="nulová",J865,0)</f>
        <v>0</v>
      </c>
      <c r="BJ865" s="17" t="s">
        <v>78</v>
      </c>
      <c r="BK865" s="135">
        <f>ROUND(I865*H865,2)</f>
        <v>0</v>
      </c>
      <c r="BL865" s="17" t="s">
        <v>221</v>
      </c>
      <c r="BM865" s="134" t="s">
        <v>1835</v>
      </c>
    </row>
    <row r="866" spans="2:65" s="1" customFormat="1" ht="33" customHeight="1">
      <c r="B866" s="123"/>
      <c r="C866" s="124" t="s">
        <v>1836</v>
      </c>
      <c r="D866" s="124" t="s">
        <v>128</v>
      </c>
      <c r="E866" s="125" t="s">
        <v>1837</v>
      </c>
      <c r="F866" s="126" t="s">
        <v>1838</v>
      </c>
      <c r="G866" s="127" t="s">
        <v>296</v>
      </c>
      <c r="H866" s="128">
        <v>2</v>
      </c>
      <c r="I866" s="129"/>
      <c r="J866" s="129">
        <f>ROUND(I866*H866,2)</f>
        <v>0</v>
      </c>
      <c r="K866" s="126" t="s">
        <v>132</v>
      </c>
      <c r="L866" s="29"/>
      <c r="M866" s="130" t="s">
        <v>3</v>
      </c>
      <c r="N866" s="131" t="s">
        <v>41</v>
      </c>
      <c r="O866" s="132">
        <v>3.994</v>
      </c>
      <c r="P866" s="132">
        <f>O866*H866</f>
        <v>7.988</v>
      </c>
      <c r="Q866" s="132">
        <v>0.00027</v>
      </c>
      <c r="R866" s="132">
        <f>Q866*H866</f>
        <v>0.00054</v>
      </c>
      <c r="S866" s="132">
        <v>0</v>
      </c>
      <c r="T866" s="133">
        <f>S866*H866</f>
        <v>0</v>
      </c>
      <c r="AR866" s="134" t="s">
        <v>221</v>
      </c>
      <c r="AT866" s="134" t="s">
        <v>128</v>
      </c>
      <c r="AU866" s="134" t="s">
        <v>80</v>
      </c>
      <c r="AY866" s="17" t="s">
        <v>126</v>
      </c>
      <c r="BE866" s="135">
        <f>IF(N866="základní",J866,0)</f>
        <v>0</v>
      </c>
      <c r="BF866" s="135">
        <f>IF(N866="snížená",J866,0)</f>
        <v>0</v>
      </c>
      <c r="BG866" s="135">
        <f>IF(N866="zákl. přenesená",J866,0)</f>
        <v>0</v>
      </c>
      <c r="BH866" s="135">
        <f>IF(N866="sníž. přenesená",J866,0)</f>
        <v>0</v>
      </c>
      <c r="BI866" s="135">
        <f>IF(N866="nulová",J866,0)</f>
        <v>0</v>
      </c>
      <c r="BJ866" s="17" t="s">
        <v>78</v>
      </c>
      <c r="BK866" s="135">
        <f>ROUND(I866*H866,2)</f>
        <v>0</v>
      </c>
      <c r="BL866" s="17" t="s">
        <v>221</v>
      </c>
      <c r="BM866" s="134" t="s">
        <v>1839</v>
      </c>
    </row>
    <row r="867" spans="2:47" s="1" customFormat="1" ht="12">
      <c r="B867" s="29"/>
      <c r="D867" s="136" t="s">
        <v>135</v>
      </c>
      <c r="F867" s="137" t="s">
        <v>1840</v>
      </c>
      <c r="L867" s="29"/>
      <c r="M867" s="138"/>
      <c r="T867" s="49"/>
      <c r="AT867" s="17" t="s">
        <v>135</v>
      </c>
      <c r="AU867" s="17" t="s">
        <v>80</v>
      </c>
    </row>
    <row r="868" spans="2:51" s="12" customFormat="1" ht="12">
      <c r="B868" s="139"/>
      <c r="D868" s="140" t="s">
        <v>137</v>
      </c>
      <c r="E868" s="141" t="s">
        <v>3</v>
      </c>
      <c r="F868" s="142" t="s">
        <v>1841</v>
      </c>
      <c r="H868" s="143">
        <v>2</v>
      </c>
      <c r="L868" s="139"/>
      <c r="M868" s="144"/>
      <c r="T868" s="145"/>
      <c r="AT868" s="141" t="s">
        <v>137</v>
      </c>
      <c r="AU868" s="141" t="s">
        <v>80</v>
      </c>
      <c r="AV868" s="12" t="s">
        <v>80</v>
      </c>
      <c r="AW868" s="12" t="s">
        <v>32</v>
      </c>
      <c r="AX868" s="12" t="s">
        <v>78</v>
      </c>
      <c r="AY868" s="141" t="s">
        <v>126</v>
      </c>
    </row>
    <row r="869" spans="2:65" s="1" customFormat="1" ht="21.75" customHeight="1">
      <c r="B869" s="123"/>
      <c r="C869" s="152" t="s">
        <v>1842</v>
      </c>
      <c r="D869" s="152" t="s">
        <v>405</v>
      </c>
      <c r="E869" s="153" t="s">
        <v>1843</v>
      </c>
      <c r="F869" s="154" t="s">
        <v>1844</v>
      </c>
      <c r="G869" s="155" t="s">
        <v>296</v>
      </c>
      <c r="H869" s="156">
        <v>2</v>
      </c>
      <c r="I869" s="157"/>
      <c r="J869" s="157">
        <f>ROUND(I869*H869,2)</f>
        <v>0</v>
      </c>
      <c r="K869" s="154" t="s">
        <v>132</v>
      </c>
      <c r="L869" s="158"/>
      <c r="M869" s="159" t="s">
        <v>3</v>
      </c>
      <c r="N869" s="160" t="s">
        <v>41</v>
      </c>
      <c r="O869" s="132">
        <v>0</v>
      </c>
      <c r="P869" s="132">
        <f>O869*H869</f>
        <v>0</v>
      </c>
      <c r="Q869" s="132">
        <v>0</v>
      </c>
      <c r="R869" s="132">
        <f>Q869*H869</f>
        <v>0</v>
      </c>
      <c r="S869" s="132">
        <v>0</v>
      </c>
      <c r="T869" s="133">
        <f>S869*H869</f>
        <v>0</v>
      </c>
      <c r="AR869" s="134" t="s">
        <v>325</v>
      </c>
      <c r="AT869" s="134" t="s">
        <v>405</v>
      </c>
      <c r="AU869" s="134" t="s">
        <v>80</v>
      </c>
      <c r="AY869" s="17" t="s">
        <v>126</v>
      </c>
      <c r="BE869" s="135">
        <f>IF(N869="základní",J869,0)</f>
        <v>0</v>
      </c>
      <c r="BF869" s="135">
        <f>IF(N869="snížená",J869,0)</f>
        <v>0</v>
      </c>
      <c r="BG869" s="135">
        <f>IF(N869="zákl. přenesená",J869,0)</f>
        <v>0</v>
      </c>
      <c r="BH869" s="135">
        <f>IF(N869="sníž. přenesená",J869,0)</f>
        <v>0</v>
      </c>
      <c r="BI869" s="135">
        <f>IF(N869="nulová",J869,0)</f>
        <v>0</v>
      </c>
      <c r="BJ869" s="17" t="s">
        <v>78</v>
      </c>
      <c r="BK869" s="135">
        <f>ROUND(I869*H869,2)</f>
        <v>0</v>
      </c>
      <c r="BL869" s="17" t="s">
        <v>221</v>
      </c>
      <c r="BM869" s="134" t="s">
        <v>1845</v>
      </c>
    </row>
    <row r="870" spans="2:65" s="1" customFormat="1" ht="16.5" customHeight="1">
      <c r="B870" s="123"/>
      <c r="C870" s="152" t="s">
        <v>1846</v>
      </c>
      <c r="D870" s="152" t="s">
        <v>405</v>
      </c>
      <c r="E870" s="153" t="s">
        <v>1847</v>
      </c>
      <c r="F870" s="154" t="s">
        <v>1848</v>
      </c>
      <c r="G870" s="155" t="s">
        <v>296</v>
      </c>
      <c r="H870" s="156">
        <v>2</v>
      </c>
      <c r="I870" s="157"/>
      <c r="J870" s="157">
        <f>ROUND(I870*H870,2)</f>
        <v>0</v>
      </c>
      <c r="K870" s="154" t="s">
        <v>132</v>
      </c>
      <c r="L870" s="158"/>
      <c r="M870" s="159" t="s">
        <v>3</v>
      </c>
      <c r="N870" s="160" t="s">
        <v>41</v>
      </c>
      <c r="O870" s="132">
        <v>0</v>
      </c>
      <c r="P870" s="132">
        <f>O870*H870</f>
        <v>0</v>
      </c>
      <c r="Q870" s="132">
        <v>0.0067</v>
      </c>
      <c r="R870" s="132">
        <f>Q870*H870</f>
        <v>0.0134</v>
      </c>
      <c r="S870" s="132">
        <v>0</v>
      </c>
      <c r="T870" s="133">
        <f>S870*H870</f>
        <v>0</v>
      </c>
      <c r="AR870" s="134" t="s">
        <v>325</v>
      </c>
      <c r="AT870" s="134" t="s">
        <v>405</v>
      </c>
      <c r="AU870" s="134" t="s">
        <v>80</v>
      </c>
      <c r="AY870" s="17" t="s">
        <v>126</v>
      </c>
      <c r="BE870" s="135">
        <f>IF(N870="základní",J870,0)</f>
        <v>0</v>
      </c>
      <c r="BF870" s="135">
        <f>IF(N870="snížená",J870,0)</f>
        <v>0</v>
      </c>
      <c r="BG870" s="135">
        <f>IF(N870="zákl. přenesená",J870,0)</f>
        <v>0</v>
      </c>
      <c r="BH870" s="135">
        <f>IF(N870="sníž. přenesená",J870,0)</f>
        <v>0</v>
      </c>
      <c r="BI870" s="135">
        <f>IF(N870="nulová",J870,0)</f>
        <v>0</v>
      </c>
      <c r="BJ870" s="17" t="s">
        <v>78</v>
      </c>
      <c r="BK870" s="135">
        <f>ROUND(I870*H870,2)</f>
        <v>0</v>
      </c>
      <c r="BL870" s="17" t="s">
        <v>221</v>
      </c>
      <c r="BM870" s="134" t="s">
        <v>1849</v>
      </c>
    </row>
    <row r="871" spans="2:65" s="1" customFormat="1" ht="16.5" customHeight="1">
      <c r="B871" s="123"/>
      <c r="C871" s="152" t="s">
        <v>1850</v>
      </c>
      <c r="D871" s="152" t="s">
        <v>405</v>
      </c>
      <c r="E871" s="153" t="s">
        <v>1851</v>
      </c>
      <c r="F871" s="154" t="s">
        <v>1852</v>
      </c>
      <c r="G871" s="155" t="s">
        <v>296</v>
      </c>
      <c r="H871" s="156">
        <v>2</v>
      </c>
      <c r="I871" s="157"/>
      <c r="J871" s="157">
        <f>ROUND(I871*H871,2)</f>
        <v>0</v>
      </c>
      <c r="K871" s="154" t="s">
        <v>132</v>
      </c>
      <c r="L871" s="158"/>
      <c r="M871" s="159" t="s">
        <v>3</v>
      </c>
      <c r="N871" s="160" t="s">
        <v>41</v>
      </c>
      <c r="O871" s="132">
        <v>0</v>
      </c>
      <c r="P871" s="132">
        <f>O871*H871</f>
        <v>0</v>
      </c>
      <c r="Q871" s="132">
        <v>0.00078</v>
      </c>
      <c r="R871" s="132">
        <f>Q871*H871</f>
        <v>0.00156</v>
      </c>
      <c r="S871" s="132">
        <v>0</v>
      </c>
      <c r="T871" s="133">
        <f>S871*H871</f>
        <v>0</v>
      </c>
      <c r="AR871" s="134" t="s">
        <v>325</v>
      </c>
      <c r="AT871" s="134" t="s">
        <v>405</v>
      </c>
      <c r="AU871" s="134" t="s">
        <v>80</v>
      </c>
      <c r="AY871" s="17" t="s">
        <v>126</v>
      </c>
      <c r="BE871" s="135">
        <f>IF(N871="základní",J871,0)</f>
        <v>0</v>
      </c>
      <c r="BF871" s="135">
        <f>IF(N871="snížená",J871,0)</f>
        <v>0</v>
      </c>
      <c r="BG871" s="135">
        <f>IF(N871="zákl. přenesená",J871,0)</f>
        <v>0</v>
      </c>
      <c r="BH871" s="135">
        <f>IF(N871="sníž. přenesená",J871,0)</f>
        <v>0</v>
      </c>
      <c r="BI871" s="135">
        <f>IF(N871="nulová",J871,0)</f>
        <v>0</v>
      </c>
      <c r="BJ871" s="17" t="s">
        <v>78</v>
      </c>
      <c r="BK871" s="135">
        <f>ROUND(I871*H871,2)</f>
        <v>0</v>
      </c>
      <c r="BL871" s="17" t="s">
        <v>221</v>
      </c>
      <c r="BM871" s="134" t="s">
        <v>1853</v>
      </c>
    </row>
    <row r="872" spans="2:65" s="1" customFormat="1" ht="16.5" customHeight="1">
      <c r="B872" s="123"/>
      <c r="C872" s="152" t="s">
        <v>1854</v>
      </c>
      <c r="D872" s="152" t="s">
        <v>405</v>
      </c>
      <c r="E872" s="153" t="s">
        <v>1855</v>
      </c>
      <c r="F872" s="154" t="s">
        <v>1856</v>
      </c>
      <c r="G872" s="155" t="s">
        <v>1690</v>
      </c>
      <c r="H872" s="156">
        <v>2</v>
      </c>
      <c r="I872" s="157"/>
      <c r="J872" s="157">
        <f>ROUND(I872*H872,2)</f>
        <v>0</v>
      </c>
      <c r="K872" s="154" t="s">
        <v>132</v>
      </c>
      <c r="L872" s="158"/>
      <c r="M872" s="159" t="s">
        <v>3</v>
      </c>
      <c r="N872" s="160" t="s">
        <v>41</v>
      </c>
      <c r="O872" s="132">
        <v>0</v>
      </c>
      <c r="P872" s="132">
        <f>O872*H872</f>
        <v>0</v>
      </c>
      <c r="Q872" s="132">
        <v>0.0033</v>
      </c>
      <c r="R872" s="132">
        <f>Q872*H872</f>
        <v>0.0066</v>
      </c>
      <c r="S872" s="132">
        <v>0</v>
      </c>
      <c r="T872" s="133">
        <f>S872*H872</f>
        <v>0</v>
      </c>
      <c r="AR872" s="134" t="s">
        <v>325</v>
      </c>
      <c r="AT872" s="134" t="s">
        <v>405</v>
      </c>
      <c r="AU872" s="134" t="s">
        <v>80</v>
      </c>
      <c r="AY872" s="17" t="s">
        <v>126</v>
      </c>
      <c r="BE872" s="135">
        <f>IF(N872="základní",J872,0)</f>
        <v>0</v>
      </c>
      <c r="BF872" s="135">
        <f>IF(N872="snížená",J872,0)</f>
        <v>0</v>
      </c>
      <c r="BG872" s="135">
        <f>IF(N872="zákl. přenesená",J872,0)</f>
        <v>0</v>
      </c>
      <c r="BH872" s="135">
        <f>IF(N872="sníž. přenesená",J872,0)</f>
        <v>0</v>
      </c>
      <c r="BI872" s="135">
        <f>IF(N872="nulová",J872,0)</f>
        <v>0</v>
      </c>
      <c r="BJ872" s="17" t="s">
        <v>78</v>
      </c>
      <c r="BK872" s="135">
        <f>ROUND(I872*H872,2)</f>
        <v>0</v>
      </c>
      <c r="BL872" s="17" t="s">
        <v>221</v>
      </c>
      <c r="BM872" s="134" t="s">
        <v>1857</v>
      </c>
    </row>
    <row r="873" spans="2:65" s="1" customFormat="1" ht="33" customHeight="1">
      <c r="B873" s="123"/>
      <c r="C873" s="124" t="s">
        <v>1858</v>
      </c>
      <c r="D873" s="124" t="s">
        <v>128</v>
      </c>
      <c r="E873" s="125" t="s">
        <v>1859</v>
      </c>
      <c r="F873" s="126" t="s">
        <v>1860</v>
      </c>
      <c r="G873" s="127" t="s">
        <v>296</v>
      </c>
      <c r="H873" s="128">
        <v>2</v>
      </c>
      <c r="I873" s="129"/>
      <c r="J873" s="129">
        <f>ROUND(I873*H873,2)</f>
        <v>0</v>
      </c>
      <c r="K873" s="126" t="s">
        <v>132</v>
      </c>
      <c r="L873" s="29"/>
      <c r="M873" s="130" t="s">
        <v>3</v>
      </c>
      <c r="N873" s="131" t="s">
        <v>41</v>
      </c>
      <c r="O873" s="132">
        <v>4.401</v>
      </c>
      <c r="P873" s="132">
        <f>O873*H873</f>
        <v>8.802</v>
      </c>
      <c r="Q873" s="132">
        <v>0.00027</v>
      </c>
      <c r="R873" s="132">
        <f>Q873*H873</f>
        <v>0.00054</v>
      </c>
      <c r="S873" s="132">
        <v>0</v>
      </c>
      <c r="T873" s="133">
        <f>S873*H873</f>
        <v>0</v>
      </c>
      <c r="AR873" s="134" t="s">
        <v>221</v>
      </c>
      <c r="AT873" s="134" t="s">
        <v>128</v>
      </c>
      <c r="AU873" s="134" t="s">
        <v>80</v>
      </c>
      <c r="AY873" s="17" t="s">
        <v>126</v>
      </c>
      <c r="BE873" s="135">
        <f>IF(N873="základní",J873,0)</f>
        <v>0</v>
      </c>
      <c r="BF873" s="135">
        <f>IF(N873="snížená",J873,0)</f>
        <v>0</v>
      </c>
      <c r="BG873" s="135">
        <f>IF(N873="zákl. přenesená",J873,0)</f>
        <v>0</v>
      </c>
      <c r="BH873" s="135">
        <f>IF(N873="sníž. přenesená",J873,0)</f>
        <v>0</v>
      </c>
      <c r="BI873" s="135">
        <f>IF(N873="nulová",J873,0)</f>
        <v>0</v>
      </c>
      <c r="BJ873" s="17" t="s">
        <v>78</v>
      </c>
      <c r="BK873" s="135">
        <f>ROUND(I873*H873,2)</f>
        <v>0</v>
      </c>
      <c r="BL873" s="17" t="s">
        <v>221</v>
      </c>
      <c r="BM873" s="134" t="s">
        <v>1861</v>
      </c>
    </row>
    <row r="874" spans="2:47" s="1" customFormat="1" ht="12">
      <c r="B874" s="29"/>
      <c r="D874" s="136" t="s">
        <v>135</v>
      </c>
      <c r="F874" s="137" t="s">
        <v>1862</v>
      </c>
      <c r="L874" s="29"/>
      <c r="M874" s="138"/>
      <c r="T874" s="49"/>
      <c r="AT874" s="17" t="s">
        <v>135</v>
      </c>
      <c r="AU874" s="17" t="s">
        <v>80</v>
      </c>
    </row>
    <row r="875" spans="2:51" s="12" customFormat="1" ht="12">
      <c r="B875" s="139"/>
      <c r="D875" s="140" t="s">
        <v>137</v>
      </c>
      <c r="E875" s="141" t="s">
        <v>3</v>
      </c>
      <c r="F875" s="142" t="s">
        <v>1863</v>
      </c>
      <c r="H875" s="143">
        <v>2</v>
      </c>
      <c r="L875" s="139"/>
      <c r="M875" s="144"/>
      <c r="T875" s="145"/>
      <c r="AT875" s="141" t="s">
        <v>137</v>
      </c>
      <c r="AU875" s="141" t="s">
        <v>80</v>
      </c>
      <c r="AV875" s="12" t="s">
        <v>80</v>
      </c>
      <c r="AW875" s="12" t="s">
        <v>32</v>
      </c>
      <c r="AX875" s="12" t="s">
        <v>78</v>
      </c>
      <c r="AY875" s="141" t="s">
        <v>126</v>
      </c>
    </row>
    <row r="876" spans="2:65" s="1" customFormat="1" ht="21.75" customHeight="1">
      <c r="B876" s="123"/>
      <c r="C876" s="152" t="s">
        <v>1864</v>
      </c>
      <c r="D876" s="152" t="s">
        <v>405</v>
      </c>
      <c r="E876" s="153" t="s">
        <v>1865</v>
      </c>
      <c r="F876" s="154" t="s">
        <v>1866</v>
      </c>
      <c r="G876" s="155" t="s">
        <v>296</v>
      </c>
      <c r="H876" s="156">
        <v>2</v>
      </c>
      <c r="I876" s="157"/>
      <c r="J876" s="157">
        <f>ROUND(I876*H876,2)</f>
        <v>0</v>
      </c>
      <c r="K876" s="154" t="s">
        <v>132</v>
      </c>
      <c r="L876" s="158"/>
      <c r="M876" s="159" t="s">
        <v>3</v>
      </c>
      <c r="N876" s="160" t="s">
        <v>41</v>
      </c>
      <c r="O876" s="132">
        <v>0</v>
      </c>
      <c r="P876" s="132">
        <f>O876*H876</f>
        <v>0</v>
      </c>
      <c r="Q876" s="132">
        <v>0</v>
      </c>
      <c r="R876" s="132">
        <f>Q876*H876</f>
        <v>0</v>
      </c>
      <c r="S876" s="132">
        <v>0</v>
      </c>
      <c r="T876" s="133">
        <f>S876*H876</f>
        <v>0</v>
      </c>
      <c r="AR876" s="134" t="s">
        <v>325</v>
      </c>
      <c r="AT876" s="134" t="s">
        <v>405</v>
      </c>
      <c r="AU876" s="134" t="s">
        <v>80</v>
      </c>
      <c r="AY876" s="17" t="s">
        <v>126</v>
      </c>
      <c r="BE876" s="135">
        <f>IF(N876="základní",J876,0)</f>
        <v>0</v>
      </c>
      <c r="BF876" s="135">
        <f>IF(N876="snížená",J876,0)</f>
        <v>0</v>
      </c>
      <c r="BG876" s="135">
        <f>IF(N876="zákl. přenesená",J876,0)</f>
        <v>0</v>
      </c>
      <c r="BH876" s="135">
        <f>IF(N876="sníž. přenesená",J876,0)</f>
        <v>0</v>
      </c>
      <c r="BI876" s="135">
        <f>IF(N876="nulová",J876,0)</f>
        <v>0</v>
      </c>
      <c r="BJ876" s="17" t="s">
        <v>78</v>
      </c>
      <c r="BK876" s="135">
        <f>ROUND(I876*H876,2)</f>
        <v>0</v>
      </c>
      <c r="BL876" s="17" t="s">
        <v>221</v>
      </c>
      <c r="BM876" s="134" t="s">
        <v>1867</v>
      </c>
    </row>
    <row r="877" spans="2:65" s="1" customFormat="1" ht="16.5" customHeight="1">
      <c r="B877" s="123"/>
      <c r="C877" s="152" t="s">
        <v>1868</v>
      </c>
      <c r="D877" s="152" t="s">
        <v>405</v>
      </c>
      <c r="E877" s="153" t="s">
        <v>1869</v>
      </c>
      <c r="F877" s="154" t="s">
        <v>1870</v>
      </c>
      <c r="G877" s="155" t="s">
        <v>296</v>
      </c>
      <c r="H877" s="156">
        <v>2</v>
      </c>
      <c r="I877" s="157"/>
      <c r="J877" s="157">
        <f>ROUND(I877*H877,2)</f>
        <v>0</v>
      </c>
      <c r="K877" s="154" t="s">
        <v>132</v>
      </c>
      <c r="L877" s="158"/>
      <c r="M877" s="159" t="s">
        <v>3</v>
      </c>
      <c r="N877" s="160" t="s">
        <v>41</v>
      </c>
      <c r="O877" s="132">
        <v>0</v>
      </c>
      <c r="P877" s="132">
        <f>O877*H877</f>
        <v>0</v>
      </c>
      <c r="Q877" s="132">
        <v>0.0075</v>
      </c>
      <c r="R877" s="132">
        <f>Q877*H877</f>
        <v>0.015</v>
      </c>
      <c r="S877" s="132">
        <v>0</v>
      </c>
      <c r="T877" s="133">
        <f>S877*H877</f>
        <v>0</v>
      </c>
      <c r="AR877" s="134" t="s">
        <v>325</v>
      </c>
      <c r="AT877" s="134" t="s">
        <v>405</v>
      </c>
      <c r="AU877" s="134" t="s">
        <v>80</v>
      </c>
      <c r="AY877" s="17" t="s">
        <v>126</v>
      </c>
      <c r="BE877" s="135">
        <f>IF(N877="základní",J877,0)</f>
        <v>0</v>
      </c>
      <c r="BF877" s="135">
        <f>IF(N877="snížená",J877,0)</f>
        <v>0</v>
      </c>
      <c r="BG877" s="135">
        <f>IF(N877="zákl. přenesená",J877,0)</f>
        <v>0</v>
      </c>
      <c r="BH877" s="135">
        <f>IF(N877="sníž. přenesená",J877,0)</f>
        <v>0</v>
      </c>
      <c r="BI877" s="135">
        <f>IF(N877="nulová",J877,0)</f>
        <v>0</v>
      </c>
      <c r="BJ877" s="17" t="s">
        <v>78</v>
      </c>
      <c r="BK877" s="135">
        <f>ROUND(I877*H877,2)</f>
        <v>0</v>
      </c>
      <c r="BL877" s="17" t="s">
        <v>221</v>
      </c>
      <c r="BM877" s="134" t="s">
        <v>1871</v>
      </c>
    </row>
    <row r="878" spans="2:65" s="1" customFormat="1" ht="16.5" customHeight="1">
      <c r="B878" s="123"/>
      <c r="C878" s="152" t="s">
        <v>1872</v>
      </c>
      <c r="D878" s="152" t="s">
        <v>405</v>
      </c>
      <c r="E878" s="153" t="s">
        <v>1873</v>
      </c>
      <c r="F878" s="154" t="s">
        <v>1874</v>
      </c>
      <c r="G878" s="155" t="s">
        <v>296</v>
      </c>
      <c r="H878" s="156">
        <v>2</v>
      </c>
      <c r="I878" s="157"/>
      <c r="J878" s="157">
        <f>ROUND(I878*H878,2)</f>
        <v>0</v>
      </c>
      <c r="K878" s="154" t="s">
        <v>132</v>
      </c>
      <c r="L878" s="158"/>
      <c r="M878" s="159" t="s">
        <v>3</v>
      </c>
      <c r="N878" s="160" t="s">
        <v>41</v>
      </c>
      <c r="O878" s="132">
        <v>0</v>
      </c>
      <c r="P878" s="132">
        <f>O878*H878</f>
        <v>0</v>
      </c>
      <c r="Q878" s="132">
        <v>0.00091</v>
      </c>
      <c r="R878" s="132">
        <f>Q878*H878</f>
        <v>0.00182</v>
      </c>
      <c r="S878" s="132">
        <v>0</v>
      </c>
      <c r="T878" s="133">
        <f>S878*H878</f>
        <v>0</v>
      </c>
      <c r="AR878" s="134" t="s">
        <v>325</v>
      </c>
      <c r="AT878" s="134" t="s">
        <v>405</v>
      </c>
      <c r="AU878" s="134" t="s">
        <v>80</v>
      </c>
      <c r="AY878" s="17" t="s">
        <v>126</v>
      </c>
      <c r="BE878" s="135">
        <f>IF(N878="základní",J878,0)</f>
        <v>0</v>
      </c>
      <c r="BF878" s="135">
        <f>IF(N878="snížená",J878,0)</f>
        <v>0</v>
      </c>
      <c r="BG878" s="135">
        <f>IF(N878="zákl. přenesená",J878,0)</f>
        <v>0</v>
      </c>
      <c r="BH878" s="135">
        <f>IF(N878="sníž. přenesená",J878,0)</f>
        <v>0</v>
      </c>
      <c r="BI878" s="135">
        <f>IF(N878="nulová",J878,0)</f>
        <v>0</v>
      </c>
      <c r="BJ878" s="17" t="s">
        <v>78</v>
      </c>
      <c r="BK878" s="135">
        <f>ROUND(I878*H878,2)</f>
        <v>0</v>
      </c>
      <c r="BL878" s="17" t="s">
        <v>221</v>
      </c>
      <c r="BM878" s="134" t="s">
        <v>1875</v>
      </c>
    </row>
    <row r="879" spans="2:65" s="1" customFormat="1" ht="16.5" customHeight="1">
      <c r="B879" s="123"/>
      <c r="C879" s="152" t="s">
        <v>1876</v>
      </c>
      <c r="D879" s="152" t="s">
        <v>405</v>
      </c>
      <c r="E879" s="153" t="s">
        <v>1877</v>
      </c>
      <c r="F879" s="154" t="s">
        <v>1878</v>
      </c>
      <c r="G879" s="155" t="s">
        <v>1690</v>
      </c>
      <c r="H879" s="156">
        <v>2</v>
      </c>
      <c r="I879" s="157"/>
      <c r="J879" s="157">
        <f>ROUND(I879*H879,2)</f>
        <v>0</v>
      </c>
      <c r="K879" s="154" t="s">
        <v>132</v>
      </c>
      <c r="L879" s="158"/>
      <c r="M879" s="159" t="s">
        <v>3</v>
      </c>
      <c r="N879" s="160" t="s">
        <v>41</v>
      </c>
      <c r="O879" s="132">
        <v>0</v>
      </c>
      <c r="P879" s="132">
        <f>O879*H879</f>
        <v>0</v>
      </c>
      <c r="Q879" s="132">
        <v>0.004</v>
      </c>
      <c r="R879" s="132">
        <f>Q879*H879</f>
        <v>0.008</v>
      </c>
      <c r="S879" s="132">
        <v>0</v>
      </c>
      <c r="T879" s="133">
        <f>S879*H879</f>
        <v>0</v>
      </c>
      <c r="AR879" s="134" t="s">
        <v>325</v>
      </c>
      <c r="AT879" s="134" t="s">
        <v>405</v>
      </c>
      <c r="AU879" s="134" t="s">
        <v>80</v>
      </c>
      <c r="AY879" s="17" t="s">
        <v>126</v>
      </c>
      <c r="BE879" s="135">
        <f>IF(N879="základní",J879,0)</f>
        <v>0</v>
      </c>
      <c r="BF879" s="135">
        <f>IF(N879="snížená",J879,0)</f>
        <v>0</v>
      </c>
      <c r="BG879" s="135">
        <f>IF(N879="zákl. přenesená",J879,0)</f>
        <v>0</v>
      </c>
      <c r="BH879" s="135">
        <f>IF(N879="sníž. přenesená",J879,0)</f>
        <v>0</v>
      </c>
      <c r="BI879" s="135">
        <f>IF(N879="nulová",J879,0)</f>
        <v>0</v>
      </c>
      <c r="BJ879" s="17" t="s">
        <v>78</v>
      </c>
      <c r="BK879" s="135">
        <f>ROUND(I879*H879,2)</f>
        <v>0</v>
      </c>
      <c r="BL879" s="17" t="s">
        <v>221</v>
      </c>
      <c r="BM879" s="134" t="s">
        <v>1879</v>
      </c>
    </row>
    <row r="880" spans="2:65" s="1" customFormat="1" ht="33" customHeight="1">
      <c r="B880" s="123"/>
      <c r="C880" s="124" t="s">
        <v>1880</v>
      </c>
      <c r="D880" s="124" t="s">
        <v>128</v>
      </c>
      <c r="E880" s="125" t="s">
        <v>1881</v>
      </c>
      <c r="F880" s="126" t="s">
        <v>1882</v>
      </c>
      <c r="G880" s="127" t="s">
        <v>296</v>
      </c>
      <c r="H880" s="128">
        <v>22</v>
      </c>
      <c r="I880" s="129"/>
      <c r="J880" s="129">
        <f>ROUND(I880*H880,2)</f>
        <v>0</v>
      </c>
      <c r="K880" s="126" t="s">
        <v>3</v>
      </c>
      <c r="L880" s="29"/>
      <c r="M880" s="130" t="s">
        <v>3</v>
      </c>
      <c r="N880" s="131" t="s">
        <v>41</v>
      </c>
      <c r="O880" s="132">
        <v>5.323</v>
      </c>
      <c r="P880" s="132">
        <f>O880*H880</f>
        <v>117.10600000000001</v>
      </c>
      <c r="Q880" s="132">
        <v>0.00027</v>
      </c>
      <c r="R880" s="132">
        <f>Q880*H880</f>
        <v>0.00594</v>
      </c>
      <c r="S880" s="132">
        <v>0</v>
      </c>
      <c r="T880" s="133">
        <f>S880*H880</f>
        <v>0</v>
      </c>
      <c r="AR880" s="134" t="s">
        <v>221</v>
      </c>
      <c r="AT880" s="134" t="s">
        <v>128</v>
      </c>
      <c r="AU880" s="134" t="s">
        <v>80</v>
      </c>
      <c r="AY880" s="17" t="s">
        <v>126</v>
      </c>
      <c r="BE880" s="135">
        <f>IF(N880="základní",J880,0)</f>
        <v>0</v>
      </c>
      <c r="BF880" s="135">
        <f>IF(N880="snížená",J880,0)</f>
        <v>0</v>
      </c>
      <c r="BG880" s="135">
        <f>IF(N880="zákl. přenesená",J880,0)</f>
        <v>0</v>
      </c>
      <c r="BH880" s="135">
        <f>IF(N880="sníž. přenesená",J880,0)</f>
        <v>0</v>
      </c>
      <c r="BI880" s="135">
        <f>IF(N880="nulová",J880,0)</f>
        <v>0</v>
      </c>
      <c r="BJ880" s="17" t="s">
        <v>78</v>
      </c>
      <c r="BK880" s="135">
        <f>ROUND(I880*H880,2)</f>
        <v>0</v>
      </c>
      <c r="BL880" s="17" t="s">
        <v>221</v>
      </c>
      <c r="BM880" s="134" t="s">
        <v>1883</v>
      </c>
    </row>
    <row r="881" spans="2:51" s="12" customFormat="1" ht="12">
      <c r="B881" s="139"/>
      <c r="D881" s="140" t="s">
        <v>137</v>
      </c>
      <c r="E881" s="141" t="s">
        <v>3</v>
      </c>
      <c r="F881" s="142" t="s">
        <v>1884</v>
      </c>
      <c r="H881" s="143">
        <v>22</v>
      </c>
      <c r="L881" s="139"/>
      <c r="M881" s="144"/>
      <c r="T881" s="145"/>
      <c r="AT881" s="141" t="s">
        <v>137</v>
      </c>
      <c r="AU881" s="141" t="s">
        <v>80</v>
      </c>
      <c r="AV881" s="12" t="s">
        <v>80</v>
      </c>
      <c r="AW881" s="12" t="s">
        <v>32</v>
      </c>
      <c r="AX881" s="12" t="s">
        <v>78</v>
      </c>
      <c r="AY881" s="141" t="s">
        <v>126</v>
      </c>
    </row>
    <row r="882" spans="2:65" s="1" customFormat="1" ht="24.2" customHeight="1">
      <c r="B882" s="123"/>
      <c r="C882" s="152" t="s">
        <v>1885</v>
      </c>
      <c r="D882" s="152" t="s">
        <v>405</v>
      </c>
      <c r="E882" s="153" t="s">
        <v>1886</v>
      </c>
      <c r="F882" s="154" t="s">
        <v>1887</v>
      </c>
      <c r="G882" s="155" t="s">
        <v>296</v>
      </c>
      <c r="H882" s="156">
        <v>22</v>
      </c>
      <c r="I882" s="157"/>
      <c r="J882" s="157">
        <f>ROUND(I882*H882,2)</f>
        <v>0</v>
      </c>
      <c r="K882" s="154" t="s">
        <v>132</v>
      </c>
      <c r="L882" s="158"/>
      <c r="M882" s="159" t="s">
        <v>3</v>
      </c>
      <c r="N882" s="160" t="s">
        <v>41</v>
      </c>
      <c r="O882" s="132">
        <v>0</v>
      </c>
      <c r="P882" s="132">
        <f>O882*H882</f>
        <v>0</v>
      </c>
      <c r="Q882" s="132">
        <v>0</v>
      </c>
      <c r="R882" s="132">
        <f>Q882*H882</f>
        <v>0</v>
      </c>
      <c r="S882" s="132">
        <v>0</v>
      </c>
      <c r="T882" s="133">
        <f>S882*H882</f>
        <v>0</v>
      </c>
      <c r="AR882" s="134" t="s">
        <v>325</v>
      </c>
      <c r="AT882" s="134" t="s">
        <v>405</v>
      </c>
      <c r="AU882" s="134" t="s">
        <v>80</v>
      </c>
      <c r="AY882" s="17" t="s">
        <v>126</v>
      </c>
      <c r="BE882" s="135">
        <f>IF(N882="základní",J882,0)</f>
        <v>0</v>
      </c>
      <c r="BF882" s="135">
        <f>IF(N882="snížená",J882,0)</f>
        <v>0</v>
      </c>
      <c r="BG882" s="135">
        <f>IF(N882="zákl. přenesená",J882,0)</f>
        <v>0</v>
      </c>
      <c r="BH882" s="135">
        <f>IF(N882="sníž. přenesená",J882,0)</f>
        <v>0</v>
      </c>
      <c r="BI882" s="135">
        <f>IF(N882="nulová",J882,0)</f>
        <v>0</v>
      </c>
      <c r="BJ882" s="17" t="s">
        <v>78</v>
      </c>
      <c r="BK882" s="135">
        <f>ROUND(I882*H882,2)</f>
        <v>0</v>
      </c>
      <c r="BL882" s="17" t="s">
        <v>221</v>
      </c>
      <c r="BM882" s="134" t="s">
        <v>1888</v>
      </c>
    </row>
    <row r="883" spans="2:65" s="1" customFormat="1" ht="16.5" customHeight="1">
      <c r="B883" s="123"/>
      <c r="C883" s="152" t="s">
        <v>1889</v>
      </c>
      <c r="D883" s="152" t="s">
        <v>405</v>
      </c>
      <c r="E883" s="153" t="s">
        <v>1890</v>
      </c>
      <c r="F883" s="154" t="s">
        <v>1891</v>
      </c>
      <c r="G883" s="155" t="s">
        <v>296</v>
      </c>
      <c r="H883" s="156">
        <v>22</v>
      </c>
      <c r="I883" s="157"/>
      <c r="J883" s="157">
        <f>ROUND(I883*H883,2)</f>
        <v>0</v>
      </c>
      <c r="K883" s="154" t="s">
        <v>3</v>
      </c>
      <c r="L883" s="158"/>
      <c r="M883" s="159" t="s">
        <v>3</v>
      </c>
      <c r="N883" s="160" t="s">
        <v>41</v>
      </c>
      <c r="O883" s="132">
        <v>0</v>
      </c>
      <c r="P883" s="132">
        <f>O883*H883</f>
        <v>0</v>
      </c>
      <c r="Q883" s="132">
        <v>0.0086</v>
      </c>
      <c r="R883" s="132">
        <f>Q883*H883</f>
        <v>0.1892</v>
      </c>
      <c r="S883" s="132">
        <v>0</v>
      </c>
      <c r="T883" s="133">
        <f>S883*H883</f>
        <v>0</v>
      </c>
      <c r="AR883" s="134" t="s">
        <v>325</v>
      </c>
      <c r="AT883" s="134" t="s">
        <v>405</v>
      </c>
      <c r="AU883" s="134" t="s">
        <v>80</v>
      </c>
      <c r="AY883" s="17" t="s">
        <v>126</v>
      </c>
      <c r="BE883" s="135">
        <f>IF(N883="základní",J883,0)</f>
        <v>0</v>
      </c>
      <c r="BF883" s="135">
        <f>IF(N883="snížená",J883,0)</f>
        <v>0</v>
      </c>
      <c r="BG883" s="135">
        <f>IF(N883="zákl. přenesená",J883,0)</f>
        <v>0</v>
      </c>
      <c r="BH883" s="135">
        <f>IF(N883="sníž. přenesená",J883,0)</f>
        <v>0</v>
      </c>
      <c r="BI883" s="135">
        <f>IF(N883="nulová",J883,0)</f>
        <v>0</v>
      </c>
      <c r="BJ883" s="17" t="s">
        <v>78</v>
      </c>
      <c r="BK883" s="135">
        <f>ROUND(I883*H883,2)</f>
        <v>0</v>
      </c>
      <c r="BL883" s="17" t="s">
        <v>221</v>
      </c>
      <c r="BM883" s="134" t="s">
        <v>1892</v>
      </c>
    </row>
    <row r="884" spans="2:65" s="1" customFormat="1" ht="16.5" customHeight="1">
      <c r="B884" s="123"/>
      <c r="C884" s="152" t="s">
        <v>1893</v>
      </c>
      <c r="D884" s="152" t="s">
        <v>405</v>
      </c>
      <c r="E884" s="153" t="s">
        <v>1894</v>
      </c>
      <c r="F884" s="154" t="s">
        <v>1895</v>
      </c>
      <c r="G884" s="155" t="s">
        <v>296</v>
      </c>
      <c r="H884" s="156">
        <v>22</v>
      </c>
      <c r="I884" s="157"/>
      <c r="J884" s="157">
        <f>ROUND(I884*H884,2)</f>
        <v>0</v>
      </c>
      <c r="K884" s="154" t="s">
        <v>3</v>
      </c>
      <c r="L884" s="158"/>
      <c r="M884" s="159" t="s">
        <v>3</v>
      </c>
      <c r="N884" s="160" t="s">
        <v>41</v>
      </c>
      <c r="O884" s="132">
        <v>0</v>
      </c>
      <c r="P884" s="132">
        <f>O884*H884</f>
        <v>0</v>
      </c>
      <c r="Q884" s="132">
        <v>0.00097</v>
      </c>
      <c r="R884" s="132">
        <f>Q884*H884</f>
        <v>0.02134</v>
      </c>
      <c r="S884" s="132">
        <v>0</v>
      </c>
      <c r="T884" s="133">
        <f>S884*H884</f>
        <v>0</v>
      </c>
      <c r="AR884" s="134" t="s">
        <v>325</v>
      </c>
      <c r="AT884" s="134" t="s">
        <v>405</v>
      </c>
      <c r="AU884" s="134" t="s">
        <v>80</v>
      </c>
      <c r="AY884" s="17" t="s">
        <v>126</v>
      </c>
      <c r="BE884" s="135">
        <f>IF(N884="základní",J884,0)</f>
        <v>0</v>
      </c>
      <c r="BF884" s="135">
        <f>IF(N884="snížená",J884,0)</f>
        <v>0</v>
      </c>
      <c r="BG884" s="135">
        <f>IF(N884="zákl. přenesená",J884,0)</f>
        <v>0</v>
      </c>
      <c r="BH884" s="135">
        <f>IF(N884="sníž. přenesená",J884,0)</f>
        <v>0</v>
      </c>
      <c r="BI884" s="135">
        <f>IF(N884="nulová",J884,0)</f>
        <v>0</v>
      </c>
      <c r="BJ884" s="17" t="s">
        <v>78</v>
      </c>
      <c r="BK884" s="135">
        <f>ROUND(I884*H884,2)</f>
        <v>0</v>
      </c>
      <c r="BL884" s="17" t="s">
        <v>221</v>
      </c>
      <c r="BM884" s="134" t="s">
        <v>1896</v>
      </c>
    </row>
    <row r="885" spans="2:65" s="1" customFormat="1" ht="16.5" customHeight="1">
      <c r="B885" s="123"/>
      <c r="C885" s="152" t="s">
        <v>1897</v>
      </c>
      <c r="D885" s="152" t="s">
        <v>405</v>
      </c>
      <c r="E885" s="153" t="s">
        <v>1898</v>
      </c>
      <c r="F885" s="154" t="s">
        <v>1899</v>
      </c>
      <c r="G885" s="155" t="s">
        <v>1690</v>
      </c>
      <c r="H885" s="156">
        <v>22</v>
      </c>
      <c r="I885" s="157"/>
      <c r="J885" s="157">
        <f>ROUND(I885*H885,2)</f>
        <v>0</v>
      </c>
      <c r="K885" s="154" t="s">
        <v>3</v>
      </c>
      <c r="L885" s="158"/>
      <c r="M885" s="159" t="s">
        <v>3</v>
      </c>
      <c r="N885" s="160" t="s">
        <v>41</v>
      </c>
      <c r="O885" s="132">
        <v>0</v>
      </c>
      <c r="P885" s="132">
        <f>O885*H885</f>
        <v>0</v>
      </c>
      <c r="Q885" s="132">
        <v>0.00428</v>
      </c>
      <c r="R885" s="132">
        <f>Q885*H885</f>
        <v>0.09416</v>
      </c>
      <c r="S885" s="132">
        <v>0</v>
      </c>
      <c r="T885" s="133">
        <f>S885*H885</f>
        <v>0</v>
      </c>
      <c r="AR885" s="134" t="s">
        <v>325</v>
      </c>
      <c r="AT885" s="134" t="s">
        <v>405</v>
      </c>
      <c r="AU885" s="134" t="s">
        <v>80</v>
      </c>
      <c r="AY885" s="17" t="s">
        <v>126</v>
      </c>
      <c r="BE885" s="135">
        <f>IF(N885="základní",J885,0)</f>
        <v>0</v>
      </c>
      <c r="BF885" s="135">
        <f>IF(N885="snížená",J885,0)</f>
        <v>0</v>
      </c>
      <c r="BG885" s="135">
        <f>IF(N885="zákl. přenesená",J885,0)</f>
        <v>0</v>
      </c>
      <c r="BH885" s="135">
        <f>IF(N885="sníž. přenesená",J885,0)</f>
        <v>0</v>
      </c>
      <c r="BI885" s="135">
        <f>IF(N885="nulová",J885,0)</f>
        <v>0</v>
      </c>
      <c r="BJ885" s="17" t="s">
        <v>78</v>
      </c>
      <c r="BK885" s="135">
        <f>ROUND(I885*H885,2)</f>
        <v>0</v>
      </c>
      <c r="BL885" s="17" t="s">
        <v>221</v>
      </c>
      <c r="BM885" s="134" t="s">
        <v>1900</v>
      </c>
    </row>
    <row r="886" spans="2:65" s="1" customFormat="1" ht="24.2" customHeight="1">
      <c r="B886" s="123"/>
      <c r="C886" s="124" t="s">
        <v>1901</v>
      </c>
      <c r="D886" s="124" t="s">
        <v>128</v>
      </c>
      <c r="E886" s="125" t="s">
        <v>1902</v>
      </c>
      <c r="F886" s="126" t="s">
        <v>1903</v>
      </c>
      <c r="G886" s="127" t="s">
        <v>296</v>
      </c>
      <c r="H886" s="128">
        <v>3</v>
      </c>
      <c r="I886" s="129"/>
      <c r="J886" s="129">
        <f>ROUND(I886*H886,2)</f>
        <v>0</v>
      </c>
      <c r="K886" s="126" t="s">
        <v>132</v>
      </c>
      <c r="L886" s="29"/>
      <c r="M886" s="130" t="s">
        <v>3</v>
      </c>
      <c r="N886" s="131" t="s">
        <v>41</v>
      </c>
      <c r="O886" s="132">
        <v>0.464</v>
      </c>
      <c r="P886" s="132">
        <f>O886*H886</f>
        <v>1.3920000000000001</v>
      </c>
      <c r="Q886" s="132">
        <v>0</v>
      </c>
      <c r="R886" s="132">
        <f>Q886*H886</f>
        <v>0</v>
      </c>
      <c r="S886" s="132">
        <v>0</v>
      </c>
      <c r="T886" s="133">
        <f>S886*H886</f>
        <v>0</v>
      </c>
      <c r="AR886" s="134" t="s">
        <v>221</v>
      </c>
      <c r="AT886" s="134" t="s">
        <v>128</v>
      </c>
      <c r="AU886" s="134" t="s">
        <v>80</v>
      </c>
      <c r="AY886" s="17" t="s">
        <v>126</v>
      </c>
      <c r="BE886" s="135">
        <f>IF(N886="základní",J886,0)</f>
        <v>0</v>
      </c>
      <c r="BF886" s="135">
        <f>IF(N886="snížená",J886,0)</f>
        <v>0</v>
      </c>
      <c r="BG886" s="135">
        <f>IF(N886="zákl. přenesená",J886,0)</f>
        <v>0</v>
      </c>
      <c r="BH886" s="135">
        <f>IF(N886="sníž. přenesená",J886,0)</f>
        <v>0</v>
      </c>
      <c r="BI886" s="135">
        <f>IF(N886="nulová",J886,0)</f>
        <v>0</v>
      </c>
      <c r="BJ886" s="17" t="s">
        <v>78</v>
      </c>
      <c r="BK886" s="135">
        <f>ROUND(I886*H886,2)</f>
        <v>0</v>
      </c>
      <c r="BL886" s="17" t="s">
        <v>221</v>
      </c>
      <c r="BM886" s="134" t="s">
        <v>1904</v>
      </c>
    </row>
    <row r="887" spans="2:47" s="1" customFormat="1" ht="12">
      <c r="B887" s="29"/>
      <c r="D887" s="136" t="s">
        <v>135</v>
      </c>
      <c r="F887" s="137" t="s">
        <v>1905</v>
      </c>
      <c r="L887" s="29"/>
      <c r="M887" s="138"/>
      <c r="T887" s="49"/>
      <c r="AT887" s="17" t="s">
        <v>135</v>
      </c>
      <c r="AU887" s="17" t="s">
        <v>80</v>
      </c>
    </row>
    <row r="888" spans="2:51" s="12" customFormat="1" ht="12">
      <c r="B888" s="139"/>
      <c r="D888" s="140" t="s">
        <v>137</v>
      </c>
      <c r="E888" s="141" t="s">
        <v>3</v>
      </c>
      <c r="F888" s="142" t="s">
        <v>1906</v>
      </c>
      <c r="H888" s="143">
        <v>3</v>
      </c>
      <c r="L888" s="139"/>
      <c r="M888" s="144"/>
      <c r="T888" s="145"/>
      <c r="AT888" s="141" t="s">
        <v>137</v>
      </c>
      <c r="AU888" s="141" t="s">
        <v>80</v>
      </c>
      <c r="AV888" s="12" t="s">
        <v>80</v>
      </c>
      <c r="AW888" s="12" t="s">
        <v>32</v>
      </c>
      <c r="AX888" s="12" t="s">
        <v>78</v>
      </c>
      <c r="AY888" s="141" t="s">
        <v>126</v>
      </c>
    </row>
    <row r="889" spans="2:65" s="1" customFormat="1" ht="16.5" customHeight="1">
      <c r="B889" s="123"/>
      <c r="C889" s="152" t="s">
        <v>1907</v>
      </c>
      <c r="D889" s="152" t="s">
        <v>405</v>
      </c>
      <c r="E889" s="153" t="s">
        <v>1908</v>
      </c>
      <c r="F889" s="154" t="s">
        <v>1909</v>
      </c>
      <c r="G889" s="155" t="s">
        <v>249</v>
      </c>
      <c r="H889" s="156">
        <v>3.6</v>
      </c>
      <c r="I889" s="157"/>
      <c r="J889" s="157">
        <f>ROUND(I889*H889,2)</f>
        <v>0</v>
      </c>
      <c r="K889" s="154" t="s">
        <v>132</v>
      </c>
      <c r="L889" s="158"/>
      <c r="M889" s="159" t="s">
        <v>3</v>
      </c>
      <c r="N889" s="160" t="s">
        <v>41</v>
      </c>
      <c r="O889" s="132">
        <v>0</v>
      </c>
      <c r="P889" s="132">
        <f>O889*H889</f>
        <v>0</v>
      </c>
      <c r="Q889" s="132">
        <v>0.004</v>
      </c>
      <c r="R889" s="132">
        <f>Q889*H889</f>
        <v>0.014400000000000001</v>
      </c>
      <c r="S889" s="132">
        <v>0</v>
      </c>
      <c r="T889" s="133">
        <f>S889*H889</f>
        <v>0</v>
      </c>
      <c r="AR889" s="134" t="s">
        <v>325</v>
      </c>
      <c r="AT889" s="134" t="s">
        <v>405</v>
      </c>
      <c r="AU889" s="134" t="s">
        <v>80</v>
      </c>
      <c r="AY889" s="17" t="s">
        <v>126</v>
      </c>
      <c r="BE889" s="135">
        <f>IF(N889="základní",J889,0)</f>
        <v>0</v>
      </c>
      <c r="BF889" s="135">
        <f>IF(N889="snížená",J889,0)</f>
        <v>0</v>
      </c>
      <c r="BG889" s="135">
        <f>IF(N889="zákl. přenesená",J889,0)</f>
        <v>0</v>
      </c>
      <c r="BH889" s="135">
        <f>IF(N889="sníž. přenesená",J889,0)</f>
        <v>0</v>
      </c>
      <c r="BI889" s="135">
        <f>IF(N889="nulová",J889,0)</f>
        <v>0</v>
      </c>
      <c r="BJ889" s="17" t="s">
        <v>78</v>
      </c>
      <c r="BK889" s="135">
        <f>ROUND(I889*H889,2)</f>
        <v>0</v>
      </c>
      <c r="BL889" s="17" t="s">
        <v>221</v>
      </c>
      <c r="BM889" s="134" t="s">
        <v>1910</v>
      </c>
    </row>
    <row r="890" spans="2:51" s="12" customFormat="1" ht="12">
      <c r="B890" s="139"/>
      <c r="D890" s="140" t="s">
        <v>137</v>
      </c>
      <c r="E890" s="141" t="s">
        <v>3</v>
      </c>
      <c r="F890" s="142" t="s">
        <v>1911</v>
      </c>
      <c r="H890" s="143">
        <v>3.6</v>
      </c>
      <c r="L890" s="139"/>
      <c r="M890" s="144"/>
      <c r="T890" s="145"/>
      <c r="AT890" s="141" t="s">
        <v>137</v>
      </c>
      <c r="AU890" s="141" t="s">
        <v>80</v>
      </c>
      <c r="AV890" s="12" t="s">
        <v>80</v>
      </c>
      <c r="AW890" s="12" t="s">
        <v>32</v>
      </c>
      <c r="AX890" s="12" t="s">
        <v>78</v>
      </c>
      <c r="AY890" s="141" t="s">
        <v>126</v>
      </c>
    </row>
    <row r="891" spans="2:65" s="1" customFormat="1" ht="16.5" customHeight="1">
      <c r="B891" s="123"/>
      <c r="C891" s="152" t="s">
        <v>1912</v>
      </c>
      <c r="D891" s="152" t="s">
        <v>405</v>
      </c>
      <c r="E891" s="153" t="s">
        <v>1913</v>
      </c>
      <c r="F891" s="154" t="s">
        <v>1914</v>
      </c>
      <c r="G891" s="155" t="s">
        <v>1690</v>
      </c>
      <c r="H891" s="156">
        <v>3</v>
      </c>
      <c r="I891" s="157"/>
      <c r="J891" s="157">
        <f>ROUND(I891*H891,2)</f>
        <v>0</v>
      </c>
      <c r="K891" s="154" t="s">
        <v>132</v>
      </c>
      <c r="L891" s="158"/>
      <c r="M891" s="159" t="s">
        <v>3</v>
      </c>
      <c r="N891" s="160" t="s">
        <v>41</v>
      </c>
      <c r="O891" s="132">
        <v>0</v>
      </c>
      <c r="P891" s="132">
        <f>O891*H891</f>
        <v>0</v>
      </c>
      <c r="Q891" s="132">
        <v>6E-05</v>
      </c>
      <c r="R891" s="132">
        <f>Q891*H891</f>
        <v>0.00018</v>
      </c>
      <c r="S891" s="132">
        <v>0</v>
      </c>
      <c r="T891" s="133">
        <f>S891*H891</f>
        <v>0</v>
      </c>
      <c r="AR891" s="134" t="s">
        <v>325</v>
      </c>
      <c r="AT891" s="134" t="s">
        <v>405</v>
      </c>
      <c r="AU891" s="134" t="s">
        <v>80</v>
      </c>
      <c r="AY891" s="17" t="s">
        <v>126</v>
      </c>
      <c r="BE891" s="135">
        <f>IF(N891="základní",J891,0)</f>
        <v>0</v>
      </c>
      <c r="BF891" s="135">
        <f>IF(N891="snížená",J891,0)</f>
        <v>0</v>
      </c>
      <c r="BG891" s="135">
        <f>IF(N891="zákl. přenesená",J891,0)</f>
        <v>0</v>
      </c>
      <c r="BH891" s="135">
        <f>IF(N891="sníž. přenesená",J891,0)</f>
        <v>0</v>
      </c>
      <c r="BI891" s="135">
        <f>IF(N891="nulová",J891,0)</f>
        <v>0</v>
      </c>
      <c r="BJ891" s="17" t="s">
        <v>78</v>
      </c>
      <c r="BK891" s="135">
        <f>ROUND(I891*H891,2)</f>
        <v>0</v>
      </c>
      <c r="BL891" s="17" t="s">
        <v>221</v>
      </c>
      <c r="BM891" s="134" t="s">
        <v>1915</v>
      </c>
    </row>
    <row r="892" spans="2:65" s="1" customFormat="1" ht="24.2" customHeight="1">
      <c r="B892" s="123"/>
      <c r="C892" s="124" t="s">
        <v>1916</v>
      </c>
      <c r="D892" s="124" t="s">
        <v>128</v>
      </c>
      <c r="E892" s="125" t="s">
        <v>1917</v>
      </c>
      <c r="F892" s="126" t="s">
        <v>1918</v>
      </c>
      <c r="G892" s="127" t="s">
        <v>296</v>
      </c>
      <c r="H892" s="128">
        <v>1</v>
      </c>
      <c r="I892" s="129"/>
      <c r="J892" s="129">
        <f>ROUND(I892*H892,2)</f>
        <v>0</v>
      </c>
      <c r="K892" s="126" t="s">
        <v>132</v>
      </c>
      <c r="L892" s="29"/>
      <c r="M892" s="130" t="s">
        <v>3</v>
      </c>
      <c r="N892" s="131" t="s">
        <v>41</v>
      </c>
      <c r="O892" s="132">
        <v>0.63</v>
      </c>
      <c r="P892" s="132">
        <f>O892*H892</f>
        <v>0.63</v>
      </c>
      <c r="Q892" s="132">
        <v>0</v>
      </c>
      <c r="R892" s="132">
        <f>Q892*H892</f>
        <v>0</v>
      </c>
      <c r="S892" s="132">
        <v>0</v>
      </c>
      <c r="T892" s="133">
        <f>S892*H892</f>
        <v>0</v>
      </c>
      <c r="AR892" s="134" t="s">
        <v>221</v>
      </c>
      <c r="AT892" s="134" t="s">
        <v>128</v>
      </c>
      <c r="AU892" s="134" t="s">
        <v>80</v>
      </c>
      <c r="AY892" s="17" t="s">
        <v>126</v>
      </c>
      <c r="BE892" s="135">
        <f>IF(N892="základní",J892,0)</f>
        <v>0</v>
      </c>
      <c r="BF892" s="135">
        <f>IF(N892="snížená",J892,0)</f>
        <v>0</v>
      </c>
      <c r="BG892" s="135">
        <f>IF(N892="zákl. přenesená",J892,0)</f>
        <v>0</v>
      </c>
      <c r="BH892" s="135">
        <f>IF(N892="sníž. přenesená",J892,0)</f>
        <v>0</v>
      </c>
      <c r="BI892" s="135">
        <f>IF(N892="nulová",J892,0)</f>
        <v>0</v>
      </c>
      <c r="BJ892" s="17" t="s">
        <v>78</v>
      </c>
      <c r="BK892" s="135">
        <f>ROUND(I892*H892,2)</f>
        <v>0</v>
      </c>
      <c r="BL892" s="17" t="s">
        <v>221</v>
      </c>
      <c r="BM892" s="134" t="s">
        <v>1919</v>
      </c>
    </row>
    <row r="893" spans="2:47" s="1" customFormat="1" ht="12">
      <c r="B893" s="29"/>
      <c r="D893" s="136" t="s">
        <v>135</v>
      </c>
      <c r="F893" s="137" t="s">
        <v>1920</v>
      </c>
      <c r="L893" s="29"/>
      <c r="M893" s="138"/>
      <c r="T893" s="49"/>
      <c r="AT893" s="17" t="s">
        <v>135</v>
      </c>
      <c r="AU893" s="17" t="s">
        <v>80</v>
      </c>
    </row>
    <row r="894" spans="2:51" s="12" customFormat="1" ht="12">
      <c r="B894" s="139"/>
      <c r="D894" s="140" t="s">
        <v>137</v>
      </c>
      <c r="E894" s="141" t="s">
        <v>3</v>
      </c>
      <c r="F894" s="142" t="s">
        <v>1921</v>
      </c>
      <c r="H894" s="143">
        <v>1</v>
      </c>
      <c r="L894" s="139"/>
      <c r="M894" s="144"/>
      <c r="T894" s="145"/>
      <c r="AT894" s="141" t="s">
        <v>137</v>
      </c>
      <c r="AU894" s="141" t="s">
        <v>80</v>
      </c>
      <c r="AV894" s="12" t="s">
        <v>80</v>
      </c>
      <c r="AW894" s="12" t="s">
        <v>32</v>
      </c>
      <c r="AX894" s="12" t="s">
        <v>78</v>
      </c>
      <c r="AY894" s="141" t="s">
        <v>126</v>
      </c>
    </row>
    <row r="895" spans="2:65" s="1" customFormat="1" ht="16.5" customHeight="1">
      <c r="B895" s="123"/>
      <c r="C895" s="152" t="s">
        <v>1922</v>
      </c>
      <c r="D895" s="152" t="s">
        <v>405</v>
      </c>
      <c r="E895" s="153" t="s">
        <v>1908</v>
      </c>
      <c r="F895" s="154" t="s">
        <v>1909</v>
      </c>
      <c r="G895" s="155" t="s">
        <v>249</v>
      </c>
      <c r="H895" s="156">
        <v>1.85</v>
      </c>
      <c r="I895" s="157"/>
      <c r="J895" s="157">
        <f>ROUND(I895*H895,2)</f>
        <v>0</v>
      </c>
      <c r="K895" s="154" t="s">
        <v>132</v>
      </c>
      <c r="L895" s="158"/>
      <c r="M895" s="159" t="s">
        <v>3</v>
      </c>
      <c r="N895" s="160" t="s">
        <v>41</v>
      </c>
      <c r="O895" s="132">
        <v>0</v>
      </c>
      <c r="P895" s="132">
        <f>O895*H895</f>
        <v>0</v>
      </c>
      <c r="Q895" s="132">
        <v>0.004</v>
      </c>
      <c r="R895" s="132">
        <f>Q895*H895</f>
        <v>0.0074</v>
      </c>
      <c r="S895" s="132">
        <v>0</v>
      </c>
      <c r="T895" s="133">
        <f>S895*H895</f>
        <v>0</v>
      </c>
      <c r="AR895" s="134" t="s">
        <v>325</v>
      </c>
      <c r="AT895" s="134" t="s">
        <v>405</v>
      </c>
      <c r="AU895" s="134" t="s">
        <v>80</v>
      </c>
      <c r="AY895" s="17" t="s">
        <v>126</v>
      </c>
      <c r="BE895" s="135">
        <f>IF(N895="základní",J895,0)</f>
        <v>0</v>
      </c>
      <c r="BF895" s="135">
        <f>IF(N895="snížená",J895,0)</f>
        <v>0</v>
      </c>
      <c r="BG895" s="135">
        <f>IF(N895="zákl. přenesená",J895,0)</f>
        <v>0</v>
      </c>
      <c r="BH895" s="135">
        <f>IF(N895="sníž. přenesená",J895,0)</f>
        <v>0</v>
      </c>
      <c r="BI895" s="135">
        <f>IF(N895="nulová",J895,0)</f>
        <v>0</v>
      </c>
      <c r="BJ895" s="17" t="s">
        <v>78</v>
      </c>
      <c r="BK895" s="135">
        <f>ROUND(I895*H895,2)</f>
        <v>0</v>
      </c>
      <c r="BL895" s="17" t="s">
        <v>221</v>
      </c>
      <c r="BM895" s="134" t="s">
        <v>1923</v>
      </c>
    </row>
    <row r="896" spans="2:65" s="1" customFormat="1" ht="16.5" customHeight="1">
      <c r="B896" s="123"/>
      <c r="C896" s="152" t="s">
        <v>1924</v>
      </c>
      <c r="D896" s="152" t="s">
        <v>405</v>
      </c>
      <c r="E896" s="153" t="s">
        <v>1913</v>
      </c>
      <c r="F896" s="154" t="s">
        <v>1914</v>
      </c>
      <c r="G896" s="155" t="s">
        <v>1690</v>
      </c>
      <c r="H896" s="156">
        <v>1</v>
      </c>
      <c r="I896" s="157"/>
      <c r="J896" s="157">
        <f>ROUND(I896*H896,2)</f>
        <v>0</v>
      </c>
      <c r="K896" s="154" t="s">
        <v>132</v>
      </c>
      <c r="L896" s="158"/>
      <c r="M896" s="159" t="s">
        <v>3</v>
      </c>
      <c r="N896" s="160" t="s">
        <v>41</v>
      </c>
      <c r="O896" s="132">
        <v>0</v>
      </c>
      <c r="P896" s="132">
        <f>O896*H896</f>
        <v>0</v>
      </c>
      <c r="Q896" s="132">
        <v>6E-05</v>
      </c>
      <c r="R896" s="132">
        <f>Q896*H896</f>
        <v>6E-05</v>
      </c>
      <c r="S896" s="132">
        <v>0</v>
      </c>
      <c r="T896" s="133">
        <f>S896*H896</f>
        <v>0</v>
      </c>
      <c r="AR896" s="134" t="s">
        <v>325</v>
      </c>
      <c r="AT896" s="134" t="s">
        <v>405</v>
      </c>
      <c r="AU896" s="134" t="s">
        <v>80</v>
      </c>
      <c r="AY896" s="17" t="s">
        <v>126</v>
      </c>
      <c r="BE896" s="135">
        <f>IF(N896="základní",J896,0)</f>
        <v>0</v>
      </c>
      <c r="BF896" s="135">
        <f>IF(N896="snížená",J896,0)</f>
        <v>0</v>
      </c>
      <c r="BG896" s="135">
        <f>IF(N896="zákl. přenesená",J896,0)</f>
        <v>0</v>
      </c>
      <c r="BH896" s="135">
        <f>IF(N896="sníž. přenesená",J896,0)</f>
        <v>0</v>
      </c>
      <c r="BI896" s="135">
        <f>IF(N896="nulová",J896,0)</f>
        <v>0</v>
      </c>
      <c r="BJ896" s="17" t="s">
        <v>78</v>
      </c>
      <c r="BK896" s="135">
        <f>ROUND(I896*H896,2)</f>
        <v>0</v>
      </c>
      <c r="BL896" s="17" t="s">
        <v>221</v>
      </c>
      <c r="BM896" s="134" t="s">
        <v>1925</v>
      </c>
    </row>
    <row r="897" spans="2:65" s="1" customFormat="1" ht="16.5" customHeight="1">
      <c r="B897" s="123"/>
      <c r="C897" s="124" t="s">
        <v>1926</v>
      </c>
      <c r="D897" s="124" t="s">
        <v>128</v>
      </c>
      <c r="E897" s="125" t="s">
        <v>1927</v>
      </c>
      <c r="F897" s="126" t="s">
        <v>1928</v>
      </c>
      <c r="G897" s="127" t="s">
        <v>296</v>
      </c>
      <c r="H897" s="128">
        <v>2</v>
      </c>
      <c r="I897" s="129"/>
      <c r="J897" s="129">
        <f>ROUND(I897*H897,2)</f>
        <v>0</v>
      </c>
      <c r="K897" s="126" t="s">
        <v>3</v>
      </c>
      <c r="L897" s="29"/>
      <c r="M897" s="130" t="s">
        <v>3</v>
      </c>
      <c r="N897" s="131" t="s">
        <v>41</v>
      </c>
      <c r="O897" s="132">
        <v>0</v>
      </c>
      <c r="P897" s="132">
        <f>O897*H897</f>
        <v>0</v>
      </c>
      <c r="Q897" s="132">
        <v>0</v>
      </c>
      <c r="R897" s="132">
        <f>Q897*H897</f>
        <v>0</v>
      </c>
      <c r="S897" s="132">
        <v>0</v>
      </c>
      <c r="T897" s="133">
        <f>S897*H897</f>
        <v>0</v>
      </c>
      <c r="AR897" s="134" t="s">
        <v>221</v>
      </c>
      <c r="AT897" s="134" t="s">
        <v>128</v>
      </c>
      <c r="AU897" s="134" t="s">
        <v>80</v>
      </c>
      <c r="AY897" s="17" t="s">
        <v>126</v>
      </c>
      <c r="BE897" s="135">
        <f>IF(N897="základní",J897,0)</f>
        <v>0</v>
      </c>
      <c r="BF897" s="135">
        <f>IF(N897="snížená",J897,0)</f>
        <v>0</v>
      </c>
      <c r="BG897" s="135">
        <f>IF(N897="zákl. přenesená",J897,0)</f>
        <v>0</v>
      </c>
      <c r="BH897" s="135">
        <f>IF(N897="sníž. přenesená",J897,0)</f>
        <v>0</v>
      </c>
      <c r="BI897" s="135">
        <f>IF(N897="nulová",J897,0)</f>
        <v>0</v>
      </c>
      <c r="BJ897" s="17" t="s">
        <v>78</v>
      </c>
      <c r="BK897" s="135">
        <f>ROUND(I897*H897,2)</f>
        <v>0</v>
      </c>
      <c r="BL897" s="17" t="s">
        <v>221</v>
      </c>
      <c r="BM897" s="134" t="s">
        <v>1929</v>
      </c>
    </row>
    <row r="898" spans="2:51" s="12" customFormat="1" ht="12">
      <c r="B898" s="139"/>
      <c r="D898" s="140" t="s">
        <v>137</v>
      </c>
      <c r="E898" s="141" t="s">
        <v>3</v>
      </c>
      <c r="F898" s="142" t="s">
        <v>1930</v>
      </c>
      <c r="H898" s="143">
        <v>2</v>
      </c>
      <c r="L898" s="139"/>
      <c r="M898" s="144"/>
      <c r="T898" s="145"/>
      <c r="AT898" s="141" t="s">
        <v>137</v>
      </c>
      <c r="AU898" s="141" t="s">
        <v>80</v>
      </c>
      <c r="AV898" s="12" t="s">
        <v>80</v>
      </c>
      <c r="AW898" s="12" t="s">
        <v>32</v>
      </c>
      <c r="AX898" s="12" t="s">
        <v>78</v>
      </c>
      <c r="AY898" s="141" t="s">
        <v>126</v>
      </c>
    </row>
    <row r="899" spans="2:65" s="1" customFormat="1" ht="16.5" customHeight="1">
      <c r="B899" s="123"/>
      <c r="C899" s="124" t="s">
        <v>1931</v>
      </c>
      <c r="D899" s="124" t="s">
        <v>128</v>
      </c>
      <c r="E899" s="125" t="s">
        <v>1932</v>
      </c>
      <c r="F899" s="126" t="s">
        <v>1933</v>
      </c>
      <c r="G899" s="127" t="s">
        <v>296</v>
      </c>
      <c r="H899" s="128">
        <v>6</v>
      </c>
      <c r="I899" s="129"/>
      <c r="J899" s="129">
        <f>ROUND(I899*H899,2)</f>
        <v>0</v>
      </c>
      <c r="K899" s="126" t="s">
        <v>3</v>
      </c>
      <c r="L899" s="29"/>
      <c r="M899" s="130" t="s">
        <v>3</v>
      </c>
      <c r="N899" s="131" t="s">
        <v>41</v>
      </c>
      <c r="O899" s="132">
        <v>0</v>
      </c>
      <c r="P899" s="132">
        <f>O899*H899</f>
        <v>0</v>
      </c>
      <c r="Q899" s="132">
        <v>0</v>
      </c>
      <c r="R899" s="132">
        <f>Q899*H899</f>
        <v>0</v>
      </c>
      <c r="S899" s="132">
        <v>0</v>
      </c>
      <c r="T899" s="133">
        <f>S899*H899</f>
        <v>0</v>
      </c>
      <c r="AR899" s="134" t="s">
        <v>221</v>
      </c>
      <c r="AT899" s="134" t="s">
        <v>128</v>
      </c>
      <c r="AU899" s="134" t="s">
        <v>80</v>
      </c>
      <c r="AY899" s="17" t="s">
        <v>126</v>
      </c>
      <c r="BE899" s="135">
        <f>IF(N899="základní",J899,0)</f>
        <v>0</v>
      </c>
      <c r="BF899" s="135">
        <f>IF(N899="snížená",J899,0)</f>
        <v>0</v>
      </c>
      <c r="BG899" s="135">
        <f>IF(N899="zákl. přenesená",J899,0)</f>
        <v>0</v>
      </c>
      <c r="BH899" s="135">
        <f>IF(N899="sníž. přenesená",J899,0)</f>
        <v>0</v>
      </c>
      <c r="BI899" s="135">
        <f>IF(N899="nulová",J899,0)</f>
        <v>0</v>
      </c>
      <c r="BJ899" s="17" t="s">
        <v>78</v>
      </c>
      <c r="BK899" s="135">
        <f>ROUND(I899*H899,2)</f>
        <v>0</v>
      </c>
      <c r="BL899" s="17" t="s">
        <v>221</v>
      </c>
      <c r="BM899" s="134" t="s">
        <v>1934</v>
      </c>
    </row>
    <row r="900" spans="2:65" s="1" customFormat="1" ht="16.5" customHeight="1">
      <c r="B900" s="123"/>
      <c r="C900" s="124" t="s">
        <v>1935</v>
      </c>
      <c r="D900" s="124" t="s">
        <v>128</v>
      </c>
      <c r="E900" s="125" t="s">
        <v>1936</v>
      </c>
      <c r="F900" s="126" t="s">
        <v>1937</v>
      </c>
      <c r="G900" s="127" t="s">
        <v>296</v>
      </c>
      <c r="H900" s="128">
        <v>1</v>
      </c>
      <c r="I900" s="129"/>
      <c r="J900" s="129">
        <f>ROUND(I900*H900,2)</f>
        <v>0</v>
      </c>
      <c r="K900" s="126" t="s">
        <v>3</v>
      </c>
      <c r="L900" s="29"/>
      <c r="M900" s="130" t="s">
        <v>3</v>
      </c>
      <c r="N900" s="131" t="s">
        <v>41</v>
      </c>
      <c r="O900" s="132">
        <v>0</v>
      </c>
      <c r="P900" s="132">
        <f>O900*H900</f>
        <v>0</v>
      </c>
      <c r="Q900" s="132">
        <v>0</v>
      </c>
      <c r="R900" s="132">
        <f>Q900*H900</f>
        <v>0</v>
      </c>
      <c r="S900" s="132">
        <v>0</v>
      </c>
      <c r="T900" s="133">
        <f>S900*H900</f>
        <v>0</v>
      </c>
      <c r="AR900" s="134" t="s">
        <v>221</v>
      </c>
      <c r="AT900" s="134" t="s">
        <v>128</v>
      </c>
      <c r="AU900" s="134" t="s">
        <v>80</v>
      </c>
      <c r="AY900" s="17" t="s">
        <v>126</v>
      </c>
      <c r="BE900" s="135">
        <f>IF(N900="základní",J900,0)</f>
        <v>0</v>
      </c>
      <c r="BF900" s="135">
        <f>IF(N900="snížená",J900,0)</f>
        <v>0</v>
      </c>
      <c r="BG900" s="135">
        <f>IF(N900="zákl. přenesená",J900,0)</f>
        <v>0</v>
      </c>
      <c r="BH900" s="135">
        <f>IF(N900="sníž. přenesená",J900,0)</f>
        <v>0</v>
      </c>
      <c r="BI900" s="135">
        <f>IF(N900="nulová",J900,0)</f>
        <v>0</v>
      </c>
      <c r="BJ900" s="17" t="s">
        <v>78</v>
      </c>
      <c r="BK900" s="135">
        <f>ROUND(I900*H900,2)</f>
        <v>0</v>
      </c>
      <c r="BL900" s="17" t="s">
        <v>221</v>
      </c>
      <c r="BM900" s="134" t="s">
        <v>1938</v>
      </c>
    </row>
    <row r="901" spans="2:65" s="1" customFormat="1" ht="16.5" customHeight="1">
      <c r="B901" s="123"/>
      <c r="C901" s="124" t="s">
        <v>1939</v>
      </c>
      <c r="D901" s="124" t="s">
        <v>128</v>
      </c>
      <c r="E901" s="125" t="s">
        <v>1940</v>
      </c>
      <c r="F901" s="126" t="s">
        <v>1941</v>
      </c>
      <c r="G901" s="127" t="s">
        <v>183</v>
      </c>
      <c r="H901" s="128">
        <v>1</v>
      </c>
      <c r="I901" s="129"/>
      <c r="J901" s="129">
        <f>ROUND(I901*H901,2)</f>
        <v>0</v>
      </c>
      <c r="K901" s="126" t="s">
        <v>3</v>
      </c>
      <c r="L901" s="29"/>
      <c r="M901" s="130" t="s">
        <v>3</v>
      </c>
      <c r="N901" s="131" t="s">
        <v>41</v>
      </c>
      <c r="O901" s="132">
        <v>0</v>
      </c>
      <c r="P901" s="132">
        <f>O901*H901</f>
        <v>0</v>
      </c>
      <c r="Q901" s="132">
        <v>0</v>
      </c>
      <c r="R901" s="132">
        <f>Q901*H901</f>
        <v>0</v>
      </c>
      <c r="S901" s="132">
        <v>0</v>
      </c>
      <c r="T901" s="133">
        <f>S901*H901</f>
        <v>0</v>
      </c>
      <c r="AR901" s="134" t="s">
        <v>221</v>
      </c>
      <c r="AT901" s="134" t="s">
        <v>128</v>
      </c>
      <c r="AU901" s="134" t="s">
        <v>80</v>
      </c>
      <c r="AY901" s="17" t="s">
        <v>126</v>
      </c>
      <c r="BE901" s="135">
        <f>IF(N901="základní",J901,0)</f>
        <v>0</v>
      </c>
      <c r="BF901" s="135">
        <f>IF(N901="snížená",J901,0)</f>
        <v>0</v>
      </c>
      <c r="BG901" s="135">
        <f>IF(N901="zákl. přenesená",J901,0)</f>
        <v>0</v>
      </c>
      <c r="BH901" s="135">
        <f>IF(N901="sníž. přenesená",J901,0)</f>
        <v>0</v>
      </c>
      <c r="BI901" s="135">
        <f>IF(N901="nulová",J901,0)</f>
        <v>0</v>
      </c>
      <c r="BJ901" s="17" t="s">
        <v>78</v>
      </c>
      <c r="BK901" s="135">
        <f>ROUND(I901*H901,2)</f>
        <v>0</v>
      </c>
      <c r="BL901" s="17" t="s">
        <v>221</v>
      </c>
      <c r="BM901" s="134" t="s">
        <v>1942</v>
      </c>
    </row>
    <row r="902" spans="2:65" s="1" customFormat="1" ht="24.2" customHeight="1">
      <c r="B902" s="123"/>
      <c r="C902" s="124" t="s">
        <v>1943</v>
      </c>
      <c r="D902" s="124" t="s">
        <v>128</v>
      </c>
      <c r="E902" s="125" t="s">
        <v>1944</v>
      </c>
      <c r="F902" s="126" t="s">
        <v>1945</v>
      </c>
      <c r="G902" s="127" t="s">
        <v>413</v>
      </c>
      <c r="H902" s="128"/>
      <c r="I902" s="129"/>
      <c r="J902" s="129">
        <f>ROUND(I902*H902,2)</f>
        <v>0</v>
      </c>
      <c r="K902" s="126" t="s">
        <v>132</v>
      </c>
      <c r="L902" s="29"/>
      <c r="M902" s="130" t="s">
        <v>3</v>
      </c>
      <c r="N902" s="131" t="s">
        <v>41</v>
      </c>
      <c r="O902" s="132">
        <v>0</v>
      </c>
      <c r="P902" s="132">
        <f>O902*H902</f>
        <v>0</v>
      </c>
      <c r="Q902" s="132">
        <v>0</v>
      </c>
      <c r="R902" s="132">
        <f>Q902*H902</f>
        <v>0</v>
      </c>
      <c r="S902" s="132">
        <v>0</v>
      </c>
      <c r="T902" s="133">
        <f>S902*H902</f>
        <v>0</v>
      </c>
      <c r="AR902" s="134" t="s">
        <v>221</v>
      </c>
      <c r="AT902" s="134" t="s">
        <v>128</v>
      </c>
      <c r="AU902" s="134" t="s">
        <v>80</v>
      </c>
      <c r="AY902" s="17" t="s">
        <v>126</v>
      </c>
      <c r="BE902" s="135">
        <f>IF(N902="základní",J902,0)</f>
        <v>0</v>
      </c>
      <c r="BF902" s="135">
        <f>IF(N902="snížená",J902,0)</f>
        <v>0</v>
      </c>
      <c r="BG902" s="135">
        <f>IF(N902="zákl. přenesená",J902,0)</f>
        <v>0</v>
      </c>
      <c r="BH902" s="135">
        <f>IF(N902="sníž. přenesená",J902,0)</f>
        <v>0</v>
      </c>
      <c r="BI902" s="135">
        <f>IF(N902="nulová",J902,0)</f>
        <v>0</v>
      </c>
      <c r="BJ902" s="17" t="s">
        <v>78</v>
      </c>
      <c r="BK902" s="135">
        <f>ROUND(I902*H902,2)</f>
        <v>0</v>
      </c>
      <c r="BL902" s="17" t="s">
        <v>221</v>
      </c>
      <c r="BM902" s="134" t="s">
        <v>1946</v>
      </c>
    </row>
    <row r="903" spans="2:47" s="1" customFormat="1" ht="12">
      <c r="B903" s="29"/>
      <c r="D903" s="136" t="s">
        <v>135</v>
      </c>
      <c r="F903" s="137" t="s">
        <v>1947</v>
      </c>
      <c r="L903" s="29"/>
      <c r="M903" s="138"/>
      <c r="T903" s="49"/>
      <c r="AT903" s="17" t="s">
        <v>135</v>
      </c>
      <c r="AU903" s="17" t="s">
        <v>80</v>
      </c>
    </row>
    <row r="904" spans="2:63" s="11" customFormat="1" ht="22.7" customHeight="1">
      <c r="B904" s="112"/>
      <c r="D904" s="113" t="s">
        <v>69</v>
      </c>
      <c r="E904" s="121" t="s">
        <v>1948</v>
      </c>
      <c r="F904" s="121" t="s">
        <v>1949</v>
      </c>
      <c r="J904" s="122">
        <f>BK904</f>
        <v>0</v>
      </c>
      <c r="L904" s="112"/>
      <c r="M904" s="116"/>
      <c r="P904" s="117">
        <f>SUM(P905:P1006)</f>
        <v>2639.771566</v>
      </c>
      <c r="R904" s="117">
        <f>SUM(R905:R1006)</f>
        <v>38.69900142000001</v>
      </c>
      <c r="T904" s="118">
        <f>SUM(T905:T1006)</f>
        <v>0</v>
      </c>
      <c r="AR904" s="113" t="s">
        <v>80</v>
      </c>
      <c r="AT904" s="119" t="s">
        <v>69</v>
      </c>
      <c r="AU904" s="119" t="s">
        <v>78</v>
      </c>
      <c r="AY904" s="113" t="s">
        <v>126</v>
      </c>
      <c r="BK904" s="120">
        <f>SUM(BK905:BK1006)</f>
        <v>0</v>
      </c>
    </row>
    <row r="905" spans="2:65" s="1" customFormat="1" ht="24.2" customHeight="1">
      <c r="B905" s="123"/>
      <c r="C905" s="124" t="s">
        <v>1950</v>
      </c>
      <c r="D905" s="124" t="s">
        <v>128</v>
      </c>
      <c r="E905" s="125" t="s">
        <v>1951</v>
      </c>
      <c r="F905" s="126" t="s">
        <v>1952</v>
      </c>
      <c r="G905" s="127" t="s">
        <v>131</v>
      </c>
      <c r="H905" s="128">
        <v>3.053</v>
      </c>
      <c r="I905" s="129"/>
      <c r="J905" s="129">
        <f>ROUND(I905*H905,2)</f>
        <v>0</v>
      </c>
      <c r="K905" s="126" t="s">
        <v>132</v>
      </c>
      <c r="L905" s="29"/>
      <c r="M905" s="130" t="s">
        <v>3</v>
      </c>
      <c r="N905" s="131" t="s">
        <v>41</v>
      </c>
      <c r="O905" s="132">
        <v>1.502</v>
      </c>
      <c r="P905" s="132">
        <f>O905*H905</f>
        <v>4.585606</v>
      </c>
      <c r="Q905" s="132">
        <v>0.00033</v>
      </c>
      <c r="R905" s="132">
        <f>Q905*H905</f>
        <v>0.00100749</v>
      </c>
      <c r="S905" s="132">
        <v>0</v>
      </c>
      <c r="T905" s="133">
        <f>S905*H905</f>
        <v>0</v>
      </c>
      <c r="AR905" s="134" t="s">
        <v>221</v>
      </c>
      <c r="AT905" s="134" t="s">
        <v>128</v>
      </c>
      <c r="AU905" s="134" t="s">
        <v>80</v>
      </c>
      <c r="AY905" s="17" t="s">
        <v>126</v>
      </c>
      <c r="BE905" s="135">
        <f>IF(N905="základní",J905,0)</f>
        <v>0</v>
      </c>
      <c r="BF905" s="135">
        <f>IF(N905="snížená",J905,0)</f>
        <v>0</v>
      </c>
      <c r="BG905" s="135">
        <f>IF(N905="zákl. přenesená",J905,0)</f>
        <v>0</v>
      </c>
      <c r="BH905" s="135">
        <f>IF(N905="sníž. přenesená",J905,0)</f>
        <v>0</v>
      </c>
      <c r="BI905" s="135">
        <f>IF(N905="nulová",J905,0)</f>
        <v>0</v>
      </c>
      <c r="BJ905" s="17" t="s">
        <v>78</v>
      </c>
      <c r="BK905" s="135">
        <f>ROUND(I905*H905,2)</f>
        <v>0</v>
      </c>
      <c r="BL905" s="17" t="s">
        <v>221</v>
      </c>
      <c r="BM905" s="134" t="s">
        <v>1953</v>
      </c>
    </row>
    <row r="906" spans="2:47" s="1" customFormat="1" ht="12">
      <c r="B906" s="29"/>
      <c r="D906" s="136" t="s">
        <v>135</v>
      </c>
      <c r="F906" s="137" t="s">
        <v>1954</v>
      </c>
      <c r="L906" s="29"/>
      <c r="M906" s="138"/>
      <c r="T906" s="49"/>
      <c r="AT906" s="17" t="s">
        <v>135</v>
      </c>
      <c r="AU906" s="17" t="s">
        <v>80</v>
      </c>
    </row>
    <row r="907" spans="2:51" s="12" customFormat="1" ht="12">
      <c r="B907" s="139"/>
      <c r="D907" s="140" t="s">
        <v>137</v>
      </c>
      <c r="E907" s="141" t="s">
        <v>3</v>
      </c>
      <c r="F907" s="142" t="s">
        <v>1955</v>
      </c>
      <c r="H907" s="143">
        <v>3.053</v>
      </c>
      <c r="L907" s="139"/>
      <c r="M907" s="144"/>
      <c r="T907" s="145"/>
      <c r="AT907" s="141" t="s">
        <v>137</v>
      </c>
      <c r="AU907" s="141" t="s">
        <v>80</v>
      </c>
      <c r="AV907" s="12" t="s">
        <v>80</v>
      </c>
      <c r="AW907" s="12" t="s">
        <v>32</v>
      </c>
      <c r="AX907" s="12" t="s">
        <v>78</v>
      </c>
      <c r="AY907" s="141" t="s">
        <v>126</v>
      </c>
    </row>
    <row r="908" spans="2:65" s="1" customFormat="1" ht="16.5" customHeight="1">
      <c r="B908" s="123"/>
      <c r="C908" s="152" t="s">
        <v>1956</v>
      </c>
      <c r="D908" s="152" t="s">
        <v>405</v>
      </c>
      <c r="E908" s="153" t="s">
        <v>1957</v>
      </c>
      <c r="F908" s="154" t="s">
        <v>1958</v>
      </c>
      <c r="G908" s="155" t="s">
        <v>131</v>
      </c>
      <c r="H908" s="156">
        <v>3.053</v>
      </c>
      <c r="I908" s="157"/>
      <c r="J908" s="157">
        <f>ROUND(I908*H908,2)</f>
        <v>0</v>
      </c>
      <c r="K908" s="154" t="s">
        <v>132</v>
      </c>
      <c r="L908" s="158"/>
      <c r="M908" s="159" t="s">
        <v>3</v>
      </c>
      <c r="N908" s="160" t="s">
        <v>41</v>
      </c>
      <c r="O908" s="132">
        <v>0</v>
      </c>
      <c r="P908" s="132">
        <f>O908*H908</f>
        <v>0</v>
      </c>
      <c r="Q908" s="132">
        <v>0.02741</v>
      </c>
      <c r="R908" s="132">
        <f>Q908*H908</f>
        <v>0.08368273</v>
      </c>
      <c r="S908" s="132">
        <v>0</v>
      </c>
      <c r="T908" s="133">
        <f>S908*H908</f>
        <v>0</v>
      </c>
      <c r="AR908" s="134" t="s">
        <v>325</v>
      </c>
      <c r="AT908" s="134" t="s">
        <v>405</v>
      </c>
      <c r="AU908" s="134" t="s">
        <v>80</v>
      </c>
      <c r="AY908" s="17" t="s">
        <v>126</v>
      </c>
      <c r="BE908" s="135">
        <f>IF(N908="základní",J908,0)</f>
        <v>0</v>
      </c>
      <c r="BF908" s="135">
        <f>IF(N908="snížená",J908,0)</f>
        <v>0</v>
      </c>
      <c r="BG908" s="135">
        <f>IF(N908="zákl. přenesená",J908,0)</f>
        <v>0</v>
      </c>
      <c r="BH908" s="135">
        <f>IF(N908="sníž. přenesená",J908,0)</f>
        <v>0</v>
      </c>
      <c r="BI908" s="135">
        <f>IF(N908="nulová",J908,0)</f>
        <v>0</v>
      </c>
      <c r="BJ908" s="17" t="s">
        <v>78</v>
      </c>
      <c r="BK908" s="135">
        <f>ROUND(I908*H908,2)</f>
        <v>0</v>
      </c>
      <c r="BL908" s="17" t="s">
        <v>221</v>
      </c>
      <c r="BM908" s="134" t="s">
        <v>1959</v>
      </c>
    </row>
    <row r="909" spans="2:65" s="1" customFormat="1" ht="24.2" customHeight="1">
      <c r="B909" s="123"/>
      <c r="C909" s="124" t="s">
        <v>1960</v>
      </c>
      <c r="D909" s="124" t="s">
        <v>128</v>
      </c>
      <c r="E909" s="125" t="s">
        <v>1961</v>
      </c>
      <c r="F909" s="126" t="s">
        <v>1962</v>
      </c>
      <c r="G909" s="127" t="s">
        <v>131</v>
      </c>
      <c r="H909" s="128">
        <v>8.64</v>
      </c>
      <c r="I909" s="129"/>
      <c r="J909" s="129">
        <f>ROUND(I909*H909,2)</f>
        <v>0</v>
      </c>
      <c r="K909" s="126" t="s">
        <v>132</v>
      </c>
      <c r="L909" s="29"/>
      <c r="M909" s="130" t="s">
        <v>3</v>
      </c>
      <c r="N909" s="131" t="s">
        <v>41</v>
      </c>
      <c r="O909" s="132">
        <v>1.36</v>
      </c>
      <c r="P909" s="132">
        <f>O909*H909</f>
        <v>11.7504</v>
      </c>
      <c r="Q909" s="132">
        <v>0.00027</v>
      </c>
      <c r="R909" s="132">
        <f>Q909*H909</f>
        <v>0.0023328000000000003</v>
      </c>
      <c r="S909" s="132">
        <v>0</v>
      </c>
      <c r="T909" s="133">
        <f>S909*H909</f>
        <v>0</v>
      </c>
      <c r="AR909" s="134" t="s">
        <v>221</v>
      </c>
      <c r="AT909" s="134" t="s">
        <v>128</v>
      </c>
      <c r="AU909" s="134" t="s">
        <v>80</v>
      </c>
      <c r="AY909" s="17" t="s">
        <v>126</v>
      </c>
      <c r="BE909" s="135">
        <f>IF(N909="základní",J909,0)</f>
        <v>0</v>
      </c>
      <c r="BF909" s="135">
        <f>IF(N909="snížená",J909,0)</f>
        <v>0</v>
      </c>
      <c r="BG909" s="135">
        <f>IF(N909="zákl. přenesená",J909,0)</f>
        <v>0</v>
      </c>
      <c r="BH909" s="135">
        <f>IF(N909="sníž. přenesená",J909,0)</f>
        <v>0</v>
      </c>
      <c r="BI909" s="135">
        <f>IF(N909="nulová",J909,0)</f>
        <v>0</v>
      </c>
      <c r="BJ909" s="17" t="s">
        <v>78</v>
      </c>
      <c r="BK909" s="135">
        <f>ROUND(I909*H909,2)</f>
        <v>0</v>
      </c>
      <c r="BL909" s="17" t="s">
        <v>221</v>
      </c>
      <c r="BM909" s="134" t="s">
        <v>1963</v>
      </c>
    </row>
    <row r="910" spans="2:47" s="1" customFormat="1" ht="12">
      <c r="B910" s="29"/>
      <c r="D910" s="136" t="s">
        <v>135</v>
      </c>
      <c r="F910" s="137" t="s">
        <v>1964</v>
      </c>
      <c r="L910" s="29"/>
      <c r="M910" s="138"/>
      <c r="T910" s="49"/>
      <c r="AT910" s="17" t="s">
        <v>135</v>
      </c>
      <c r="AU910" s="17" t="s">
        <v>80</v>
      </c>
    </row>
    <row r="911" spans="2:51" s="12" customFormat="1" ht="12">
      <c r="B911" s="139"/>
      <c r="D911" s="140" t="s">
        <v>137</v>
      </c>
      <c r="E911" s="141" t="s">
        <v>3</v>
      </c>
      <c r="F911" s="142" t="s">
        <v>1965</v>
      </c>
      <c r="H911" s="143">
        <v>8.64</v>
      </c>
      <c r="L911" s="139"/>
      <c r="M911" s="144"/>
      <c r="T911" s="145"/>
      <c r="AT911" s="141" t="s">
        <v>137</v>
      </c>
      <c r="AU911" s="141" t="s">
        <v>80</v>
      </c>
      <c r="AV911" s="12" t="s">
        <v>80</v>
      </c>
      <c r="AW911" s="12" t="s">
        <v>32</v>
      </c>
      <c r="AX911" s="12" t="s">
        <v>78</v>
      </c>
      <c r="AY911" s="141" t="s">
        <v>126</v>
      </c>
    </row>
    <row r="912" spans="2:65" s="1" customFormat="1" ht="16.5" customHeight="1">
      <c r="B912" s="123"/>
      <c r="C912" s="152" t="s">
        <v>1966</v>
      </c>
      <c r="D912" s="152" t="s">
        <v>405</v>
      </c>
      <c r="E912" s="153" t="s">
        <v>1957</v>
      </c>
      <c r="F912" s="154" t="s">
        <v>1958</v>
      </c>
      <c r="G912" s="155" t="s">
        <v>131</v>
      </c>
      <c r="H912" s="156">
        <v>8.64</v>
      </c>
      <c r="I912" s="157"/>
      <c r="J912" s="157">
        <f>ROUND(I912*H912,2)</f>
        <v>0</v>
      </c>
      <c r="K912" s="154" t="s">
        <v>132</v>
      </c>
      <c r="L912" s="158"/>
      <c r="M912" s="159" t="s">
        <v>3</v>
      </c>
      <c r="N912" s="160" t="s">
        <v>41</v>
      </c>
      <c r="O912" s="132">
        <v>0</v>
      </c>
      <c r="P912" s="132">
        <f>O912*H912</f>
        <v>0</v>
      </c>
      <c r="Q912" s="132">
        <v>0.02741</v>
      </c>
      <c r="R912" s="132">
        <f>Q912*H912</f>
        <v>0.23682240000000002</v>
      </c>
      <c r="S912" s="132">
        <v>0</v>
      </c>
      <c r="T912" s="133">
        <f>S912*H912</f>
        <v>0</v>
      </c>
      <c r="AR912" s="134" t="s">
        <v>325</v>
      </c>
      <c r="AT912" s="134" t="s">
        <v>405</v>
      </c>
      <c r="AU912" s="134" t="s">
        <v>80</v>
      </c>
      <c r="AY912" s="17" t="s">
        <v>126</v>
      </c>
      <c r="BE912" s="135">
        <f>IF(N912="základní",J912,0)</f>
        <v>0</v>
      </c>
      <c r="BF912" s="135">
        <f>IF(N912="snížená",J912,0)</f>
        <v>0</v>
      </c>
      <c r="BG912" s="135">
        <f>IF(N912="zákl. přenesená",J912,0)</f>
        <v>0</v>
      </c>
      <c r="BH912" s="135">
        <f>IF(N912="sníž. přenesená",J912,0)</f>
        <v>0</v>
      </c>
      <c r="BI912" s="135">
        <f>IF(N912="nulová",J912,0)</f>
        <v>0</v>
      </c>
      <c r="BJ912" s="17" t="s">
        <v>78</v>
      </c>
      <c r="BK912" s="135">
        <f>ROUND(I912*H912,2)</f>
        <v>0</v>
      </c>
      <c r="BL912" s="17" t="s">
        <v>221</v>
      </c>
      <c r="BM912" s="134" t="s">
        <v>1967</v>
      </c>
    </row>
    <row r="913" spans="2:65" s="1" customFormat="1" ht="24.2" customHeight="1">
      <c r="B913" s="123"/>
      <c r="C913" s="124" t="s">
        <v>1968</v>
      </c>
      <c r="D913" s="124" t="s">
        <v>128</v>
      </c>
      <c r="E913" s="125" t="s">
        <v>1969</v>
      </c>
      <c r="F913" s="126" t="s">
        <v>1970</v>
      </c>
      <c r="G913" s="127" t="s">
        <v>249</v>
      </c>
      <c r="H913" s="128">
        <v>35.2</v>
      </c>
      <c r="I913" s="129"/>
      <c r="J913" s="129">
        <f>ROUND(I913*H913,2)</f>
        <v>0</v>
      </c>
      <c r="K913" s="126" t="s">
        <v>132</v>
      </c>
      <c r="L913" s="29"/>
      <c r="M913" s="130" t="s">
        <v>3</v>
      </c>
      <c r="N913" s="131" t="s">
        <v>41</v>
      </c>
      <c r="O913" s="132">
        <v>0.15</v>
      </c>
      <c r="P913" s="132">
        <f>O913*H913</f>
        <v>5.28</v>
      </c>
      <c r="Q913" s="132">
        <v>6E-05</v>
      </c>
      <c r="R913" s="132">
        <f>Q913*H913</f>
        <v>0.002112</v>
      </c>
      <c r="S913" s="132">
        <v>0</v>
      </c>
      <c r="T913" s="133">
        <f>S913*H913</f>
        <v>0</v>
      </c>
      <c r="AR913" s="134" t="s">
        <v>221</v>
      </c>
      <c r="AT913" s="134" t="s">
        <v>128</v>
      </c>
      <c r="AU913" s="134" t="s">
        <v>80</v>
      </c>
      <c r="AY913" s="17" t="s">
        <v>126</v>
      </c>
      <c r="BE913" s="135">
        <f>IF(N913="základní",J913,0)</f>
        <v>0</v>
      </c>
      <c r="BF913" s="135">
        <f>IF(N913="snížená",J913,0)</f>
        <v>0</v>
      </c>
      <c r="BG913" s="135">
        <f>IF(N913="zákl. přenesená",J913,0)</f>
        <v>0</v>
      </c>
      <c r="BH913" s="135">
        <f>IF(N913="sníž. přenesená",J913,0)</f>
        <v>0</v>
      </c>
      <c r="BI913" s="135">
        <f>IF(N913="nulová",J913,0)</f>
        <v>0</v>
      </c>
      <c r="BJ913" s="17" t="s">
        <v>78</v>
      </c>
      <c r="BK913" s="135">
        <f>ROUND(I913*H913,2)</f>
        <v>0</v>
      </c>
      <c r="BL913" s="17" t="s">
        <v>221</v>
      </c>
      <c r="BM913" s="134" t="s">
        <v>1971</v>
      </c>
    </row>
    <row r="914" spans="2:47" s="1" customFormat="1" ht="12">
      <c r="B914" s="29"/>
      <c r="D914" s="136" t="s">
        <v>135</v>
      </c>
      <c r="F914" s="137" t="s">
        <v>1972</v>
      </c>
      <c r="L914" s="29"/>
      <c r="M914" s="138"/>
      <c r="T914" s="49"/>
      <c r="AT914" s="17" t="s">
        <v>135</v>
      </c>
      <c r="AU914" s="17" t="s">
        <v>80</v>
      </c>
    </row>
    <row r="915" spans="2:51" s="12" customFormat="1" ht="12">
      <c r="B915" s="139"/>
      <c r="D915" s="140" t="s">
        <v>137</v>
      </c>
      <c r="E915" s="141" t="s">
        <v>3</v>
      </c>
      <c r="F915" s="142" t="s">
        <v>1973</v>
      </c>
      <c r="H915" s="143">
        <v>7</v>
      </c>
      <c r="L915" s="139"/>
      <c r="M915" s="144"/>
      <c r="T915" s="145"/>
      <c r="AT915" s="141" t="s">
        <v>137</v>
      </c>
      <c r="AU915" s="141" t="s">
        <v>80</v>
      </c>
      <c r="AV915" s="12" t="s">
        <v>80</v>
      </c>
      <c r="AW915" s="12" t="s">
        <v>32</v>
      </c>
      <c r="AX915" s="12" t="s">
        <v>70</v>
      </c>
      <c r="AY915" s="141" t="s">
        <v>126</v>
      </c>
    </row>
    <row r="916" spans="2:51" s="12" customFormat="1" ht="12">
      <c r="B916" s="139"/>
      <c r="D916" s="140" t="s">
        <v>137</v>
      </c>
      <c r="E916" s="141" t="s">
        <v>3</v>
      </c>
      <c r="F916" s="142" t="s">
        <v>1974</v>
      </c>
      <c r="H916" s="143">
        <v>21.6</v>
      </c>
      <c r="L916" s="139"/>
      <c r="M916" s="144"/>
      <c r="T916" s="145"/>
      <c r="AT916" s="141" t="s">
        <v>137</v>
      </c>
      <c r="AU916" s="141" t="s">
        <v>80</v>
      </c>
      <c r="AV916" s="12" t="s">
        <v>80</v>
      </c>
      <c r="AW916" s="12" t="s">
        <v>32</v>
      </c>
      <c r="AX916" s="12" t="s">
        <v>70</v>
      </c>
      <c r="AY916" s="141" t="s">
        <v>126</v>
      </c>
    </row>
    <row r="917" spans="2:51" s="12" customFormat="1" ht="12">
      <c r="B917" s="139"/>
      <c r="D917" s="140" t="s">
        <v>137</v>
      </c>
      <c r="E917" s="141" t="s">
        <v>3</v>
      </c>
      <c r="F917" s="142" t="s">
        <v>1975</v>
      </c>
      <c r="H917" s="143">
        <v>6.6</v>
      </c>
      <c r="L917" s="139"/>
      <c r="M917" s="144"/>
      <c r="T917" s="145"/>
      <c r="AT917" s="141" t="s">
        <v>137</v>
      </c>
      <c r="AU917" s="141" t="s">
        <v>80</v>
      </c>
      <c r="AV917" s="12" t="s">
        <v>80</v>
      </c>
      <c r="AW917" s="12" t="s">
        <v>32</v>
      </c>
      <c r="AX917" s="12" t="s">
        <v>70</v>
      </c>
      <c r="AY917" s="141" t="s">
        <v>126</v>
      </c>
    </row>
    <row r="918" spans="2:51" s="13" customFormat="1" ht="12">
      <c r="B918" s="146"/>
      <c r="D918" s="140" t="s">
        <v>137</v>
      </c>
      <c r="E918" s="147" t="s">
        <v>3</v>
      </c>
      <c r="F918" s="148" t="s">
        <v>151</v>
      </c>
      <c r="H918" s="149">
        <v>35.2</v>
      </c>
      <c r="L918" s="146"/>
      <c r="M918" s="150"/>
      <c r="T918" s="151"/>
      <c r="AT918" s="147" t="s">
        <v>137</v>
      </c>
      <c r="AU918" s="147" t="s">
        <v>80</v>
      </c>
      <c r="AV918" s="13" t="s">
        <v>133</v>
      </c>
      <c r="AW918" s="13" t="s">
        <v>32</v>
      </c>
      <c r="AX918" s="13" t="s">
        <v>78</v>
      </c>
      <c r="AY918" s="147" t="s">
        <v>126</v>
      </c>
    </row>
    <row r="919" spans="2:65" s="1" customFormat="1" ht="24.2" customHeight="1">
      <c r="B919" s="123"/>
      <c r="C919" s="124" t="s">
        <v>1976</v>
      </c>
      <c r="D919" s="124" t="s">
        <v>128</v>
      </c>
      <c r="E919" s="125" t="s">
        <v>1977</v>
      </c>
      <c r="F919" s="126" t="s">
        <v>1978</v>
      </c>
      <c r="G919" s="127" t="s">
        <v>249</v>
      </c>
      <c r="H919" s="128">
        <v>35.2</v>
      </c>
      <c r="I919" s="129"/>
      <c r="J919" s="129">
        <f>ROUND(I919*H919,2)</f>
        <v>0</v>
      </c>
      <c r="K919" s="126" t="s">
        <v>132</v>
      </c>
      <c r="L919" s="29"/>
      <c r="M919" s="130" t="s">
        <v>3</v>
      </c>
      <c r="N919" s="131" t="s">
        <v>41</v>
      </c>
      <c r="O919" s="132">
        <v>0.15</v>
      </c>
      <c r="P919" s="132">
        <f>O919*H919</f>
        <v>5.28</v>
      </c>
      <c r="Q919" s="132">
        <v>7E-05</v>
      </c>
      <c r="R919" s="132">
        <f>Q919*H919</f>
        <v>0.002464</v>
      </c>
      <c r="S919" s="132">
        <v>0</v>
      </c>
      <c r="T919" s="133">
        <f>S919*H919</f>
        <v>0</v>
      </c>
      <c r="AR919" s="134" t="s">
        <v>221</v>
      </c>
      <c r="AT919" s="134" t="s">
        <v>128</v>
      </c>
      <c r="AU919" s="134" t="s">
        <v>80</v>
      </c>
      <c r="AY919" s="17" t="s">
        <v>126</v>
      </c>
      <c r="BE919" s="135">
        <f>IF(N919="základní",J919,0)</f>
        <v>0</v>
      </c>
      <c r="BF919" s="135">
        <f>IF(N919="snížená",J919,0)</f>
        <v>0</v>
      </c>
      <c r="BG919" s="135">
        <f>IF(N919="zákl. přenesená",J919,0)</f>
        <v>0</v>
      </c>
      <c r="BH919" s="135">
        <f>IF(N919="sníž. přenesená",J919,0)</f>
        <v>0</v>
      </c>
      <c r="BI919" s="135">
        <f>IF(N919="nulová",J919,0)</f>
        <v>0</v>
      </c>
      <c r="BJ919" s="17" t="s">
        <v>78</v>
      </c>
      <c r="BK919" s="135">
        <f>ROUND(I919*H919,2)</f>
        <v>0</v>
      </c>
      <c r="BL919" s="17" t="s">
        <v>221</v>
      </c>
      <c r="BM919" s="134" t="s">
        <v>1979</v>
      </c>
    </row>
    <row r="920" spans="2:47" s="1" customFormat="1" ht="12">
      <c r="B920" s="29"/>
      <c r="D920" s="136" t="s">
        <v>135</v>
      </c>
      <c r="F920" s="137" t="s">
        <v>1980</v>
      </c>
      <c r="L920" s="29"/>
      <c r="M920" s="138"/>
      <c r="T920" s="49"/>
      <c r="AT920" s="17" t="s">
        <v>135</v>
      </c>
      <c r="AU920" s="17" t="s">
        <v>80</v>
      </c>
    </row>
    <row r="921" spans="2:51" s="12" customFormat="1" ht="12">
      <c r="B921" s="139"/>
      <c r="D921" s="140" t="s">
        <v>137</v>
      </c>
      <c r="E921" s="141" t="s">
        <v>3</v>
      </c>
      <c r="F921" s="142" t="s">
        <v>1973</v>
      </c>
      <c r="H921" s="143">
        <v>7</v>
      </c>
      <c r="L921" s="139"/>
      <c r="M921" s="144"/>
      <c r="T921" s="145"/>
      <c r="AT921" s="141" t="s">
        <v>137</v>
      </c>
      <c r="AU921" s="141" t="s">
        <v>80</v>
      </c>
      <c r="AV921" s="12" t="s">
        <v>80</v>
      </c>
      <c r="AW921" s="12" t="s">
        <v>32</v>
      </c>
      <c r="AX921" s="12" t="s">
        <v>70</v>
      </c>
      <c r="AY921" s="141" t="s">
        <v>126</v>
      </c>
    </row>
    <row r="922" spans="2:51" s="12" customFormat="1" ht="12">
      <c r="B922" s="139"/>
      <c r="D922" s="140" t="s">
        <v>137</v>
      </c>
      <c r="E922" s="141" t="s">
        <v>3</v>
      </c>
      <c r="F922" s="142" t="s">
        <v>1974</v>
      </c>
      <c r="H922" s="143">
        <v>21.6</v>
      </c>
      <c r="L922" s="139"/>
      <c r="M922" s="144"/>
      <c r="T922" s="145"/>
      <c r="AT922" s="141" t="s">
        <v>137</v>
      </c>
      <c r="AU922" s="141" t="s">
        <v>80</v>
      </c>
      <c r="AV922" s="12" t="s">
        <v>80</v>
      </c>
      <c r="AW922" s="12" t="s">
        <v>32</v>
      </c>
      <c r="AX922" s="12" t="s">
        <v>70</v>
      </c>
      <c r="AY922" s="141" t="s">
        <v>126</v>
      </c>
    </row>
    <row r="923" spans="2:51" s="12" customFormat="1" ht="12">
      <c r="B923" s="139"/>
      <c r="D923" s="140" t="s">
        <v>137</v>
      </c>
      <c r="E923" s="141" t="s">
        <v>3</v>
      </c>
      <c r="F923" s="142" t="s">
        <v>1975</v>
      </c>
      <c r="H923" s="143">
        <v>6.6</v>
      </c>
      <c r="L923" s="139"/>
      <c r="M923" s="144"/>
      <c r="T923" s="145"/>
      <c r="AT923" s="141" t="s">
        <v>137</v>
      </c>
      <c r="AU923" s="141" t="s">
        <v>80</v>
      </c>
      <c r="AV923" s="12" t="s">
        <v>80</v>
      </c>
      <c r="AW923" s="12" t="s">
        <v>32</v>
      </c>
      <c r="AX923" s="12" t="s">
        <v>70</v>
      </c>
      <c r="AY923" s="141" t="s">
        <v>126</v>
      </c>
    </row>
    <row r="924" spans="2:51" s="13" customFormat="1" ht="12">
      <c r="B924" s="146"/>
      <c r="D924" s="140" t="s">
        <v>137</v>
      </c>
      <c r="E924" s="147" t="s">
        <v>3</v>
      </c>
      <c r="F924" s="148" t="s">
        <v>151</v>
      </c>
      <c r="H924" s="149">
        <v>35.2</v>
      </c>
      <c r="L924" s="146"/>
      <c r="M924" s="150"/>
      <c r="T924" s="151"/>
      <c r="AT924" s="147" t="s">
        <v>137</v>
      </c>
      <c r="AU924" s="147" t="s">
        <v>80</v>
      </c>
      <c r="AV924" s="13" t="s">
        <v>133</v>
      </c>
      <c r="AW924" s="13" t="s">
        <v>32</v>
      </c>
      <c r="AX924" s="13" t="s">
        <v>78</v>
      </c>
      <c r="AY924" s="147" t="s">
        <v>126</v>
      </c>
    </row>
    <row r="925" spans="2:65" s="1" customFormat="1" ht="16.5" customHeight="1">
      <c r="B925" s="123"/>
      <c r="C925" s="124" t="s">
        <v>1981</v>
      </c>
      <c r="D925" s="124" t="s">
        <v>128</v>
      </c>
      <c r="E925" s="125" t="s">
        <v>1982</v>
      </c>
      <c r="F925" s="126" t="s">
        <v>1983</v>
      </c>
      <c r="G925" s="127" t="s">
        <v>296</v>
      </c>
      <c r="H925" s="128">
        <v>1</v>
      </c>
      <c r="I925" s="129"/>
      <c r="J925" s="129">
        <f>ROUND(I925*H925,2)</f>
        <v>0</v>
      </c>
      <c r="K925" s="126" t="s">
        <v>132</v>
      </c>
      <c r="L925" s="29"/>
      <c r="M925" s="130" t="s">
        <v>3</v>
      </c>
      <c r="N925" s="131" t="s">
        <v>41</v>
      </c>
      <c r="O925" s="132">
        <v>7.62</v>
      </c>
      <c r="P925" s="132">
        <f>O925*H925</f>
        <v>7.62</v>
      </c>
      <c r="Q925" s="132">
        <v>0</v>
      </c>
      <c r="R925" s="132">
        <f>Q925*H925</f>
        <v>0</v>
      </c>
      <c r="S925" s="132">
        <v>0</v>
      </c>
      <c r="T925" s="133">
        <f>S925*H925</f>
        <v>0</v>
      </c>
      <c r="AR925" s="134" t="s">
        <v>221</v>
      </c>
      <c r="AT925" s="134" t="s">
        <v>128</v>
      </c>
      <c r="AU925" s="134" t="s">
        <v>80</v>
      </c>
      <c r="AY925" s="17" t="s">
        <v>126</v>
      </c>
      <c r="BE925" s="135">
        <f>IF(N925="základní",J925,0)</f>
        <v>0</v>
      </c>
      <c r="BF925" s="135">
        <f>IF(N925="snížená",J925,0)</f>
        <v>0</v>
      </c>
      <c r="BG925" s="135">
        <f>IF(N925="zákl. přenesená",J925,0)</f>
        <v>0</v>
      </c>
      <c r="BH925" s="135">
        <f>IF(N925="sníž. přenesená",J925,0)</f>
        <v>0</v>
      </c>
      <c r="BI925" s="135">
        <f>IF(N925="nulová",J925,0)</f>
        <v>0</v>
      </c>
      <c r="BJ925" s="17" t="s">
        <v>78</v>
      </c>
      <c r="BK925" s="135">
        <f>ROUND(I925*H925,2)</f>
        <v>0</v>
      </c>
      <c r="BL925" s="17" t="s">
        <v>221</v>
      </c>
      <c r="BM925" s="134" t="s">
        <v>1984</v>
      </c>
    </row>
    <row r="926" spans="2:47" s="1" customFormat="1" ht="12">
      <c r="B926" s="29"/>
      <c r="D926" s="136" t="s">
        <v>135</v>
      </c>
      <c r="F926" s="137" t="s">
        <v>1985</v>
      </c>
      <c r="L926" s="29"/>
      <c r="M926" s="138"/>
      <c r="T926" s="49"/>
      <c r="AT926" s="17" t="s">
        <v>135</v>
      </c>
      <c r="AU926" s="17" t="s">
        <v>80</v>
      </c>
    </row>
    <row r="927" spans="2:51" s="12" customFormat="1" ht="12">
      <c r="B927" s="139"/>
      <c r="D927" s="140" t="s">
        <v>137</v>
      </c>
      <c r="E927" s="141" t="s">
        <v>3</v>
      </c>
      <c r="F927" s="142" t="s">
        <v>1986</v>
      </c>
      <c r="H927" s="143">
        <v>1</v>
      </c>
      <c r="L927" s="139"/>
      <c r="M927" s="144"/>
      <c r="T927" s="145"/>
      <c r="AT927" s="141" t="s">
        <v>137</v>
      </c>
      <c r="AU927" s="141" t="s">
        <v>80</v>
      </c>
      <c r="AV927" s="12" t="s">
        <v>80</v>
      </c>
      <c r="AW927" s="12" t="s">
        <v>32</v>
      </c>
      <c r="AX927" s="12" t="s">
        <v>78</v>
      </c>
      <c r="AY927" s="141" t="s">
        <v>126</v>
      </c>
    </row>
    <row r="928" spans="2:65" s="1" customFormat="1" ht="16.5" customHeight="1">
      <c r="B928" s="123"/>
      <c r="C928" s="152" t="s">
        <v>1987</v>
      </c>
      <c r="D928" s="152" t="s">
        <v>405</v>
      </c>
      <c r="E928" s="153" t="s">
        <v>1988</v>
      </c>
      <c r="F928" s="154" t="s">
        <v>1989</v>
      </c>
      <c r="G928" s="155" t="s">
        <v>131</v>
      </c>
      <c r="H928" s="156">
        <v>2.52</v>
      </c>
      <c r="I928" s="157"/>
      <c r="J928" s="157">
        <f>ROUND(I928*H928,2)</f>
        <v>0</v>
      </c>
      <c r="K928" s="154" t="s">
        <v>132</v>
      </c>
      <c r="L928" s="158"/>
      <c r="M928" s="159" t="s">
        <v>3</v>
      </c>
      <c r="N928" s="160" t="s">
        <v>41</v>
      </c>
      <c r="O928" s="132">
        <v>0</v>
      </c>
      <c r="P928" s="132">
        <f>O928*H928</f>
        <v>0</v>
      </c>
      <c r="Q928" s="132">
        <v>0.02423</v>
      </c>
      <c r="R928" s="132">
        <f>Q928*H928</f>
        <v>0.061059600000000006</v>
      </c>
      <c r="S928" s="132">
        <v>0</v>
      </c>
      <c r="T928" s="133">
        <f>S928*H928</f>
        <v>0</v>
      </c>
      <c r="AR928" s="134" t="s">
        <v>325</v>
      </c>
      <c r="AT928" s="134" t="s">
        <v>405</v>
      </c>
      <c r="AU928" s="134" t="s">
        <v>80</v>
      </c>
      <c r="AY928" s="17" t="s">
        <v>126</v>
      </c>
      <c r="BE928" s="135">
        <f>IF(N928="základní",J928,0)</f>
        <v>0</v>
      </c>
      <c r="BF928" s="135">
        <f>IF(N928="snížená",J928,0)</f>
        <v>0</v>
      </c>
      <c r="BG928" s="135">
        <f>IF(N928="zákl. přenesená",J928,0)</f>
        <v>0</v>
      </c>
      <c r="BH928" s="135">
        <f>IF(N928="sníž. přenesená",J928,0)</f>
        <v>0</v>
      </c>
      <c r="BI928" s="135">
        <f>IF(N928="nulová",J928,0)</f>
        <v>0</v>
      </c>
      <c r="BJ928" s="17" t="s">
        <v>78</v>
      </c>
      <c r="BK928" s="135">
        <f>ROUND(I928*H928,2)</f>
        <v>0</v>
      </c>
      <c r="BL928" s="17" t="s">
        <v>221</v>
      </c>
      <c r="BM928" s="134" t="s">
        <v>1990</v>
      </c>
    </row>
    <row r="929" spans="2:51" s="12" customFormat="1" ht="12">
      <c r="B929" s="139"/>
      <c r="D929" s="140" t="s">
        <v>137</v>
      </c>
      <c r="E929" s="141" t="s">
        <v>3</v>
      </c>
      <c r="F929" s="142" t="s">
        <v>1991</v>
      </c>
      <c r="H929" s="143">
        <v>2.52</v>
      </c>
      <c r="L929" s="139"/>
      <c r="M929" s="144"/>
      <c r="T929" s="145"/>
      <c r="AT929" s="141" t="s">
        <v>137</v>
      </c>
      <c r="AU929" s="141" t="s">
        <v>80</v>
      </c>
      <c r="AV929" s="12" t="s">
        <v>80</v>
      </c>
      <c r="AW929" s="12" t="s">
        <v>32</v>
      </c>
      <c r="AX929" s="12" t="s">
        <v>78</v>
      </c>
      <c r="AY929" s="141" t="s">
        <v>126</v>
      </c>
    </row>
    <row r="930" spans="2:65" s="1" customFormat="1" ht="16.5" customHeight="1">
      <c r="B930" s="123"/>
      <c r="C930" s="152" t="s">
        <v>1992</v>
      </c>
      <c r="D930" s="152" t="s">
        <v>405</v>
      </c>
      <c r="E930" s="153" t="s">
        <v>1993</v>
      </c>
      <c r="F930" s="154" t="s">
        <v>1994</v>
      </c>
      <c r="G930" s="155" t="s">
        <v>296</v>
      </c>
      <c r="H930" s="156">
        <v>1</v>
      </c>
      <c r="I930" s="157"/>
      <c r="J930" s="157">
        <f>ROUND(I930*H930,2)</f>
        <v>0</v>
      </c>
      <c r="K930" s="154" t="s">
        <v>132</v>
      </c>
      <c r="L930" s="158"/>
      <c r="M930" s="159" t="s">
        <v>3</v>
      </c>
      <c r="N930" s="160" t="s">
        <v>41</v>
      </c>
      <c r="O930" s="132">
        <v>0</v>
      </c>
      <c r="P930" s="132">
        <f>O930*H930</f>
        <v>0</v>
      </c>
      <c r="Q930" s="132">
        <v>0.0022</v>
      </c>
      <c r="R930" s="132">
        <f>Q930*H930</f>
        <v>0.0022</v>
      </c>
      <c r="S930" s="132">
        <v>0</v>
      </c>
      <c r="T930" s="133">
        <f>S930*H930</f>
        <v>0</v>
      </c>
      <c r="AR930" s="134" t="s">
        <v>325</v>
      </c>
      <c r="AT930" s="134" t="s">
        <v>405</v>
      </c>
      <c r="AU930" s="134" t="s">
        <v>80</v>
      </c>
      <c r="AY930" s="17" t="s">
        <v>126</v>
      </c>
      <c r="BE930" s="135">
        <f>IF(N930="základní",J930,0)</f>
        <v>0</v>
      </c>
      <c r="BF930" s="135">
        <f>IF(N930="snížená",J930,0)</f>
        <v>0</v>
      </c>
      <c r="BG930" s="135">
        <f>IF(N930="zákl. přenesená",J930,0)</f>
        <v>0</v>
      </c>
      <c r="BH930" s="135">
        <f>IF(N930="sníž. přenesená",J930,0)</f>
        <v>0</v>
      </c>
      <c r="BI930" s="135">
        <f>IF(N930="nulová",J930,0)</f>
        <v>0</v>
      </c>
      <c r="BJ930" s="17" t="s">
        <v>78</v>
      </c>
      <c r="BK930" s="135">
        <f>ROUND(I930*H930,2)</f>
        <v>0</v>
      </c>
      <c r="BL930" s="17" t="s">
        <v>221</v>
      </c>
      <c r="BM930" s="134" t="s">
        <v>1995</v>
      </c>
    </row>
    <row r="931" spans="2:65" s="1" customFormat="1" ht="16.5" customHeight="1">
      <c r="B931" s="123"/>
      <c r="C931" s="124" t="s">
        <v>1996</v>
      </c>
      <c r="D931" s="124" t="s">
        <v>128</v>
      </c>
      <c r="E931" s="125" t="s">
        <v>1997</v>
      </c>
      <c r="F931" s="126" t="s">
        <v>1998</v>
      </c>
      <c r="G931" s="127" t="s">
        <v>296</v>
      </c>
      <c r="H931" s="128">
        <v>1</v>
      </c>
      <c r="I931" s="129"/>
      <c r="J931" s="129">
        <f>ROUND(I931*H931,2)</f>
        <v>0</v>
      </c>
      <c r="K931" s="126" t="s">
        <v>132</v>
      </c>
      <c r="L931" s="29"/>
      <c r="M931" s="130" t="s">
        <v>3</v>
      </c>
      <c r="N931" s="131" t="s">
        <v>41</v>
      </c>
      <c r="O931" s="132">
        <v>0.45</v>
      </c>
      <c r="P931" s="132">
        <f>O931*H931</f>
        <v>0.45</v>
      </c>
      <c r="Q931" s="132">
        <v>0</v>
      </c>
      <c r="R931" s="132">
        <f>Q931*H931</f>
        <v>0</v>
      </c>
      <c r="S931" s="132">
        <v>0</v>
      </c>
      <c r="T931" s="133">
        <f>S931*H931</f>
        <v>0</v>
      </c>
      <c r="AR931" s="134" t="s">
        <v>221</v>
      </c>
      <c r="AT931" s="134" t="s">
        <v>128</v>
      </c>
      <c r="AU931" s="134" t="s">
        <v>80</v>
      </c>
      <c r="AY931" s="17" t="s">
        <v>126</v>
      </c>
      <c r="BE931" s="135">
        <f>IF(N931="základní",J931,0)</f>
        <v>0</v>
      </c>
      <c r="BF931" s="135">
        <f>IF(N931="snížená",J931,0)</f>
        <v>0</v>
      </c>
      <c r="BG931" s="135">
        <f>IF(N931="zákl. přenesená",J931,0)</f>
        <v>0</v>
      </c>
      <c r="BH931" s="135">
        <f>IF(N931="sníž. přenesená",J931,0)</f>
        <v>0</v>
      </c>
      <c r="BI931" s="135">
        <f>IF(N931="nulová",J931,0)</f>
        <v>0</v>
      </c>
      <c r="BJ931" s="17" t="s">
        <v>78</v>
      </c>
      <c r="BK931" s="135">
        <f>ROUND(I931*H931,2)</f>
        <v>0</v>
      </c>
      <c r="BL931" s="17" t="s">
        <v>221</v>
      </c>
      <c r="BM931" s="134" t="s">
        <v>1999</v>
      </c>
    </row>
    <row r="932" spans="2:47" s="1" customFormat="1" ht="12">
      <c r="B932" s="29"/>
      <c r="D932" s="136" t="s">
        <v>135</v>
      </c>
      <c r="F932" s="137" t="s">
        <v>2000</v>
      </c>
      <c r="L932" s="29"/>
      <c r="M932" s="138"/>
      <c r="T932" s="49"/>
      <c r="AT932" s="17" t="s">
        <v>135</v>
      </c>
      <c r="AU932" s="17" t="s">
        <v>80</v>
      </c>
    </row>
    <row r="933" spans="2:51" s="12" customFormat="1" ht="12">
      <c r="B933" s="139"/>
      <c r="D933" s="140" t="s">
        <v>137</v>
      </c>
      <c r="E933" s="141" t="s">
        <v>3</v>
      </c>
      <c r="F933" s="142" t="s">
        <v>1986</v>
      </c>
      <c r="H933" s="143">
        <v>1</v>
      </c>
      <c r="L933" s="139"/>
      <c r="M933" s="144"/>
      <c r="T933" s="145"/>
      <c r="AT933" s="141" t="s">
        <v>137</v>
      </c>
      <c r="AU933" s="141" t="s">
        <v>80</v>
      </c>
      <c r="AV933" s="12" t="s">
        <v>80</v>
      </c>
      <c r="AW933" s="12" t="s">
        <v>32</v>
      </c>
      <c r="AX933" s="12" t="s">
        <v>78</v>
      </c>
      <c r="AY933" s="141" t="s">
        <v>126</v>
      </c>
    </row>
    <row r="934" spans="2:65" s="1" customFormat="1" ht="16.5" customHeight="1">
      <c r="B934" s="123"/>
      <c r="C934" s="152" t="s">
        <v>2001</v>
      </c>
      <c r="D934" s="152" t="s">
        <v>405</v>
      </c>
      <c r="E934" s="153" t="s">
        <v>1815</v>
      </c>
      <c r="F934" s="154" t="s">
        <v>1816</v>
      </c>
      <c r="G934" s="155" t="s">
        <v>296</v>
      </c>
      <c r="H934" s="156">
        <v>1</v>
      </c>
      <c r="I934" s="157"/>
      <c r="J934" s="157">
        <f>ROUND(I934*H934,2)</f>
        <v>0</v>
      </c>
      <c r="K934" s="154" t="s">
        <v>132</v>
      </c>
      <c r="L934" s="158"/>
      <c r="M934" s="159" t="s">
        <v>3</v>
      </c>
      <c r="N934" s="160" t="s">
        <v>41</v>
      </c>
      <c r="O934" s="132">
        <v>0</v>
      </c>
      <c r="P934" s="132">
        <f>O934*H934</f>
        <v>0</v>
      </c>
      <c r="Q934" s="132">
        <v>0.0024</v>
      </c>
      <c r="R934" s="132">
        <f>Q934*H934</f>
        <v>0.0024</v>
      </c>
      <c r="S934" s="132">
        <v>0</v>
      </c>
      <c r="T934" s="133">
        <f>S934*H934</f>
        <v>0</v>
      </c>
      <c r="AR934" s="134" t="s">
        <v>325</v>
      </c>
      <c r="AT934" s="134" t="s">
        <v>405</v>
      </c>
      <c r="AU934" s="134" t="s">
        <v>80</v>
      </c>
      <c r="AY934" s="17" t="s">
        <v>126</v>
      </c>
      <c r="BE934" s="135">
        <f>IF(N934="základní",J934,0)</f>
        <v>0</v>
      </c>
      <c r="BF934" s="135">
        <f>IF(N934="snížená",J934,0)</f>
        <v>0</v>
      </c>
      <c r="BG934" s="135">
        <f>IF(N934="zákl. přenesená",J934,0)</f>
        <v>0</v>
      </c>
      <c r="BH934" s="135">
        <f>IF(N934="sníž. přenesená",J934,0)</f>
        <v>0</v>
      </c>
      <c r="BI934" s="135">
        <f>IF(N934="nulová",J934,0)</f>
        <v>0</v>
      </c>
      <c r="BJ934" s="17" t="s">
        <v>78</v>
      </c>
      <c r="BK934" s="135">
        <f>ROUND(I934*H934,2)</f>
        <v>0</v>
      </c>
      <c r="BL934" s="17" t="s">
        <v>221</v>
      </c>
      <c r="BM934" s="134" t="s">
        <v>2002</v>
      </c>
    </row>
    <row r="935" spans="2:65" s="1" customFormat="1" ht="16.5" customHeight="1">
      <c r="B935" s="123"/>
      <c r="C935" s="124" t="s">
        <v>2003</v>
      </c>
      <c r="D935" s="124" t="s">
        <v>128</v>
      </c>
      <c r="E935" s="125" t="s">
        <v>2004</v>
      </c>
      <c r="F935" s="126" t="s">
        <v>2005</v>
      </c>
      <c r="G935" s="127" t="s">
        <v>2006</v>
      </c>
      <c r="H935" s="128">
        <v>1827.84</v>
      </c>
      <c r="I935" s="129"/>
      <c r="J935" s="129">
        <f>ROUND(I935*H935,2)</f>
        <v>0</v>
      </c>
      <c r="K935" s="126" t="s">
        <v>132</v>
      </c>
      <c r="L935" s="29"/>
      <c r="M935" s="130" t="s">
        <v>3</v>
      </c>
      <c r="N935" s="131" t="s">
        <v>41</v>
      </c>
      <c r="O935" s="132">
        <v>0.134</v>
      </c>
      <c r="P935" s="132">
        <f>O935*H935</f>
        <v>244.93056</v>
      </c>
      <c r="Q935" s="132">
        <v>6E-05</v>
      </c>
      <c r="R935" s="132">
        <f>Q935*H935</f>
        <v>0.1096704</v>
      </c>
      <c r="S935" s="132">
        <v>0</v>
      </c>
      <c r="T935" s="133">
        <f>S935*H935</f>
        <v>0</v>
      </c>
      <c r="AR935" s="134" t="s">
        <v>221</v>
      </c>
      <c r="AT935" s="134" t="s">
        <v>128</v>
      </c>
      <c r="AU935" s="134" t="s">
        <v>80</v>
      </c>
      <c r="AY935" s="17" t="s">
        <v>126</v>
      </c>
      <c r="BE935" s="135">
        <f>IF(N935="základní",J935,0)</f>
        <v>0</v>
      </c>
      <c r="BF935" s="135">
        <f>IF(N935="snížená",J935,0)</f>
        <v>0</v>
      </c>
      <c r="BG935" s="135">
        <f>IF(N935="zákl. přenesená",J935,0)</f>
        <v>0</v>
      </c>
      <c r="BH935" s="135">
        <f>IF(N935="sníž. přenesená",J935,0)</f>
        <v>0</v>
      </c>
      <c r="BI935" s="135">
        <f>IF(N935="nulová",J935,0)</f>
        <v>0</v>
      </c>
      <c r="BJ935" s="17" t="s">
        <v>78</v>
      </c>
      <c r="BK935" s="135">
        <f>ROUND(I935*H935,2)</f>
        <v>0</v>
      </c>
      <c r="BL935" s="17" t="s">
        <v>221</v>
      </c>
      <c r="BM935" s="134" t="s">
        <v>2007</v>
      </c>
    </row>
    <row r="936" spans="2:47" s="1" customFormat="1" ht="12">
      <c r="B936" s="29"/>
      <c r="D936" s="136" t="s">
        <v>135</v>
      </c>
      <c r="F936" s="137" t="s">
        <v>2008</v>
      </c>
      <c r="L936" s="29"/>
      <c r="M936" s="138"/>
      <c r="T936" s="49"/>
      <c r="AT936" s="17" t="s">
        <v>135</v>
      </c>
      <c r="AU936" s="17" t="s">
        <v>80</v>
      </c>
    </row>
    <row r="937" spans="2:51" s="12" customFormat="1" ht="12">
      <c r="B937" s="139"/>
      <c r="D937" s="140" t="s">
        <v>137</v>
      </c>
      <c r="E937" s="141" t="s">
        <v>3</v>
      </c>
      <c r="F937" s="142" t="s">
        <v>2009</v>
      </c>
      <c r="H937" s="143">
        <v>919.8</v>
      </c>
      <c r="L937" s="139"/>
      <c r="M937" s="144"/>
      <c r="T937" s="145"/>
      <c r="AT937" s="141" t="s">
        <v>137</v>
      </c>
      <c r="AU937" s="141" t="s">
        <v>80</v>
      </c>
      <c r="AV937" s="12" t="s">
        <v>80</v>
      </c>
      <c r="AW937" s="12" t="s">
        <v>32</v>
      </c>
      <c r="AX937" s="12" t="s">
        <v>70</v>
      </c>
      <c r="AY937" s="141" t="s">
        <v>126</v>
      </c>
    </row>
    <row r="938" spans="2:51" s="12" customFormat="1" ht="12">
      <c r="B938" s="139"/>
      <c r="D938" s="140" t="s">
        <v>137</v>
      </c>
      <c r="E938" s="141" t="s">
        <v>3</v>
      </c>
      <c r="F938" s="142" t="s">
        <v>2010</v>
      </c>
      <c r="H938" s="143">
        <v>908.04</v>
      </c>
      <c r="L938" s="139"/>
      <c r="M938" s="144"/>
      <c r="T938" s="145"/>
      <c r="AT938" s="141" t="s">
        <v>137</v>
      </c>
      <c r="AU938" s="141" t="s">
        <v>80</v>
      </c>
      <c r="AV938" s="12" t="s">
        <v>80</v>
      </c>
      <c r="AW938" s="12" t="s">
        <v>32</v>
      </c>
      <c r="AX938" s="12" t="s">
        <v>70</v>
      </c>
      <c r="AY938" s="141" t="s">
        <v>126</v>
      </c>
    </row>
    <row r="939" spans="2:51" s="13" customFormat="1" ht="12">
      <c r="B939" s="146"/>
      <c r="D939" s="140" t="s">
        <v>137</v>
      </c>
      <c r="E939" s="147" t="s">
        <v>3</v>
      </c>
      <c r="F939" s="148" t="s">
        <v>151</v>
      </c>
      <c r="H939" s="149">
        <v>1827.84</v>
      </c>
      <c r="L939" s="146"/>
      <c r="M939" s="150"/>
      <c r="T939" s="151"/>
      <c r="AT939" s="147" t="s">
        <v>137</v>
      </c>
      <c r="AU939" s="147" t="s">
        <v>80</v>
      </c>
      <c r="AV939" s="13" t="s">
        <v>133</v>
      </c>
      <c r="AW939" s="13" t="s">
        <v>32</v>
      </c>
      <c r="AX939" s="13" t="s">
        <v>78</v>
      </c>
      <c r="AY939" s="147" t="s">
        <v>126</v>
      </c>
    </row>
    <row r="940" spans="2:65" s="1" customFormat="1" ht="16.5" customHeight="1">
      <c r="B940" s="123"/>
      <c r="C940" s="152" t="s">
        <v>2011</v>
      </c>
      <c r="D940" s="152" t="s">
        <v>405</v>
      </c>
      <c r="E940" s="153" t="s">
        <v>2012</v>
      </c>
      <c r="F940" s="154" t="s">
        <v>2013</v>
      </c>
      <c r="G940" s="155" t="s">
        <v>171</v>
      </c>
      <c r="H940" s="156">
        <v>1.012</v>
      </c>
      <c r="I940" s="157"/>
      <c r="J940" s="157">
        <f>ROUND(I940*H940,2)</f>
        <v>0</v>
      </c>
      <c r="K940" s="154" t="s">
        <v>132</v>
      </c>
      <c r="L940" s="158"/>
      <c r="M940" s="159" t="s">
        <v>3</v>
      </c>
      <c r="N940" s="160" t="s">
        <v>41</v>
      </c>
      <c r="O940" s="132">
        <v>0</v>
      </c>
      <c r="P940" s="132">
        <f>O940*H940</f>
        <v>0</v>
      </c>
      <c r="Q940" s="132">
        <v>1</v>
      </c>
      <c r="R940" s="132">
        <f>Q940*H940</f>
        <v>1.012</v>
      </c>
      <c r="S940" s="132">
        <v>0</v>
      </c>
      <c r="T940" s="133">
        <f>S940*H940</f>
        <v>0</v>
      </c>
      <c r="AR940" s="134" t="s">
        <v>325</v>
      </c>
      <c r="AT940" s="134" t="s">
        <v>405</v>
      </c>
      <c r="AU940" s="134" t="s">
        <v>80</v>
      </c>
      <c r="AY940" s="17" t="s">
        <v>126</v>
      </c>
      <c r="BE940" s="135">
        <f>IF(N940="základní",J940,0)</f>
        <v>0</v>
      </c>
      <c r="BF940" s="135">
        <f>IF(N940="snížená",J940,0)</f>
        <v>0</v>
      </c>
      <c r="BG940" s="135">
        <f>IF(N940="zákl. přenesená",J940,0)</f>
        <v>0</v>
      </c>
      <c r="BH940" s="135">
        <f>IF(N940="sníž. přenesená",J940,0)</f>
        <v>0</v>
      </c>
      <c r="BI940" s="135">
        <f>IF(N940="nulová",J940,0)</f>
        <v>0</v>
      </c>
      <c r="BJ940" s="17" t="s">
        <v>78</v>
      </c>
      <c r="BK940" s="135">
        <f>ROUND(I940*H940,2)</f>
        <v>0</v>
      </c>
      <c r="BL940" s="17" t="s">
        <v>221</v>
      </c>
      <c r="BM940" s="134" t="s">
        <v>2014</v>
      </c>
    </row>
    <row r="941" spans="2:51" s="12" customFormat="1" ht="12">
      <c r="B941" s="139"/>
      <c r="D941" s="140" t="s">
        <v>137</v>
      </c>
      <c r="E941" s="141" t="s">
        <v>3</v>
      </c>
      <c r="F941" s="142" t="s">
        <v>2015</v>
      </c>
      <c r="H941" s="143">
        <v>0.92</v>
      </c>
      <c r="L941" s="139"/>
      <c r="M941" s="144"/>
      <c r="T941" s="145"/>
      <c r="AT941" s="141" t="s">
        <v>137</v>
      </c>
      <c r="AU941" s="141" t="s">
        <v>80</v>
      </c>
      <c r="AV941" s="12" t="s">
        <v>80</v>
      </c>
      <c r="AW941" s="12" t="s">
        <v>32</v>
      </c>
      <c r="AX941" s="12" t="s">
        <v>78</v>
      </c>
      <c r="AY941" s="141" t="s">
        <v>126</v>
      </c>
    </row>
    <row r="942" spans="2:51" s="12" customFormat="1" ht="12">
      <c r="B942" s="139"/>
      <c r="D942" s="140" t="s">
        <v>137</v>
      </c>
      <c r="F942" s="142" t="s">
        <v>2016</v>
      </c>
      <c r="H942" s="143">
        <v>1.012</v>
      </c>
      <c r="L942" s="139"/>
      <c r="M942" s="144"/>
      <c r="T942" s="145"/>
      <c r="AT942" s="141" t="s">
        <v>137</v>
      </c>
      <c r="AU942" s="141" t="s">
        <v>80</v>
      </c>
      <c r="AV942" s="12" t="s">
        <v>80</v>
      </c>
      <c r="AW942" s="12" t="s">
        <v>4</v>
      </c>
      <c r="AX942" s="12" t="s">
        <v>78</v>
      </c>
      <c r="AY942" s="141" t="s">
        <v>126</v>
      </c>
    </row>
    <row r="943" spans="2:65" s="1" customFormat="1" ht="16.5" customHeight="1">
      <c r="B943" s="123"/>
      <c r="C943" s="152" t="s">
        <v>2017</v>
      </c>
      <c r="D943" s="152" t="s">
        <v>405</v>
      </c>
      <c r="E943" s="153" t="s">
        <v>2018</v>
      </c>
      <c r="F943" s="154" t="s">
        <v>2019</v>
      </c>
      <c r="G943" s="155" t="s">
        <v>171</v>
      </c>
      <c r="H943" s="156">
        <v>0.999</v>
      </c>
      <c r="I943" s="157"/>
      <c r="J943" s="157">
        <f>ROUND(I943*H943,2)</f>
        <v>0</v>
      </c>
      <c r="K943" s="154" t="s">
        <v>132</v>
      </c>
      <c r="L943" s="158"/>
      <c r="M943" s="159" t="s">
        <v>3</v>
      </c>
      <c r="N943" s="160" t="s">
        <v>41</v>
      </c>
      <c r="O943" s="132">
        <v>0</v>
      </c>
      <c r="P943" s="132">
        <f>O943*H943</f>
        <v>0</v>
      </c>
      <c r="Q943" s="132">
        <v>1</v>
      </c>
      <c r="R943" s="132">
        <f>Q943*H943</f>
        <v>0.999</v>
      </c>
      <c r="S943" s="132">
        <v>0</v>
      </c>
      <c r="T943" s="133">
        <f>S943*H943</f>
        <v>0</v>
      </c>
      <c r="AR943" s="134" t="s">
        <v>325</v>
      </c>
      <c r="AT943" s="134" t="s">
        <v>405</v>
      </c>
      <c r="AU943" s="134" t="s">
        <v>80</v>
      </c>
      <c r="AY943" s="17" t="s">
        <v>126</v>
      </c>
      <c r="BE943" s="135">
        <f>IF(N943="základní",J943,0)</f>
        <v>0</v>
      </c>
      <c r="BF943" s="135">
        <f>IF(N943="snížená",J943,0)</f>
        <v>0</v>
      </c>
      <c r="BG943" s="135">
        <f>IF(N943="zákl. přenesená",J943,0)</f>
        <v>0</v>
      </c>
      <c r="BH943" s="135">
        <f>IF(N943="sníž. přenesená",J943,0)</f>
        <v>0</v>
      </c>
      <c r="BI943" s="135">
        <f>IF(N943="nulová",J943,0)</f>
        <v>0</v>
      </c>
      <c r="BJ943" s="17" t="s">
        <v>78</v>
      </c>
      <c r="BK943" s="135">
        <f>ROUND(I943*H943,2)</f>
        <v>0</v>
      </c>
      <c r="BL943" s="17" t="s">
        <v>221</v>
      </c>
      <c r="BM943" s="134" t="s">
        <v>2020</v>
      </c>
    </row>
    <row r="944" spans="2:51" s="12" customFormat="1" ht="12">
      <c r="B944" s="139"/>
      <c r="D944" s="140" t="s">
        <v>137</v>
      </c>
      <c r="E944" s="141" t="s">
        <v>3</v>
      </c>
      <c r="F944" s="142" t="s">
        <v>2021</v>
      </c>
      <c r="H944" s="143">
        <v>0.908</v>
      </c>
      <c r="L944" s="139"/>
      <c r="M944" s="144"/>
      <c r="T944" s="145"/>
      <c r="AT944" s="141" t="s">
        <v>137</v>
      </c>
      <c r="AU944" s="141" t="s">
        <v>80</v>
      </c>
      <c r="AV944" s="12" t="s">
        <v>80</v>
      </c>
      <c r="AW944" s="12" t="s">
        <v>32</v>
      </c>
      <c r="AX944" s="12" t="s">
        <v>78</v>
      </c>
      <c r="AY944" s="141" t="s">
        <v>126</v>
      </c>
    </row>
    <row r="945" spans="2:51" s="12" customFormat="1" ht="12">
      <c r="B945" s="139"/>
      <c r="D945" s="140" t="s">
        <v>137</v>
      </c>
      <c r="F945" s="142" t="s">
        <v>2022</v>
      </c>
      <c r="H945" s="143">
        <v>0.999</v>
      </c>
      <c r="L945" s="139"/>
      <c r="M945" s="144"/>
      <c r="T945" s="145"/>
      <c r="AT945" s="141" t="s">
        <v>137</v>
      </c>
      <c r="AU945" s="141" t="s">
        <v>80</v>
      </c>
      <c r="AV945" s="12" t="s">
        <v>80</v>
      </c>
      <c r="AW945" s="12" t="s">
        <v>4</v>
      </c>
      <c r="AX945" s="12" t="s">
        <v>78</v>
      </c>
      <c r="AY945" s="141" t="s">
        <v>126</v>
      </c>
    </row>
    <row r="946" spans="2:65" s="1" customFormat="1" ht="16.5" customHeight="1">
      <c r="B946" s="123"/>
      <c r="C946" s="124" t="s">
        <v>2023</v>
      </c>
      <c r="D946" s="124" t="s">
        <v>128</v>
      </c>
      <c r="E946" s="125" t="s">
        <v>2024</v>
      </c>
      <c r="F946" s="126" t="s">
        <v>2025</v>
      </c>
      <c r="G946" s="127" t="s">
        <v>2006</v>
      </c>
      <c r="H946" s="128">
        <v>31465</v>
      </c>
      <c r="I946" s="129"/>
      <c r="J946" s="129">
        <f>ROUND(I946*H946,2)</f>
        <v>0</v>
      </c>
      <c r="K946" s="126" t="s">
        <v>132</v>
      </c>
      <c r="L946" s="29"/>
      <c r="M946" s="130" t="s">
        <v>3</v>
      </c>
      <c r="N946" s="131" t="s">
        <v>41</v>
      </c>
      <c r="O946" s="132">
        <v>0.075</v>
      </c>
      <c r="P946" s="132">
        <f>O946*H946</f>
        <v>2359.875</v>
      </c>
      <c r="Q946" s="132">
        <v>5E-05</v>
      </c>
      <c r="R946" s="132">
        <f>Q946*H946</f>
        <v>1.57325</v>
      </c>
      <c r="S946" s="132">
        <v>0</v>
      </c>
      <c r="T946" s="133">
        <f>S946*H946</f>
        <v>0</v>
      </c>
      <c r="AR946" s="134" t="s">
        <v>221</v>
      </c>
      <c r="AT946" s="134" t="s">
        <v>128</v>
      </c>
      <c r="AU946" s="134" t="s">
        <v>80</v>
      </c>
      <c r="AY946" s="17" t="s">
        <v>126</v>
      </c>
      <c r="BE946" s="135">
        <f>IF(N946="základní",J946,0)</f>
        <v>0</v>
      </c>
      <c r="BF946" s="135">
        <f>IF(N946="snížená",J946,0)</f>
        <v>0</v>
      </c>
      <c r="BG946" s="135">
        <f>IF(N946="zákl. přenesená",J946,0)</f>
        <v>0</v>
      </c>
      <c r="BH946" s="135">
        <f>IF(N946="sníž. přenesená",J946,0)</f>
        <v>0</v>
      </c>
      <c r="BI946" s="135">
        <f>IF(N946="nulová",J946,0)</f>
        <v>0</v>
      </c>
      <c r="BJ946" s="17" t="s">
        <v>78</v>
      </c>
      <c r="BK946" s="135">
        <f>ROUND(I946*H946,2)</f>
        <v>0</v>
      </c>
      <c r="BL946" s="17" t="s">
        <v>221</v>
      </c>
      <c r="BM946" s="134" t="s">
        <v>2026</v>
      </c>
    </row>
    <row r="947" spans="2:47" s="1" customFormat="1" ht="12">
      <c r="B947" s="29"/>
      <c r="D947" s="136" t="s">
        <v>135</v>
      </c>
      <c r="F947" s="137" t="s">
        <v>2027</v>
      </c>
      <c r="L947" s="29"/>
      <c r="M947" s="138"/>
      <c r="T947" s="49"/>
      <c r="AT947" s="17" t="s">
        <v>135</v>
      </c>
      <c r="AU947" s="17" t="s">
        <v>80</v>
      </c>
    </row>
    <row r="948" spans="2:51" s="12" customFormat="1" ht="12">
      <c r="B948" s="139"/>
      <c r="D948" s="140" t="s">
        <v>137</v>
      </c>
      <c r="E948" s="141" t="s">
        <v>3</v>
      </c>
      <c r="F948" s="142" t="s">
        <v>2028</v>
      </c>
      <c r="H948" s="143">
        <v>31465</v>
      </c>
      <c r="L948" s="139"/>
      <c r="M948" s="144"/>
      <c r="T948" s="145"/>
      <c r="AT948" s="141" t="s">
        <v>137</v>
      </c>
      <c r="AU948" s="141" t="s">
        <v>80</v>
      </c>
      <c r="AV948" s="12" t="s">
        <v>80</v>
      </c>
      <c r="AW948" s="12" t="s">
        <v>32</v>
      </c>
      <c r="AX948" s="12" t="s">
        <v>78</v>
      </c>
      <c r="AY948" s="141" t="s">
        <v>126</v>
      </c>
    </row>
    <row r="949" spans="2:65" s="1" customFormat="1" ht="16.5" customHeight="1">
      <c r="B949" s="123"/>
      <c r="C949" s="152" t="s">
        <v>2029</v>
      </c>
      <c r="D949" s="152" t="s">
        <v>405</v>
      </c>
      <c r="E949" s="153" t="s">
        <v>2018</v>
      </c>
      <c r="F949" s="154" t="s">
        <v>2019</v>
      </c>
      <c r="G949" s="155" t="s">
        <v>171</v>
      </c>
      <c r="H949" s="156">
        <v>4.099</v>
      </c>
      <c r="I949" s="157"/>
      <c r="J949" s="157">
        <f>ROUND(I949*H949,2)</f>
        <v>0</v>
      </c>
      <c r="K949" s="154" t="s">
        <v>132</v>
      </c>
      <c r="L949" s="158"/>
      <c r="M949" s="159" t="s">
        <v>3</v>
      </c>
      <c r="N949" s="160" t="s">
        <v>41</v>
      </c>
      <c r="O949" s="132">
        <v>0</v>
      </c>
      <c r="P949" s="132">
        <f>O949*H949</f>
        <v>0</v>
      </c>
      <c r="Q949" s="132">
        <v>1</v>
      </c>
      <c r="R949" s="132">
        <f>Q949*H949</f>
        <v>4.099</v>
      </c>
      <c r="S949" s="132">
        <v>0</v>
      </c>
      <c r="T949" s="133">
        <f>S949*H949</f>
        <v>0</v>
      </c>
      <c r="AR949" s="134" t="s">
        <v>325</v>
      </c>
      <c r="AT949" s="134" t="s">
        <v>405</v>
      </c>
      <c r="AU949" s="134" t="s">
        <v>80</v>
      </c>
      <c r="AY949" s="17" t="s">
        <v>126</v>
      </c>
      <c r="BE949" s="135">
        <f>IF(N949="základní",J949,0)</f>
        <v>0</v>
      </c>
      <c r="BF949" s="135">
        <f>IF(N949="snížená",J949,0)</f>
        <v>0</v>
      </c>
      <c r="BG949" s="135">
        <f>IF(N949="zákl. přenesená",J949,0)</f>
        <v>0</v>
      </c>
      <c r="BH949" s="135">
        <f>IF(N949="sníž. přenesená",J949,0)</f>
        <v>0</v>
      </c>
      <c r="BI949" s="135">
        <f>IF(N949="nulová",J949,0)</f>
        <v>0</v>
      </c>
      <c r="BJ949" s="17" t="s">
        <v>78</v>
      </c>
      <c r="BK949" s="135">
        <f>ROUND(I949*H949,2)</f>
        <v>0</v>
      </c>
      <c r="BL949" s="17" t="s">
        <v>221</v>
      </c>
      <c r="BM949" s="134" t="s">
        <v>2030</v>
      </c>
    </row>
    <row r="950" spans="2:51" s="12" customFormat="1" ht="12">
      <c r="B950" s="139"/>
      <c r="D950" s="140" t="s">
        <v>137</v>
      </c>
      <c r="E950" s="141" t="s">
        <v>3</v>
      </c>
      <c r="F950" s="142" t="s">
        <v>2031</v>
      </c>
      <c r="H950" s="143">
        <v>1.316</v>
      </c>
      <c r="L950" s="139"/>
      <c r="M950" s="144"/>
      <c r="T950" s="145"/>
      <c r="AT950" s="141" t="s">
        <v>137</v>
      </c>
      <c r="AU950" s="141" t="s">
        <v>80</v>
      </c>
      <c r="AV950" s="12" t="s">
        <v>80</v>
      </c>
      <c r="AW950" s="12" t="s">
        <v>32</v>
      </c>
      <c r="AX950" s="12" t="s">
        <v>70</v>
      </c>
      <c r="AY950" s="141" t="s">
        <v>126</v>
      </c>
    </row>
    <row r="951" spans="2:51" s="12" customFormat="1" ht="12">
      <c r="B951" s="139"/>
      <c r="D951" s="140" t="s">
        <v>137</v>
      </c>
      <c r="E951" s="141" t="s">
        <v>3</v>
      </c>
      <c r="F951" s="142" t="s">
        <v>2032</v>
      </c>
      <c r="H951" s="143">
        <v>0.677</v>
      </c>
      <c r="L951" s="139"/>
      <c r="M951" s="144"/>
      <c r="T951" s="145"/>
      <c r="AT951" s="141" t="s">
        <v>137</v>
      </c>
      <c r="AU951" s="141" t="s">
        <v>80</v>
      </c>
      <c r="AV951" s="12" t="s">
        <v>80</v>
      </c>
      <c r="AW951" s="12" t="s">
        <v>32</v>
      </c>
      <c r="AX951" s="12" t="s">
        <v>70</v>
      </c>
      <c r="AY951" s="141" t="s">
        <v>126</v>
      </c>
    </row>
    <row r="952" spans="2:51" s="12" customFormat="1" ht="12">
      <c r="B952" s="139"/>
      <c r="D952" s="140" t="s">
        <v>137</v>
      </c>
      <c r="E952" s="141" t="s">
        <v>3</v>
      </c>
      <c r="F952" s="142" t="s">
        <v>2033</v>
      </c>
      <c r="H952" s="143">
        <v>0.677</v>
      </c>
      <c r="L952" s="139"/>
      <c r="M952" s="144"/>
      <c r="T952" s="145"/>
      <c r="AT952" s="141" t="s">
        <v>137</v>
      </c>
      <c r="AU952" s="141" t="s">
        <v>80</v>
      </c>
      <c r="AV952" s="12" t="s">
        <v>80</v>
      </c>
      <c r="AW952" s="12" t="s">
        <v>32</v>
      </c>
      <c r="AX952" s="12" t="s">
        <v>70</v>
      </c>
      <c r="AY952" s="141" t="s">
        <v>126</v>
      </c>
    </row>
    <row r="953" spans="2:51" s="12" customFormat="1" ht="12">
      <c r="B953" s="139"/>
      <c r="D953" s="140" t="s">
        <v>137</v>
      </c>
      <c r="E953" s="141" t="s">
        <v>3</v>
      </c>
      <c r="F953" s="142" t="s">
        <v>2034</v>
      </c>
      <c r="H953" s="143">
        <v>0.372</v>
      </c>
      <c r="L953" s="139"/>
      <c r="M953" s="144"/>
      <c r="T953" s="145"/>
      <c r="AT953" s="141" t="s">
        <v>137</v>
      </c>
      <c r="AU953" s="141" t="s">
        <v>80</v>
      </c>
      <c r="AV953" s="12" t="s">
        <v>80</v>
      </c>
      <c r="AW953" s="12" t="s">
        <v>32</v>
      </c>
      <c r="AX953" s="12" t="s">
        <v>70</v>
      </c>
      <c r="AY953" s="141" t="s">
        <v>126</v>
      </c>
    </row>
    <row r="954" spans="2:51" s="12" customFormat="1" ht="12">
      <c r="B954" s="139"/>
      <c r="D954" s="140" t="s">
        <v>137</v>
      </c>
      <c r="E954" s="141" t="s">
        <v>3</v>
      </c>
      <c r="F954" s="142" t="s">
        <v>2035</v>
      </c>
      <c r="H954" s="143">
        <v>0.252</v>
      </c>
      <c r="L954" s="139"/>
      <c r="M954" s="144"/>
      <c r="T954" s="145"/>
      <c r="AT954" s="141" t="s">
        <v>137</v>
      </c>
      <c r="AU954" s="141" t="s">
        <v>80</v>
      </c>
      <c r="AV954" s="12" t="s">
        <v>80</v>
      </c>
      <c r="AW954" s="12" t="s">
        <v>32</v>
      </c>
      <c r="AX954" s="12" t="s">
        <v>70</v>
      </c>
      <c r="AY954" s="141" t="s">
        <v>126</v>
      </c>
    </row>
    <row r="955" spans="2:51" s="12" customFormat="1" ht="12">
      <c r="B955" s="139"/>
      <c r="D955" s="140" t="s">
        <v>137</v>
      </c>
      <c r="E955" s="141" t="s">
        <v>3</v>
      </c>
      <c r="F955" s="142" t="s">
        <v>2036</v>
      </c>
      <c r="H955" s="143">
        <v>0.432</v>
      </c>
      <c r="L955" s="139"/>
      <c r="M955" s="144"/>
      <c r="T955" s="145"/>
      <c r="AT955" s="141" t="s">
        <v>137</v>
      </c>
      <c r="AU955" s="141" t="s">
        <v>80</v>
      </c>
      <c r="AV955" s="12" t="s">
        <v>80</v>
      </c>
      <c r="AW955" s="12" t="s">
        <v>32</v>
      </c>
      <c r="AX955" s="12" t="s">
        <v>70</v>
      </c>
      <c r="AY955" s="141" t="s">
        <v>126</v>
      </c>
    </row>
    <row r="956" spans="2:51" s="13" customFormat="1" ht="12">
      <c r="B956" s="146"/>
      <c r="D956" s="140" t="s">
        <v>137</v>
      </c>
      <c r="E956" s="147" t="s">
        <v>3</v>
      </c>
      <c r="F956" s="148" t="s">
        <v>151</v>
      </c>
      <c r="H956" s="149">
        <v>3.7259999999999995</v>
      </c>
      <c r="L956" s="146"/>
      <c r="M956" s="150"/>
      <c r="T956" s="151"/>
      <c r="AT956" s="147" t="s">
        <v>137</v>
      </c>
      <c r="AU956" s="147" t="s">
        <v>80</v>
      </c>
      <c r="AV956" s="13" t="s">
        <v>133</v>
      </c>
      <c r="AW956" s="13" t="s">
        <v>32</v>
      </c>
      <c r="AX956" s="13" t="s">
        <v>78</v>
      </c>
      <c r="AY956" s="147" t="s">
        <v>126</v>
      </c>
    </row>
    <row r="957" spans="2:51" s="12" customFormat="1" ht="12">
      <c r="B957" s="139"/>
      <c r="D957" s="140" t="s">
        <v>137</v>
      </c>
      <c r="F957" s="142" t="s">
        <v>2037</v>
      </c>
      <c r="H957" s="143">
        <v>4.099</v>
      </c>
      <c r="L957" s="139"/>
      <c r="M957" s="144"/>
      <c r="T957" s="145"/>
      <c r="AT957" s="141" t="s">
        <v>137</v>
      </c>
      <c r="AU957" s="141" t="s">
        <v>80</v>
      </c>
      <c r="AV957" s="12" t="s">
        <v>80</v>
      </c>
      <c r="AW957" s="12" t="s">
        <v>4</v>
      </c>
      <c r="AX957" s="12" t="s">
        <v>78</v>
      </c>
      <c r="AY957" s="141" t="s">
        <v>126</v>
      </c>
    </row>
    <row r="958" spans="2:65" s="1" customFormat="1" ht="16.5" customHeight="1">
      <c r="B958" s="123"/>
      <c r="C958" s="152" t="s">
        <v>2038</v>
      </c>
      <c r="D958" s="152" t="s">
        <v>405</v>
      </c>
      <c r="E958" s="153" t="s">
        <v>2039</v>
      </c>
      <c r="F958" s="154" t="s">
        <v>2040</v>
      </c>
      <c r="G958" s="155" t="s">
        <v>171</v>
      </c>
      <c r="H958" s="156">
        <v>2.867</v>
      </c>
      <c r="I958" s="157"/>
      <c r="J958" s="157">
        <f>ROUND(I958*H958,2)</f>
        <v>0</v>
      </c>
      <c r="K958" s="154" t="s">
        <v>132</v>
      </c>
      <c r="L958" s="158"/>
      <c r="M958" s="159" t="s">
        <v>3</v>
      </c>
      <c r="N958" s="160" t="s">
        <v>41</v>
      </c>
      <c r="O958" s="132">
        <v>0</v>
      </c>
      <c r="P958" s="132">
        <f>O958*H958</f>
        <v>0</v>
      </c>
      <c r="Q958" s="132">
        <v>1</v>
      </c>
      <c r="R958" s="132">
        <f>Q958*H958</f>
        <v>2.867</v>
      </c>
      <c r="S958" s="132">
        <v>0</v>
      </c>
      <c r="T958" s="133">
        <f>S958*H958</f>
        <v>0</v>
      </c>
      <c r="AR958" s="134" t="s">
        <v>325</v>
      </c>
      <c r="AT958" s="134" t="s">
        <v>405</v>
      </c>
      <c r="AU958" s="134" t="s">
        <v>80</v>
      </c>
      <c r="AY958" s="17" t="s">
        <v>126</v>
      </c>
      <c r="BE958" s="135">
        <f>IF(N958="základní",J958,0)</f>
        <v>0</v>
      </c>
      <c r="BF958" s="135">
        <f>IF(N958="snížená",J958,0)</f>
        <v>0</v>
      </c>
      <c r="BG958" s="135">
        <f>IF(N958="zákl. přenesená",J958,0)</f>
        <v>0</v>
      </c>
      <c r="BH958" s="135">
        <f>IF(N958="sníž. přenesená",J958,0)</f>
        <v>0</v>
      </c>
      <c r="BI958" s="135">
        <f>IF(N958="nulová",J958,0)</f>
        <v>0</v>
      </c>
      <c r="BJ958" s="17" t="s">
        <v>78</v>
      </c>
      <c r="BK958" s="135">
        <f>ROUND(I958*H958,2)</f>
        <v>0</v>
      </c>
      <c r="BL958" s="17" t="s">
        <v>221</v>
      </c>
      <c r="BM958" s="134" t="s">
        <v>2041</v>
      </c>
    </row>
    <row r="959" spans="2:51" s="12" customFormat="1" ht="12">
      <c r="B959" s="139"/>
      <c r="D959" s="140" t="s">
        <v>137</v>
      </c>
      <c r="E959" s="141" t="s">
        <v>3</v>
      </c>
      <c r="F959" s="142" t="s">
        <v>2042</v>
      </c>
      <c r="H959" s="143">
        <v>2.606</v>
      </c>
      <c r="L959" s="139"/>
      <c r="M959" s="144"/>
      <c r="T959" s="145"/>
      <c r="AT959" s="141" t="s">
        <v>137</v>
      </c>
      <c r="AU959" s="141" t="s">
        <v>80</v>
      </c>
      <c r="AV959" s="12" t="s">
        <v>80</v>
      </c>
      <c r="AW959" s="12" t="s">
        <v>32</v>
      </c>
      <c r="AX959" s="12" t="s">
        <v>78</v>
      </c>
      <c r="AY959" s="141" t="s">
        <v>126</v>
      </c>
    </row>
    <row r="960" spans="2:51" s="12" customFormat="1" ht="12">
      <c r="B960" s="139"/>
      <c r="D960" s="140" t="s">
        <v>137</v>
      </c>
      <c r="F960" s="142" t="s">
        <v>2043</v>
      </c>
      <c r="H960" s="143">
        <v>2.867</v>
      </c>
      <c r="L960" s="139"/>
      <c r="M960" s="144"/>
      <c r="T960" s="145"/>
      <c r="AT960" s="141" t="s">
        <v>137</v>
      </c>
      <c r="AU960" s="141" t="s">
        <v>80</v>
      </c>
      <c r="AV960" s="12" t="s">
        <v>80</v>
      </c>
      <c r="AW960" s="12" t="s">
        <v>4</v>
      </c>
      <c r="AX960" s="12" t="s">
        <v>78</v>
      </c>
      <c r="AY960" s="141" t="s">
        <v>126</v>
      </c>
    </row>
    <row r="961" spans="2:65" s="1" customFormat="1" ht="16.5" customHeight="1">
      <c r="B961" s="123"/>
      <c r="C961" s="152" t="s">
        <v>2044</v>
      </c>
      <c r="D961" s="152" t="s">
        <v>405</v>
      </c>
      <c r="E961" s="153" t="s">
        <v>2045</v>
      </c>
      <c r="F961" s="154" t="s">
        <v>2046</v>
      </c>
      <c r="G961" s="155" t="s">
        <v>171</v>
      </c>
      <c r="H961" s="156">
        <v>20.95</v>
      </c>
      <c r="I961" s="157"/>
      <c r="J961" s="157">
        <f>ROUND(I961*H961,2)</f>
        <v>0</v>
      </c>
      <c r="K961" s="154" t="s">
        <v>132</v>
      </c>
      <c r="L961" s="158"/>
      <c r="M961" s="159" t="s">
        <v>3</v>
      </c>
      <c r="N961" s="160" t="s">
        <v>41</v>
      </c>
      <c r="O961" s="132">
        <v>0</v>
      </c>
      <c r="P961" s="132">
        <f>O961*H961</f>
        <v>0</v>
      </c>
      <c r="Q961" s="132">
        <v>1</v>
      </c>
      <c r="R961" s="132">
        <f>Q961*H961</f>
        <v>20.95</v>
      </c>
      <c r="S961" s="132">
        <v>0</v>
      </c>
      <c r="T961" s="133">
        <f>S961*H961</f>
        <v>0</v>
      </c>
      <c r="AR961" s="134" t="s">
        <v>325</v>
      </c>
      <c r="AT961" s="134" t="s">
        <v>405</v>
      </c>
      <c r="AU961" s="134" t="s">
        <v>80</v>
      </c>
      <c r="AY961" s="17" t="s">
        <v>126</v>
      </c>
      <c r="BE961" s="135">
        <f>IF(N961="základní",J961,0)</f>
        <v>0</v>
      </c>
      <c r="BF961" s="135">
        <f>IF(N961="snížená",J961,0)</f>
        <v>0</v>
      </c>
      <c r="BG961" s="135">
        <f>IF(N961="zákl. přenesená",J961,0)</f>
        <v>0</v>
      </c>
      <c r="BH961" s="135">
        <f>IF(N961="sníž. přenesená",J961,0)</f>
        <v>0</v>
      </c>
      <c r="BI961" s="135">
        <f>IF(N961="nulová",J961,0)</f>
        <v>0</v>
      </c>
      <c r="BJ961" s="17" t="s">
        <v>78</v>
      </c>
      <c r="BK961" s="135">
        <f>ROUND(I961*H961,2)</f>
        <v>0</v>
      </c>
      <c r="BL961" s="17" t="s">
        <v>221</v>
      </c>
      <c r="BM961" s="134" t="s">
        <v>2047</v>
      </c>
    </row>
    <row r="962" spans="2:51" s="12" customFormat="1" ht="12">
      <c r="B962" s="139"/>
      <c r="D962" s="140" t="s">
        <v>137</v>
      </c>
      <c r="E962" s="141" t="s">
        <v>3</v>
      </c>
      <c r="F962" s="142" t="s">
        <v>2048</v>
      </c>
      <c r="H962" s="143">
        <v>0.166</v>
      </c>
      <c r="L962" s="139"/>
      <c r="M962" s="144"/>
      <c r="T962" s="145"/>
      <c r="AT962" s="141" t="s">
        <v>137</v>
      </c>
      <c r="AU962" s="141" t="s">
        <v>80</v>
      </c>
      <c r="AV962" s="12" t="s">
        <v>80</v>
      </c>
      <c r="AW962" s="12" t="s">
        <v>32</v>
      </c>
      <c r="AX962" s="12" t="s">
        <v>70</v>
      </c>
      <c r="AY962" s="141" t="s">
        <v>126</v>
      </c>
    </row>
    <row r="963" spans="2:51" s="12" customFormat="1" ht="12">
      <c r="B963" s="139"/>
      <c r="D963" s="140" t="s">
        <v>137</v>
      </c>
      <c r="E963" s="141" t="s">
        <v>3</v>
      </c>
      <c r="F963" s="142" t="s">
        <v>2049</v>
      </c>
      <c r="H963" s="143">
        <v>2.704</v>
      </c>
      <c r="L963" s="139"/>
      <c r="M963" s="144"/>
      <c r="T963" s="145"/>
      <c r="AT963" s="141" t="s">
        <v>137</v>
      </c>
      <c r="AU963" s="141" t="s">
        <v>80</v>
      </c>
      <c r="AV963" s="12" t="s">
        <v>80</v>
      </c>
      <c r="AW963" s="12" t="s">
        <v>32</v>
      </c>
      <c r="AX963" s="12" t="s">
        <v>70</v>
      </c>
      <c r="AY963" s="141" t="s">
        <v>126</v>
      </c>
    </row>
    <row r="964" spans="2:51" s="12" customFormat="1" ht="12">
      <c r="B964" s="139"/>
      <c r="D964" s="140" t="s">
        <v>137</v>
      </c>
      <c r="E964" s="141" t="s">
        <v>3</v>
      </c>
      <c r="F964" s="142" t="s">
        <v>2050</v>
      </c>
      <c r="H964" s="143">
        <v>2.704</v>
      </c>
      <c r="L964" s="139"/>
      <c r="M964" s="144"/>
      <c r="T964" s="145"/>
      <c r="AT964" s="141" t="s">
        <v>137</v>
      </c>
      <c r="AU964" s="141" t="s">
        <v>80</v>
      </c>
      <c r="AV964" s="12" t="s">
        <v>80</v>
      </c>
      <c r="AW964" s="12" t="s">
        <v>32</v>
      </c>
      <c r="AX964" s="12" t="s">
        <v>70</v>
      </c>
      <c r="AY964" s="141" t="s">
        <v>126</v>
      </c>
    </row>
    <row r="965" spans="2:51" s="12" customFormat="1" ht="12">
      <c r="B965" s="139"/>
      <c r="D965" s="140" t="s">
        <v>137</v>
      </c>
      <c r="E965" s="141" t="s">
        <v>3</v>
      </c>
      <c r="F965" s="142" t="s">
        <v>2051</v>
      </c>
      <c r="H965" s="143">
        <v>0.916</v>
      </c>
      <c r="L965" s="139"/>
      <c r="M965" s="144"/>
      <c r="T965" s="145"/>
      <c r="AT965" s="141" t="s">
        <v>137</v>
      </c>
      <c r="AU965" s="141" t="s">
        <v>80</v>
      </c>
      <c r="AV965" s="12" t="s">
        <v>80</v>
      </c>
      <c r="AW965" s="12" t="s">
        <v>32</v>
      </c>
      <c r="AX965" s="12" t="s">
        <v>70</v>
      </c>
      <c r="AY965" s="141" t="s">
        <v>126</v>
      </c>
    </row>
    <row r="966" spans="2:51" s="12" customFormat="1" ht="12">
      <c r="B966" s="139"/>
      <c r="D966" s="140" t="s">
        <v>137</v>
      </c>
      <c r="E966" s="141" t="s">
        <v>3</v>
      </c>
      <c r="F966" s="142" t="s">
        <v>2052</v>
      </c>
      <c r="H966" s="143">
        <v>0.916</v>
      </c>
      <c r="L966" s="139"/>
      <c r="M966" s="144"/>
      <c r="T966" s="145"/>
      <c r="AT966" s="141" t="s">
        <v>137</v>
      </c>
      <c r="AU966" s="141" t="s">
        <v>80</v>
      </c>
      <c r="AV966" s="12" t="s">
        <v>80</v>
      </c>
      <c r="AW966" s="12" t="s">
        <v>32</v>
      </c>
      <c r="AX966" s="12" t="s">
        <v>70</v>
      </c>
      <c r="AY966" s="141" t="s">
        <v>126</v>
      </c>
    </row>
    <row r="967" spans="2:51" s="12" customFormat="1" ht="12">
      <c r="B967" s="139"/>
      <c r="D967" s="140" t="s">
        <v>137</v>
      </c>
      <c r="E967" s="141" t="s">
        <v>3</v>
      </c>
      <c r="F967" s="142" t="s">
        <v>2053</v>
      </c>
      <c r="H967" s="143">
        <v>0.916</v>
      </c>
      <c r="L967" s="139"/>
      <c r="M967" s="144"/>
      <c r="T967" s="145"/>
      <c r="AT967" s="141" t="s">
        <v>137</v>
      </c>
      <c r="AU967" s="141" t="s">
        <v>80</v>
      </c>
      <c r="AV967" s="12" t="s">
        <v>80</v>
      </c>
      <c r="AW967" s="12" t="s">
        <v>32</v>
      </c>
      <c r="AX967" s="12" t="s">
        <v>70</v>
      </c>
      <c r="AY967" s="141" t="s">
        <v>126</v>
      </c>
    </row>
    <row r="968" spans="2:51" s="12" customFormat="1" ht="12">
      <c r="B968" s="139"/>
      <c r="D968" s="140" t="s">
        <v>137</v>
      </c>
      <c r="E968" s="141" t="s">
        <v>3</v>
      </c>
      <c r="F968" s="142" t="s">
        <v>2054</v>
      </c>
      <c r="H968" s="143">
        <v>1.003</v>
      </c>
      <c r="L968" s="139"/>
      <c r="M968" s="144"/>
      <c r="T968" s="145"/>
      <c r="AT968" s="141" t="s">
        <v>137</v>
      </c>
      <c r="AU968" s="141" t="s">
        <v>80</v>
      </c>
      <c r="AV968" s="12" t="s">
        <v>80</v>
      </c>
      <c r="AW968" s="12" t="s">
        <v>32</v>
      </c>
      <c r="AX968" s="12" t="s">
        <v>70</v>
      </c>
      <c r="AY968" s="141" t="s">
        <v>126</v>
      </c>
    </row>
    <row r="969" spans="2:51" s="12" customFormat="1" ht="12">
      <c r="B969" s="139"/>
      <c r="D969" s="140" t="s">
        <v>137</v>
      </c>
      <c r="E969" s="141" t="s">
        <v>3</v>
      </c>
      <c r="F969" s="142" t="s">
        <v>2055</v>
      </c>
      <c r="H969" s="143">
        <v>1.096</v>
      </c>
      <c r="L969" s="139"/>
      <c r="M969" s="144"/>
      <c r="T969" s="145"/>
      <c r="AT969" s="141" t="s">
        <v>137</v>
      </c>
      <c r="AU969" s="141" t="s">
        <v>80</v>
      </c>
      <c r="AV969" s="12" t="s">
        <v>80</v>
      </c>
      <c r="AW969" s="12" t="s">
        <v>32</v>
      </c>
      <c r="AX969" s="12" t="s">
        <v>70</v>
      </c>
      <c r="AY969" s="141" t="s">
        <v>126</v>
      </c>
    </row>
    <row r="970" spans="2:51" s="12" customFormat="1" ht="12">
      <c r="B970" s="139"/>
      <c r="D970" s="140" t="s">
        <v>137</v>
      </c>
      <c r="E970" s="141" t="s">
        <v>3</v>
      </c>
      <c r="F970" s="142" t="s">
        <v>2056</v>
      </c>
      <c r="H970" s="143">
        <v>1.096</v>
      </c>
      <c r="L970" s="139"/>
      <c r="M970" s="144"/>
      <c r="T970" s="145"/>
      <c r="AT970" s="141" t="s">
        <v>137</v>
      </c>
      <c r="AU970" s="141" t="s">
        <v>80</v>
      </c>
      <c r="AV970" s="12" t="s">
        <v>80</v>
      </c>
      <c r="AW970" s="12" t="s">
        <v>32</v>
      </c>
      <c r="AX970" s="12" t="s">
        <v>70</v>
      </c>
      <c r="AY970" s="141" t="s">
        <v>126</v>
      </c>
    </row>
    <row r="971" spans="2:51" s="12" customFormat="1" ht="12">
      <c r="B971" s="139"/>
      <c r="D971" s="140" t="s">
        <v>137</v>
      </c>
      <c r="E971" s="141" t="s">
        <v>3</v>
      </c>
      <c r="F971" s="142" t="s">
        <v>2057</v>
      </c>
      <c r="H971" s="143">
        <v>0.863</v>
      </c>
      <c r="L971" s="139"/>
      <c r="M971" s="144"/>
      <c r="T971" s="145"/>
      <c r="AT971" s="141" t="s">
        <v>137</v>
      </c>
      <c r="AU971" s="141" t="s">
        <v>80</v>
      </c>
      <c r="AV971" s="12" t="s">
        <v>80</v>
      </c>
      <c r="AW971" s="12" t="s">
        <v>32</v>
      </c>
      <c r="AX971" s="12" t="s">
        <v>70</v>
      </c>
      <c r="AY971" s="141" t="s">
        <v>126</v>
      </c>
    </row>
    <row r="972" spans="2:51" s="12" customFormat="1" ht="12">
      <c r="B972" s="139"/>
      <c r="D972" s="140" t="s">
        <v>137</v>
      </c>
      <c r="E972" s="141" t="s">
        <v>3</v>
      </c>
      <c r="F972" s="142" t="s">
        <v>2058</v>
      </c>
      <c r="H972" s="143">
        <v>0.863</v>
      </c>
      <c r="L972" s="139"/>
      <c r="M972" s="144"/>
      <c r="T972" s="145"/>
      <c r="AT972" s="141" t="s">
        <v>137</v>
      </c>
      <c r="AU972" s="141" t="s">
        <v>80</v>
      </c>
      <c r="AV972" s="12" t="s">
        <v>80</v>
      </c>
      <c r="AW972" s="12" t="s">
        <v>32</v>
      </c>
      <c r="AX972" s="12" t="s">
        <v>70</v>
      </c>
      <c r="AY972" s="141" t="s">
        <v>126</v>
      </c>
    </row>
    <row r="973" spans="2:51" s="12" customFormat="1" ht="12">
      <c r="B973" s="139"/>
      <c r="D973" s="140" t="s">
        <v>137</v>
      </c>
      <c r="E973" s="141" t="s">
        <v>3</v>
      </c>
      <c r="F973" s="142" t="s">
        <v>2059</v>
      </c>
      <c r="H973" s="143">
        <v>1.135</v>
      </c>
      <c r="L973" s="139"/>
      <c r="M973" s="144"/>
      <c r="T973" s="145"/>
      <c r="AT973" s="141" t="s">
        <v>137</v>
      </c>
      <c r="AU973" s="141" t="s">
        <v>80</v>
      </c>
      <c r="AV973" s="12" t="s">
        <v>80</v>
      </c>
      <c r="AW973" s="12" t="s">
        <v>32</v>
      </c>
      <c r="AX973" s="12" t="s">
        <v>70</v>
      </c>
      <c r="AY973" s="141" t="s">
        <v>126</v>
      </c>
    </row>
    <row r="974" spans="2:51" s="12" customFormat="1" ht="12">
      <c r="B974" s="139"/>
      <c r="D974" s="140" t="s">
        <v>137</v>
      </c>
      <c r="E974" s="141" t="s">
        <v>3</v>
      </c>
      <c r="F974" s="142" t="s">
        <v>2060</v>
      </c>
      <c r="H974" s="143">
        <v>1.135</v>
      </c>
      <c r="L974" s="139"/>
      <c r="M974" s="144"/>
      <c r="T974" s="145"/>
      <c r="AT974" s="141" t="s">
        <v>137</v>
      </c>
      <c r="AU974" s="141" t="s">
        <v>80</v>
      </c>
      <c r="AV974" s="12" t="s">
        <v>80</v>
      </c>
      <c r="AW974" s="12" t="s">
        <v>32</v>
      </c>
      <c r="AX974" s="12" t="s">
        <v>70</v>
      </c>
      <c r="AY974" s="141" t="s">
        <v>126</v>
      </c>
    </row>
    <row r="975" spans="2:51" s="12" customFormat="1" ht="12">
      <c r="B975" s="139"/>
      <c r="D975" s="140" t="s">
        <v>137</v>
      </c>
      <c r="E975" s="141" t="s">
        <v>3</v>
      </c>
      <c r="F975" s="142" t="s">
        <v>2061</v>
      </c>
      <c r="H975" s="143">
        <v>0.863</v>
      </c>
      <c r="L975" s="139"/>
      <c r="M975" s="144"/>
      <c r="T975" s="145"/>
      <c r="AT975" s="141" t="s">
        <v>137</v>
      </c>
      <c r="AU975" s="141" t="s">
        <v>80</v>
      </c>
      <c r="AV975" s="12" t="s">
        <v>80</v>
      </c>
      <c r="AW975" s="12" t="s">
        <v>32</v>
      </c>
      <c r="AX975" s="12" t="s">
        <v>70</v>
      </c>
      <c r="AY975" s="141" t="s">
        <v>126</v>
      </c>
    </row>
    <row r="976" spans="2:51" s="12" customFormat="1" ht="12">
      <c r="B976" s="139"/>
      <c r="D976" s="140" t="s">
        <v>137</v>
      </c>
      <c r="E976" s="141" t="s">
        <v>3</v>
      </c>
      <c r="F976" s="142" t="s">
        <v>2062</v>
      </c>
      <c r="H976" s="143">
        <v>0.863</v>
      </c>
      <c r="L976" s="139"/>
      <c r="M976" s="144"/>
      <c r="T976" s="145"/>
      <c r="AT976" s="141" t="s">
        <v>137</v>
      </c>
      <c r="AU976" s="141" t="s">
        <v>80</v>
      </c>
      <c r="AV976" s="12" t="s">
        <v>80</v>
      </c>
      <c r="AW976" s="12" t="s">
        <v>32</v>
      </c>
      <c r="AX976" s="12" t="s">
        <v>70</v>
      </c>
      <c r="AY976" s="141" t="s">
        <v>126</v>
      </c>
    </row>
    <row r="977" spans="2:51" s="12" customFormat="1" ht="12">
      <c r="B977" s="139"/>
      <c r="D977" s="140" t="s">
        <v>137</v>
      </c>
      <c r="E977" s="141" t="s">
        <v>3</v>
      </c>
      <c r="F977" s="142" t="s">
        <v>2063</v>
      </c>
      <c r="H977" s="143">
        <v>0.903</v>
      </c>
      <c r="L977" s="139"/>
      <c r="M977" s="144"/>
      <c r="T977" s="145"/>
      <c r="AT977" s="141" t="s">
        <v>137</v>
      </c>
      <c r="AU977" s="141" t="s">
        <v>80</v>
      </c>
      <c r="AV977" s="12" t="s">
        <v>80</v>
      </c>
      <c r="AW977" s="12" t="s">
        <v>32</v>
      </c>
      <c r="AX977" s="12" t="s">
        <v>70</v>
      </c>
      <c r="AY977" s="141" t="s">
        <v>126</v>
      </c>
    </row>
    <row r="978" spans="2:51" s="12" customFormat="1" ht="12">
      <c r="B978" s="139"/>
      <c r="D978" s="140" t="s">
        <v>137</v>
      </c>
      <c r="E978" s="141" t="s">
        <v>3</v>
      </c>
      <c r="F978" s="142" t="s">
        <v>2064</v>
      </c>
      <c r="H978" s="143">
        <v>0.903</v>
      </c>
      <c r="L978" s="139"/>
      <c r="M978" s="144"/>
      <c r="T978" s="145"/>
      <c r="AT978" s="141" t="s">
        <v>137</v>
      </c>
      <c r="AU978" s="141" t="s">
        <v>80</v>
      </c>
      <c r="AV978" s="12" t="s">
        <v>80</v>
      </c>
      <c r="AW978" s="12" t="s">
        <v>32</v>
      </c>
      <c r="AX978" s="12" t="s">
        <v>70</v>
      </c>
      <c r="AY978" s="141" t="s">
        <v>126</v>
      </c>
    </row>
    <row r="979" spans="2:51" s="13" customFormat="1" ht="12">
      <c r="B979" s="146"/>
      <c r="D979" s="140" t="s">
        <v>137</v>
      </c>
      <c r="E979" s="147" t="s">
        <v>3</v>
      </c>
      <c r="F979" s="148" t="s">
        <v>151</v>
      </c>
      <c r="H979" s="149">
        <v>19.044999999999998</v>
      </c>
      <c r="L979" s="146"/>
      <c r="M979" s="150"/>
      <c r="T979" s="151"/>
      <c r="AT979" s="147" t="s">
        <v>137</v>
      </c>
      <c r="AU979" s="147" t="s">
        <v>80</v>
      </c>
      <c r="AV979" s="13" t="s">
        <v>133</v>
      </c>
      <c r="AW979" s="13" t="s">
        <v>32</v>
      </c>
      <c r="AX979" s="13" t="s">
        <v>78</v>
      </c>
      <c r="AY979" s="147" t="s">
        <v>126</v>
      </c>
    </row>
    <row r="980" spans="2:51" s="12" customFormat="1" ht="12">
      <c r="B980" s="139"/>
      <c r="D980" s="140" t="s">
        <v>137</v>
      </c>
      <c r="F980" s="142" t="s">
        <v>2065</v>
      </c>
      <c r="H980" s="143">
        <v>20.95</v>
      </c>
      <c r="L980" s="139"/>
      <c r="M980" s="144"/>
      <c r="T980" s="145"/>
      <c r="AT980" s="141" t="s">
        <v>137</v>
      </c>
      <c r="AU980" s="141" t="s">
        <v>80</v>
      </c>
      <c r="AV980" s="12" t="s">
        <v>80</v>
      </c>
      <c r="AW980" s="12" t="s">
        <v>4</v>
      </c>
      <c r="AX980" s="12" t="s">
        <v>78</v>
      </c>
      <c r="AY980" s="141" t="s">
        <v>126</v>
      </c>
    </row>
    <row r="981" spans="2:65" s="1" customFormat="1" ht="16.5" customHeight="1">
      <c r="B981" s="123"/>
      <c r="C981" s="152" t="s">
        <v>2066</v>
      </c>
      <c r="D981" s="152" t="s">
        <v>405</v>
      </c>
      <c r="E981" s="153" t="s">
        <v>2067</v>
      </c>
      <c r="F981" s="154" t="s">
        <v>2068</v>
      </c>
      <c r="G981" s="155" t="s">
        <v>171</v>
      </c>
      <c r="H981" s="156">
        <v>0.13</v>
      </c>
      <c r="I981" s="157"/>
      <c r="J981" s="157">
        <f>ROUND(I981*H981,2)</f>
        <v>0</v>
      </c>
      <c r="K981" s="154" t="s">
        <v>132</v>
      </c>
      <c r="L981" s="158"/>
      <c r="M981" s="159" t="s">
        <v>3</v>
      </c>
      <c r="N981" s="160" t="s">
        <v>41</v>
      </c>
      <c r="O981" s="132">
        <v>0</v>
      </c>
      <c r="P981" s="132">
        <f>O981*H981</f>
        <v>0</v>
      </c>
      <c r="Q981" s="132">
        <v>1</v>
      </c>
      <c r="R981" s="132">
        <f>Q981*H981</f>
        <v>0.13</v>
      </c>
      <c r="S981" s="132">
        <v>0</v>
      </c>
      <c r="T981" s="133">
        <f>S981*H981</f>
        <v>0</v>
      </c>
      <c r="AR981" s="134" t="s">
        <v>325</v>
      </c>
      <c r="AT981" s="134" t="s">
        <v>405</v>
      </c>
      <c r="AU981" s="134" t="s">
        <v>80</v>
      </c>
      <c r="AY981" s="17" t="s">
        <v>126</v>
      </c>
      <c r="BE981" s="135">
        <f>IF(N981="základní",J981,0)</f>
        <v>0</v>
      </c>
      <c r="BF981" s="135">
        <f>IF(N981="snížená",J981,0)</f>
        <v>0</v>
      </c>
      <c r="BG981" s="135">
        <f>IF(N981="zákl. přenesená",J981,0)</f>
        <v>0</v>
      </c>
      <c r="BH981" s="135">
        <f>IF(N981="sníž. přenesená",J981,0)</f>
        <v>0</v>
      </c>
      <c r="BI981" s="135">
        <f>IF(N981="nulová",J981,0)</f>
        <v>0</v>
      </c>
      <c r="BJ981" s="17" t="s">
        <v>78</v>
      </c>
      <c r="BK981" s="135">
        <f>ROUND(I981*H981,2)</f>
        <v>0</v>
      </c>
      <c r="BL981" s="17" t="s">
        <v>221</v>
      </c>
      <c r="BM981" s="134" t="s">
        <v>2069</v>
      </c>
    </row>
    <row r="982" spans="2:51" s="12" customFormat="1" ht="12">
      <c r="B982" s="139"/>
      <c r="D982" s="140" t="s">
        <v>137</v>
      </c>
      <c r="E982" s="141" t="s">
        <v>3</v>
      </c>
      <c r="F982" s="142" t="s">
        <v>2070</v>
      </c>
      <c r="H982" s="143">
        <v>0.118</v>
      </c>
      <c r="L982" s="139"/>
      <c r="M982" s="144"/>
      <c r="T982" s="145"/>
      <c r="AT982" s="141" t="s">
        <v>137</v>
      </c>
      <c r="AU982" s="141" t="s">
        <v>80</v>
      </c>
      <c r="AV982" s="12" t="s">
        <v>80</v>
      </c>
      <c r="AW982" s="12" t="s">
        <v>32</v>
      </c>
      <c r="AX982" s="12" t="s">
        <v>78</v>
      </c>
      <c r="AY982" s="141" t="s">
        <v>126</v>
      </c>
    </row>
    <row r="983" spans="2:51" s="12" customFormat="1" ht="12">
      <c r="B983" s="139"/>
      <c r="D983" s="140" t="s">
        <v>137</v>
      </c>
      <c r="F983" s="142" t="s">
        <v>2071</v>
      </c>
      <c r="H983" s="143">
        <v>0.13</v>
      </c>
      <c r="L983" s="139"/>
      <c r="M983" s="144"/>
      <c r="T983" s="145"/>
      <c r="AT983" s="141" t="s">
        <v>137</v>
      </c>
      <c r="AU983" s="141" t="s">
        <v>80</v>
      </c>
      <c r="AV983" s="12" t="s">
        <v>80</v>
      </c>
      <c r="AW983" s="12" t="s">
        <v>4</v>
      </c>
      <c r="AX983" s="12" t="s">
        <v>78</v>
      </c>
      <c r="AY983" s="141" t="s">
        <v>126</v>
      </c>
    </row>
    <row r="984" spans="2:65" s="1" customFormat="1" ht="16.5" customHeight="1">
      <c r="B984" s="123"/>
      <c r="C984" s="152" t="s">
        <v>2072</v>
      </c>
      <c r="D984" s="152" t="s">
        <v>405</v>
      </c>
      <c r="E984" s="153" t="s">
        <v>2073</v>
      </c>
      <c r="F984" s="154" t="s">
        <v>2074</v>
      </c>
      <c r="G984" s="155" t="s">
        <v>171</v>
      </c>
      <c r="H984" s="156">
        <v>0.771</v>
      </c>
      <c r="I984" s="157"/>
      <c r="J984" s="157">
        <f>ROUND(I984*H984,2)</f>
        <v>0</v>
      </c>
      <c r="K984" s="154" t="s">
        <v>132</v>
      </c>
      <c r="L984" s="158"/>
      <c r="M984" s="159" t="s">
        <v>3</v>
      </c>
      <c r="N984" s="160" t="s">
        <v>41</v>
      </c>
      <c r="O984" s="132">
        <v>0</v>
      </c>
      <c r="P984" s="132">
        <f>O984*H984</f>
        <v>0</v>
      </c>
      <c r="Q984" s="132">
        <v>1</v>
      </c>
      <c r="R984" s="132">
        <f>Q984*H984</f>
        <v>0.771</v>
      </c>
      <c r="S984" s="132">
        <v>0</v>
      </c>
      <c r="T984" s="133">
        <f>S984*H984</f>
        <v>0</v>
      </c>
      <c r="AR984" s="134" t="s">
        <v>325</v>
      </c>
      <c r="AT984" s="134" t="s">
        <v>405</v>
      </c>
      <c r="AU984" s="134" t="s">
        <v>80</v>
      </c>
      <c r="AY984" s="17" t="s">
        <v>126</v>
      </c>
      <c r="BE984" s="135">
        <f>IF(N984="základní",J984,0)</f>
        <v>0</v>
      </c>
      <c r="BF984" s="135">
        <f>IF(N984="snížená",J984,0)</f>
        <v>0</v>
      </c>
      <c r="BG984" s="135">
        <f>IF(N984="zákl. přenesená",J984,0)</f>
        <v>0</v>
      </c>
      <c r="BH984" s="135">
        <f>IF(N984="sníž. přenesená",J984,0)</f>
        <v>0</v>
      </c>
      <c r="BI984" s="135">
        <f>IF(N984="nulová",J984,0)</f>
        <v>0</v>
      </c>
      <c r="BJ984" s="17" t="s">
        <v>78</v>
      </c>
      <c r="BK984" s="135">
        <f>ROUND(I984*H984,2)</f>
        <v>0</v>
      </c>
      <c r="BL984" s="17" t="s">
        <v>221</v>
      </c>
      <c r="BM984" s="134" t="s">
        <v>2075</v>
      </c>
    </row>
    <row r="985" spans="2:51" s="12" customFormat="1" ht="12">
      <c r="B985" s="139"/>
      <c r="D985" s="140" t="s">
        <v>137</v>
      </c>
      <c r="E985" s="141" t="s">
        <v>3</v>
      </c>
      <c r="F985" s="142" t="s">
        <v>2076</v>
      </c>
      <c r="H985" s="143">
        <v>0.129</v>
      </c>
      <c r="L985" s="139"/>
      <c r="M985" s="144"/>
      <c r="T985" s="145"/>
      <c r="AT985" s="141" t="s">
        <v>137</v>
      </c>
      <c r="AU985" s="141" t="s">
        <v>80</v>
      </c>
      <c r="AV985" s="12" t="s">
        <v>80</v>
      </c>
      <c r="AW985" s="12" t="s">
        <v>32</v>
      </c>
      <c r="AX985" s="12" t="s">
        <v>70</v>
      </c>
      <c r="AY985" s="141" t="s">
        <v>126</v>
      </c>
    </row>
    <row r="986" spans="2:51" s="12" customFormat="1" ht="12">
      <c r="B986" s="139"/>
      <c r="D986" s="140" t="s">
        <v>137</v>
      </c>
      <c r="E986" s="141" t="s">
        <v>3</v>
      </c>
      <c r="F986" s="142" t="s">
        <v>2077</v>
      </c>
      <c r="H986" s="143">
        <v>0.572</v>
      </c>
      <c r="L986" s="139"/>
      <c r="M986" s="144"/>
      <c r="T986" s="145"/>
      <c r="AT986" s="141" t="s">
        <v>137</v>
      </c>
      <c r="AU986" s="141" t="s">
        <v>80</v>
      </c>
      <c r="AV986" s="12" t="s">
        <v>80</v>
      </c>
      <c r="AW986" s="12" t="s">
        <v>32</v>
      </c>
      <c r="AX986" s="12" t="s">
        <v>70</v>
      </c>
      <c r="AY986" s="141" t="s">
        <v>126</v>
      </c>
    </row>
    <row r="987" spans="2:51" s="13" customFormat="1" ht="12">
      <c r="B987" s="146"/>
      <c r="D987" s="140" t="s">
        <v>137</v>
      </c>
      <c r="E987" s="147" t="s">
        <v>3</v>
      </c>
      <c r="F987" s="148" t="s">
        <v>151</v>
      </c>
      <c r="H987" s="149">
        <v>0.701</v>
      </c>
      <c r="L987" s="146"/>
      <c r="M987" s="150"/>
      <c r="T987" s="151"/>
      <c r="AT987" s="147" t="s">
        <v>137</v>
      </c>
      <c r="AU987" s="147" t="s">
        <v>80</v>
      </c>
      <c r="AV987" s="13" t="s">
        <v>133</v>
      </c>
      <c r="AW987" s="13" t="s">
        <v>32</v>
      </c>
      <c r="AX987" s="13" t="s">
        <v>78</v>
      </c>
      <c r="AY987" s="147" t="s">
        <v>126</v>
      </c>
    </row>
    <row r="988" spans="2:51" s="12" customFormat="1" ht="12">
      <c r="B988" s="139"/>
      <c r="D988" s="140" t="s">
        <v>137</v>
      </c>
      <c r="F988" s="142" t="s">
        <v>2078</v>
      </c>
      <c r="H988" s="143">
        <v>0.771</v>
      </c>
      <c r="L988" s="139"/>
      <c r="M988" s="144"/>
      <c r="T988" s="145"/>
      <c r="AT988" s="141" t="s">
        <v>137</v>
      </c>
      <c r="AU988" s="141" t="s">
        <v>80</v>
      </c>
      <c r="AV988" s="12" t="s">
        <v>80</v>
      </c>
      <c r="AW988" s="12" t="s">
        <v>4</v>
      </c>
      <c r="AX988" s="12" t="s">
        <v>78</v>
      </c>
      <c r="AY988" s="141" t="s">
        <v>126</v>
      </c>
    </row>
    <row r="989" spans="2:65" s="1" customFormat="1" ht="16.5" customHeight="1">
      <c r="B989" s="123"/>
      <c r="C989" s="152" t="s">
        <v>2079</v>
      </c>
      <c r="D989" s="152" t="s">
        <v>405</v>
      </c>
      <c r="E989" s="153" t="s">
        <v>2080</v>
      </c>
      <c r="F989" s="154" t="s">
        <v>2081</v>
      </c>
      <c r="G989" s="155" t="s">
        <v>171</v>
      </c>
      <c r="H989" s="156">
        <v>1.307</v>
      </c>
      <c r="I989" s="157"/>
      <c r="J989" s="157">
        <f>ROUND(I989*H989,2)</f>
        <v>0</v>
      </c>
      <c r="K989" s="154" t="s">
        <v>132</v>
      </c>
      <c r="L989" s="158"/>
      <c r="M989" s="159" t="s">
        <v>3</v>
      </c>
      <c r="N989" s="160" t="s">
        <v>41</v>
      </c>
      <c r="O989" s="132">
        <v>0</v>
      </c>
      <c r="P989" s="132">
        <f>O989*H989</f>
        <v>0</v>
      </c>
      <c r="Q989" s="132">
        <v>1</v>
      </c>
      <c r="R989" s="132">
        <f>Q989*H989</f>
        <v>1.307</v>
      </c>
      <c r="S989" s="132">
        <v>0</v>
      </c>
      <c r="T989" s="133">
        <f>S989*H989</f>
        <v>0</v>
      </c>
      <c r="AR989" s="134" t="s">
        <v>325</v>
      </c>
      <c r="AT989" s="134" t="s">
        <v>405</v>
      </c>
      <c r="AU989" s="134" t="s">
        <v>80</v>
      </c>
      <c r="AY989" s="17" t="s">
        <v>126</v>
      </c>
      <c r="BE989" s="135">
        <f>IF(N989="základní",J989,0)</f>
        <v>0</v>
      </c>
      <c r="BF989" s="135">
        <f>IF(N989="snížená",J989,0)</f>
        <v>0</v>
      </c>
      <c r="BG989" s="135">
        <f>IF(N989="zákl. přenesená",J989,0)</f>
        <v>0</v>
      </c>
      <c r="BH989" s="135">
        <f>IF(N989="sníž. přenesená",J989,0)</f>
        <v>0</v>
      </c>
      <c r="BI989" s="135">
        <f>IF(N989="nulová",J989,0)</f>
        <v>0</v>
      </c>
      <c r="BJ989" s="17" t="s">
        <v>78</v>
      </c>
      <c r="BK989" s="135">
        <f>ROUND(I989*H989,2)</f>
        <v>0</v>
      </c>
      <c r="BL989" s="17" t="s">
        <v>221</v>
      </c>
      <c r="BM989" s="134" t="s">
        <v>2082</v>
      </c>
    </row>
    <row r="990" spans="2:51" s="12" customFormat="1" ht="12">
      <c r="B990" s="139"/>
      <c r="D990" s="140" t="s">
        <v>137</v>
      </c>
      <c r="E990" s="141" t="s">
        <v>3</v>
      </c>
      <c r="F990" s="142" t="s">
        <v>2083</v>
      </c>
      <c r="H990" s="143">
        <v>1.188</v>
      </c>
      <c r="L990" s="139"/>
      <c r="M990" s="144"/>
      <c r="T990" s="145"/>
      <c r="AT990" s="141" t="s">
        <v>137</v>
      </c>
      <c r="AU990" s="141" t="s">
        <v>80</v>
      </c>
      <c r="AV990" s="12" t="s">
        <v>80</v>
      </c>
      <c r="AW990" s="12" t="s">
        <v>32</v>
      </c>
      <c r="AX990" s="12" t="s">
        <v>78</v>
      </c>
      <c r="AY990" s="141" t="s">
        <v>126</v>
      </c>
    </row>
    <row r="991" spans="2:51" s="12" customFormat="1" ht="12">
      <c r="B991" s="139"/>
      <c r="D991" s="140" t="s">
        <v>137</v>
      </c>
      <c r="F991" s="142" t="s">
        <v>2084</v>
      </c>
      <c r="H991" s="143">
        <v>1.307</v>
      </c>
      <c r="L991" s="139"/>
      <c r="M991" s="144"/>
      <c r="T991" s="145"/>
      <c r="AT991" s="141" t="s">
        <v>137</v>
      </c>
      <c r="AU991" s="141" t="s">
        <v>80</v>
      </c>
      <c r="AV991" s="12" t="s">
        <v>80</v>
      </c>
      <c r="AW991" s="12" t="s">
        <v>4</v>
      </c>
      <c r="AX991" s="12" t="s">
        <v>78</v>
      </c>
      <c r="AY991" s="141" t="s">
        <v>126</v>
      </c>
    </row>
    <row r="992" spans="2:65" s="1" customFormat="1" ht="16.5" customHeight="1">
      <c r="B992" s="123"/>
      <c r="C992" s="152" t="s">
        <v>2085</v>
      </c>
      <c r="D992" s="152" t="s">
        <v>405</v>
      </c>
      <c r="E992" s="153" t="s">
        <v>2086</v>
      </c>
      <c r="F992" s="154" t="s">
        <v>2087</v>
      </c>
      <c r="G992" s="155" t="s">
        <v>171</v>
      </c>
      <c r="H992" s="156">
        <v>3.061</v>
      </c>
      <c r="I992" s="157"/>
      <c r="J992" s="157">
        <f>ROUND(I992*H992,2)</f>
        <v>0</v>
      </c>
      <c r="K992" s="154" t="s">
        <v>132</v>
      </c>
      <c r="L992" s="158"/>
      <c r="M992" s="159" t="s">
        <v>3</v>
      </c>
      <c r="N992" s="160" t="s">
        <v>41</v>
      </c>
      <c r="O992" s="132">
        <v>0</v>
      </c>
      <c r="P992" s="132">
        <f>O992*H992</f>
        <v>0</v>
      </c>
      <c r="Q992" s="132">
        <v>1</v>
      </c>
      <c r="R992" s="132">
        <f>Q992*H992</f>
        <v>3.061</v>
      </c>
      <c r="S992" s="132">
        <v>0</v>
      </c>
      <c r="T992" s="133">
        <f>S992*H992</f>
        <v>0</v>
      </c>
      <c r="AR992" s="134" t="s">
        <v>325</v>
      </c>
      <c r="AT992" s="134" t="s">
        <v>405</v>
      </c>
      <c r="AU992" s="134" t="s">
        <v>80</v>
      </c>
      <c r="AY992" s="17" t="s">
        <v>126</v>
      </c>
      <c r="BE992" s="135">
        <f>IF(N992="základní",J992,0)</f>
        <v>0</v>
      </c>
      <c r="BF992" s="135">
        <f>IF(N992="snížená",J992,0)</f>
        <v>0</v>
      </c>
      <c r="BG992" s="135">
        <f>IF(N992="zákl. přenesená",J992,0)</f>
        <v>0</v>
      </c>
      <c r="BH992" s="135">
        <f>IF(N992="sníž. přenesená",J992,0)</f>
        <v>0</v>
      </c>
      <c r="BI992" s="135">
        <f>IF(N992="nulová",J992,0)</f>
        <v>0</v>
      </c>
      <c r="BJ992" s="17" t="s">
        <v>78</v>
      </c>
      <c r="BK992" s="135">
        <f>ROUND(I992*H992,2)</f>
        <v>0</v>
      </c>
      <c r="BL992" s="17" t="s">
        <v>221</v>
      </c>
      <c r="BM992" s="134" t="s">
        <v>2088</v>
      </c>
    </row>
    <row r="993" spans="2:51" s="12" customFormat="1" ht="12">
      <c r="B993" s="139"/>
      <c r="D993" s="140" t="s">
        <v>137</v>
      </c>
      <c r="E993" s="141" t="s">
        <v>3</v>
      </c>
      <c r="F993" s="142" t="s">
        <v>2089</v>
      </c>
      <c r="H993" s="143">
        <v>0.115</v>
      </c>
      <c r="L993" s="139"/>
      <c r="M993" s="144"/>
      <c r="T993" s="145"/>
      <c r="AT993" s="141" t="s">
        <v>137</v>
      </c>
      <c r="AU993" s="141" t="s">
        <v>80</v>
      </c>
      <c r="AV993" s="12" t="s">
        <v>80</v>
      </c>
      <c r="AW993" s="12" t="s">
        <v>32</v>
      </c>
      <c r="AX993" s="12" t="s">
        <v>70</v>
      </c>
      <c r="AY993" s="141" t="s">
        <v>126</v>
      </c>
    </row>
    <row r="994" spans="2:51" s="12" customFormat="1" ht="12">
      <c r="B994" s="139"/>
      <c r="D994" s="140" t="s">
        <v>137</v>
      </c>
      <c r="E994" s="141" t="s">
        <v>3</v>
      </c>
      <c r="F994" s="142" t="s">
        <v>2090</v>
      </c>
      <c r="H994" s="143">
        <v>2.668</v>
      </c>
      <c r="L994" s="139"/>
      <c r="M994" s="144"/>
      <c r="T994" s="145"/>
      <c r="AT994" s="141" t="s">
        <v>137</v>
      </c>
      <c r="AU994" s="141" t="s">
        <v>80</v>
      </c>
      <c r="AV994" s="12" t="s">
        <v>80</v>
      </c>
      <c r="AW994" s="12" t="s">
        <v>32</v>
      </c>
      <c r="AX994" s="12" t="s">
        <v>70</v>
      </c>
      <c r="AY994" s="141" t="s">
        <v>126</v>
      </c>
    </row>
    <row r="995" spans="2:51" s="13" customFormat="1" ht="12">
      <c r="B995" s="146"/>
      <c r="D995" s="140" t="s">
        <v>137</v>
      </c>
      <c r="E995" s="147" t="s">
        <v>3</v>
      </c>
      <c r="F995" s="148" t="s">
        <v>151</v>
      </c>
      <c r="H995" s="149">
        <v>2.7830000000000004</v>
      </c>
      <c r="L995" s="146"/>
      <c r="M995" s="150"/>
      <c r="T995" s="151"/>
      <c r="AT995" s="147" t="s">
        <v>137</v>
      </c>
      <c r="AU995" s="147" t="s">
        <v>80</v>
      </c>
      <c r="AV995" s="13" t="s">
        <v>133</v>
      </c>
      <c r="AW995" s="13" t="s">
        <v>32</v>
      </c>
      <c r="AX995" s="13" t="s">
        <v>78</v>
      </c>
      <c r="AY995" s="147" t="s">
        <v>126</v>
      </c>
    </row>
    <row r="996" spans="2:51" s="12" customFormat="1" ht="12">
      <c r="B996" s="139"/>
      <c r="D996" s="140" t="s">
        <v>137</v>
      </c>
      <c r="F996" s="142" t="s">
        <v>2091</v>
      </c>
      <c r="H996" s="143">
        <v>3.061</v>
      </c>
      <c r="L996" s="139"/>
      <c r="M996" s="144"/>
      <c r="T996" s="145"/>
      <c r="AT996" s="141" t="s">
        <v>137</v>
      </c>
      <c r="AU996" s="141" t="s">
        <v>80</v>
      </c>
      <c r="AV996" s="12" t="s">
        <v>80</v>
      </c>
      <c r="AW996" s="12" t="s">
        <v>4</v>
      </c>
      <c r="AX996" s="12" t="s">
        <v>78</v>
      </c>
      <c r="AY996" s="141" t="s">
        <v>126</v>
      </c>
    </row>
    <row r="997" spans="2:65" s="1" customFormat="1" ht="16.5" customHeight="1">
      <c r="B997" s="123"/>
      <c r="C997" s="152" t="s">
        <v>2092</v>
      </c>
      <c r="D997" s="152" t="s">
        <v>405</v>
      </c>
      <c r="E997" s="153" t="s">
        <v>2093</v>
      </c>
      <c r="F997" s="154" t="s">
        <v>2094</v>
      </c>
      <c r="G997" s="155" t="s">
        <v>171</v>
      </c>
      <c r="H997" s="156">
        <v>1.426</v>
      </c>
      <c r="I997" s="157"/>
      <c r="J997" s="157">
        <f>ROUND(I997*H997,2)</f>
        <v>0</v>
      </c>
      <c r="K997" s="154" t="s">
        <v>132</v>
      </c>
      <c r="L997" s="158"/>
      <c r="M997" s="159" t="s">
        <v>3</v>
      </c>
      <c r="N997" s="160" t="s">
        <v>41</v>
      </c>
      <c r="O997" s="132">
        <v>0</v>
      </c>
      <c r="P997" s="132">
        <f>O997*H997</f>
        <v>0</v>
      </c>
      <c r="Q997" s="132">
        <v>1</v>
      </c>
      <c r="R997" s="132">
        <f>Q997*H997</f>
        <v>1.426</v>
      </c>
      <c r="S997" s="132">
        <v>0</v>
      </c>
      <c r="T997" s="133">
        <f>S997*H997</f>
        <v>0</v>
      </c>
      <c r="AR997" s="134" t="s">
        <v>325</v>
      </c>
      <c r="AT997" s="134" t="s">
        <v>405</v>
      </c>
      <c r="AU997" s="134" t="s">
        <v>80</v>
      </c>
      <c r="AY997" s="17" t="s">
        <v>126</v>
      </c>
      <c r="BE997" s="135">
        <f>IF(N997="základní",J997,0)</f>
        <v>0</v>
      </c>
      <c r="BF997" s="135">
        <f>IF(N997="snížená",J997,0)</f>
        <v>0</v>
      </c>
      <c r="BG997" s="135">
        <f>IF(N997="zákl. přenesená",J997,0)</f>
        <v>0</v>
      </c>
      <c r="BH997" s="135">
        <f>IF(N997="sníž. přenesená",J997,0)</f>
        <v>0</v>
      </c>
      <c r="BI997" s="135">
        <f>IF(N997="nulová",J997,0)</f>
        <v>0</v>
      </c>
      <c r="BJ997" s="17" t="s">
        <v>78</v>
      </c>
      <c r="BK997" s="135">
        <f>ROUND(I997*H997,2)</f>
        <v>0</v>
      </c>
      <c r="BL997" s="17" t="s">
        <v>221</v>
      </c>
      <c r="BM997" s="134" t="s">
        <v>2095</v>
      </c>
    </row>
    <row r="998" spans="2:51" s="12" customFormat="1" ht="12">
      <c r="B998" s="139"/>
      <c r="D998" s="140" t="s">
        <v>137</v>
      </c>
      <c r="E998" s="141" t="s">
        <v>3</v>
      </c>
      <c r="F998" s="142" t="s">
        <v>2096</v>
      </c>
      <c r="H998" s="143">
        <v>1.296</v>
      </c>
      <c r="L998" s="139"/>
      <c r="M998" s="144"/>
      <c r="T998" s="145"/>
      <c r="AT998" s="141" t="s">
        <v>137</v>
      </c>
      <c r="AU998" s="141" t="s">
        <v>80</v>
      </c>
      <c r="AV998" s="12" t="s">
        <v>80</v>
      </c>
      <c r="AW998" s="12" t="s">
        <v>32</v>
      </c>
      <c r="AX998" s="12" t="s">
        <v>78</v>
      </c>
      <c r="AY998" s="141" t="s">
        <v>126</v>
      </c>
    </row>
    <row r="999" spans="2:51" s="12" customFormat="1" ht="12">
      <c r="B999" s="139"/>
      <c r="D999" s="140" t="s">
        <v>137</v>
      </c>
      <c r="F999" s="142" t="s">
        <v>2097</v>
      </c>
      <c r="H999" s="143">
        <v>1.426</v>
      </c>
      <c r="L999" s="139"/>
      <c r="M999" s="144"/>
      <c r="T999" s="145"/>
      <c r="AT999" s="141" t="s">
        <v>137</v>
      </c>
      <c r="AU999" s="141" t="s">
        <v>80</v>
      </c>
      <c r="AV999" s="12" t="s">
        <v>80</v>
      </c>
      <c r="AW999" s="12" t="s">
        <v>4</v>
      </c>
      <c r="AX999" s="12" t="s">
        <v>78</v>
      </c>
      <c r="AY999" s="141" t="s">
        <v>126</v>
      </c>
    </row>
    <row r="1000" spans="2:65" s="1" customFormat="1" ht="16.5" customHeight="1">
      <c r="B1000" s="123"/>
      <c r="C1000" s="124" t="s">
        <v>2098</v>
      </c>
      <c r="D1000" s="124" t="s">
        <v>128</v>
      </c>
      <c r="E1000" s="125" t="s">
        <v>2099</v>
      </c>
      <c r="F1000" s="126" t="s">
        <v>2100</v>
      </c>
      <c r="G1000" s="127" t="s">
        <v>296</v>
      </c>
      <c r="H1000" s="128">
        <v>6</v>
      </c>
      <c r="I1000" s="129"/>
      <c r="J1000" s="129">
        <f aca="true" t="shared" si="0" ref="J1000:J1005">ROUND(I1000*H1000,2)</f>
        <v>0</v>
      </c>
      <c r="K1000" s="126" t="s">
        <v>3</v>
      </c>
      <c r="L1000" s="29"/>
      <c r="M1000" s="130" t="s">
        <v>3</v>
      </c>
      <c r="N1000" s="131" t="s">
        <v>41</v>
      </c>
      <c r="O1000" s="132">
        <v>0</v>
      </c>
      <c r="P1000" s="132">
        <f aca="true" t="shared" si="1" ref="P1000:P1005">O1000*H1000</f>
        <v>0</v>
      </c>
      <c r="Q1000" s="132">
        <v>0</v>
      </c>
      <c r="R1000" s="132">
        <f aca="true" t="shared" si="2" ref="R1000:R1005">Q1000*H1000</f>
        <v>0</v>
      </c>
      <c r="S1000" s="132">
        <v>0</v>
      </c>
      <c r="T1000" s="133">
        <f aca="true" t="shared" si="3" ref="T1000:T1005">S1000*H1000</f>
        <v>0</v>
      </c>
      <c r="AR1000" s="134" t="s">
        <v>221</v>
      </c>
      <c r="AT1000" s="134" t="s">
        <v>128</v>
      </c>
      <c r="AU1000" s="134" t="s">
        <v>80</v>
      </c>
      <c r="AY1000" s="17" t="s">
        <v>126</v>
      </c>
      <c r="BE1000" s="135">
        <f aca="true" t="shared" si="4" ref="BE1000:BE1005">IF(N1000="základní",J1000,0)</f>
        <v>0</v>
      </c>
      <c r="BF1000" s="135">
        <f aca="true" t="shared" si="5" ref="BF1000:BF1005">IF(N1000="snížená",J1000,0)</f>
        <v>0</v>
      </c>
      <c r="BG1000" s="135">
        <f aca="true" t="shared" si="6" ref="BG1000:BG1005">IF(N1000="zákl. přenesená",J1000,0)</f>
        <v>0</v>
      </c>
      <c r="BH1000" s="135">
        <f aca="true" t="shared" si="7" ref="BH1000:BH1005">IF(N1000="sníž. přenesená",J1000,0)</f>
        <v>0</v>
      </c>
      <c r="BI1000" s="135">
        <f aca="true" t="shared" si="8" ref="BI1000:BI1005">IF(N1000="nulová",J1000,0)</f>
        <v>0</v>
      </c>
      <c r="BJ1000" s="17" t="s">
        <v>78</v>
      </c>
      <c r="BK1000" s="135">
        <f aca="true" t="shared" si="9" ref="BK1000:BK1005">ROUND(I1000*H1000,2)</f>
        <v>0</v>
      </c>
      <c r="BL1000" s="17" t="s">
        <v>221</v>
      </c>
      <c r="BM1000" s="134" t="s">
        <v>2101</v>
      </c>
    </row>
    <row r="1001" spans="2:65" s="1" customFormat="1" ht="16.5" customHeight="1">
      <c r="B1001" s="123"/>
      <c r="C1001" s="124" t="s">
        <v>2102</v>
      </c>
      <c r="D1001" s="124" t="s">
        <v>128</v>
      </c>
      <c r="E1001" s="125" t="s">
        <v>2103</v>
      </c>
      <c r="F1001" s="126" t="s">
        <v>2104</v>
      </c>
      <c r="G1001" s="127" t="s">
        <v>296</v>
      </c>
      <c r="H1001" s="128">
        <v>1</v>
      </c>
      <c r="I1001" s="129"/>
      <c r="J1001" s="129">
        <f t="shared" si="0"/>
        <v>0</v>
      </c>
      <c r="K1001" s="126" t="s">
        <v>3</v>
      </c>
      <c r="L1001" s="29"/>
      <c r="M1001" s="130" t="s">
        <v>3</v>
      </c>
      <c r="N1001" s="131" t="s">
        <v>41</v>
      </c>
      <c r="O1001" s="132">
        <v>0</v>
      </c>
      <c r="P1001" s="132">
        <f t="shared" si="1"/>
        <v>0</v>
      </c>
      <c r="Q1001" s="132">
        <v>0</v>
      </c>
      <c r="R1001" s="132">
        <f t="shared" si="2"/>
        <v>0</v>
      </c>
      <c r="S1001" s="132">
        <v>0</v>
      </c>
      <c r="T1001" s="133">
        <f t="shared" si="3"/>
        <v>0</v>
      </c>
      <c r="AR1001" s="134" t="s">
        <v>221</v>
      </c>
      <c r="AT1001" s="134" t="s">
        <v>128</v>
      </c>
      <c r="AU1001" s="134" t="s">
        <v>80</v>
      </c>
      <c r="AY1001" s="17" t="s">
        <v>126</v>
      </c>
      <c r="BE1001" s="135">
        <f t="shared" si="4"/>
        <v>0</v>
      </c>
      <c r="BF1001" s="135">
        <f t="shared" si="5"/>
        <v>0</v>
      </c>
      <c r="BG1001" s="135">
        <f t="shared" si="6"/>
        <v>0</v>
      </c>
      <c r="BH1001" s="135">
        <f t="shared" si="7"/>
        <v>0</v>
      </c>
      <c r="BI1001" s="135">
        <f t="shared" si="8"/>
        <v>0</v>
      </c>
      <c r="BJ1001" s="17" t="s">
        <v>78</v>
      </c>
      <c r="BK1001" s="135">
        <f t="shared" si="9"/>
        <v>0</v>
      </c>
      <c r="BL1001" s="17" t="s">
        <v>221</v>
      </c>
      <c r="BM1001" s="134" t="s">
        <v>2105</v>
      </c>
    </row>
    <row r="1002" spans="2:65" s="1" customFormat="1" ht="16.5" customHeight="1">
      <c r="B1002" s="123"/>
      <c r="C1002" s="124" t="s">
        <v>2106</v>
      </c>
      <c r="D1002" s="124" t="s">
        <v>128</v>
      </c>
      <c r="E1002" s="125" t="s">
        <v>2107</v>
      </c>
      <c r="F1002" s="126" t="s">
        <v>2108</v>
      </c>
      <c r="G1002" s="127" t="s">
        <v>296</v>
      </c>
      <c r="H1002" s="128">
        <v>6</v>
      </c>
      <c r="I1002" s="129"/>
      <c r="J1002" s="129">
        <f t="shared" si="0"/>
        <v>0</v>
      </c>
      <c r="K1002" s="126" t="s">
        <v>3</v>
      </c>
      <c r="L1002" s="29"/>
      <c r="M1002" s="130" t="s">
        <v>3</v>
      </c>
      <c r="N1002" s="131" t="s">
        <v>41</v>
      </c>
      <c r="O1002" s="132">
        <v>0</v>
      </c>
      <c r="P1002" s="132">
        <f t="shared" si="1"/>
        <v>0</v>
      </c>
      <c r="Q1002" s="132">
        <v>0</v>
      </c>
      <c r="R1002" s="132">
        <f t="shared" si="2"/>
        <v>0</v>
      </c>
      <c r="S1002" s="132">
        <v>0</v>
      </c>
      <c r="T1002" s="133">
        <f t="shared" si="3"/>
        <v>0</v>
      </c>
      <c r="AR1002" s="134" t="s">
        <v>221</v>
      </c>
      <c r="AT1002" s="134" t="s">
        <v>128</v>
      </c>
      <c r="AU1002" s="134" t="s">
        <v>80</v>
      </c>
      <c r="AY1002" s="17" t="s">
        <v>126</v>
      </c>
      <c r="BE1002" s="135">
        <f t="shared" si="4"/>
        <v>0</v>
      </c>
      <c r="BF1002" s="135">
        <f t="shared" si="5"/>
        <v>0</v>
      </c>
      <c r="BG1002" s="135">
        <f t="shared" si="6"/>
        <v>0</v>
      </c>
      <c r="BH1002" s="135">
        <f t="shared" si="7"/>
        <v>0</v>
      </c>
      <c r="BI1002" s="135">
        <f t="shared" si="8"/>
        <v>0</v>
      </c>
      <c r="BJ1002" s="17" t="s">
        <v>78</v>
      </c>
      <c r="BK1002" s="135">
        <f t="shared" si="9"/>
        <v>0</v>
      </c>
      <c r="BL1002" s="17" t="s">
        <v>221</v>
      </c>
      <c r="BM1002" s="134" t="s">
        <v>2109</v>
      </c>
    </row>
    <row r="1003" spans="2:65" s="1" customFormat="1" ht="16.5" customHeight="1">
      <c r="B1003" s="123"/>
      <c r="C1003" s="124" t="s">
        <v>2110</v>
      </c>
      <c r="D1003" s="124" t="s">
        <v>128</v>
      </c>
      <c r="E1003" s="125" t="s">
        <v>2111</v>
      </c>
      <c r="F1003" s="126" t="s">
        <v>2112</v>
      </c>
      <c r="G1003" s="127" t="s">
        <v>296</v>
      </c>
      <c r="H1003" s="128">
        <v>1</v>
      </c>
      <c r="I1003" s="129"/>
      <c r="J1003" s="129">
        <f t="shared" si="0"/>
        <v>0</v>
      </c>
      <c r="K1003" s="126" t="s">
        <v>3</v>
      </c>
      <c r="L1003" s="29"/>
      <c r="M1003" s="130" t="s">
        <v>3</v>
      </c>
      <c r="N1003" s="131" t="s">
        <v>41</v>
      </c>
      <c r="O1003" s="132">
        <v>0</v>
      </c>
      <c r="P1003" s="132">
        <f t="shared" si="1"/>
        <v>0</v>
      </c>
      <c r="Q1003" s="132">
        <v>0</v>
      </c>
      <c r="R1003" s="132">
        <f t="shared" si="2"/>
        <v>0</v>
      </c>
      <c r="S1003" s="132">
        <v>0</v>
      </c>
      <c r="T1003" s="133">
        <f t="shared" si="3"/>
        <v>0</v>
      </c>
      <c r="AR1003" s="134" t="s">
        <v>221</v>
      </c>
      <c r="AT1003" s="134" t="s">
        <v>128</v>
      </c>
      <c r="AU1003" s="134" t="s">
        <v>80</v>
      </c>
      <c r="AY1003" s="17" t="s">
        <v>126</v>
      </c>
      <c r="BE1003" s="135">
        <f t="shared" si="4"/>
        <v>0</v>
      </c>
      <c r="BF1003" s="135">
        <f t="shared" si="5"/>
        <v>0</v>
      </c>
      <c r="BG1003" s="135">
        <f t="shared" si="6"/>
        <v>0</v>
      </c>
      <c r="BH1003" s="135">
        <f t="shared" si="7"/>
        <v>0</v>
      </c>
      <c r="BI1003" s="135">
        <f t="shared" si="8"/>
        <v>0</v>
      </c>
      <c r="BJ1003" s="17" t="s">
        <v>78</v>
      </c>
      <c r="BK1003" s="135">
        <f t="shared" si="9"/>
        <v>0</v>
      </c>
      <c r="BL1003" s="17" t="s">
        <v>221</v>
      </c>
      <c r="BM1003" s="134" t="s">
        <v>2113</v>
      </c>
    </row>
    <row r="1004" spans="2:65" s="1" customFormat="1" ht="16.5" customHeight="1">
      <c r="B1004" s="123"/>
      <c r="C1004" s="124" t="s">
        <v>2114</v>
      </c>
      <c r="D1004" s="124" t="s">
        <v>128</v>
      </c>
      <c r="E1004" s="125" t="s">
        <v>2115</v>
      </c>
      <c r="F1004" s="126" t="s">
        <v>2116</v>
      </c>
      <c r="G1004" s="127" t="s">
        <v>183</v>
      </c>
      <c r="H1004" s="128">
        <v>2</v>
      </c>
      <c r="I1004" s="129"/>
      <c r="J1004" s="129">
        <f t="shared" si="0"/>
        <v>0</v>
      </c>
      <c r="K1004" s="126" t="s">
        <v>3</v>
      </c>
      <c r="L1004" s="29"/>
      <c r="M1004" s="130" t="s">
        <v>3</v>
      </c>
      <c r="N1004" s="131" t="s">
        <v>41</v>
      </c>
      <c r="O1004" s="132">
        <v>0</v>
      </c>
      <c r="P1004" s="132">
        <f t="shared" si="1"/>
        <v>0</v>
      </c>
      <c r="Q1004" s="132">
        <v>0</v>
      </c>
      <c r="R1004" s="132">
        <f t="shared" si="2"/>
        <v>0</v>
      </c>
      <c r="S1004" s="132">
        <v>0</v>
      </c>
      <c r="T1004" s="133">
        <f t="shared" si="3"/>
        <v>0</v>
      </c>
      <c r="AR1004" s="134" t="s">
        <v>221</v>
      </c>
      <c r="AT1004" s="134" t="s">
        <v>128</v>
      </c>
      <c r="AU1004" s="134" t="s">
        <v>80</v>
      </c>
      <c r="AY1004" s="17" t="s">
        <v>126</v>
      </c>
      <c r="BE1004" s="135">
        <f t="shared" si="4"/>
        <v>0</v>
      </c>
      <c r="BF1004" s="135">
        <f t="shared" si="5"/>
        <v>0</v>
      </c>
      <c r="BG1004" s="135">
        <f t="shared" si="6"/>
        <v>0</v>
      </c>
      <c r="BH1004" s="135">
        <f t="shared" si="7"/>
        <v>0</v>
      </c>
      <c r="BI1004" s="135">
        <f t="shared" si="8"/>
        <v>0</v>
      </c>
      <c r="BJ1004" s="17" t="s">
        <v>78</v>
      </c>
      <c r="BK1004" s="135">
        <f t="shared" si="9"/>
        <v>0</v>
      </c>
      <c r="BL1004" s="17" t="s">
        <v>221</v>
      </c>
      <c r="BM1004" s="134" t="s">
        <v>2117</v>
      </c>
    </row>
    <row r="1005" spans="2:65" s="1" customFormat="1" ht="24.2" customHeight="1">
      <c r="B1005" s="123"/>
      <c r="C1005" s="124" t="s">
        <v>2118</v>
      </c>
      <c r="D1005" s="124" t="s">
        <v>128</v>
      </c>
      <c r="E1005" s="125" t="s">
        <v>2119</v>
      </c>
      <c r="F1005" s="126" t="s">
        <v>2120</v>
      </c>
      <c r="G1005" s="127" t="s">
        <v>413</v>
      </c>
      <c r="H1005" s="128"/>
      <c r="I1005" s="129"/>
      <c r="J1005" s="129">
        <f t="shared" si="0"/>
        <v>0</v>
      </c>
      <c r="K1005" s="126" t="s">
        <v>132</v>
      </c>
      <c r="L1005" s="29"/>
      <c r="M1005" s="130" t="s">
        <v>3</v>
      </c>
      <c r="N1005" s="131" t="s">
        <v>41</v>
      </c>
      <c r="O1005" s="132">
        <v>0</v>
      </c>
      <c r="P1005" s="132">
        <f t="shared" si="1"/>
        <v>0</v>
      </c>
      <c r="Q1005" s="132">
        <v>0</v>
      </c>
      <c r="R1005" s="132">
        <f t="shared" si="2"/>
        <v>0</v>
      </c>
      <c r="S1005" s="132">
        <v>0</v>
      </c>
      <c r="T1005" s="133">
        <f t="shared" si="3"/>
        <v>0</v>
      </c>
      <c r="AR1005" s="134" t="s">
        <v>221</v>
      </c>
      <c r="AT1005" s="134" t="s">
        <v>128</v>
      </c>
      <c r="AU1005" s="134" t="s">
        <v>80</v>
      </c>
      <c r="AY1005" s="17" t="s">
        <v>126</v>
      </c>
      <c r="BE1005" s="135">
        <f t="shared" si="4"/>
        <v>0</v>
      </c>
      <c r="BF1005" s="135">
        <f t="shared" si="5"/>
        <v>0</v>
      </c>
      <c r="BG1005" s="135">
        <f t="shared" si="6"/>
        <v>0</v>
      </c>
      <c r="BH1005" s="135">
        <f t="shared" si="7"/>
        <v>0</v>
      </c>
      <c r="BI1005" s="135">
        <f t="shared" si="8"/>
        <v>0</v>
      </c>
      <c r="BJ1005" s="17" t="s">
        <v>78</v>
      </c>
      <c r="BK1005" s="135">
        <f t="shared" si="9"/>
        <v>0</v>
      </c>
      <c r="BL1005" s="17" t="s">
        <v>221</v>
      </c>
      <c r="BM1005" s="134" t="s">
        <v>2121</v>
      </c>
    </row>
    <row r="1006" spans="2:47" s="1" customFormat="1" ht="12">
      <c r="B1006" s="29"/>
      <c r="D1006" s="136" t="s">
        <v>135</v>
      </c>
      <c r="F1006" s="137" t="s">
        <v>2122</v>
      </c>
      <c r="L1006" s="29"/>
      <c r="M1006" s="138"/>
      <c r="T1006" s="49"/>
      <c r="AT1006" s="17" t="s">
        <v>135</v>
      </c>
      <c r="AU1006" s="17" t="s">
        <v>80</v>
      </c>
    </row>
    <row r="1007" spans="2:63" s="11" customFormat="1" ht="22.7" customHeight="1">
      <c r="B1007" s="112"/>
      <c r="D1007" s="113" t="s">
        <v>69</v>
      </c>
      <c r="E1007" s="121" t="s">
        <v>598</v>
      </c>
      <c r="F1007" s="121" t="s">
        <v>599</v>
      </c>
      <c r="J1007" s="122">
        <f>BK1007</f>
        <v>0</v>
      </c>
      <c r="L1007" s="112"/>
      <c r="M1007" s="116"/>
      <c r="P1007" s="117">
        <f>SUM(P1008:P1103)</f>
        <v>226.423959</v>
      </c>
      <c r="R1007" s="117">
        <f>SUM(R1008:R1103)</f>
        <v>3.9527280899999986</v>
      </c>
      <c r="T1007" s="118">
        <f>SUM(T1008:T1103)</f>
        <v>0</v>
      </c>
      <c r="AR1007" s="113" t="s">
        <v>80</v>
      </c>
      <c r="AT1007" s="119" t="s">
        <v>69</v>
      </c>
      <c r="AU1007" s="119" t="s">
        <v>78</v>
      </c>
      <c r="AY1007" s="113" t="s">
        <v>126</v>
      </c>
      <c r="BK1007" s="120">
        <f>SUM(BK1008:BK1103)</f>
        <v>0</v>
      </c>
    </row>
    <row r="1008" spans="2:65" s="1" customFormat="1" ht="16.5" customHeight="1">
      <c r="B1008" s="123"/>
      <c r="C1008" s="124" t="s">
        <v>2123</v>
      </c>
      <c r="D1008" s="124" t="s">
        <v>128</v>
      </c>
      <c r="E1008" s="125" t="s">
        <v>2124</v>
      </c>
      <c r="F1008" s="126" t="s">
        <v>2125</v>
      </c>
      <c r="G1008" s="127" t="s">
        <v>131</v>
      </c>
      <c r="H1008" s="128">
        <v>59.748</v>
      </c>
      <c r="I1008" s="129"/>
      <c r="J1008" s="129">
        <f>ROUND(I1008*H1008,2)</f>
        <v>0</v>
      </c>
      <c r="K1008" s="126" t="s">
        <v>132</v>
      </c>
      <c r="L1008" s="29"/>
      <c r="M1008" s="130" t="s">
        <v>3</v>
      </c>
      <c r="N1008" s="131" t="s">
        <v>41</v>
      </c>
      <c r="O1008" s="132">
        <v>0.024</v>
      </c>
      <c r="P1008" s="132">
        <f>O1008*H1008</f>
        <v>1.433952</v>
      </c>
      <c r="Q1008" s="132">
        <v>0</v>
      </c>
      <c r="R1008" s="132">
        <f>Q1008*H1008</f>
        <v>0</v>
      </c>
      <c r="S1008" s="132">
        <v>0</v>
      </c>
      <c r="T1008" s="133">
        <f>S1008*H1008</f>
        <v>0</v>
      </c>
      <c r="AR1008" s="134" t="s">
        <v>221</v>
      </c>
      <c r="AT1008" s="134" t="s">
        <v>128</v>
      </c>
      <c r="AU1008" s="134" t="s">
        <v>80</v>
      </c>
      <c r="AY1008" s="17" t="s">
        <v>126</v>
      </c>
      <c r="BE1008" s="135">
        <f>IF(N1008="základní",J1008,0)</f>
        <v>0</v>
      </c>
      <c r="BF1008" s="135">
        <f>IF(N1008="snížená",J1008,0)</f>
        <v>0</v>
      </c>
      <c r="BG1008" s="135">
        <f>IF(N1008="zákl. přenesená",J1008,0)</f>
        <v>0</v>
      </c>
      <c r="BH1008" s="135">
        <f>IF(N1008="sníž. přenesená",J1008,0)</f>
        <v>0</v>
      </c>
      <c r="BI1008" s="135">
        <f>IF(N1008="nulová",J1008,0)</f>
        <v>0</v>
      </c>
      <c r="BJ1008" s="17" t="s">
        <v>78</v>
      </c>
      <c r="BK1008" s="135">
        <f>ROUND(I1008*H1008,2)</f>
        <v>0</v>
      </c>
      <c r="BL1008" s="17" t="s">
        <v>221</v>
      </c>
      <c r="BM1008" s="134" t="s">
        <v>2126</v>
      </c>
    </row>
    <row r="1009" spans="2:47" s="1" customFormat="1" ht="12">
      <c r="B1009" s="29"/>
      <c r="D1009" s="136" t="s">
        <v>135</v>
      </c>
      <c r="F1009" s="137" t="s">
        <v>2127</v>
      </c>
      <c r="L1009" s="29"/>
      <c r="M1009" s="138"/>
      <c r="T1009" s="49"/>
      <c r="AT1009" s="17" t="s">
        <v>135</v>
      </c>
      <c r="AU1009" s="17" t="s">
        <v>80</v>
      </c>
    </row>
    <row r="1010" spans="2:51" s="12" customFormat="1" ht="12">
      <c r="B1010" s="139"/>
      <c r="D1010" s="140" t="s">
        <v>137</v>
      </c>
      <c r="E1010" s="141" t="s">
        <v>3</v>
      </c>
      <c r="F1010" s="142" t="s">
        <v>641</v>
      </c>
      <c r="H1010" s="143">
        <v>15.648</v>
      </c>
      <c r="L1010" s="139"/>
      <c r="M1010" s="144"/>
      <c r="T1010" s="145"/>
      <c r="AT1010" s="141" t="s">
        <v>137</v>
      </c>
      <c r="AU1010" s="141" t="s">
        <v>80</v>
      </c>
      <c r="AV1010" s="12" t="s">
        <v>80</v>
      </c>
      <c r="AW1010" s="12" t="s">
        <v>32</v>
      </c>
      <c r="AX1010" s="12" t="s">
        <v>70</v>
      </c>
      <c r="AY1010" s="141" t="s">
        <v>126</v>
      </c>
    </row>
    <row r="1011" spans="2:51" s="12" customFormat="1" ht="12">
      <c r="B1011" s="139"/>
      <c r="D1011" s="140" t="s">
        <v>137</v>
      </c>
      <c r="E1011" s="141" t="s">
        <v>3</v>
      </c>
      <c r="F1011" s="142" t="s">
        <v>2128</v>
      </c>
      <c r="H1011" s="143">
        <v>21.84</v>
      </c>
      <c r="L1011" s="139"/>
      <c r="M1011" s="144"/>
      <c r="T1011" s="145"/>
      <c r="AT1011" s="141" t="s">
        <v>137</v>
      </c>
      <c r="AU1011" s="141" t="s">
        <v>80</v>
      </c>
      <c r="AV1011" s="12" t="s">
        <v>80</v>
      </c>
      <c r="AW1011" s="12" t="s">
        <v>32</v>
      </c>
      <c r="AX1011" s="12" t="s">
        <v>70</v>
      </c>
      <c r="AY1011" s="141" t="s">
        <v>126</v>
      </c>
    </row>
    <row r="1012" spans="2:51" s="12" customFormat="1" ht="12">
      <c r="B1012" s="139"/>
      <c r="D1012" s="140" t="s">
        <v>137</v>
      </c>
      <c r="E1012" s="141" t="s">
        <v>3</v>
      </c>
      <c r="F1012" s="142" t="s">
        <v>2129</v>
      </c>
      <c r="H1012" s="143">
        <v>22.26</v>
      </c>
      <c r="L1012" s="139"/>
      <c r="M1012" s="144"/>
      <c r="T1012" s="145"/>
      <c r="AT1012" s="141" t="s">
        <v>137</v>
      </c>
      <c r="AU1012" s="141" t="s">
        <v>80</v>
      </c>
      <c r="AV1012" s="12" t="s">
        <v>80</v>
      </c>
      <c r="AW1012" s="12" t="s">
        <v>32</v>
      </c>
      <c r="AX1012" s="12" t="s">
        <v>70</v>
      </c>
      <c r="AY1012" s="141" t="s">
        <v>126</v>
      </c>
    </row>
    <row r="1013" spans="2:51" s="13" customFormat="1" ht="12">
      <c r="B1013" s="146"/>
      <c r="D1013" s="140" t="s">
        <v>137</v>
      </c>
      <c r="E1013" s="147" t="s">
        <v>3</v>
      </c>
      <c r="F1013" s="148" t="s">
        <v>151</v>
      </c>
      <c r="H1013" s="149">
        <v>59.748000000000005</v>
      </c>
      <c r="L1013" s="146"/>
      <c r="M1013" s="150"/>
      <c r="T1013" s="151"/>
      <c r="AT1013" s="147" t="s">
        <v>137</v>
      </c>
      <c r="AU1013" s="147" t="s">
        <v>80</v>
      </c>
      <c r="AV1013" s="13" t="s">
        <v>133</v>
      </c>
      <c r="AW1013" s="13" t="s">
        <v>32</v>
      </c>
      <c r="AX1013" s="13" t="s">
        <v>78</v>
      </c>
      <c r="AY1013" s="147" t="s">
        <v>126</v>
      </c>
    </row>
    <row r="1014" spans="2:65" s="1" customFormat="1" ht="16.5" customHeight="1">
      <c r="B1014" s="123"/>
      <c r="C1014" s="124" t="s">
        <v>2130</v>
      </c>
      <c r="D1014" s="124" t="s">
        <v>128</v>
      </c>
      <c r="E1014" s="125" t="s">
        <v>2131</v>
      </c>
      <c r="F1014" s="126" t="s">
        <v>2132</v>
      </c>
      <c r="G1014" s="127" t="s">
        <v>249</v>
      </c>
      <c r="H1014" s="128">
        <v>100.1</v>
      </c>
      <c r="I1014" s="129"/>
      <c r="J1014" s="129">
        <f>ROUND(I1014*H1014,2)</f>
        <v>0</v>
      </c>
      <c r="K1014" s="126" t="s">
        <v>132</v>
      </c>
      <c r="L1014" s="29"/>
      <c r="M1014" s="130" t="s">
        <v>3</v>
      </c>
      <c r="N1014" s="131" t="s">
        <v>41</v>
      </c>
      <c r="O1014" s="132">
        <v>0.007</v>
      </c>
      <c r="P1014" s="132">
        <f>O1014*H1014</f>
        <v>0.7007</v>
      </c>
      <c r="Q1014" s="132">
        <v>0</v>
      </c>
      <c r="R1014" s="132">
        <f>Q1014*H1014</f>
        <v>0</v>
      </c>
      <c r="S1014" s="132">
        <v>0</v>
      </c>
      <c r="T1014" s="133">
        <f>S1014*H1014</f>
        <v>0</v>
      </c>
      <c r="AR1014" s="134" t="s">
        <v>221</v>
      </c>
      <c r="AT1014" s="134" t="s">
        <v>128</v>
      </c>
      <c r="AU1014" s="134" t="s">
        <v>80</v>
      </c>
      <c r="AY1014" s="17" t="s">
        <v>126</v>
      </c>
      <c r="BE1014" s="135">
        <f>IF(N1014="základní",J1014,0)</f>
        <v>0</v>
      </c>
      <c r="BF1014" s="135">
        <f>IF(N1014="snížená",J1014,0)</f>
        <v>0</v>
      </c>
      <c r="BG1014" s="135">
        <f>IF(N1014="zákl. přenesená",J1014,0)</f>
        <v>0</v>
      </c>
      <c r="BH1014" s="135">
        <f>IF(N1014="sníž. přenesená",J1014,0)</f>
        <v>0</v>
      </c>
      <c r="BI1014" s="135">
        <f>IF(N1014="nulová",J1014,0)</f>
        <v>0</v>
      </c>
      <c r="BJ1014" s="17" t="s">
        <v>78</v>
      </c>
      <c r="BK1014" s="135">
        <f>ROUND(I1014*H1014,2)</f>
        <v>0</v>
      </c>
      <c r="BL1014" s="17" t="s">
        <v>221</v>
      </c>
      <c r="BM1014" s="134" t="s">
        <v>2133</v>
      </c>
    </row>
    <row r="1015" spans="2:47" s="1" customFormat="1" ht="12">
      <c r="B1015" s="29"/>
      <c r="D1015" s="136" t="s">
        <v>135</v>
      </c>
      <c r="F1015" s="137" t="s">
        <v>2134</v>
      </c>
      <c r="L1015" s="29"/>
      <c r="M1015" s="138"/>
      <c r="T1015" s="49"/>
      <c r="AT1015" s="17" t="s">
        <v>135</v>
      </c>
      <c r="AU1015" s="17" t="s">
        <v>80</v>
      </c>
    </row>
    <row r="1016" spans="2:51" s="12" customFormat="1" ht="12">
      <c r="B1016" s="139"/>
      <c r="D1016" s="140" t="s">
        <v>137</v>
      </c>
      <c r="E1016" s="141" t="s">
        <v>3</v>
      </c>
      <c r="F1016" s="142" t="s">
        <v>2135</v>
      </c>
      <c r="H1016" s="143">
        <v>100.1</v>
      </c>
      <c r="L1016" s="139"/>
      <c r="M1016" s="144"/>
      <c r="T1016" s="145"/>
      <c r="AT1016" s="141" t="s">
        <v>137</v>
      </c>
      <c r="AU1016" s="141" t="s">
        <v>80</v>
      </c>
      <c r="AV1016" s="12" t="s">
        <v>80</v>
      </c>
      <c r="AW1016" s="12" t="s">
        <v>32</v>
      </c>
      <c r="AX1016" s="12" t="s">
        <v>78</v>
      </c>
      <c r="AY1016" s="141" t="s">
        <v>126</v>
      </c>
    </row>
    <row r="1017" spans="2:65" s="1" customFormat="1" ht="16.5" customHeight="1">
      <c r="B1017" s="123"/>
      <c r="C1017" s="124" t="s">
        <v>2136</v>
      </c>
      <c r="D1017" s="124" t="s">
        <v>128</v>
      </c>
      <c r="E1017" s="125" t="s">
        <v>2137</v>
      </c>
      <c r="F1017" s="126" t="s">
        <v>2138</v>
      </c>
      <c r="G1017" s="127" t="s">
        <v>131</v>
      </c>
      <c r="H1017" s="128">
        <v>87.276</v>
      </c>
      <c r="I1017" s="129"/>
      <c r="J1017" s="129">
        <f>ROUND(I1017*H1017,2)</f>
        <v>0</v>
      </c>
      <c r="K1017" s="126" t="s">
        <v>132</v>
      </c>
      <c r="L1017" s="29"/>
      <c r="M1017" s="130" t="s">
        <v>3</v>
      </c>
      <c r="N1017" s="131" t="s">
        <v>41</v>
      </c>
      <c r="O1017" s="132">
        <v>0.044</v>
      </c>
      <c r="P1017" s="132">
        <f>O1017*H1017</f>
        <v>3.8401439999999996</v>
      </c>
      <c r="Q1017" s="132">
        <v>0.0003</v>
      </c>
      <c r="R1017" s="132">
        <f>Q1017*H1017</f>
        <v>0.026182799999999996</v>
      </c>
      <c r="S1017" s="132">
        <v>0</v>
      </c>
      <c r="T1017" s="133">
        <f>S1017*H1017</f>
        <v>0</v>
      </c>
      <c r="AR1017" s="134" t="s">
        <v>221</v>
      </c>
      <c r="AT1017" s="134" t="s">
        <v>128</v>
      </c>
      <c r="AU1017" s="134" t="s">
        <v>80</v>
      </c>
      <c r="AY1017" s="17" t="s">
        <v>126</v>
      </c>
      <c r="BE1017" s="135">
        <f>IF(N1017="základní",J1017,0)</f>
        <v>0</v>
      </c>
      <c r="BF1017" s="135">
        <f>IF(N1017="snížená",J1017,0)</f>
        <v>0</v>
      </c>
      <c r="BG1017" s="135">
        <f>IF(N1017="zákl. přenesená",J1017,0)</f>
        <v>0</v>
      </c>
      <c r="BH1017" s="135">
        <f>IF(N1017="sníž. přenesená",J1017,0)</f>
        <v>0</v>
      </c>
      <c r="BI1017" s="135">
        <f>IF(N1017="nulová",J1017,0)</f>
        <v>0</v>
      </c>
      <c r="BJ1017" s="17" t="s">
        <v>78</v>
      </c>
      <c r="BK1017" s="135">
        <f>ROUND(I1017*H1017,2)</f>
        <v>0</v>
      </c>
      <c r="BL1017" s="17" t="s">
        <v>221</v>
      </c>
      <c r="BM1017" s="134" t="s">
        <v>2139</v>
      </c>
    </row>
    <row r="1018" spans="2:47" s="1" customFormat="1" ht="12">
      <c r="B1018" s="29"/>
      <c r="D1018" s="136" t="s">
        <v>135</v>
      </c>
      <c r="F1018" s="137" t="s">
        <v>2140</v>
      </c>
      <c r="L1018" s="29"/>
      <c r="M1018" s="138"/>
      <c r="T1018" s="49"/>
      <c r="AT1018" s="17" t="s">
        <v>135</v>
      </c>
      <c r="AU1018" s="17" t="s">
        <v>80</v>
      </c>
    </row>
    <row r="1019" spans="2:51" s="12" customFormat="1" ht="12">
      <c r="B1019" s="139"/>
      <c r="D1019" s="140" t="s">
        <v>137</v>
      </c>
      <c r="E1019" s="141" t="s">
        <v>3</v>
      </c>
      <c r="F1019" s="142" t="s">
        <v>641</v>
      </c>
      <c r="H1019" s="143">
        <v>15.648</v>
      </c>
      <c r="L1019" s="139"/>
      <c r="M1019" s="144"/>
      <c r="T1019" s="145"/>
      <c r="AT1019" s="141" t="s">
        <v>137</v>
      </c>
      <c r="AU1019" s="141" t="s">
        <v>80</v>
      </c>
      <c r="AV1019" s="12" t="s">
        <v>80</v>
      </c>
      <c r="AW1019" s="12" t="s">
        <v>32</v>
      </c>
      <c r="AX1019" s="12" t="s">
        <v>70</v>
      </c>
      <c r="AY1019" s="141" t="s">
        <v>126</v>
      </c>
    </row>
    <row r="1020" spans="2:51" s="12" customFormat="1" ht="12">
      <c r="B1020" s="139"/>
      <c r="D1020" s="140" t="s">
        <v>137</v>
      </c>
      <c r="E1020" s="141" t="s">
        <v>3</v>
      </c>
      <c r="F1020" s="142" t="s">
        <v>2141</v>
      </c>
      <c r="H1020" s="143">
        <v>27.528</v>
      </c>
      <c r="L1020" s="139"/>
      <c r="M1020" s="144"/>
      <c r="T1020" s="145"/>
      <c r="AT1020" s="141" t="s">
        <v>137</v>
      </c>
      <c r="AU1020" s="141" t="s">
        <v>80</v>
      </c>
      <c r="AV1020" s="12" t="s">
        <v>80</v>
      </c>
      <c r="AW1020" s="12" t="s">
        <v>32</v>
      </c>
      <c r="AX1020" s="12" t="s">
        <v>70</v>
      </c>
      <c r="AY1020" s="141" t="s">
        <v>126</v>
      </c>
    </row>
    <row r="1021" spans="2:51" s="12" customFormat="1" ht="12">
      <c r="B1021" s="139"/>
      <c r="D1021" s="140" t="s">
        <v>137</v>
      </c>
      <c r="E1021" s="141" t="s">
        <v>3</v>
      </c>
      <c r="F1021" s="142" t="s">
        <v>2128</v>
      </c>
      <c r="H1021" s="143">
        <v>21.84</v>
      </c>
      <c r="L1021" s="139"/>
      <c r="M1021" s="144"/>
      <c r="T1021" s="145"/>
      <c r="AT1021" s="141" t="s">
        <v>137</v>
      </c>
      <c r="AU1021" s="141" t="s">
        <v>80</v>
      </c>
      <c r="AV1021" s="12" t="s">
        <v>80</v>
      </c>
      <c r="AW1021" s="12" t="s">
        <v>32</v>
      </c>
      <c r="AX1021" s="12" t="s">
        <v>70</v>
      </c>
      <c r="AY1021" s="141" t="s">
        <v>126</v>
      </c>
    </row>
    <row r="1022" spans="2:51" s="12" customFormat="1" ht="12">
      <c r="B1022" s="139"/>
      <c r="D1022" s="140" t="s">
        <v>137</v>
      </c>
      <c r="E1022" s="141" t="s">
        <v>3</v>
      </c>
      <c r="F1022" s="142" t="s">
        <v>2129</v>
      </c>
      <c r="H1022" s="143">
        <v>22.26</v>
      </c>
      <c r="L1022" s="139"/>
      <c r="M1022" s="144"/>
      <c r="T1022" s="145"/>
      <c r="AT1022" s="141" t="s">
        <v>137</v>
      </c>
      <c r="AU1022" s="141" t="s">
        <v>80</v>
      </c>
      <c r="AV1022" s="12" t="s">
        <v>80</v>
      </c>
      <c r="AW1022" s="12" t="s">
        <v>32</v>
      </c>
      <c r="AX1022" s="12" t="s">
        <v>70</v>
      </c>
      <c r="AY1022" s="141" t="s">
        <v>126</v>
      </c>
    </row>
    <row r="1023" spans="2:51" s="13" customFormat="1" ht="12">
      <c r="B1023" s="146"/>
      <c r="D1023" s="140" t="s">
        <v>137</v>
      </c>
      <c r="E1023" s="147" t="s">
        <v>3</v>
      </c>
      <c r="F1023" s="148" t="s">
        <v>151</v>
      </c>
      <c r="H1023" s="149">
        <v>87.27600000000001</v>
      </c>
      <c r="L1023" s="146"/>
      <c r="M1023" s="150"/>
      <c r="T1023" s="151"/>
      <c r="AT1023" s="147" t="s">
        <v>137</v>
      </c>
      <c r="AU1023" s="147" t="s">
        <v>80</v>
      </c>
      <c r="AV1023" s="13" t="s">
        <v>133</v>
      </c>
      <c r="AW1023" s="13" t="s">
        <v>32</v>
      </c>
      <c r="AX1023" s="13" t="s">
        <v>78</v>
      </c>
      <c r="AY1023" s="147" t="s">
        <v>126</v>
      </c>
    </row>
    <row r="1024" spans="2:65" s="1" customFormat="1" ht="24.2" customHeight="1">
      <c r="B1024" s="123"/>
      <c r="C1024" s="124" t="s">
        <v>2142</v>
      </c>
      <c r="D1024" s="124" t="s">
        <v>128</v>
      </c>
      <c r="E1024" s="125" t="s">
        <v>2143</v>
      </c>
      <c r="F1024" s="126" t="s">
        <v>2144</v>
      </c>
      <c r="G1024" s="127" t="s">
        <v>131</v>
      </c>
      <c r="H1024" s="128">
        <v>65.016</v>
      </c>
      <c r="I1024" s="129"/>
      <c r="J1024" s="129">
        <f>ROUND(I1024*H1024,2)</f>
        <v>0</v>
      </c>
      <c r="K1024" s="126" t="s">
        <v>132</v>
      </c>
      <c r="L1024" s="29"/>
      <c r="M1024" s="130" t="s">
        <v>3</v>
      </c>
      <c r="N1024" s="131" t="s">
        <v>41</v>
      </c>
      <c r="O1024" s="132">
        <v>0.245</v>
      </c>
      <c r="P1024" s="132">
        <f>O1024*H1024</f>
        <v>15.928920000000002</v>
      </c>
      <c r="Q1024" s="132">
        <v>0.00758</v>
      </c>
      <c r="R1024" s="132">
        <f>Q1024*H1024</f>
        <v>0.49282128000000003</v>
      </c>
      <c r="S1024" s="132">
        <v>0</v>
      </c>
      <c r="T1024" s="133">
        <f>S1024*H1024</f>
        <v>0</v>
      </c>
      <c r="AR1024" s="134" t="s">
        <v>221</v>
      </c>
      <c r="AT1024" s="134" t="s">
        <v>128</v>
      </c>
      <c r="AU1024" s="134" t="s">
        <v>80</v>
      </c>
      <c r="AY1024" s="17" t="s">
        <v>126</v>
      </c>
      <c r="BE1024" s="135">
        <f>IF(N1024="základní",J1024,0)</f>
        <v>0</v>
      </c>
      <c r="BF1024" s="135">
        <f>IF(N1024="snížená",J1024,0)</f>
        <v>0</v>
      </c>
      <c r="BG1024" s="135">
        <f>IF(N1024="zákl. přenesená",J1024,0)</f>
        <v>0</v>
      </c>
      <c r="BH1024" s="135">
        <f>IF(N1024="sníž. přenesená",J1024,0)</f>
        <v>0</v>
      </c>
      <c r="BI1024" s="135">
        <f>IF(N1024="nulová",J1024,0)</f>
        <v>0</v>
      </c>
      <c r="BJ1024" s="17" t="s">
        <v>78</v>
      </c>
      <c r="BK1024" s="135">
        <f>ROUND(I1024*H1024,2)</f>
        <v>0</v>
      </c>
      <c r="BL1024" s="17" t="s">
        <v>221</v>
      </c>
      <c r="BM1024" s="134" t="s">
        <v>2145</v>
      </c>
    </row>
    <row r="1025" spans="2:47" s="1" customFormat="1" ht="12">
      <c r="B1025" s="29"/>
      <c r="D1025" s="136" t="s">
        <v>135</v>
      </c>
      <c r="F1025" s="137" t="s">
        <v>2146</v>
      </c>
      <c r="L1025" s="29"/>
      <c r="M1025" s="138"/>
      <c r="T1025" s="49"/>
      <c r="AT1025" s="17" t="s">
        <v>135</v>
      </c>
      <c r="AU1025" s="17" t="s">
        <v>80</v>
      </c>
    </row>
    <row r="1026" spans="2:51" s="12" customFormat="1" ht="12">
      <c r="B1026" s="139"/>
      <c r="D1026" s="140" t="s">
        <v>137</v>
      </c>
      <c r="E1026" s="141" t="s">
        <v>3</v>
      </c>
      <c r="F1026" s="142" t="s">
        <v>641</v>
      </c>
      <c r="H1026" s="143">
        <v>15.648</v>
      </c>
      <c r="L1026" s="139"/>
      <c r="M1026" s="144"/>
      <c r="T1026" s="145"/>
      <c r="AT1026" s="141" t="s">
        <v>137</v>
      </c>
      <c r="AU1026" s="141" t="s">
        <v>80</v>
      </c>
      <c r="AV1026" s="12" t="s">
        <v>80</v>
      </c>
      <c r="AW1026" s="12" t="s">
        <v>32</v>
      </c>
      <c r="AX1026" s="12" t="s">
        <v>70</v>
      </c>
      <c r="AY1026" s="141" t="s">
        <v>126</v>
      </c>
    </row>
    <row r="1027" spans="2:51" s="12" customFormat="1" ht="12">
      <c r="B1027" s="139"/>
      <c r="D1027" s="140" t="s">
        <v>137</v>
      </c>
      <c r="E1027" s="141" t="s">
        <v>3</v>
      </c>
      <c r="F1027" s="142" t="s">
        <v>2141</v>
      </c>
      <c r="H1027" s="143">
        <v>27.528</v>
      </c>
      <c r="L1027" s="139"/>
      <c r="M1027" s="144"/>
      <c r="T1027" s="145"/>
      <c r="AT1027" s="141" t="s">
        <v>137</v>
      </c>
      <c r="AU1027" s="141" t="s">
        <v>80</v>
      </c>
      <c r="AV1027" s="12" t="s">
        <v>80</v>
      </c>
      <c r="AW1027" s="12" t="s">
        <v>32</v>
      </c>
      <c r="AX1027" s="12" t="s">
        <v>70</v>
      </c>
      <c r="AY1027" s="141" t="s">
        <v>126</v>
      </c>
    </row>
    <row r="1028" spans="2:51" s="12" customFormat="1" ht="12">
      <c r="B1028" s="139"/>
      <c r="D1028" s="140" t="s">
        <v>137</v>
      </c>
      <c r="E1028" s="141" t="s">
        <v>3</v>
      </c>
      <c r="F1028" s="142" t="s">
        <v>2128</v>
      </c>
      <c r="H1028" s="143">
        <v>21.84</v>
      </c>
      <c r="L1028" s="139"/>
      <c r="M1028" s="144"/>
      <c r="T1028" s="145"/>
      <c r="AT1028" s="141" t="s">
        <v>137</v>
      </c>
      <c r="AU1028" s="141" t="s">
        <v>80</v>
      </c>
      <c r="AV1028" s="12" t="s">
        <v>80</v>
      </c>
      <c r="AW1028" s="12" t="s">
        <v>32</v>
      </c>
      <c r="AX1028" s="12" t="s">
        <v>70</v>
      </c>
      <c r="AY1028" s="141" t="s">
        <v>126</v>
      </c>
    </row>
    <row r="1029" spans="2:51" s="13" customFormat="1" ht="12">
      <c r="B1029" s="146"/>
      <c r="D1029" s="140" t="s">
        <v>137</v>
      </c>
      <c r="E1029" s="147" t="s">
        <v>3</v>
      </c>
      <c r="F1029" s="148" t="s">
        <v>151</v>
      </c>
      <c r="H1029" s="149">
        <v>65.016</v>
      </c>
      <c r="L1029" s="146"/>
      <c r="M1029" s="150"/>
      <c r="T1029" s="151"/>
      <c r="AT1029" s="147" t="s">
        <v>137</v>
      </c>
      <c r="AU1029" s="147" t="s">
        <v>80</v>
      </c>
      <c r="AV1029" s="13" t="s">
        <v>133</v>
      </c>
      <c r="AW1029" s="13" t="s">
        <v>32</v>
      </c>
      <c r="AX1029" s="13" t="s">
        <v>78</v>
      </c>
      <c r="AY1029" s="147" t="s">
        <v>126</v>
      </c>
    </row>
    <row r="1030" spans="2:65" s="1" customFormat="1" ht="24.2" customHeight="1">
      <c r="B1030" s="123"/>
      <c r="C1030" s="124" t="s">
        <v>2147</v>
      </c>
      <c r="D1030" s="124" t="s">
        <v>128</v>
      </c>
      <c r="E1030" s="125" t="s">
        <v>2148</v>
      </c>
      <c r="F1030" s="126" t="s">
        <v>2149</v>
      </c>
      <c r="G1030" s="127" t="s">
        <v>249</v>
      </c>
      <c r="H1030" s="128">
        <v>100.1</v>
      </c>
      <c r="I1030" s="129"/>
      <c r="J1030" s="129">
        <f>ROUND(I1030*H1030,2)</f>
        <v>0</v>
      </c>
      <c r="K1030" s="126" t="s">
        <v>132</v>
      </c>
      <c r="L1030" s="29"/>
      <c r="M1030" s="130" t="s">
        <v>3</v>
      </c>
      <c r="N1030" s="131" t="s">
        <v>41</v>
      </c>
      <c r="O1030" s="132">
        <v>0.17</v>
      </c>
      <c r="P1030" s="132">
        <f>O1030*H1030</f>
        <v>17.017</v>
      </c>
      <c r="Q1030" s="132">
        <v>0.00034</v>
      </c>
      <c r="R1030" s="132">
        <f>Q1030*H1030</f>
        <v>0.034034</v>
      </c>
      <c r="S1030" s="132">
        <v>0</v>
      </c>
      <c r="T1030" s="133">
        <f>S1030*H1030</f>
        <v>0</v>
      </c>
      <c r="AR1030" s="134" t="s">
        <v>221</v>
      </c>
      <c r="AT1030" s="134" t="s">
        <v>128</v>
      </c>
      <c r="AU1030" s="134" t="s">
        <v>80</v>
      </c>
      <c r="AY1030" s="17" t="s">
        <v>126</v>
      </c>
      <c r="BE1030" s="135">
        <f>IF(N1030="základní",J1030,0)</f>
        <v>0</v>
      </c>
      <c r="BF1030" s="135">
        <f>IF(N1030="snížená",J1030,0)</f>
        <v>0</v>
      </c>
      <c r="BG1030" s="135">
        <f>IF(N1030="zákl. přenesená",J1030,0)</f>
        <v>0</v>
      </c>
      <c r="BH1030" s="135">
        <f>IF(N1030="sníž. přenesená",J1030,0)</f>
        <v>0</v>
      </c>
      <c r="BI1030" s="135">
        <f>IF(N1030="nulová",J1030,0)</f>
        <v>0</v>
      </c>
      <c r="BJ1030" s="17" t="s">
        <v>78</v>
      </c>
      <c r="BK1030" s="135">
        <f>ROUND(I1030*H1030,2)</f>
        <v>0</v>
      </c>
      <c r="BL1030" s="17" t="s">
        <v>221</v>
      </c>
      <c r="BM1030" s="134" t="s">
        <v>2150</v>
      </c>
    </row>
    <row r="1031" spans="2:47" s="1" customFormat="1" ht="12">
      <c r="B1031" s="29"/>
      <c r="D1031" s="136" t="s">
        <v>135</v>
      </c>
      <c r="F1031" s="137" t="s">
        <v>2151</v>
      </c>
      <c r="L1031" s="29"/>
      <c r="M1031" s="138"/>
      <c r="T1031" s="49"/>
      <c r="AT1031" s="17" t="s">
        <v>135</v>
      </c>
      <c r="AU1031" s="17" t="s">
        <v>80</v>
      </c>
    </row>
    <row r="1032" spans="2:51" s="12" customFormat="1" ht="12">
      <c r="B1032" s="139"/>
      <c r="D1032" s="140" t="s">
        <v>137</v>
      </c>
      <c r="E1032" s="141" t="s">
        <v>3</v>
      </c>
      <c r="F1032" s="142" t="s">
        <v>2135</v>
      </c>
      <c r="H1032" s="143">
        <v>100.1</v>
      </c>
      <c r="L1032" s="139"/>
      <c r="M1032" s="144"/>
      <c r="T1032" s="145"/>
      <c r="AT1032" s="141" t="s">
        <v>137</v>
      </c>
      <c r="AU1032" s="141" t="s">
        <v>80</v>
      </c>
      <c r="AV1032" s="12" t="s">
        <v>80</v>
      </c>
      <c r="AW1032" s="12" t="s">
        <v>32</v>
      </c>
      <c r="AX1032" s="12" t="s">
        <v>78</v>
      </c>
      <c r="AY1032" s="141" t="s">
        <v>126</v>
      </c>
    </row>
    <row r="1033" spans="2:65" s="1" customFormat="1" ht="16.5" customHeight="1">
      <c r="B1033" s="123"/>
      <c r="C1033" s="152" t="s">
        <v>2152</v>
      </c>
      <c r="D1033" s="152" t="s">
        <v>405</v>
      </c>
      <c r="E1033" s="153" t="s">
        <v>2153</v>
      </c>
      <c r="F1033" s="154" t="s">
        <v>2154</v>
      </c>
      <c r="G1033" s="155" t="s">
        <v>249</v>
      </c>
      <c r="H1033" s="156">
        <v>110.11</v>
      </c>
      <c r="I1033" s="157"/>
      <c r="J1033" s="157">
        <f>ROUND(I1033*H1033,2)</f>
        <v>0</v>
      </c>
      <c r="K1033" s="154" t="s">
        <v>132</v>
      </c>
      <c r="L1033" s="158"/>
      <c r="M1033" s="159" t="s">
        <v>3</v>
      </c>
      <c r="N1033" s="160" t="s">
        <v>41</v>
      </c>
      <c r="O1033" s="132">
        <v>0</v>
      </c>
      <c r="P1033" s="132">
        <f>O1033*H1033</f>
        <v>0</v>
      </c>
      <c r="Q1033" s="132">
        <v>0.00039</v>
      </c>
      <c r="R1033" s="132">
        <f>Q1033*H1033</f>
        <v>0.0429429</v>
      </c>
      <c r="S1033" s="132">
        <v>0</v>
      </c>
      <c r="T1033" s="133">
        <f>S1033*H1033</f>
        <v>0</v>
      </c>
      <c r="AR1033" s="134" t="s">
        <v>325</v>
      </c>
      <c r="AT1033" s="134" t="s">
        <v>405</v>
      </c>
      <c r="AU1033" s="134" t="s">
        <v>80</v>
      </c>
      <c r="AY1033" s="17" t="s">
        <v>126</v>
      </c>
      <c r="BE1033" s="135">
        <f>IF(N1033="základní",J1033,0)</f>
        <v>0</v>
      </c>
      <c r="BF1033" s="135">
        <f>IF(N1033="snížená",J1033,0)</f>
        <v>0</v>
      </c>
      <c r="BG1033" s="135">
        <f>IF(N1033="zákl. přenesená",J1033,0)</f>
        <v>0</v>
      </c>
      <c r="BH1033" s="135">
        <f>IF(N1033="sníž. přenesená",J1033,0)</f>
        <v>0</v>
      </c>
      <c r="BI1033" s="135">
        <f>IF(N1033="nulová",J1033,0)</f>
        <v>0</v>
      </c>
      <c r="BJ1033" s="17" t="s">
        <v>78</v>
      </c>
      <c r="BK1033" s="135">
        <f>ROUND(I1033*H1033,2)</f>
        <v>0</v>
      </c>
      <c r="BL1033" s="17" t="s">
        <v>221</v>
      </c>
      <c r="BM1033" s="134" t="s">
        <v>2155</v>
      </c>
    </row>
    <row r="1034" spans="2:51" s="12" customFormat="1" ht="12">
      <c r="B1034" s="139"/>
      <c r="D1034" s="140" t="s">
        <v>137</v>
      </c>
      <c r="F1034" s="142" t="s">
        <v>2156</v>
      </c>
      <c r="H1034" s="143">
        <v>110.11</v>
      </c>
      <c r="L1034" s="139"/>
      <c r="M1034" s="144"/>
      <c r="T1034" s="145"/>
      <c r="AT1034" s="141" t="s">
        <v>137</v>
      </c>
      <c r="AU1034" s="141" t="s">
        <v>80</v>
      </c>
      <c r="AV1034" s="12" t="s">
        <v>80</v>
      </c>
      <c r="AW1034" s="12" t="s">
        <v>4</v>
      </c>
      <c r="AX1034" s="12" t="s">
        <v>78</v>
      </c>
      <c r="AY1034" s="141" t="s">
        <v>126</v>
      </c>
    </row>
    <row r="1035" spans="2:65" s="1" customFormat="1" ht="24.2" customHeight="1">
      <c r="B1035" s="123"/>
      <c r="C1035" s="124" t="s">
        <v>2157</v>
      </c>
      <c r="D1035" s="124" t="s">
        <v>128</v>
      </c>
      <c r="E1035" s="125" t="s">
        <v>2158</v>
      </c>
      <c r="F1035" s="126" t="s">
        <v>2159</v>
      </c>
      <c r="G1035" s="127" t="s">
        <v>249</v>
      </c>
      <c r="H1035" s="128">
        <v>100.1</v>
      </c>
      <c r="I1035" s="129"/>
      <c r="J1035" s="129">
        <f>ROUND(I1035*H1035,2)</f>
        <v>0</v>
      </c>
      <c r="K1035" s="126" t="s">
        <v>132</v>
      </c>
      <c r="L1035" s="29"/>
      <c r="M1035" s="130" t="s">
        <v>3</v>
      </c>
      <c r="N1035" s="131" t="s">
        <v>41</v>
      </c>
      <c r="O1035" s="132">
        <v>0.594</v>
      </c>
      <c r="P1035" s="132">
        <f>O1035*H1035</f>
        <v>59.459399999999995</v>
      </c>
      <c r="Q1035" s="132">
        <v>0.00153</v>
      </c>
      <c r="R1035" s="132">
        <f>Q1035*H1035</f>
        <v>0.15315299999999998</v>
      </c>
      <c r="S1035" s="132">
        <v>0</v>
      </c>
      <c r="T1035" s="133">
        <f>S1035*H1035</f>
        <v>0</v>
      </c>
      <c r="AR1035" s="134" t="s">
        <v>221</v>
      </c>
      <c r="AT1035" s="134" t="s">
        <v>128</v>
      </c>
      <c r="AU1035" s="134" t="s">
        <v>80</v>
      </c>
      <c r="AY1035" s="17" t="s">
        <v>126</v>
      </c>
      <c r="BE1035" s="135">
        <f>IF(N1035="základní",J1035,0)</f>
        <v>0</v>
      </c>
      <c r="BF1035" s="135">
        <f>IF(N1035="snížená",J1035,0)</f>
        <v>0</v>
      </c>
      <c r="BG1035" s="135">
        <f>IF(N1035="zákl. přenesená",J1035,0)</f>
        <v>0</v>
      </c>
      <c r="BH1035" s="135">
        <f>IF(N1035="sníž. přenesená",J1035,0)</f>
        <v>0</v>
      </c>
      <c r="BI1035" s="135">
        <f>IF(N1035="nulová",J1035,0)</f>
        <v>0</v>
      </c>
      <c r="BJ1035" s="17" t="s">
        <v>78</v>
      </c>
      <c r="BK1035" s="135">
        <f>ROUND(I1035*H1035,2)</f>
        <v>0</v>
      </c>
      <c r="BL1035" s="17" t="s">
        <v>221</v>
      </c>
      <c r="BM1035" s="134" t="s">
        <v>2160</v>
      </c>
    </row>
    <row r="1036" spans="2:47" s="1" customFormat="1" ht="12">
      <c r="B1036" s="29"/>
      <c r="D1036" s="136" t="s">
        <v>135</v>
      </c>
      <c r="F1036" s="137" t="s">
        <v>2161</v>
      </c>
      <c r="L1036" s="29"/>
      <c r="M1036" s="138"/>
      <c r="T1036" s="49"/>
      <c r="AT1036" s="17" t="s">
        <v>135</v>
      </c>
      <c r="AU1036" s="17" t="s">
        <v>80</v>
      </c>
    </row>
    <row r="1037" spans="2:51" s="12" customFormat="1" ht="12">
      <c r="B1037" s="139"/>
      <c r="D1037" s="140" t="s">
        <v>137</v>
      </c>
      <c r="E1037" s="141" t="s">
        <v>3</v>
      </c>
      <c r="F1037" s="142" t="s">
        <v>2135</v>
      </c>
      <c r="H1037" s="143">
        <v>100.1</v>
      </c>
      <c r="L1037" s="139"/>
      <c r="M1037" s="144"/>
      <c r="T1037" s="145"/>
      <c r="AT1037" s="141" t="s">
        <v>137</v>
      </c>
      <c r="AU1037" s="141" t="s">
        <v>80</v>
      </c>
      <c r="AV1037" s="12" t="s">
        <v>80</v>
      </c>
      <c r="AW1037" s="12" t="s">
        <v>32</v>
      </c>
      <c r="AX1037" s="12" t="s">
        <v>78</v>
      </c>
      <c r="AY1037" s="141" t="s">
        <v>126</v>
      </c>
    </row>
    <row r="1038" spans="2:65" s="1" customFormat="1" ht="24.2" customHeight="1">
      <c r="B1038" s="123"/>
      <c r="C1038" s="152" t="s">
        <v>2162</v>
      </c>
      <c r="D1038" s="152" t="s">
        <v>405</v>
      </c>
      <c r="E1038" s="153" t="s">
        <v>2163</v>
      </c>
      <c r="F1038" s="154" t="s">
        <v>2164</v>
      </c>
      <c r="G1038" s="155" t="s">
        <v>131</v>
      </c>
      <c r="H1038" s="156">
        <v>33.034</v>
      </c>
      <c r="I1038" s="157"/>
      <c r="J1038" s="157">
        <f>ROUND(I1038*H1038,2)</f>
        <v>0</v>
      </c>
      <c r="K1038" s="154" t="s">
        <v>132</v>
      </c>
      <c r="L1038" s="158"/>
      <c r="M1038" s="159" t="s">
        <v>3</v>
      </c>
      <c r="N1038" s="160" t="s">
        <v>41</v>
      </c>
      <c r="O1038" s="132">
        <v>0</v>
      </c>
      <c r="P1038" s="132">
        <f>O1038*H1038</f>
        <v>0</v>
      </c>
      <c r="Q1038" s="132">
        <v>0.0192</v>
      </c>
      <c r="R1038" s="132">
        <f>Q1038*H1038</f>
        <v>0.6342528</v>
      </c>
      <c r="S1038" s="132">
        <v>0</v>
      </c>
      <c r="T1038" s="133">
        <f>S1038*H1038</f>
        <v>0</v>
      </c>
      <c r="AR1038" s="134" t="s">
        <v>325</v>
      </c>
      <c r="AT1038" s="134" t="s">
        <v>405</v>
      </c>
      <c r="AU1038" s="134" t="s">
        <v>80</v>
      </c>
      <c r="AY1038" s="17" t="s">
        <v>126</v>
      </c>
      <c r="BE1038" s="135">
        <f>IF(N1038="základní",J1038,0)</f>
        <v>0</v>
      </c>
      <c r="BF1038" s="135">
        <f>IF(N1038="snížená",J1038,0)</f>
        <v>0</v>
      </c>
      <c r="BG1038" s="135">
        <f>IF(N1038="zákl. přenesená",J1038,0)</f>
        <v>0</v>
      </c>
      <c r="BH1038" s="135">
        <f>IF(N1038="sníž. přenesená",J1038,0)</f>
        <v>0</v>
      </c>
      <c r="BI1038" s="135">
        <f>IF(N1038="nulová",J1038,0)</f>
        <v>0</v>
      </c>
      <c r="BJ1038" s="17" t="s">
        <v>78</v>
      </c>
      <c r="BK1038" s="135">
        <f>ROUND(I1038*H1038,2)</f>
        <v>0</v>
      </c>
      <c r="BL1038" s="17" t="s">
        <v>221</v>
      </c>
      <c r="BM1038" s="134" t="s">
        <v>2165</v>
      </c>
    </row>
    <row r="1039" spans="2:51" s="12" customFormat="1" ht="12">
      <c r="B1039" s="139"/>
      <c r="D1039" s="140" t="s">
        <v>137</v>
      </c>
      <c r="E1039" s="141" t="s">
        <v>3</v>
      </c>
      <c r="F1039" s="142" t="s">
        <v>2141</v>
      </c>
      <c r="H1039" s="143">
        <v>27.528</v>
      </c>
      <c r="L1039" s="139"/>
      <c r="M1039" s="144"/>
      <c r="T1039" s="145"/>
      <c r="AT1039" s="141" t="s">
        <v>137</v>
      </c>
      <c r="AU1039" s="141" t="s">
        <v>80</v>
      </c>
      <c r="AV1039" s="12" t="s">
        <v>80</v>
      </c>
      <c r="AW1039" s="12" t="s">
        <v>32</v>
      </c>
      <c r="AX1039" s="12" t="s">
        <v>78</v>
      </c>
      <c r="AY1039" s="141" t="s">
        <v>126</v>
      </c>
    </row>
    <row r="1040" spans="2:51" s="12" customFormat="1" ht="12">
      <c r="B1040" s="139"/>
      <c r="D1040" s="140" t="s">
        <v>137</v>
      </c>
      <c r="F1040" s="142" t="s">
        <v>2166</v>
      </c>
      <c r="H1040" s="143">
        <v>33.034</v>
      </c>
      <c r="L1040" s="139"/>
      <c r="M1040" s="144"/>
      <c r="T1040" s="145"/>
      <c r="AT1040" s="141" t="s">
        <v>137</v>
      </c>
      <c r="AU1040" s="141" t="s">
        <v>80</v>
      </c>
      <c r="AV1040" s="12" t="s">
        <v>80</v>
      </c>
      <c r="AW1040" s="12" t="s">
        <v>4</v>
      </c>
      <c r="AX1040" s="12" t="s">
        <v>78</v>
      </c>
      <c r="AY1040" s="141" t="s">
        <v>126</v>
      </c>
    </row>
    <row r="1041" spans="2:65" s="1" customFormat="1" ht="24.2" customHeight="1">
      <c r="B1041" s="123"/>
      <c r="C1041" s="124" t="s">
        <v>2167</v>
      </c>
      <c r="D1041" s="124" t="s">
        <v>128</v>
      </c>
      <c r="E1041" s="125" t="s">
        <v>2168</v>
      </c>
      <c r="F1041" s="126" t="s">
        <v>2169</v>
      </c>
      <c r="G1041" s="127" t="s">
        <v>249</v>
      </c>
      <c r="H1041" s="128">
        <v>100.1</v>
      </c>
      <c r="I1041" s="129"/>
      <c r="J1041" s="129">
        <f>ROUND(I1041*H1041,2)</f>
        <v>0</v>
      </c>
      <c r="K1041" s="126" t="s">
        <v>132</v>
      </c>
      <c r="L1041" s="29"/>
      <c r="M1041" s="130" t="s">
        <v>3</v>
      </c>
      <c r="N1041" s="131" t="s">
        <v>41</v>
      </c>
      <c r="O1041" s="132">
        <v>0.276</v>
      </c>
      <c r="P1041" s="132">
        <f>O1041*H1041</f>
        <v>27.6276</v>
      </c>
      <c r="Q1041" s="132">
        <v>0.00102</v>
      </c>
      <c r="R1041" s="132">
        <f>Q1041*H1041</f>
        <v>0.102102</v>
      </c>
      <c r="S1041" s="132">
        <v>0</v>
      </c>
      <c r="T1041" s="133">
        <f>S1041*H1041</f>
        <v>0</v>
      </c>
      <c r="AR1041" s="134" t="s">
        <v>221</v>
      </c>
      <c r="AT1041" s="134" t="s">
        <v>128</v>
      </c>
      <c r="AU1041" s="134" t="s">
        <v>80</v>
      </c>
      <c r="AY1041" s="17" t="s">
        <v>126</v>
      </c>
      <c r="BE1041" s="135">
        <f>IF(N1041="základní",J1041,0)</f>
        <v>0</v>
      </c>
      <c r="BF1041" s="135">
        <f>IF(N1041="snížená",J1041,0)</f>
        <v>0</v>
      </c>
      <c r="BG1041" s="135">
        <f>IF(N1041="zákl. přenesená",J1041,0)</f>
        <v>0</v>
      </c>
      <c r="BH1041" s="135">
        <f>IF(N1041="sníž. přenesená",J1041,0)</f>
        <v>0</v>
      </c>
      <c r="BI1041" s="135">
        <f>IF(N1041="nulová",J1041,0)</f>
        <v>0</v>
      </c>
      <c r="BJ1041" s="17" t="s">
        <v>78</v>
      </c>
      <c r="BK1041" s="135">
        <f>ROUND(I1041*H1041,2)</f>
        <v>0</v>
      </c>
      <c r="BL1041" s="17" t="s">
        <v>221</v>
      </c>
      <c r="BM1041" s="134" t="s">
        <v>2170</v>
      </c>
    </row>
    <row r="1042" spans="2:47" s="1" customFormat="1" ht="12">
      <c r="B1042" s="29"/>
      <c r="D1042" s="136" t="s">
        <v>135</v>
      </c>
      <c r="F1042" s="137" t="s">
        <v>2171</v>
      </c>
      <c r="L1042" s="29"/>
      <c r="M1042" s="138"/>
      <c r="T1042" s="49"/>
      <c r="AT1042" s="17" t="s">
        <v>135</v>
      </c>
      <c r="AU1042" s="17" t="s">
        <v>80</v>
      </c>
    </row>
    <row r="1043" spans="2:51" s="12" customFormat="1" ht="12">
      <c r="B1043" s="139"/>
      <c r="D1043" s="140" t="s">
        <v>137</v>
      </c>
      <c r="E1043" s="141" t="s">
        <v>3</v>
      </c>
      <c r="F1043" s="142" t="s">
        <v>2135</v>
      </c>
      <c r="H1043" s="143">
        <v>100.1</v>
      </c>
      <c r="L1043" s="139"/>
      <c r="M1043" s="144"/>
      <c r="T1043" s="145"/>
      <c r="AT1043" s="141" t="s">
        <v>137</v>
      </c>
      <c r="AU1043" s="141" t="s">
        <v>80</v>
      </c>
      <c r="AV1043" s="12" t="s">
        <v>80</v>
      </c>
      <c r="AW1043" s="12" t="s">
        <v>32</v>
      </c>
      <c r="AX1043" s="12" t="s">
        <v>78</v>
      </c>
      <c r="AY1043" s="141" t="s">
        <v>126</v>
      </c>
    </row>
    <row r="1044" spans="2:65" s="1" customFormat="1" ht="24.2" customHeight="1">
      <c r="B1044" s="123"/>
      <c r="C1044" s="152" t="s">
        <v>2172</v>
      </c>
      <c r="D1044" s="152" t="s">
        <v>405</v>
      </c>
      <c r="E1044" s="153" t="s">
        <v>2163</v>
      </c>
      <c r="F1044" s="154" t="s">
        <v>2164</v>
      </c>
      <c r="G1044" s="155" t="s">
        <v>131</v>
      </c>
      <c r="H1044" s="156">
        <v>20.481</v>
      </c>
      <c r="I1044" s="157"/>
      <c r="J1044" s="157">
        <f>ROUND(I1044*H1044,2)</f>
        <v>0</v>
      </c>
      <c r="K1044" s="154" t="s">
        <v>132</v>
      </c>
      <c r="L1044" s="158"/>
      <c r="M1044" s="159" t="s">
        <v>3</v>
      </c>
      <c r="N1044" s="160" t="s">
        <v>41</v>
      </c>
      <c r="O1044" s="132">
        <v>0</v>
      </c>
      <c r="P1044" s="132">
        <f>O1044*H1044</f>
        <v>0</v>
      </c>
      <c r="Q1044" s="132">
        <v>0.0192</v>
      </c>
      <c r="R1044" s="132">
        <f>Q1044*H1044</f>
        <v>0.3932352</v>
      </c>
      <c r="S1044" s="132">
        <v>0</v>
      </c>
      <c r="T1044" s="133">
        <f>S1044*H1044</f>
        <v>0</v>
      </c>
      <c r="AR1044" s="134" t="s">
        <v>325</v>
      </c>
      <c r="AT1044" s="134" t="s">
        <v>405</v>
      </c>
      <c r="AU1044" s="134" t="s">
        <v>80</v>
      </c>
      <c r="AY1044" s="17" t="s">
        <v>126</v>
      </c>
      <c r="BE1044" s="135">
        <f>IF(N1044="základní",J1044,0)</f>
        <v>0</v>
      </c>
      <c r="BF1044" s="135">
        <f>IF(N1044="snížená",J1044,0)</f>
        <v>0</v>
      </c>
      <c r="BG1044" s="135">
        <f>IF(N1044="zákl. přenesená",J1044,0)</f>
        <v>0</v>
      </c>
      <c r="BH1044" s="135">
        <f>IF(N1044="sníž. přenesená",J1044,0)</f>
        <v>0</v>
      </c>
      <c r="BI1044" s="135">
        <f>IF(N1044="nulová",J1044,0)</f>
        <v>0</v>
      </c>
      <c r="BJ1044" s="17" t="s">
        <v>78</v>
      </c>
      <c r="BK1044" s="135">
        <f>ROUND(I1044*H1044,2)</f>
        <v>0</v>
      </c>
      <c r="BL1044" s="17" t="s">
        <v>221</v>
      </c>
      <c r="BM1044" s="134" t="s">
        <v>2173</v>
      </c>
    </row>
    <row r="1045" spans="2:51" s="12" customFormat="1" ht="12">
      <c r="B1045" s="139"/>
      <c r="D1045" s="140" t="s">
        <v>137</v>
      </c>
      <c r="E1045" s="141" t="s">
        <v>3</v>
      </c>
      <c r="F1045" s="142" t="s">
        <v>797</v>
      </c>
      <c r="H1045" s="143">
        <v>18.619</v>
      </c>
      <c r="L1045" s="139"/>
      <c r="M1045" s="144"/>
      <c r="T1045" s="145"/>
      <c r="AT1045" s="141" t="s">
        <v>137</v>
      </c>
      <c r="AU1045" s="141" t="s">
        <v>80</v>
      </c>
      <c r="AV1045" s="12" t="s">
        <v>80</v>
      </c>
      <c r="AW1045" s="12" t="s">
        <v>32</v>
      </c>
      <c r="AX1045" s="12" t="s">
        <v>78</v>
      </c>
      <c r="AY1045" s="141" t="s">
        <v>126</v>
      </c>
    </row>
    <row r="1046" spans="2:51" s="12" customFormat="1" ht="12">
      <c r="B1046" s="139"/>
      <c r="D1046" s="140" t="s">
        <v>137</v>
      </c>
      <c r="F1046" s="142" t="s">
        <v>2174</v>
      </c>
      <c r="H1046" s="143">
        <v>20.481</v>
      </c>
      <c r="L1046" s="139"/>
      <c r="M1046" s="144"/>
      <c r="T1046" s="145"/>
      <c r="AT1046" s="141" t="s">
        <v>137</v>
      </c>
      <c r="AU1046" s="141" t="s">
        <v>80</v>
      </c>
      <c r="AV1046" s="12" t="s">
        <v>80</v>
      </c>
      <c r="AW1046" s="12" t="s">
        <v>4</v>
      </c>
      <c r="AX1046" s="12" t="s">
        <v>78</v>
      </c>
      <c r="AY1046" s="141" t="s">
        <v>126</v>
      </c>
    </row>
    <row r="1047" spans="2:65" s="1" customFormat="1" ht="21.75" customHeight="1">
      <c r="B1047" s="123"/>
      <c r="C1047" s="124" t="s">
        <v>2175</v>
      </c>
      <c r="D1047" s="124" t="s">
        <v>128</v>
      </c>
      <c r="E1047" s="125" t="s">
        <v>2176</v>
      </c>
      <c r="F1047" s="126" t="s">
        <v>2177</v>
      </c>
      <c r="G1047" s="127" t="s">
        <v>249</v>
      </c>
      <c r="H1047" s="128">
        <v>49.616</v>
      </c>
      <c r="I1047" s="129"/>
      <c r="J1047" s="129">
        <f>ROUND(I1047*H1047,2)</f>
        <v>0</v>
      </c>
      <c r="K1047" s="126" t="s">
        <v>132</v>
      </c>
      <c r="L1047" s="29"/>
      <c r="M1047" s="130" t="s">
        <v>3</v>
      </c>
      <c r="N1047" s="131" t="s">
        <v>41</v>
      </c>
      <c r="O1047" s="132">
        <v>0.209</v>
      </c>
      <c r="P1047" s="132">
        <f>O1047*H1047</f>
        <v>10.369743999999999</v>
      </c>
      <c r="Q1047" s="132">
        <v>0.00058</v>
      </c>
      <c r="R1047" s="132">
        <f>Q1047*H1047</f>
        <v>0.02877728</v>
      </c>
      <c r="S1047" s="132">
        <v>0</v>
      </c>
      <c r="T1047" s="133">
        <f>S1047*H1047</f>
        <v>0</v>
      </c>
      <c r="AR1047" s="134" t="s">
        <v>221</v>
      </c>
      <c r="AT1047" s="134" t="s">
        <v>128</v>
      </c>
      <c r="AU1047" s="134" t="s">
        <v>80</v>
      </c>
      <c r="AY1047" s="17" t="s">
        <v>126</v>
      </c>
      <c r="BE1047" s="135">
        <f>IF(N1047="základní",J1047,0)</f>
        <v>0</v>
      </c>
      <c r="BF1047" s="135">
        <f>IF(N1047="snížená",J1047,0)</f>
        <v>0</v>
      </c>
      <c r="BG1047" s="135">
        <f>IF(N1047="zákl. přenesená",J1047,0)</f>
        <v>0</v>
      </c>
      <c r="BH1047" s="135">
        <f>IF(N1047="sníž. přenesená",J1047,0)</f>
        <v>0</v>
      </c>
      <c r="BI1047" s="135">
        <f>IF(N1047="nulová",J1047,0)</f>
        <v>0</v>
      </c>
      <c r="BJ1047" s="17" t="s">
        <v>78</v>
      </c>
      <c r="BK1047" s="135">
        <f>ROUND(I1047*H1047,2)</f>
        <v>0</v>
      </c>
      <c r="BL1047" s="17" t="s">
        <v>221</v>
      </c>
      <c r="BM1047" s="134" t="s">
        <v>2178</v>
      </c>
    </row>
    <row r="1048" spans="2:47" s="1" customFormat="1" ht="12">
      <c r="B1048" s="29"/>
      <c r="D1048" s="136" t="s">
        <v>135</v>
      </c>
      <c r="F1048" s="137" t="s">
        <v>2179</v>
      </c>
      <c r="L1048" s="29"/>
      <c r="M1048" s="138"/>
      <c r="T1048" s="49"/>
      <c r="AT1048" s="17" t="s">
        <v>135</v>
      </c>
      <c r="AU1048" s="17" t="s">
        <v>80</v>
      </c>
    </row>
    <row r="1049" spans="2:51" s="12" customFormat="1" ht="12">
      <c r="B1049" s="139"/>
      <c r="D1049" s="140" t="s">
        <v>137</v>
      </c>
      <c r="E1049" s="141" t="s">
        <v>3</v>
      </c>
      <c r="F1049" s="142" t="s">
        <v>959</v>
      </c>
      <c r="H1049" s="143">
        <v>17.216</v>
      </c>
      <c r="L1049" s="139"/>
      <c r="M1049" s="144"/>
      <c r="T1049" s="145"/>
      <c r="AT1049" s="141" t="s">
        <v>137</v>
      </c>
      <c r="AU1049" s="141" t="s">
        <v>80</v>
      </c>
      <c r="AV1049" s="12" t="s">
        <v>80</v>
      </c>
      <c r="AW1049" s="12" t="s">
        <v>32</v>
      </c>
      <c r="AX1049" s="12" t="s">
        <v>70</v>
      </c>
      <c r="AY1049" s="141" t="s">
        <v>126</v>
      </c>
    </row>
    <row r="1050" spans="2:51" s="12" customFormat="1" ht="12">
      <c r="B1050" s="139"/>
      <c r="D1050" s="140" t="s">
        <v>137</v>
      </c>
      <c r="E1050" s="141" t="s">
        <v>3</v>
      </c>
      <c r="F1050" s="142" t="s">
        <v>960</v>
      </c>
      <c r="H1050" s="143">
        <v>32.4</v>
      </c>
      <c r="L1050" s="139"/>
      <c r="M1050" s="144"/>
      <c r="T1050" s="145"/>
      <c r="AT1050" s="141" t="s">
        <v>137</v>
      </c>
      <c r="AU1050" s="141" t="s">
        <v>80</v>
      </c>
      <c r="AV1050" s="12" t="s">
        <v>80</v>
      </c>
      <c r="AW1050" s="12" t="s">
        <v>32</v>
      </c>
      <c r="AX1050" s="12" t="s">
        <v>70</v>
      </c>
      <c r="AY1050" s="141" t="s">
        <v>126</v>
      </c>
    </row>
    <row r="1051" spans="2:51" s="13" customFormat="1" ht="12">
      <c r="B1051" s="146"/>
      <c r="D1051" s="140" t="s">
        <v>137</v>
      </c>
      <c r="E1051" s="147" t="s">
        <v>3</v>
      </c>
      <c r="F1051" s="148" t="s">
        <v>151</v>
      </c>
      <c r="H1051" s="149">
        <v>49.616</v>
      </c>
      <c r="L1051" s="146"/>
      <c r="M1051" s="150"/>
      <c r="T1051" s="151"/>
      <c r="AT1051" s="147" t="s">
        <v>137</v>
      </c>
      <c r="AU1051" s="147" t="s">
        <v>80</v>
      </c>
      <c r="AV1051" s="13" t="s">
        <v>133</v>
      </c>
      <c r="AW1051" s="13" t="s">
        <v>32</v>
      </c>
      <c r="AX1051" s="13" t="s">
        <v>78</v>
      </c>
      <c r="AY1051" s="147" t="s">
        <v>126</v>
      </c>
    </row>
    <row r="1052" spans="2:65" s="1" customFormat="1" ht="24.2" customHeight="1">
      <c r="B1052" s="123"/>
      <c r="C1052" s="152" t="s">
        <v>2180</v>
      </c>
      <c r="D1052" s="152" t="s">
        <v>405</v>
      </c>
      <c r="E1052" s="153" t="s">
        <v>2163</v>
      </c>
      <c r="F1052" s="154" t="s">
        <v>2164</v>
      </c>
      <c r="G1052" s="155" t="s">
        <v>131</v>
      </c>
      <c r="H1052" s="156">
        <v>7.145</v>
      </c>
      <c r="I1052" s="157"/>
      <c r="J1052" s="157">
        <f>ROUND(I1052*H1052,2)</f>
        <v>0</v>
      </c>
      <c r="K1052" s="154" t="s">
        <v>132</v>
      </c>
      <c r="L1052" s="158"/>
      <c r="M1052" s="159" t="s">
        <v>3</v>
      </c>
      <c r="N1052" s="160" t="s">
        <v>41</v>
      </c>
      <c r="O1052" s="132">
        <v>0</v>
      </c>
      <c r="P1052" s="132">
        <f>O1052*H1052</f>
        <v>0</v>
      </c>
      <c r="Q1052" s="132">
        <v>0.0192</v>
      </c>
      <c r="R1052" s="132">
        <f>Q1052*H1052</f>
        <v>0.13718399999999997</v>
      </c>
      <c r="S1052" s="132">
        <v>0</v>
      </c>
      <c r="T1052" s="133">
        <f>S1052*H1052</f>
        <v>0</v>
      </c>
      <c r="AR1052" s="134" t="s">
        <v>325</v>
      </c>
      <c r="AT1052" s="134" t="s">
        <v>405</v>
      </c>
      <c r="AU1052" s="134" t="s">
        <v>80</v>
      </c>
      <c r="AY1052" s="17" t="s">
        <v>126</v>
      </c>
      <c r="BE1052" s="135">
        <f>IF(N1052="základní",J1052,0)</f>
        <v>0</v>
      </c>
      <c r="BF1052" s="135">
        <f>IF(N1052="snížená",J1052,0)</f>
        <v>0</v>
      </c>
      <c r="BG1052" s="135">
        <f>IF(N1052="zákl. přenesená",J1052,0)</f>
        <v>0</v>
      </c>
      <c r="BH1052" s="135">
        <f>IF(N1052="sníž. přenesená",J1052,0)</f>
        <v>0</v>
      </c>
      <c r="BI1052" s="135">
        <f>IF(N1052="nulová",J1052,0)</f>
        <v>0</v>
      </c>
      <c r="BJ1052" s="17" t="s">
        <v>78</v>
      </c>
      <c r="BK1052" s="135">
        <f>ROUND(I1052*H1052,2)</f>
        <v>0</v>
      </c>
      <c r="BL1052" s="17" t="s">
        <v>221</v>
      </c>
      <c r="BM1052" s="134" t="s">
        <v>2181</v>
      </c>
    </row>
    <row r="1053" spans="2:51" s="12" customFormat="1" ht="12">
      <c r="B1053" s="139"/>
      <c r="D1053" s="140" t="s">
        <v>137</v>
      </c>
      <c r="F1053" s="142" t="s">
        <v>2182</v>
      </c>
      <c r="H1053" s="143">
        <v>7.145</v>
      </c>
      <c r="L1053" s="139"/>
      <c r="M1053" s="144"/>
      <c r="T1053" s="145"/>
      <c r="AT1053" s="141" t="s">
        <v>137</v>
      </c>
      <c r="AU1053" s="141" t="s">
        <v>80</v>
      </c>
      <c r="AV1053" s="12" t="s">
        <v>80</v>
      </c>
      <c r="AW1053" s="12" t="s">
        <v>4</v>
      </c>
      <c r="AX1053" s="12" t="s">
        <v>78</v>
      </c>
      <c r="AY1053" s="141" t="s">
        <v>126</v>
      </c>
    </row>
    <row r="1054" spans="2:65" s="1" customFormat="1" ht="24.2" customHeight="1">
      <c r="B1054" s="123"/>
      <c r="C1054" s="124" t="s">
        <v>2183</v>
      </c>
      <c r="D1054" s="124" t="s">
        <v>128</v>
      </c>
      <c r="E1054" s="125" t="s">
        <v>2184</v>
      </c>
      <c r="F1054" s="126" t="s">
        <v>2185</v>
      </c>
      <c r="G1054" s="127" t="s">
        <v>249</v>
      </c>
      <c r="H1054" s="128">
        <v>44.737</v>
      </c>
      <c r="I1054" s="129"/>
      <c r="J1054" s="129">
        <f>ROUND(I1054*H1054,2)</f>
        <v>0</v>
      </c>
      <c r="K1054" s="126" t="s">
        <v>132</v>
      </c>
      <c r="L1054" s="29"/>
      <c r="M1054" s="130" t="s">
        <v>3</v>
      </c>
      <c r="N1054" s="131" t="s">
        <v>41</v>
      </c>
      <c r="O1054" s="132">
        <v>0.305</v>
      </c>
      <c r="P1054" s="132">
        <f>O1054*H1054</f>
        <v>13.644785</v>
      </c>
      <c r="Q1054" s="132">
        <v>0.00058</v>
      </c>
      <c r="R1054" s="132">
        <f>Q1054*H1054</f>
        <v>0.025947460000000002</v>
      </c>
      <c r="S1054" s="132">
        <v>0</v>
      </c>
      <c r="T1054" s="133">
        <f>S1054*H1054</f>
        <v>0</v>
      </c>
      <c r="AR1054" s="134" t="s">
        <v>221</v>
      </c>
      <c r="AT1054" s="134" t="s">
        <v>128</v>
      </c>
      <c r="AU1054" s="134" t="s">
        <v>80</v>
      </c>
      <c r="AY1054" s="17" t="s">
        <v>126</v>
      </c>
      <c r="BE1054" s="135">
        <f>IF(N1054="základní",J1054,0)</f>
        <v>0</v>
      </c>
      <c r="BF1054" s="135">
        <f>IF(N1054="snížená",J1054,0)</f>
        <v>0</v>
      </c>
      <c r="BG1054" s="135">
        <f>IF(N1054="zákl. přenesená",J1054,0)</f>
        <v>0</v>
      </c>
      <c r="BH1054" s="135">
        <f>IF(N1054="sníž. přenesená",J1054,0)</f>
        <v>0</v>
      </c>
      <c r="BI1054" s="135">
        <f>IF(N1054="nulová",J1054,0)</f>
        <v>0</v>
      </c>
      <c r="BJ1054" s="17" t="s">
        <v>78</v>
      </c>
      <c r="BK1054" s="135">
        <f>ROUND(I1054*H1054,2)</f>
        <v>0</v>
      </c>
      <c r="BL1054" s="17" t="s">
        <v>221</v>
      </c>
      <c r="BM1054" s="134" t="s">
        <v>2186</v>
      </c>
    </row>
    <row r="1055" spans="2:47" s="1" customFormat="1" ht="12">
      <c r="B1055" s="29"/>
      <c r="D1055" s="136" t="s">
        <v>135</v>
      </c>
      <c r="F1055" s="137" t="s">
        <v>2187</v>
      </c>
      <c r="L1055" s="29"/>
      <c r="M1055" s="138"/>
      <c r="T1055" s="49"/>
      <c r="AT1055" s="17" t="s">
        <v>135</v>
      </c>
      <c r="AU1055" s="17" t="s">
        <v>80</v>
      </c>
    </row>
    <row r="1056" spans="2:51" s="12" customFormat="1" ht="12">
      <c r="B1056" s="139"/>
      <c r="D1056" s="140" t="s">
        <v>137</v>
      </c>
      <c r="E1056" s="141" t="s">
        <v>3</v>
      </c>
      <c r="F1056" s="142" t="s">
        <v>2188</v>
      </c>
      <c r="H1056" s="143">
        <v>44.737</v>
      </c>
      <c r="L1056" s="139"/>
      <c r="M1056" s="144"/>
      <c r="T1056" s="145"/>
      <c r="AT1056" s="141" t="s">
        <v>137</v>
      </c>
      <c r="AU1056" s="141" t="s">
        <v>80</v>
      </c>
      <c r="AV1056" s="12" t="s">
        <v>80</v>
      </c>
      <c r="AW1056" s="12" t="s">
        <v>32</v>
      </c>
      <c r="AX1056" s="12" t="s">
        <v>78</v>
      </c>
      <c r="AY1056" s="141" t="s">
        <v>126</v>
      </c>
    </row>
    <row r="1057" spans="2:65" s="1" customFormat="1" ht="24.2" customHeight="1">
      <c r="B1057" s="123"/>
      <c r="C1057" s="152" t="s">
        <v>2189</v>
      </c>
      <c r="D1057" s="152" t="s">
        <v>405</v>
      </c>
      <c r="E1057" s="153" t="s">
        <v>2163</v>
      </c>
      <c r="F1057" s="154" t="s">
        <v>2164</v>
      </c>
      <c r="G1057" s="155" t="s">
        <v>131</v>
      </c>
      <c r="H1057" s="156">
        <v>6.442</v>
      </c>
      <c r="I1057" s="157"/>
      <c r="J1057" s="157">
        <f>ROUND(I1057*H1057,2)</f>
        <v>0</v>
      </c>
      <c r="K1057" s="154" t="s">
        <v>132</v>
      </c>
      <c r="L1057" s="158"/>
      <c r="M1057" s="159" t="s">
        <v>3</v>
      </c>
      <c r="N1057" s="160" t="s">
        <v>41</v>
      </c>
      <c r="O1057" s="132">
        <v>0</v>
      </c>
      <c r="P1057" s="132">
        <f>O1057*H1057</f>
        <v>0</v>
      </c>
      <c r="Q1057" s="132">
        <v>0.0192</v>
      </c>
      <c r="R1057" s="132">
        <f>Q1057*H1057</f>
        <v>0.12368639999999999</v>
      </c>
      <c r="S1057" s="132">
        <v>0</v>
      </c>
      <c r="T1057" s="133">
        <f>S1057*H1057</f>
        <v>0</v>
      </c>
      <c r="AR1057" s="134" t="s">
        <v>325</v>
      </c>
      <c r="AT1057" s="134" t="s">
        <v>405</v>
      </c>
      <c r="AU1057" s="134" t="s">
        <v>80</v>
      </c>
      <c r="AY1057" s="17" t="s">
        <v>126</v>
      </c>
      <c r="BE1057" s="135">
        <f>IF(N1057="základní",J1057,0)</f>
        <v>0</v>
      </c>
      <c r="BF1057" s="135">
        <f>IF(N1057="snížená",J1057,0)</f>
        <v>0</v>
      </c>
      <c r="BG1057" s="135">
        <f>IF(N1057="zákl. přenesená",J1057,0)</f>
        <v>0</v>
      </c>
      <c r="BH1057" s="135">
        <f>IF(N1057="sníž. přenesená",J1057,0)</f>
        <v>0</v>
      </c>
      <c r="BI1057" s="135">
        <f>IF(N1057="nulová",J1057,0)</f>
        <v>0</v>
      </c>
      <c r="BJ1057" s="17" t="s">
        <v>78</v>
      </c>
      <c r="BK1057" s="135">
        <f>ROUND(I1057*H1057,2)</f>
        <v>0</v>
      </c>
      <c r="BL1057" s="17" t="s">
        <v>221</v>
      </c>
      <c r="BM1057" s="134" t="s">
        <v>2190</v>
      </c>
    </row>
    <row r="1058" spans="2:51" s="12" customFormat="1" ht="12">
      <c r="B1058" s="139"/>
      <c r="D1058" s="140" t="s">
        <v>137</v>
      </c>
      <c r="F1058" s="142" t="s">
        <v>2191</v>
      </c>
      <c r="H1058" s="143">
        <v>6.442</v>
      </c>
      <c r="L1058" s="139"/>
      <c r="M1058" s="144"/>
      <c r="T1058" s="145"/>
      <c r="AT1058" s="141" t="s">
        <v>137</v>
      </c>
      <c r="AU1058" s="141" t="s">
        <v>80</v>
      </c>
      <c r="AV1058" s="12" t="s">
        <v>80</v>
      </c>
      <c r="AW1058" s="12" t="s">
        <v>4</v>
      </c>
      <c r="AX1058" s="12" t="s">
        <v>78</v>
      </c>
      <c r="AY1058" s="141" t="s">
        <v>126</v>
      </c>
    </row>
    <row r="1059" spans="2:65" s="1" customFormat="1" ht="24.2" customHeight="1">
      <c r="B1059" s="123"/>
      <c r="C1059" s="124" t="s">
        <v>2192</v>
      </c>
      <c r="D1059" s="124" t="s">
        <v>128</v>
      </c>
      <c r="E1059" s="125" t="s">
        <v>2193</v>
      </c>
      <c r="F1059" s="126" t="s">
        <v>2194</v>
      </c>
      <c r="G1059" s="127" t="s">
        <v>131</v>
      </c>
      <c r="H1059" s="128">
        <v>59.748</v>
      </c>
      <c r="I1059" s="129"/>
      <c r="J1059" s="129">
        <f>ROUND(I1059*H1059,2)</f>
        <v>0</v>
      </c>
      <c r="K1059" s="126" t="s">
        <v>132</v>
      </c>
      <c r="L1059" s="29"/>
      <c r="M1059" s="130" t="s">
        <v>3</v>
      </c>
      <c r="N1059" s="131" t="s">
        <v>41</v>
      </c>
      <c r="O1059" s="132">
        <v>0.741</v>
      </c>
      <c r="P1059" s="132">
        <f>O1059*H1059</f>
        <v>44.273267999999995</v>
      </c>
      <c r="Q1059" s="132">
        <v>0.00689</v>
      </c>
      <c r="R1059" s="132">
        <f>Q1059*H1059</f>
        <v>0.41166372</v>
      </c>
      <c r="S1059" s="132">
        <v>0</v>
      </c>
      <c r="T1059" s="133">
        <f>S1059*H1059</f>
        <v>0</v>
      </c>
      <c r="AR1059" s="134" t="s">
        <v>221</v>
      </c>
      <c r="AT1059" s="134" t="s">
        <v>128</v>
      </c>
      <c r="AU1059" s="134" t="s">
        <v>80</v>
      </c>
      <c r="AY1059" s="17" t="s">
        <v>126</v>
      </c>
      <c r="BE1059" s="135">
        <f>IF(N1059="základní",J1059,0)</f>
        <v>0</v>
      </c>
      <c r="BF1059" s="135">
        <f>IF(N1059="snížená",J1059,0)</f>
        <v>0</v>
      </c>
      <c r="BG1059" s="135">
        <f>IF(N1059="zákl. přenesená",J1059,0)</f>
        <v>0</v>
      </c>
      <c r="BH1059" s="135">
        <f>IF(N1059="sníž. přenesená",J1059,0)</f>
        <v>0</v>
      </c>
      <c r="BI1059" s="135">
        <f>IF(N1059="nulová",J1059,0)</f>
        <v>0</v>
      </c>
      <c r="BJ1059" s="17" t="s">
        <v>78</v>
      </c>
      <c r="BK1059" s="135">
        <f>ROUND(I1059*H1059,2)</f>
        <v>0</v>
      </c>
      <c r="BL1059" s="17" t="s">
        <v>221</v>
      </c>
      <c r="BM1059" s="134" t="s">
        <v>2195</v>
      </c>
    </row>
    <row r="1060" spans="2:47" s="1" customFormat="1" ht="12">
      <c r="B1060" s="29"/>
      <c r="D1060" s="136" t="s">
        <v>135</v>
      </c>
      <c r="F1060" s="137" t="s">
        <v>2196</v>
      </c>
      <c r="L1060" s="29"/>
      <c r="M1060" s="138"/>
      <c r="T1060" s="49"/>
      <c r="AT1060" s="17" t="s">
        <v>135</v>
      </c>
      <c r="AU1060" s="17" t="s">
        <v>80</v>
      </c>
    </row>
    <row r="1061" spans="2:51" s="12" customFormat="1" ht="12">
      <c r="B1061" s="139"/>
      <c r="D1061" s="140" t="s">
        <v>137</v>
      </c>
      <c r="E1061" s="141" t="s">
        <v>3</v>
      </c>
      <c r="F1061" s="142" t="s">
        <v>641</v>
      </c>
      <c r="H1061" s="143">
        <v>15.648</v>
      </c>
      <c r="L1061" s="139"/>
      <c r="M1061" s="144"/>
      <c r="T1061" s="145"/>
      <c r="AT1061" s="141" t="s">
        <v>137</v>
      </c>
      <c r="AU1061" s="141" t="s">
        <v>80</v>
      </c>
      <c r="AV1061" s="12" t="s">
        <v>80</v>
      </c>
      <c r="AW1061" s="12" t="s">
        <v>32</v>
      </c>
      <c r="AX1061" s="12" t="s">
        <v>70</v>
      </c>
      <c r="AY1061" s="141" t="s">
        <v>126</v>
      </c>
    </row>
    <row r="1062" spans="2:51" s="12" customFormat="1" ht="12">
      <c r="B1062" s="139"/>
      <c r="D1062" s="140" t="s">
        <v>137</v>
      </c>
      <c r="E1062" s="141" t="s">
        <v>3</v>
      </c>
      <c r="F1062" s="142" t="s">
        <v>2128</v>
      </c>
      <c r="H1062" s="143">
        <v>21.84</v>
      </c>
      <c r="L1062" s="139"/>
      <c r="M1062" s="144"/>
      <c r="T1062" s="145"/>
      <c r="AT1062" s="141" t="s">
        <v>137</v>
      </c>
      <c r="AU1062" s="141" t="s">
        <v>80</v>
      </c>
      <c r="AV1062" s="12" t="s">
        <v>80</v>
      </c>
      <c r="AW1062" s="12" t="s">
        <v>32</v>
      </c>
      <c r="AX1062" s="12" t="s">
        <v>70</v>
      </c>
      <c r="AY1062" s="141" t="s">
        <v>126</v>
      </c>
    </row>
    <row r="1063" spans="2:51" s="12" customFormat="1" ht="12">
      <c r="B1063" s="139"/>
      <c r="D1063" s="140" t="s">
        <v>137</v>
      </c>
      <c r="E1063" s="141" t="s">
        <v>3</v>
      </c>
      <c r="F1063" s="142" t="s">
        <v>2129</v>
      </c>
      <c r="H1063" s="143">
        <v>22.26</v>
      </c>
      <c r="L1063" s="139"/>
      <c r="M1063" s="144"/>
      <c r="T1063" s="145"/>
      <c r="AT1063" s="141" t="s">
        <v>137</v>
      </c>
      <c r="AU1063" s="141" t="s">
        <v>80</v>
      </c>
      <c r="AV1063" s="12" t="s">
        <v>80</v>
      </c>
      <c r="AW1063" s="12" t="s">
        <v>32</v>
      </c>
      <c r="AX1063" s="12" t="s">
        <v>70</v>
      </c>
      <c r="AY1063" s="141" t="s">
        <v>126</v>
      </c>
    </row>
    <row r="1064" spans="2:51" s="13" customFormat="1" ht="12">
      <c r="B1064" s="146"/>
      <c r="D1064" s="140" t="s">
        <v>137</v>
      </c>
      <c r="E1064" s="147" t="s">
        <v>3</v>
      </c>
      <c r="F1064" s="148" t="s">
        <v>151</v>
      </c>
      <c r="H1064" s="149">
        <v>59.748000000000005</v>
      </c>
      <c r="L1064" s="146"/>
      <c r="M1064" s="150"/>
      <c r="T1064" s="151"/>
      <c r="AT1064" s="147" t="s">
        <v>137</v>
      </c>
      <c r="AU1064" s="147" t="s">
        <v>80</v>
      </c>
      <c r="AV1064" s="13" t="s">
        <v>133</v>
      </c>
      <c r="AW1064" s="13" t="s">
        <v>32</v>
      </c>
      <c r="AX1064" s="13" t="s">
        <v>78</v>
      </c>
      <c r="AY1064" s="147" t="s">
        <v>126</v>
      </c>
    </row>
    <row r="1065" spans="2:65" s="1" customFormat="1" ht="24.2" customHeight="1">
      <c r="B1065" s="123"/>
      <c r="C1065" s="152" t="s">
        <v>2197</v>
      </c>
      <c r="D1065" s="152" t="s">
        <v>405</v>
      </c>
      <c r="E1065" s="153" t="s">
        <v>2163</v>
      </c>
      <c r="F1065" s="154" t="s">
        <v>2164</v>
      </c>
      <c r="G1065" s="155" t="s">
        <v>131</v>
      </c>
      <c r="H1065" s="156">
        <v>65.723</v>
      </c>
      <c r="I1065" s="157"/>
      <c r="J1065" s="157">
        <f>ROUND(I1065*H1065,2)</f>
        <v>0</v>
      </c>
      <c r="K1065" s="154" t="s">
        <v>132</v>
      </c>
      <c r="L1065" s="158"/>
      <c r="M1065" s="159" t="s">
        <v>3</v>
      </c>
      <c r="N1065" s="160" t="s">
        <v>41</v>
      </c>
      <c r="O1065" s="132">
        <v>0</v>
      </c>
      <c r="P1065" s="132">
        <f>O1065*H1065</f>
        <v>0</v>
      </c>
      <c r="Q1065" s="132">
        <v>0.0192</v>
      </c>
      <c r="R1065" s="132">
        <f>Q1065*H1065</f>
        <v>1.2618816</v>
      </c>
      <c r="S1065" s="132">
        <v>0</v>
      </c>
      <c r="T1065" s="133">
        <f>S1065*H1065</f>
        <v>0</v>
      </c>
      <c r="AR1065" s="134" t="s">
        <v>325</v>
      </c>
      <c r="AT1065" s="134" t="s">
        <v>405</v>
      </c>
      <c r="AU1065" s="134" t="s">
        <v>80</v>
      </c>
      <c r="AY1065" s="17" t="s">
        <v>126</v>
      </c>
      <c r="BE1065" s="135">
        <f>IF(N1065="základní",J1065,0)</f>
        <v>0</v>
      </c>
      <c r="BF1065" s="135">
        <f>IF(N1065="snížená",J1065,0)</f>
        <v>0</v>
      </c>
      <c r="BG1065" s="135">
        <f>IF(N1065="zákl. přenesená",J1065,0)</f>
        <v>0</v>
      </c>
      <c r="BH1065" s="135">
        <f>IF(N1065="sníž. přenesená",J1065,0)</f>
        <v>0</v>
      </c>
      <c r="BI1065" s="135">
        <f>IF(N1065="nulová",J1065,0)</f>
        <v>0</v>
      </c>
      <c r="BJ1065" s="17" t="s">
        <v>78</v>
      </c>
      <c r="BK1065" s="135">
        <f>ROUND(I1065*H1065,2)</f>
        <v>0</v>
      </c>
      <c r="BL1065" s="17" t="s">
        <v>221</v>
      </c>
      <c r="BM1065" s="134" t="s">
        <v>2198</v>
      </c>
    </row>
    <row r="1066" spans="2:51" s="12" customFormat="1" ht="12">
      <c r="B1066" s="139"/>
      <c r="D1066" s="140" t="s">
        <v>137</v>
      </c>
      <c r="F1066" s="142" t="s">
        <v>2199</v>
      </c>
      <c r="H1066" s="143">
        <v>65.723</v>
      </c>
      <c r="L1066" s="139"/>
      <c r="M1066" s="144"/>
      <c r="T1066" s="145"/>
      <c r="AT1066" s="141" t="s">
        <v>137</v>
      </c>
      <c r="AU1066" s="141" t="s">
        <v>80</v>
      </c>
      <c r="AV1066" s="12" t="s">
        <v>80</v>
      </c>
      <c r="AW1066" s="12" t="s">
        <v>4</v>
      </c>
      <c r="AX1066" s="12" t="s">
        <v>78</v>
      </c>
      <c r="AY1066" s="141" t="s">
        <v>126</v>
      </c>
    </row>
    <row r="1067" spans="2:65" s="1" customFormat="1" ht="16.5" customHeight="1">
      <c r="B1067" s="123"/>
      <c r="C1067" s="124" t="s">
        <v>2200</v>
      </c>
      <c r="D1067" s="124" t="s">
        <v>128</v>
      </c>
      <c r="E1067" s="125" t="s">
        <v>2201</v>
      </c>
      <c r="F1067" s="126" t="s">
        <v>2202</v>
      </c>
      <c r="G1067" s="127" t="s">
        <v>131</v>
      </c>
      <c r="H1067" s="128">
        <v>27.314</v>
      </c>
      <c r="I1067" s="129"/>
      <c r="J1067" s="129">
        <f>ROUND(I1067*H1067,2)</f>
        <v>0</v>
      </c>
      <c r="K1067" s="126" t="s">
        <v>132</v>
      </c>
      <c r="L1067" s="29"/>
      <c r="M1067" s="130" t="s">
        <v>3</v>
      </c>
      <c r="N1067" s="131" t="s">
        <v>41</v>
      </c>
      <c r="O1067" s="132">
        <v>0.278</v>
      </c>
      <c r="P1067" s="132">
        <f>O1067*H1067</f>
        <v>7.593292000000001</v>
      </c>
      <c r="Q1067" s="132">
        <v>0.0015</v>
      </c>
      <c r="R1067" s="132">
        <f>Q1067*H1067</f>
        <v>0.040971</v>
      </c>
      <c r="S1067" s="132">
        <v>0</v>
      </c>
      <c r="T1067" s="133">
        <f>S1067*H1067</f>
        <v>0</v>
      </c>
      <c r="AR1067" s="134" t="s">
        <v>221</v>
      </c>
      <c r="AT1067" s="134" t="s">
        <v>128</v>
      </c>
      <c r="AU1067" s="134" t="s">
        <v>80</v>
      </c>
      <c r="AY1067" s="17" t="s">
        <v>126</v>
      </c>
      <c r="BE1067" s="135">
        <f>IF(N1067="základní",J1067,0)</f>
        <v>0</v>
      </c>
      <c r="BF1067" s="135">
        <f>IF(N1067="snížená",J1067,0)</f>
        <v>0</v>
      </c>
      <c r="BG1067" s="135">
        <f>IF(N1067="zákl. přenesená",J1067,0)</f>
        <v>0</v>
      </c>
      <c r="BH1067" s="135">
        <f>IF(N1067="sníž. přenesená",J1067,0)</f>
        <v>0</v>
      </c>
      <c r="BI1067" s="135">
        <f>IF(N1067="nulová",J1067,0)</f>
        <v>0</v>
      </c>
      <c r="BJ1067" s="17" t="s">
        <v>78</v>
      </c>
      <c r="BK1067" s="135">
        <f>ROUND(I1067*H1067,2)</f>
        <v>0</v>
      </c>
      <c r="BL1067" s="17" t="s">
        <v>221</v>
      </c>
      <c r="BM1067" s="134" t="s">
        <v>2203</v>
      </c>
    </row>
    <row r="1068" spans="2:47" s="1" customFormat="1" ht="12">
      <c r="B1068" s="29"/>
      <c r="D1068" s="136" t="s">
        <v>135</v>
      </c>
      <c r="F1068" s="137" t="s">
        <v>2204</v>
      </c>
      <c r="L1068" s="29"/>
      <c r="M1068" s="138"/>
      <c r="T1068" s="49"/>
      <c r="AT1068" s="17" t="s">
        <v>135</v>
      </c>
      <c r="AU1068" s="17" t="s">
        <v>80</v>
      </c>
    </row>
    <row r="1069" spans="2:51" s="12" customFormat="1" ht="12">
      <c r="B1069" s="139"/>
      <c r="D1069" s="140" t="s">
        <v>137</v>
      </c>
      <c r="E1069" s="141" t="s">
        <v>3</v>
      </c>
      <c r="F1069" s="142" t="s">
        <v>2129</v>
      </c>
      <c r="H1069" s="143">
        <v>22.26</v>
      </c>
      <c r="L1069" s="139"/>
      <c r="M1069" s="144"/>
      <c r="T1069" s="145"/>
      <c r="AT1069" s="141" t="s">
        <v>137</v>
      </c>
      <c r="AU1069" s="141" t="s">
        <v>80</v>
      </c>
      <c r="AV1069" s="12" t="s">
        <v>80</v>
      </c>
      <c r="AW1069" s="12" t="s">
        <v>32</v>
      </c>
      <c r="AX1069" s="12" t="s">
        <v>70</v>
      </c>
      <c r="AY1069" s="141" t="s">
        <v>126</v>
      </c>
    </row>
    <row r="1070" spans="2:51" s="12" customFormat="1" ht="12">
      <c r="B1070" s="139"/>
      <c r="D1070" s="140" t="s">
        <v>137</v>
      </c>
      <c r="E1070" s="141" t="s">
        <v>3</v>
      </c>
      <c r="F1070" s="142" t="s">
        <v>2205</v>
      </c>
      <c r="H1070" s="143">
        <v>5.054</v>
      </c>
      <c r="L1070" s="139"/>
      <c r="M1070" s="144"/>
      <c r="T1070" s="145"/>
      <c r="AT1070" s="141" t="s">
        <v>137</v>
      </c>
      <c r="AU1070" s="141" t="s">
        <v>80</v>
      </c>
      <c r="AV1070" s="12" t="s">
        <v>80</v>
      </c>
      <c r="AW1070" s="12" t="s">
        <v>32</v>
      </c>
      <c r="AX1070" s="12" t="s">
        <v>70</v>
      </c>
      <c r="AY1070" s="141" t="s">
        <v>126</v>
      </c>
    </row>
    <row r="1071" spans="2:51" s="13" customFormat="1" ht="12">
      <c r="B1071" s="146"/>
      <c r="D1071" s="140" t="s">
        <v>137</v>
      </c>
      <c r="E1071" s="147" t="s">
        <v>3</v>
      </c>
      <c r="F1071" s="148" t="s">
        <v>151</v>
      </c>
      <c r="H1071" s="149">
        <v>27.314</v>
      </c>
      <c r="L1071" s="146"/>
      <c r="M1071" s="150"/>
      <c r="T1071" s="151"/>
      <c r="AT1071" s="147" t="s">
        <v>137</v>
      </c>
      <c r="AU1071" s="147" t="s">
        <v>80</v>
      </c>
      <c r="AV1071" s="13" t="s">
        <v>133</v>
      </c>
      <c r="AW1071" s="13" t="s">
        <v>32</v>
      </c>
      <c r="AX1071" s="13" t="s">
        <v>78</v>
      </c>
      <c r="AY1071" s="147" t="s">
        <v>126</v>
      </c>
    </row>
    <row r="1072" spans="2:65" s="1" customFormat="1" ht="16.5" customHeight="1">
      <c r="B1072" s="123"/>
      <c r="C1072" s="124" t="s">
        <v>2206</v>
      </c>
      <c r="D1072" s="124" t="s">
        <v>128</v>
      </c>
      <c r="E1072" s="125" t="s">
        <v>2207</v>
      </c>
      <c r="F1072" s="126" t="s">
        <v>2208</v>
      </c>
      <c r="G1072" s="127" t="s">
        <v>249</v>
      </c>
      <c r="H1072" s="128">
        <v>236.573</v>
      </c>
      <c r="I1072" s="129"/>
      <c r="J1072" s="129">
        <f>ROUND(I1072*H1072,2)</f>
        <v>0</v>
      </c>
      <c r="K1072" s="126" t="s">
        <v>132</v>
      </c>
      <c r="L1072" s="29"/>
      <c r="M1072" s="130" t="s">
        <v>3</v>
      </c>
      <c r="N1072" s="131" t="s">
        <v>41</v>
      </c>
      <c r="O1072" s="132">
        <v>0.05</v>
      </c>
      <c r="P1072" s="132">
        <f>O1072*H1072</f>
        <v>11.828650000000001</v>
      </c>
      <c r="Q1072" s="132">
        <v>3E-05</v>
      </c>
      <c r="R1072" s="132">
        <f>Q1072*H1072</f>
        <v>0.007097190000000001</v>
      </c>
      <c r="S1072" s="132">
        <v>0</v>
      </c>
      <c r="T1072" s="133">
        <f>S1072*H1072</f>
        <v>0</v>
      </c>
      <c r="AR1072" s="134" t="s">
        <v>221</v>
      </c>
      <c r="AT1072" s="134" t="s">
        <v>128</v>
      </c>
      <c r="AU1072" s="134" t="s">
        <v>80</v>
      </c>
      <c r="AY1072" s="17" t="s">
        <v>126</v>
      </c>
      <c r="BE1072" s="135">
        <f>IF(N1072="základní",J1072,0)</f>
        <v>0</v>
      </c>
      <c r="BF1072" s="135">
        <f>IF(N1072="snížená",J1072,0)</f>
        <v>0</v>
      </c>
      <c r="BG1072" s="135">
        <f>IF(N1072="zákl. přenesená",J1072,0)</f>
        <v>0</v>
      </c>
      <c r="BH1072" s="135">
        <f>IF(N1072="sníž. přenesená",J1072,0)</f>
        <v>0</v>
      </c>
      <c r="BI1072" s="135">
        <f>IF(N1072="nulová",J1072,0)</f>
        <v>0</v>
      </c>
      <c r="BJ1072" s="17" t="s">
        <v>78</v>
      </c>
      <c r="BK1072" s="135">
        <f>ROUND(I1072*H1072,2)</f>
        <v>0</v>
      </c>
      <c r="BL1072" s="17" t="s">
        <v>221</v>
      </c>
      <c r="BM1072" s="134" t="s">
        <v>2209</v>
      </c>
    </row>
    <row r="1073" spans="2:47" s="1" customFormat="1" ht="12">
      <c r="B1073" s="29"/>
      <c r="D1073" s="136" t="s">
        <v>135</v>
      </c>
      <c r="F1073" s="137" t="s">
        <v>2210</v>
      </c>
      <c r="L1073" s="29"/>
      <c r="M1073" s="138"/>
      <c r="T1073" s="49"/>
      <c r="AT1073" s="17" t="s">
        <v>135</v>
      </c>
      <c r="AU1073" s="17" t="s">
        <v>80</v>
      </c>
    </row>
    <row r="1074" spans="2:51" s="12" customFormat="1" ht="12">
      <c r="B1074" s="139"/>
      <c r="D1074" s="140" t="s">
        <v>137</v>
      </c>
      <c r="E1074" s="141" t="s">
        <v>3</v>
      </c>
      <c r="F1074" s="142" t="s">
        <v>2211</v>
      </c>
      <c r="H1074" s="143">
        <v>17.216</v>
      </c>
      <c r="L1074" s="139"/>
      <c r="M1074" s="144"/>
      <c r="T1074" s="145"/>
      <c r="AT1074" s="141" t="s">
        <v>137</v>
      </c>
      <c r="AU1074" s="141" t="s">
        <v>80</v>
      </c>
      <c r="AV1074" s="12" t="s">
        <v>80</v>
      </c>
      <c r="AW1074" s="12" t="s">
        <v>32</v>
      </c>
      <c r="AX1074" s="12" t="s">
        <v>70</v>
      </c>
      <c r="AY1074" s="141" t="s">
        <v>126</v>
      </c>
    </row>
    <row r="1075" spans="2:51" s="12" customFormat="1" ht="12">
      <c r="B1075" s="139"/>
      <c r="D1075" s="140" t="s">
        <v>137</v>
      </c>
      <c r="E1075" s="141" t="s">
        <v>3</v>
      </c>
      <c r="F1075" s="142" t="s">
        <v>2212</v>
      </c>
      <c r="H1075" s="143">
        <v>100.1</v>
      </c>
      <c r="L1075" s="139"/>
      <c r="M1075" s="144"/>
      <c r="T1075" s="145"/>
      <c r="AT1075" s="141" t="s">
        <v>137</v>
      </c>
      <c r="AU1075" s="141" t="s">
        <v>80</v>
      </c>
      <c r="AV1075" s="12" t="s">
        <v>80</v>
      </c>
      <c r="AW1075" s="12" t="s">
        <v>32</v>
      </c>
      <c r="AX1075" s="12" t="s">
        <v>70</v>
      </c>
      <c r="AY1075" s="141" t="s">
        <v>126</v>
      </c>
    </row>
    <row r="1076" spans="2:51" s="12" customFormat="1" ht="12">
      <c r="B1076" s="139"/>
      <c r="D1076" s="140" t="s">
        <v>137</v>
      </c>
      <c r="E1076" s="141" t="s">
        <v>3</v>
      </c>
      <c r="F1076" s="142" t="s">
        <v>2213</v>
      </c>
      <c r="H1076" s="143">
        <v>44.737</v>
      </c>
      <c r="L1076" s="139"/>
      <c r="M1076" s="144"/>
      <c r="T1076" s="145"/>
      <c r="AT1076" s="141" t="s">
        <v>137</v>
      </c>
      <c r="AU1076" s="141" t="s">
        <v>80</v>
      </c>
      <c r="AV1076" s="12" t="s">
        <v>80</v>
      </c>
      <c r="AW1076" s="12" t="s">
        <v>32</v>
      </c>
      <c r="AX1076" s="12" t="s">
        <v>70</v>
      </c>
      <c r="AY1076" s="141" t="s">
        <v>126</v>
      </c>
    </row>
    <row r="1077" spans="2:51" s="12" customFormat="1" ht="12">
      <c r="B1077" s="139"/>
      <c r="D1077" s="140" t="s">
        <v>137</v>
      </c>
      <c r="E1077" s="141" t="s">
        <v>3</v>
      </c>
      <c r="F1077" s="142" t="s">
        <v>2214</v>
      </c>
      <c r="H1077" s="143">
        <v>32.4</v>
      </c>
      <c r="L1077" s="139"/>
      <c r="M1077" s="144"/>
      <c r="T1077" s="145"/>
      <c r="AT1077" s="141" t="s">
        <v>137</v>
      </c>
      <c r="AU1077" s="141" t="s">
        <v>80</v>
      </c>
      <c r="AV1077" s="12" t="s">
        <v>80</v>
      </c>
      <c r="AW1077" s="12" t="s">
        <v>32</v>
      </c>
      <c r="AX1077" s="12" t="s">
        <v>70</v>
      </c>
      <c r="AY1077" s="141" t="s">
        <v>126</v>
      </c>
    </row>
    <row r="1078" spans="2:51" s="12" customFormat="1" ht="12">
      <c r="B1078" s="139"/>
      <c r="D1078" s="140" t="s">
        <v>137</v>
      </c>
      <c r="E1078" s="141" t="s">
        <v>3</v>
      </c>
      <c r="F1078" s="142" t="s">
        <v>2215</v>
      </c>
      <c r="H1078" s="143">
        <v>42.12</v>
      </c>
      <c r="L1078" s="139"/>
      <c r="M1078" s="144"/>
      <c r="T1078" s="145"/>
      <c r="AT1078" s="141" t="s">
        <v>137</v>
      </c>
      <c r="AU1078" s="141" t="s">
        <v>80</v>
      </c>
      <c r="AV1078" s="12" t="s">
        <v>80</v>
      </c>
      <c r="AW1078" s="12" t="s">
        <v>32</v>
      </c>
      <c r="AX1078" s="12" t="s">
        <v>70</v>
      </c>
      <c r="AY1078" s="141" t="s">
        <v>126</v>
      </c>
    </row>
    <row r="1079" spans="2:51" s="13" customFormat="1" ht="12">
      <c r="B1079" s="146"/>
      <c r="D1079" s="140" t="s">
        <v>137</v>
      </c>
      <c r="E1079" s="147" t="s">
        <v>3</v>
      </c>
      <c r="F1079" s="148" t="s">
        <v>151</v>
      </c>
      <c r="H1079" s="149">
        <v>236.573</v>
      </c>
      <c r="L1079" s="146"/>
      <c r="M1079" s="150"/>
      <c r="T1079" s="151"/>
      <c r="AT1079" s="147" t="s">
        <v>137</v>
      </c>
      <c r="AU1079" s="147" t="s">
        <v>80</v>
      </c>
      <c r="AV1079" s="13" t="s">
        <v>133</v>
      </c>
      <c r="AW1079" s="13" t="s">
        <v>32</v>
      </c>
      <c r="AX1079" s="13" t="s">
        <v>78</v>
      </c>
      <c r="AY1079" s="147" t="s">
        <v>126</v>
      </c>
    </row>
    <row r="1080" spans="2:65" s="1" customFormat="1" ht="16.5" customHeight="1">
      <c r="B1080" s="123"/>
      <c r="C1080" s="124" t="s">
        <v>2216</v>
      </c>
      <c r="D1080" s="124" t="s">
        <v>128</v>
      </c>
      <c r="E1080" s="125" t="s">
        <v>2217</v>
      </c>
      <c r="F1080" s="126" t="s">
        <v>2218</v>
      </c>
      <c r="G1080" s="127" t="s">
        <v>249</v>
      </c>
      <c r="H1080" s="128">
        <v>94.353</v>
      </c>
      <c r="I1080" s="129"/>
      <c r="J1080" s="129">
        <f>ROUND(I1080*H1080,2)</f>
        <v>0</v>
      </c>
      <c r="K1080" s="126" t="s">
        <v>132</v>
      </c>
      <c r="L1080" s="29"/>
      <c r="M1080" s="130" t="s">
        <v>3</v>
      </c>
      <c r="N1080" s="131" t="s">
        <v>41</v>
      </c>
      <c r="O1080" s="132">
        <v>0.05</v>
      </c>
      <c r="P1080" s="132">
        <f>O1080*H1080</f>
        <v>4.71765</v>
      </c>
      <c r="Q1080" s="132">
        <v>0.00012</v>
      </c>
      <c r="R1080" s="132">
        <f>Q1080*H1080</f>
        <v>0.01132236</v>
      </c>
      <c r="S1080" s="132">
        <v>0</v>
      </c>
      <c r="T1080" s="133">
        <f>S1080*H1080</f>
        <v>0</v>
      </c>
      <c r="AR1080" s="134" t="s">
        <v>221</v>
      </c>
      <c r="AT1080" s="134" t="s">
        <v>128</v>
      </c>
      <c r="AU1080" s="134" t="s">
        <v>80</v>
      </c>
      <c r="AY1080" s="17" t="s">
        <v>126</v>
      </c>
      <c r="BE1080" s="135">
        <f>IF(N1080="základní",J1080,0)</f>
        <v>0</v>
      </c>
      <c r="BF1080" s="135">
        <f>IF(N1080="snížená",J1080,0)</f>
        <v>0</v>
      </c>
      <c r="BG1080" s="135">
        <f>IF(N1080="zákl. přenesená",J1080,0)</f>
        <v>0</v>
      </c>
      <c r="BH1080" s="135">
        <f>IF(N1080="sníž. přenesená",J1080,0)</f>
        <v>0</v>
      </c>
      <c r="BI1080" s="135">
        <f>IF(N1080="nulová",J1080,0)</f>
        <v>0</v>
      </c>
      <c r="BJ1080" s="17" t="s">
        <v>78</v>
      </c>
      <c r="BK1080" s="135">
        <f>ROUND(I1080*H1080,2)</f>
        <v>0</v>
      </c>
      <c r="BL1080" s="17" t="s">
        <v>221</v>
      </c>
      <c r="BM1080" s="134" t="s">
        <v>2219</v>
      </c>
    </row>
    <row r="1081" spans="2:47" s="1" customFormat="1" ht="12">
      <c r="B1081" s="29"/>
      <c r="D1081" s="136" t="s">
        <v>135</v>
      </c>
      <c r="F1081" s="137" t="s">
        <v>2220</v>
      </c>
      <c r="L1081" s="29"/>
      <c r="M1081" s="138"/>
      <c r="T1081" s="49"/>
      <c r="AT1081" s="17" t="s">
        <v>135</v>
      </c>
      <c r="AU1081" s="17" t="s">
        <v>80</v>
      </c>
    </row>
    <row r="1082" spans="2:51" s="12" customFormat="1" ht="12">
      <c r="B1082" s="139"/>
      <c r="D1082" s="140" t="s">
        <v>137</v>
      </c>
      <c r="E1082" s="141" t="s">
        <v>3</v>
      </c>
      <c r="F1082" s="142" t="s">
        <v>2221</v>
      </c>
      <c r="H1082" s="143">
        <v>17.216</v>
      </c>
      <c r="L1082" s="139"/>
      <c r="M1082" s="144"/>
      <c r="T1082" s="145"/>
      <c r="AT1082" s="141" t="s">
        <v>137</v>
      </c>
      <c r="AU1082" s="141" t="s">
        <v>80</v>
      </c>
      <c r="AV1082" s="12" t="s">
        <v>80</v>
      </c>
      <c r="AW1082" s="12" t="s">
        <v>32</v>
      </c>
      <c r="AX1082" s="12" t="s">
        <v>70</v>
      </c>
      <c r="AY1082" s="141" t="s">
        <v>126</v>
      </c>
    </row>
    <row r="1083" spans="2:51" s="12" customFormat="1" ht="12">
      <c r="B1083" s="139"/>
      <c r="D1083" s="140" t="s">
        <v>137</v>
      </c>
      <c r="E1083" s="141" t="s">
        <v>3</v>
      </c>
      <c r="F1083" s="142" t="s">
        <v>2222</v>
      </c>
      <c r="H1083" s="143">
        <v>44.737</v>
      </c>
      <c r="L1083" s="139"/>
      <c r="M1083" s="144"/>
      <c r="T1083" s="145"/>
      <c r="AT1083" s="141" t="s">
        <v>137</v>
      </c>
      <c r="AU1083" s="141" t="s">
        <v>80</v>
      </c>
      <c r="AV1083" s="12" t="s">
        <v>80</v>
      </c>
      <c r="AW1083" s="12" t="s">
        <v>32</v>
      </c>
      <c r="AX1083" s="12" t="s">
        <v>70</v>
      </c>
      <c r="AY1083" s="141" t="s">
        <v>126</v>
      </c>
    </row>
    <row r="1084" spans="2:51" s="12" customFormat="1" ht="12">
      <c r="B1084" s="139"/>
      <c r="D1084" s="140" t="s">
        <v>137</v>
      </c>
      <c r="E1084" s="141" t="s">
        <v>3</v>
      </c>
      <c r="F1084" s="142" t="s">
        <v>2223</v>
      </c>
      <c r="H1084" s="143">
        <v>32.4</v>
      </c>
      <c r="L1084" s="139"/>
      <c r="M1084" s="144"/>
      <c r="T1084" s="145"/>
      <c r="AT1084" s="141" t="s">
        <v>137</v>
      </c>
      <c r="AU1084" s="141" t="s">
        <v>80</v>
      </c>
      <c r="AV1084" s="12" t="s">
        <v>80</v>
      </c>
      <c r="AW1084" s="12" t="s">
        <v>32</v>
      </c>
      <c r="AX1084" s="12" t="s">
        <v>70</v>
      </c>
      <c r="AY1084" s="141" t="s">
        <v>126</v>
      </c>
    </row>
    <row r="1085" spans="2:51" s="13" customFormat="1" ht="12">
      <c r="B1085" s="146"/>
      <c r="D1085" s="140" t="s">
        <v>137</v>
      </c>
      <c r="E1085" s="147" t="s">
        <v>3</v>
      </c>
      <c r="F1085" s="148" t="s">
        <v>151</v>
      </c>
      <c r="H1085" s="149">
        <v>94.35300000000001</v>
      </c>
      <c r="L1085" s="146"/>
      <c r="M1085" s="150"/>
      <c r="T1085" s="151"/>
      <c r="AT1085" s="147" t="s">
        <v>137</v>
      </c>
      <c r="AU1085" s="147" t="s">
        <v>80</v>
      </c>
      <c r="AV1085" s="13" t="s">
        <v>133</v>
      </c>
      <c r="AW1085" s="13" t="s">
        <v>32</v>
      </c>
      <c r="AX1085" s="13" t="s">
        <v>78</v>
      </c>
      <c r="AY1085" s="147" t="s">
        <v>126</v>
      </c>
    </row>
    <row r="1086" spans="2:65" s="1" customFormat="1" ht="16.5" customHeight="1">
      <c r="B1086" s="123"/>
      <c r="C1086" s="124" t="s">
        <v>2224</v>
      </c>
      <c r="D1086" s="124" t="s">
        <v>128</v>
      </c>
      <c r="E1086" s="125" t="s">
        <v>2225</v>
      </c>
      <c r="F1086" s="126" t="s">
        <v>2226</v>
      </c>
      <c r="G1086" s="127" t="s">
        <v>296</v>
      </c>
      <c r="H1086" s="128">
        <v>30</v>
      </c>
      <c r="I1086" s="129"/>
      <c r="J1086" s="129">
        <f>ROUND(I1086*H1086,2)</f>
        <v>0</v>
      </c>
      <c r="K1086" s="126" t="s">
        <v>132</v>
      </c>
      <c r="L1086" s="29"/>
      <c r="M1086" s="130" t="s">
        <v>3</v>
      </c>
      <c r="N1086" s="131" t="s">
        <v>41</v>
      </c>
      <c r="O1086" s="132">
        <v>0.035</v>
      </c>
      <c r="P1086" s="132">
        <f>O1086*H1086</f>
        <v>1.05</v>
      </c>
      <c r="Q1086" s="132">
        <v>0.00021</v>
      </c>
      <c r="R1086" s="132">
        <f>Q1086*H1086</f>
        <v>0.0063</v>
      </c>
      <c r="S1086" s="132">
        <v>0</v>
      </c>
      <c r="T1086" s="133">
        <f>S1086*H1086</f>
        <v>0</v>
      </c>
      <c r="AR1086" s="134" t="s">
        <v>221</v>
      </c>
      <c r="AT1086" s="134" t="s">
        <v>128</v>
      </c>
      <c r="AU1086" s="134" t="s">
        <v>80</v>
      </c>
      <c r="AY1086" s="17" t="s">
        <v>126</v>
      </c>
      <c r="BE1086" s="135">
        <f>IF(N1086="základní",J1086,0)</f>
        <v>0</v>
      </c>
      <c r="BF1086" s="135">
        <f>IF(N1086="snížená",J1086,0)</f>
        <v>0</v>
      </c>
      <c r="BG1086" s="135">
        <f>IF(N1086="zákl. přenesená",J1086,0)</f>
        <v>0</v>
      </c>
      <c r="BH1086" s="135">
        <f>IF(N1086="sníž. přenesená",J1086,0)</f>
        <v>0</v>
      </c>
      <c r="BI1086" s="135">
        <f>IF(N1086="nulová",J1086,0)</f>
        <v>0</v>
      </c>
      <c r="BJ1086" s="17" t="s">
        <v>78</v>
      </c>
      <c r="BK1086" s="135">
        <f>ROUND(I1086*H1086,2)</f>
        <v>0</v>
      </c>
      <c r="BL1086" s="17" t="s">
        <v>221</v>
      </c>
      <c r="BM1086" s="134" t="s">
        <v>2227</v>
      </c>
    </row>
    <row r="1087" spans="2:47" s="1" customFormat="1" ht="12">
      <c r="B1087" s="29"/>
      <c r="D1087" s="136" t="s">
        <v>135</v>
      </c>
      <c r="F1087" s="137" t="s">
        <v>2228</v>
      </c>
      <c r="L1087" s="29"/>
      <c r="M1087" s="138"/>
      <c r="T1087" s="49"/>
      <c r="AT1087" s="17" t="s">
        <v>135</v>
      </c>
      <c r="AU1087" s="17" t="s">
        <v>80</v>
      </c>
    </row>
    <row r="1088" spans="2:51" s="12" customFormat="1" ht="12">
      <c r="B1088" s="139"/>
      <c r="D1088" s="140" t="s">
        <v>137</v>
      </c>
      <c r="E1088" s="141" t="s">
        <v>3</v>
      </c>
      <c r="F1088" s="142" t="s">
        <v>2229</v>
      </c>
      <c r="H1088" s="143">
        <v>30</v>
      </c>
      <c r="L1088" s="139"/>
      <c r="M1088" s="144"/>
      <c r="T1088" s="145"/>
      <c r="AT1088" s="141" t="s">
        <v>137</v>
      </c>
      <c r="AU1088" s="141" t="s">
        <v>80</v>
      </c>
      <c r="AV1088" s="12" t="s">
        <v>80</v>
      </c>
      <c r="AW1088" s="12" t="s">
        <v>32</v>
      </c>
      <c r="AX1088" s="12" t="s">
        <v>78</v>
      </c>
      <c r="AY1088" s="141" t="s">
        <v>126</v>
      </c>
    </row>
    <row r="1089" spans="2:65" s="1" customFormat="1" ht="16.5" customHeight="1">
      <c r="B1089" s="123"/>
      <c r="C1089" s="124" t="s">
        <v>2230</v>
      </c>
      <c r="D1089" s="124" t="s">
        <v>128</v>
      </c>
      <c r="E1089" s="125" t="s">
        <v>2231</v>
      </c>
      <c r="F1089" s="126" t="s">
        <v>2232</v>
      </c>
      <c r="G1089" s="127" t="s">
        <v>296</v>
      </c>
      <c r="H1089" s="128">
        <v>2</v>
      </c>
      <c r="I1089" s="129"/>
      <c r="J1089" s="129">
        <f>ROUND(I1089*H1089,2)</f>
        <v>0</v>
      </c>
      <c r="K1089" s="126" t="s">
        <v>132</v>
      </c>
      <c r="L1089" s="29"/>
      <c r="M1089" s="130" t="s">
        <v>3</v>
      </c>
      <c r="N1089" s="131" t="s">
        <v>41</v>
      </c>
      <c r="O1089" s="132">
        <v>0.035</v>
      </c>
      <c r="P1089" s="132">
        <f>O1089*H1089</f>
        <v>0.07</v>
      </c>
      <c r="Q1089" s="132">
        <v>0.0002</v>
      </c>
      <c r="R1089" s="132">
        <f>Q1089*H1089</f>
        <v>0.0004</v>
      </c>
      <c r="S1089" s="132">
        <v>0</v>
      </c>
      <c r="T1089" s="133">
        <f>S1089*H1089</f>
        <v>0</v>
      </c>
      <c r="AR1089" s="134" t="s">
        <v>221</v>
      </c>
      <c r="AT1089" s="134" t="s">
        <v>128</v>
      </c>
      <c r="AU1089" s="134" t="s">
        <v>80</v>
      </c>
      <c r="AY1089" s="17" t="s">
        <v>126</v>
      </c>
      <c r="BE1089" s="135">
        <f>IF(N1089="základní",J1089,0)</f>
        <v>0</v>
      </c>
      <c r="BF1089" s="135">
        <f>IF(N1089="snížená",J1089,0)</f>
        <v>0</v>
      </c>
      <c r="BG1089" s="135">
        <f>IF(N1089="zákl. přenesená",J1089,0)</f>
        <v>0</v>
      </c>
      <c r="BH1089" s="135">
        <f>IF(N1089="sníž. přenesená",J1089,0)</f>
        <v>0</v>
      </c>
      <c r="BI1089" s="135">
        <f>IF(N1089="nulová",J1089,0)</f>
        <v>0</v>
      </c>
      <c r="BJ1089" s="17" t="s">
        <v>78</v>
      </c>
      <c r="BK1089" s="135">
        <f>ROUND(I1089*H1089,2)</f>
        <v>0</v>
      </c>
      <c r="BL1089" s="17" t="s">
        <v>221</v>
      </c>
      <c r="BM1089" s="134" t="s">
        <v>2233</v>
      </c>
    </row>
    <row r="1090" spans="2:47" s="1" customFormat="1" ht="12">
      <c r="B1090" s="29"/>
      <c r="D1090" s="136" t="s">
        <v>135</v>
      </c>
      <c r="F1090" s="137" t="s">
        <v>2234</v>
      </c>
      <c r="L1090" s="29"/>
      <c r="M1090" s="138"/>
      <c r="T1090" s="49"/>
      <c r="AT1090" s="17" t="s">
        <v>135</v>
      </c>
      <c r="AU1090" s="17" t="s">
        <v>80</v>
      </c>
    </row>
    <row r="1091" spans="2:51" s="12" customFormat="1" ht="12">
      <c r="B1091" s="139"/>
      <c r="D1091" s="140" t="s">
        <v>137</v>
      </c>
      <c r="E1091" s="141" t="s">
        <v>3</v>
      </c>
      <c r="F1091" s="142" t="s">
        <v>2235</v>
      </c>
      <c r="H1091" s="143">
        <v>2</v>
      </c>
      <c r="L1091" s="139"/>
      <c r="M1091" s="144"/>
      <c r="T1091" s="145"/>
      <c r="AT1091" s="141" t="s">
        <v>137</v>
      </c>
      <c r="AU1091" s="141" t="s">
        <v>80</v>
      </c>
      <c r="AV1091" s="12" t="s">
        <v>80</v>
      </c>
      <c r="AW1091" s="12" t="s">
        <v>32</v>
      </c>
      <c r="AX1091" s="12" t="s">
        <v>78</v>
      </c>
      <c r="AY1091" s="141" t="s">
        <v>126</v>
      </c>
    </row>
    <row r="1092" spans="2:65" s="1" customFormat="1" ht="16.5" customHeight="1">
      <c r="B1092" s="123"/>
      <c r="C1092" s="124" t="s">
        <v>2236</v>
      </c>
      <c r="D1092" s="124" t="s">
        <v>128</v>
      </c>
      <c r="E1092" s="125" t="s">
        <v>2237</v>
      </c>
      <c r="F1092" s="126" t="s">
        <v>2238</v>
      </c>
      <c r="G1092" s="127" t="s">
        <v>249</v>
      </c>
      <c r="H1092" s="128">
        <v>42.12</v>
      </c>
      <c r="I1092" s="129"/>
      <c r="J1092" s="129">
        <f>ROUND(I1092*H1092,2)</f>
        <v>0</v>
      </c>
      <c r="K1092" s="126" t="s">
        <v>132</v>
      </c>
      <c r="L1092" s="29"/>
      <c r="M1092" s="130" t="s">
        <v>3</v>
      </c>
      <c r="N1092" s="131" t="s">
        <v>41</v>
      </c>
      <c r="O1092" s="132">
        <v>0.06</v>
      </c>
      <c r="P1092" s="132">
        <f>O1092*H1092</f>
        <v>2.5271999999999997</v>
      </c>
      <c r="Q1092" s="132">
        <v>0.00032</v>
      </c>
      <c r="R1092" s="132">
        <f>Q1092*H1092</f>
        <v>0.0134784</v>
      </c>
      <c r="S1092" s="132">
        <v>0</v>
      </c>
      <c r="T1092" s="133">
        <f>S1092*H1092</f>
        <v>0</v>
      </c>
      <c r="AR1092" s="134" t="s">
        <v>221</v>
      </c>
      <c r="AT1092" s="134" t="s">
        <v>128</v>
      </c>
      <c r="AU1092" s="134" t="s">
        <v>80</v>
      </c>
      <c r="AY1092" s="17" t="s">
        <v>126</v>
      </c>
      <c r="BE1092" s="135">
        <f>IF(N1092="základní",J1092,0)</f>
        <v>0</v>
      </c>
      <c r="BF1092" s="135">
        <f>IF(N1092="snížená",J1092,0)</f>
        <v>0</v>
      </c>
      <c r="BG1092" s="135">
        <f>IF(N1092="zákl. přenesená",J1092,0)</f>
        <v>0</v>
      </c>
      <c r="BH1092" s="135">
        <f>IF(N1092="sníž. přenesená",J1092,0)</f>
        <v>0</v>
      </c>
      <c r="BI1092" s="135">
        <f>IF(N1092="nulová",J1092,0)</f>
        <v>0</v>
      </c>
      <c r="BJ1092" s="17" t="s">
        <v>78</v>
      </c>
      <c r="BK1092" s="135">
        <f>ROUND(I1092*H1092,2)</f>
        <v>0</v>
      </c>
      <c r="BL1092" s="17" t="s">
        <v>221</v>
      </c>
      <c r="BM1092" s="134" t="s">
        <v>2239</v>
      </c>
    </row>
    <row r="1093" spans="2:47" s="1" customFormat="1" ht="12">
      <c r="B1093" s="29"/>
      <c r="D1093" s="136" t="s">
        <v>135</v>
      </c>
      <c r="F1093" s="137" t="s">
        <v>2240</v>
      </c>
      <c r="L1093" s="29"/>
      <c r="M1093" s="138"/>
      <c r="T1093" s="49"/>
      <c r="AT1093" s="17" t="s">
        <v>135</v>
      </c>
      <c r="AU1093" s="17" t="s">
        <v>80</v>
      </c>
    </row>
    <row r="1094" spans="2:51" s="12" customFormat="1" ht="12">
      <c r="B1094" s="139"/>
      <c r="D1094" s="140" t="s">
        <v>137</v>
      </c>
      <c r="E1094" s="141" t="s">
        <v>3</v>
      </c>
      <c r="F1094" s="142" t="s">
        <v>2241</v>
      </c>
      <c r="H1094" s="143">
        <v>42.12</v>
      </c>
      <c r="L1094" s="139"/>
      <c r="M1094" s="144"/>
      <c r="T1094" s="145"/>
      <c r="AT1094" s="141" t="s">
        <v>137</v>
      </c>
      <c r="AU1094" s="141" t="s">
        <v>80</v>
      </c>
      <c r="AV1094" s="12" t="s">
        <v>80</v>
      </c>
      <c r="AW1094" s="12" t="s">
        <v>32</v>
      </c>
      <c r="AX1094" s="12" t="s">
        <v>78</v>
      </c>
      <c r="AY1094" s="141" t="s">
        <v>126</v>
      </c>
    </row>
    <row r="1095" spans="2:65" s="1" customFormat="1" ht="16.5" customHeight="1">
      <c r="B1095" s="123"/>
      <c r="C1095" s="124" t="s">
        <v>2242</v>
      </c>
      <c r="D1095" s="124" t="s">
        <v>128</v>
      </c>
      <c r="E1095" s="125" t="s">
        <v>2243</v>
      </c>
      <c r="F1095" s="126" t="s">
        <v>2244</v>
      </c>
      <c r="G1095" s="127" t="s">
        <v>131</v>
      </c>
      <c r="H1095" s="128">
        <v>105.894</v>
      </c>
      <c r="I1095" s="129"/>
      <c r="J1095" s="129">
        <f>ROUND(I1095*H1095,2)</f>
        <v>0</v>
      </c>
      <c r="K1095" s="126" t="s">
        <v>132</v>
      </c>
      <c r="L1095" s="29"/>
      <c r="M1095" s="130" t="s">
        <v>3</v>
      </c>
      <c r="N1095" s="131" t="s">
        <v>41</v>
      </c>
      <c r="O1095" s="132">
        <v>0.041</v>
      </c>
      <c r="P1095" s="132">
        <f>O1095*H1095</f>
        <v>4.341654</v>
      </c>
      <c r="Q1095" s="132">
        <v>5E-05</v>
      </c>
      <c r="R1095" s="132">
        <f>Q1095*H1095</f>
        <v>0.0052947</v>
      </c>
      <c r="S1095" s="132">
        <v>0</v>
      </c>
      <c r="T1095" s="133">
        <f>S1095*H1095</f>
        <v>0</v>
      </c>
      <c r="AR1095" s="134" t="s">
        <v>221</v>
      </c>
      <c r="AT1095" s="134" t="s">
        <v>128</v>
      </c>
      <c r="AU1095" s="134" t="s">
        <v>80</v>
      </c>
      <c r="AY1095" s="17" t="s">
        <v>126</v>
      </c>
      <c r="BE1095" s="135">
        <f>IF(N1095="základní",J1095,0)</f>
        <v>0</v>
      </c>
      <c r="BF1095" s="135">
        <f>IF(N1095="snížená",J1095,0)</f>
        <v>0</v>
      </c>
      <c r="BG1095" s="135">
        <f>IF(N1095="zákl. přenesená",J1095,0)</f>
        <v>0</v>
      </c>
      <c r="BH1095" s="135">
        <f>IF(N1095="sníž. přenesená",J1095,0)</f>
        <v>0</v>
      </c>
      <c r="BI1095" s="135">
        <f>IF(N1095="nulová",J1095,0)</f>
        <v>0</v>
      </c>
      <c r="BJ1095" s="17" t="s">
        <v>78</v>
      </c>
      <c r="BK1095" s="135">
        <f>ROUND(I1095*H1095,2)</f>
        <v>0</v>
      </c>
      <c r="BL1095" s="17" t="s">
        <v>221</v>
      </c>
      <c r="BM1095" s="134" t="s">
        <v>2245</v>
      </c>
    </row>
    <row r="1096" spans="2:47" s="1" customFormat="1" ht="12">
      <c r="B1096" s="29"/>
      <c r="D1096" s="136" t="s">
        <v>135</v>
      </c>
      <c r="F1096" s="137" t="s">
        <v>2246</v>
      </c>
      <c r="L1096" s="29"/>
      <c r="M1096" s="138"/>
      <c r="T1096" s="49"/>
      <c r="AT1096" s="17" t="s">
        <v>135</v>
      </c>
      <c r="AU1096" s="17" t="s">
        <v>80</v>
      </c>
    </row>
    <row r="1097" spans="2:51" s="12" customFormat="1" ht="12">
      <c r="B1097" s="139"/>
      <c r="D1097" s="140" t="s">
        <v>137</v>
      </c>
      <c r="E1097" s="141" t="s">
        <v>3</v>
      </c>
      <c r="F1097" s="142" t="s">
        <v>641</v>
      </c>
      <c r="H1097" s="143">
        <v>15.648</v>
      </c>
      <c r="L1097" s="139"/>
      <c r="M1097" s="144"/>
      <c r="T1097" s="145"/>
      <c r="AT1097" s="141" t="s">
        <v>137</v>
      </c>
      <c r="AU1097" s="141" t="s">
        <v>80</v>
      </c>
      <c r="AV1097" s="12" t="s">
        <v>80</v>
      </c>
      <c r="AW1097" s="12" t="s">
        <v>32</v>
      </c>
      <c r="AX1097" s="12" t="s">
        <v>70</v>
      </c>
      <c r="AY1097" s="141" t="s">
        <v>126</v>
      </c>
    </row>
    <row r="1098" spans="2:51" s="12" customFormat="1" ht="12">
      <c r="B1098" s="139"/>
      <c r="D1098" s="140" t="s">
        <v>137</v>
      </c>
      <c r="E1098" s="141" t="s">
        <v>3</v>
      </c>
      <c r="F1098" s="142" t="s">
        <v>2247</v>
      </c>
      <c r="H1098" s="143">
        <v>46.146</v>
      </c>
      <c r="L1098" s="139"/>
      <c r="M1098" s="144"/>
      <c r="T1098" s="145"/>
      <c r="AT1098" s="141" t="s">
        <v>137</v>
      </c>
      <c r="AU1098" s="141" t="s">
        <v>80</v>
      </c>
      <c r="AV1098" s="12" t="s">
        <v>80</v>
      </c>
      <c r="AW1098" s="12" t="s">
        <v>32</v>
      </c>
      <c r="AX1098" s="12" t="s">
        <v>70</v>
      </c>
      <c r="AY1098" s="141" t="s">
        <v>126</v>
      </c>
    </row>
    <row r="1099" spans="2:51" s="12" customFormat="1" ht="12">
      <c r="B1099" s="139"/>
      <c r="D1099" s="140" t="s">
        <v>137</v>
      </c>
      <c r="E1099" s="141" t="s">
        <v>3</v>
      </c>
      <c r="F1099" s="142" t="s">
        <v>2128</v>
      </c>
      <c r="H1099" s="143">
        <v>21.84</v>
      </c>
      <c r="L1099" s="139"/>
      <c r="M1099" s="144"/>
      <c r="T1099" s="145"/>
      <c r="AT1099" s="141" t="s">
        <v>137</v>
      </c>
      <c r="AU1099" s="141" t="s">
        <v>80</v>
      </c>
      <c r="AV1099" s="12" t="s">
        <v>80</v>
      </c>
      <c r="AW1099" s="12" t="s">
        <v>32</v>
      </c>
      <c r="AX1099" s="12" t="s">
        <v>70</v>
      </c>
      <c r="AY1099" s="141" t="s">
        <v>126</v>
      </c>
    </row>
    <row r="1100" spans="2:51" s="12" customFormat="1" ht="12">
      <c r="B1100" s="139"/>
      <c r="D1100" s="140" t="s">
        <v>137</v>
      </c>
      <c r="E1100" s="141" t="s">
        <v>3</v>
      </c>
      <c r="F1100" s="142" t="s">
        <v>2129</v>
      </c>
      <c r="H1100" s="143">
        <v>22.26</v>
      </c>
      <c r="L1100" s="139"/>
      <c r="M1100" s="144"/>
      <c r="T1100" s="145"/>
      <c r="AT1100" s="141" t="s">
        <v>137</v>
      </c>
      <c r="AU1100" s="141" t="s">
        <v>80</v>
      </c>
      <c r="AV1100" s="12" t="s">
        <v>80</v>
      </c>
      <c r="AW1100" s="12" t="s">
        <v>32</v>
      </c>
      <c r="AX1100" s="12" t="s">
        <v>70</v>
      </c>
      <c r="AY1100" s="141" t="s">
        <v>126</v>
      </c>
    </row>
    <row r="1101" spans="2:51" s="13" customFormat="1" ht="12">
      <c r="B1101" s="146"/>
      <c r="D1101" s="140" t="s">
        <v>137</v>
      </c>
      <c r="E1101" s="147" t="s">
        <v>3</v>
      </c>
      <c r="F1101" s="148" t="s">
        <v>151</v>
      </c>
      <c r="H1101" s="149">
        <v>105.894</v>
      </c>
      <c r="L1101" s="146"/>
      <c r="M1101" s="150"/>
      <c r="T1101" s="151"/>
      <c r="AT1101" s="147" t="s">
        <v>137</v>
      </c>
      <c r="AU1101" s="147" t="s">
        <v>80</v>
      </c>
      <c r="AV1101" s="13" t="s">
        <v>133</v>
      </c>
      <c r="AW1101" s="13" t="s">
        <v>32</v>
      </c>
      <c r="AX1101" s="13" t="s">
        <v>78</v>
      </c>
      <c r="AY1101" s="147" t="s">
        <v>126</v>
      </c>
    </row>
    <row r="1102" spans="2:65" s="1" customFormat="1" ht="24.2" customHeight="1">
      <c r="B1102" s="123"/>
      <c r="C1102" s="124" t="s">
        <v>2248</v>
      </c>
      <c r="D1102" s="124" t="s">
        <v>128</v>
      </c>
      <c r="E1102" s="125" t="s">
        <v>2249</v>
      </c>
      <c r="F1102" s="126" t="s">
        <v>2250</v>
      </c>
      <c r="G1102" s="127" t="s">
        <v>413</v>
      </c>
      <c r="H1102" s="128"/>
      <c r="I1102" s="129"/>
      <c r="J1102" s="129">
        <f>ROUND(I1102*H1102,2)</f>
        <v>0</v>
      </c>
      <c r="K1102" s="126" t="s">
        <v>132</v>
      </c>
      <c r="L1102" s="29"/>
      <c r="M1102" s="130" t="s">
        <v>3</v>
      </c>
      <c r="N1102" s="131" t="s">
        <v>41</v>
      </c>
      <c r="O1102" s="132">
        <v>0</v>
      </c>
      <c r="P1102" s="132">
        <f>O1102*H1102</f>
        <v>0</v>
      </c>
      <c r="Q1102" s="132">
        <v>0</v>
      </c>
      <c r="R1102" s="132">
        <f>Q1102*H1102</f>
        <v>0</v>
      </c>
      <c r="S1102" s="132">
        <v>0</v>
      </c>
      <c r="T1102" s="133">
        <f>S1102*H1102</f>
        <v>0</v>
      </c>
      <c r="AR1102" s="134" t="s">
        <v>221</v>
      </c>
      <c r="AT1102" s="134" t="s">
        <v>128</v>
      </c>
      <c r="AU1102" s="134" t="s">
        <v>80</v>
      </c>
      <c r="AY1102" s="17" t="s">
        <v>126</v>
      </c>
      <c r="BE1102" s="135">
        <f>IF(N1102="základní",J1102,0)</f>
        <v>0</v>
      </c>
      <c r="BF1102" s="135">
        <f>IF(N1102="snížená",J1102,0)</f>
        <v>0</v>
      </c>
      <c r="BG1102" s="135">
        <f>IF(N1102="zákl. přenesená",J1102,0)</f>
        <v>0</v>
      </c>
      <c r="BH1102" s="135">
        <f>IF(N1102="sníž. přenesená",J1102,0)</f>
        <v>0</v>
      </c>
      <c r="BI1102" s="135">
        <f>IF(N1102="nulová",J1102,0)</f>
        <v>0</v>
      </c>
      <c r="BJ1102" s="17" t="s">
        <v>78</v>
      </c>
      <c r="BK1102" s="135">
        <f>ROUND(I1102*H1102,2)</f>
        <v>0</v>
      </c>
      <c r="BL1102" s="17" t="s">
        <v>221</v>
      </c>
      <c r="BM1102" s="134" t="s">
        <v>2251</v>
      </c>
    </row>
    <row r="1103" spans="2:47" s="1" customFormat="1" ht="12">
      <c r="B1103" s="29"/>
      <c r="D1103" s="136" t="s">
        <v>135</v>
      </c>
      <c r="F1103" s="137" t="s">
        <v>2252</v>
      </c>
      <c r="L1103" s="29"/>
      <c r="M1103" s="138"/>
      <c r="T1103" s="49"/>
      <c r="AT1103" s="17" t="s">
        <v>135</v>
      </c>
      <c r="AU1103" s="17" t="s">
        <v>80</v>
      </c>
    </row>
    <row r="1104" spans="2:63" s="11" customFormat="1" ht="22.7" customHeight="1">
      <c r="B1104" s="112"/>
      <c r="D1104" s="113" t="s">
        <v>69</v>
      </c>
      <c r="E1104" s="121" t="s">
        <v>2253</v>
      </c>
      <c r="F1104" s="121" t="s">
        <v>2254</v>
      </c>
      <c r="J1104" s="122">
        <f>BK1104</f>
        <v>0</v>
      </c>
      <c r="L1104" s="112"/>
      <c r="M1104" s="116"/>
      <c r="P1104" s="117">
        <f>SUM(P1105:P1128)</f>
        <v>401.79192</v>
      </c>
      <c r="R1104" s="117">
        <f>SUM(R1105:R1128)</f>
        <v>7.366778020000001</v>
      </c>
      <c r="T1104" s="118">
        <f>SUM(T1105:T1128)</f>
        <v>0</v>
      </c>
      <c r="AR1104" s="113" t="s">
        <v>80</v>
      </c>
      <c r="AT1104" s="119" t="s">
        <v>69</v>
      </c>
      <c r="AU1104" s="119" t="s">
        <v>78</v>
      </c>
      <c r="AY1104" s="113" t="s">
        <v>126</v>
      </c>
      <c r="BK1104" s="120">
        <f>SUM(BK1105:BK1128)</f>
        <v>0</v>
      </c>
    </row>
    <row r="1105" spans="2:65" s="1" customFormat="1" ht="16.5" customHeight="1">
      <c r="B1105" s="123"/>
      <c r="C1105" s="124" t="s">
        <v>2255</v>
      </c>
      <c r="D1105" s="124" t="s">
        <v>128</v>
      </c>
      <c r="E1105" s="125" t="s">
        <v>2256</v>
      </c>
      <c r="F1105" s="126" t="s">
        <v>2257</v>
      </c>
      <c r="G1105" s="127" t="s">
        <v>131</v>
      </c>
      <c r="H1105" s="128">
        <v>477.73</v>
      </c>
      <c r="I1105" s="129"/>
      <c r="J1105" s="129">
        <f>ROUND(I1105*H1105,2)</f>
        <v>0</v>
      </c>
      <c r="K1105" s="126" t="s">
        <v>132</v>
      </c>
      <c r="L1105" s="29"/>
      <c r="M1105" s="130" t="s">
        <v>3</v>
      </c>
      <c r="N1105" s="131" t="s">
        <v>41</v>
      </c>
      <c r="O1105" s="132">
        <v>0.024</v>
      </c>
      <c r="P1105" s="132">
        <f>O1105*H1105</f>
        <v>11.465520000000001</v>
      </c>
      <c r="Q1105" s="132">
        <v>0</v>
      </c>
      <c r="R1105" s="132">
        <f>Q1105*H1105</f>
        <v>0</v>
      </c>
      <c r="S1105" s="132">
        <v>0</v>
      </c>
      <c r="T1105" s="133">
        <f>S1105*H1105</f>
        <v>0</v>
      </c>
      <c r="AR1105" s="134" t="s">
        <v>221</v>
      </c>
      <c r="AT1105" s="134" t="s">
        <v>128</v>
      </c>
      <c r="AU1105" s="134" t="s">
        <v>80</v>
      </c>
      <c r="AY1105" s="17" t="s">
        <v>126</v>
      </c>
      <c r="BE1105" s="135">
        <f>IF(N1105="základní",J1105,0)</f>
        <v>0</v>
      </c>
      <c r="BF1105" s="135">
        <f>IF(N1105="snížená",J1105,0)</f>
        <v>0</v>
      </c>
      <c r="BG1105" s="135">
        <f>IF(N1105="zákl. přenesená",J1105,0)</f>
        <v>0</v>
      </c>
      <c r="BH1105" s="135">
        <f>IF(N1105="sníž. přenesená",J1105,0)</f>
        <v>0</v>
      </c>
      <c r="BI1105" s="135">
        <f>IF(N1105="nulová",J1105,0)</f>
        <v>0</v>
      </c>
      <c r="BJ1105" s="17" t="s">
        <v>78</v>
      </c>
      <c r="BK1105" s="135">
        <f>ROUND(I1105*H1105,2)</f>
        <v>0</v>
      </c>
      <c r="BL1105" s="17" t="s">
        <v>221</v>
      </c>
      <c r="BM1105" s="134" t="s">
        <v>2258</v>
      </c>
    </row>
    <row r="1106" spans="2:47" s="1" customFormat="1" ht="12">
      <c r="B1106" s="29"/>
      <c r="D1106" s="136" t="s">
        <v>135</v>
      </c>
      <c r="F1106" s="137" t="s">
        <v>2259</v>
      </c>
      <c r="L1106" s="29"/>
      <c r="M1106" s="138"/>
      <c r="T1106" s="49"/>
      <c r="AT1106" s="17" t="s">
        <v>135</v>
      </c>
      <c r="AU1106" s="17" t="s">
        <v>80</v>
      </c>
    </row>
    <row r="1107" spans="2:51" s="12" customFormat="1" ht="12">
      <c r="B1107" s="139"/>
      <c r="D1107" s="140" t="s">
        <v>137</v>
      </c>
      <c r="E1107" s="141" t="s">
        <v>3</v>
      </c>
      <c r="F1107" s="142" t="s">
        <v>2260</v>
      </c>
      <c r="H1107" s="143">
        <v>477.73</v>
      </c>
      <c r="L1107" s="139"/>
      <c r="M1107" s="144"/>
      <c r="T1107" s="145"/>
      <c r="AT1107" s="141" t="s">
        <v>137</v>
      </c>
      <c r="AU1107" s="141" t="s">
        <v>80</v>
      </c>
      <c r="AV1107" s="12" t="s">
        <v>80</v>
      </c>
      <c r="AW1107" s="12" t="s">
        <v>32</v>
      </c>
      <c r="AX1107" s="12" t="s">
        <v>78</v>
      </c>
      <c r="AY1107" s="141" t="s">
        <v>126</v>
      </c>
    </row>
    <row r="1108" spans="2:65" s="1" customFormat="1" ht="16.5" customHeight="1">
      <c r="B1108" s="123"/>
      <c r="C1108" s="124" t="s">
        <v>2261</v>
      </c>
      <c r="D1108" s="124" t="s">
        <v>128</v>
      </c>
      <c r="E1108" s="125" t="s">
        <v>2262</v>
      </c>
      <c r="F1108" s="126" t="s">
        <v>2263</v>
      </c>
      <c r="G1108" s="127" t="s">
        <v>131</v>
      </c>
      <c r="H1108" s="128">
        <v>477.73</v>
      </c>
      <c r="I1108" s="129"/>
      <c r="J1108" s="129">
        <f>ROUND(I1108*H1108,2)</f>
        <v>0</v>
      </c>
      <c r="K1108" s="126" t="s">
        <v>132</v>
      </c>
      <c r="L1108" s="29"/>
      <c r="M1108" s="130" t="s">
        <v>3</v>
      </c>
      <c r="N1108" s="131" t="s">
        <v>41</v>
      </c>
      <c r="O1108" s="132">
        <v>0.058</v>
      </c>
      <c r="P1108" s="132">
        <f>O1108*H1108</f>
        <v>27.708340000000003</v>
      </c>
      <c r="Q1108" s="132">
        <v>3E-05</v>
      </c>
      <c r="R1108" s="132">
        <f>Q1108*H1108</f>
        <v>0.014331900000000002</v>
      </c>
      <c r="S1108" s="132">
        <v>0</v>
      </c>
      <c r="T1108" s="133">
        <f>S1108*H1108</f>
        <v>0</v>
      </c>
      <c r="AR1108" s="134" t="s">
        <v>221</v>
      </c>
      <c r="AT1108" s="134" t="s">
        <v>128</v>
      </c>
      <c r="AU1108" s="134" t="s">
        <v>80</v>
      </c>
      <c r="AY1108" s="17" t="s">
        <v>126</v>
      </c>
      <c r="BE1108" s="135">
        <f>IF(N1108="základní",J1108,0)</f>
        <v>0</v>
      </c>
      <c r="BF1108" s="135">
        <f>IF(N1108="snížená",J1108,0)</f>
        <v>0</v>
      </c>
      <c r="BG1108" s="135">
        <f>IF(N1108="zákl. přenesená",J1108,0)</f>
        <v>0</v>
      </c>
      <c r="BH1108" s="135">
        <f>IF(N1108="sníž. přenesená",J1108,0)</f>
        <v>0</v>
      </c>
      <c r="BI1108" s="135">
        <f>IF(N1108="nulová",J1108,0)</f>
        <v>0</v>
      </c>
      <c r="BJ1108" s="17" t="s">
        <v>78</v>
      </c>
      <c r="BK1108" s="135">
        <f>ROUND(I1108*H1108,2)</f>
        <v>0</v>
      </c>
      <c r="BL1108" s="17" t="s">
        <v>221</v>
      </c>
      <c r="BM1108" s="134" t="s">
        <v>2264</v>
      </c>
    </row>
    <row r="1109" spans="2:47" s="1" customFormat="1" ht="12">
      <c r="B1109" s="29"/>
      <c r="D1109" s="136" t="s">
        <v>135</v>
      </c>
      <c r="F1109" s="137" t="s">
        <v>2265</v>
      </c>
      <c r="L1109" s="29"/>
      <c r="M1109" s="138"/>
      <c r="T1109" s="49"/>
      <c r="AT1109" s="17" t="s">
        <v>135</v>
      </c>
      <c r="AU1109" s="17" t="s">
        <v>80</v>
      </c>
    </row>
    <row r="1110" spans="2:51" s="12" customFormat="1" ht="12">
      <c r="B1110" s="139"/>
      <c r="D1110" s="140" t="s">
        <v>137</v>
      </c>
      <c r="E1110" s="141" t="s">
        <v>3</v>
      </c>
      <c r="F1110" s="142" t="s">
        <v>2260</v>
      </c>
      <c r="H1110" s="143">
        <v>477.73</v>
      </c>
      <c r="L1110" s="139"/>
      <c r="M1110" s="144"/>
      <c r="T1110" s="145"/>
      <c r="AT1110" s="141" t="s">
        <v>137</v>
      </c>
      <c r="AU1110" s="141" t="s">
        <v>80</v>
      </c>
      <c r="AV1110" s="12" t="s">
        <v>80</v>
      </c>
      <c r="AW1110" s="12" t="s">
        <v>32</v>
      </c>
      <c r="AX1110" s="12" t="s">
        <v>78</v>
      </c>
      <c r="AY1110" s="141" t="s">
        <v>126</v>
      </c>
    </row>
    <row r="1111" spans="2:65" s="1" customFormat="1" ht="21.75" customHeight="1">
      <c r="B1111" s="123"/>
      <c r="C1111" s="124" t="s">
        <v>2266</v>
      </c>
      <c r="D1111" s="124" t="s">
        <v>128</v>
      </c>
      <c r="E1111" s="125" t="s">
        <v>2267</v>
      </c>
      <c r="F1111" s="126" t="s">
        <v>2268</v>
      </c>
      <c r="G1111" s="127" t="s">
        <v>131</v>
      </c>
      <c r="H1111" s="128">
        <v>477.73</v>
      </c>
      <c r="I1111" s="129"/>
      <c r="J1111" s="129">
        <f>ROUND(I1111*H1111,2)</f>
        <v>0</v>
      </c>
      <c r="K1111" s="126" t="s">
        <v>132</v>
      </c>
      <c r="L1111" s="29"/>
      <c r="M1111" s="130" t="s">
        <v>3</v>
      </c>
      <c r="N1111" s="131" t="s">
        <v>41</v>
      </c>
      <c r="O1111" s="132">
        <v>0.291</v>
      </c>
      <c r="P1111" s="132">
        <f>O1111*H1111</f>
        <v>139.01943</v>
      </c>
      <c r="Q1111" s="132">
        <v>0.012</v>
      </c>
      <c r="R1111" s="132">
        <f>Q1111*H1111</f>
        <v>5.732760000000001</v>
      </c>
      <c r="S1111" s="132">
        <v>0</v>
      </c>
      <c r="T1111" s="133">
        <f>S1111*H1111</f>
        <v>0</v>
      </c>
      <c r="AR1111" s="134" t="s">
        <v>221</v>
      </c>
      <c r="AT1111" s="134" t="s">
        <v>128</v>
      </c>
      <c r="AU1111" s="134" t="s">
        <v>80</v>
      </c>
      <c r="AY1111" s="17" t="s">
        <v>126</v>
      </c>
      <c r="BE1111" s="135">
        <f>IF(N1111="základní",J1111,0)</f>
        <v>0</v>
      </c>
      <c r="BF1111" s="135">
        <f>IF(N1111="snížená",J1111,0)</f>
        <v>0</v>
      </c>
      <c r="BG1111" s="135">
        <f>IF(N1111="zákl. přenesená",J1111,0)</f>
        <v>0</v>
      </c>
      <c r="BH1111" s="135">
        <f>IF(N1111="sníž. přenesená",J1111,0)</f>
        <v>0</v>
      </c>
      <c r="BI1111" s="135">
        <f>IF(N1111="nulová",J1111,0)</f>
        <v>0</v>
      </c>
      <c r="BJ1111" s="17" t="s">
        <v>78</v>
      </c>
      <c r="BK1111" s="135">
        <f>ROUND(I1111*H1111,2)</f>
        <v>0</v>
      </c>
      <c r="BL1111" s="17" t="s">
        <v>221</v>
      </c>
      <c r="BM1111" s="134" t="s">
        <v>2269</v>
      </c>
    </row>
    <row r="1112" spans="2:47" s="1" customFormat="1" ht="12">
      <c r="B1112" s="29"/>
      <c r="D1112" s="136" t="s">
        <v>135</v>
      </c>
      <c r="F1112" s="137" t="s">
        <v>2270</v>
      </c>
      <c r="L1112" s="29"/>
      <c r="M1112" s="138"/>
      <c r="T1112" s="49"/>
      <c r="AT1112" s="17" t="s">
        <v>135</v>
      </c>
      <c r="AU1112" s="17" t="s">
        <v>80</v>
      </c>
    </row>
    <row r="1113" spans="2:51" s="12" customFormat="1" ht="12">
      <c r="B1113" s="139"/>
      <c r="D1113" s="140" t="s">
        <v>137</v>
      </c>
      <c r="E1113" s="141" t="s">
        <v>3</v>
      </c>
      <c r="F1113" s="142" t="s">
        <v>2260</v>
      </c>
      <c r="H1113" s="143">
        <v>477.73</v>
      </c>
      <c r="L1113" s="139"/>
      <c r="M1113" s="144"/>
      <c r="T1113" s="145"/>
      <c r="AT1113" s="141" t="s">
        <v>137</v>
      </c>
      <c r="AU1113" s="141" t="s">
        <v>80</v>
      </c>
      <c r="AV1113" s="12" t="s">
        <v>80</v>
      </c>
      <c r="AW1113" s="12" t="s">
        <v>32</v>
      </c>
      <c r="AX1113" s="12" t="s">
        <v>78</v>
      </c>
      <c r="AY1113" s="141" t="s">
        <v>126</v>
      </c>
    </row>
    <row r="1114" spans="2:65" s="1" customFormat="1" ht="16.5" customHeight="1">
      <c r="B1114" s="123"/>
      <c r="C1114" s="124" t="s">
        <v>2271</v>
      </c>
      <c r="D1114" s="124" t="s">
        <v>128</v>
      </c>
      <c r="E1114" s="125" t="s">
        <v>2272</v>
      </c>
      <c r="F1114" s="126" t="s">
        <v>2273</v>
      </c>
      <c r="G1114" s="127" t="s">
        <v>131</v>
      </c>
      <c r="H1114" s="128">
        <v>477.73</v>
      </c>
      <c r="I1114" s="129"/>
      <c r="J1114" s="129">
        <f>ROUND(I1114*H1114,2)</f>
        <v>0</v>
      </c>
      <c r="K1114" s="126" t="s">
        <v>132</v>
      </c>
      <c r="L1114" s="29"/>
      <c r="M1114" s="130" t="s">
        <v>3</v>
      </c>
      <c r="N1114" s="131" t="s">
        <v>41</v>
      </c>
      <c r="O1114" s="132">
        <v>0.233</v>
      </c>
      <c r="P1114" s="132">
        <f>O1114*H1114</f>
        <v>111.31109000000001</v>
      </c>
      <c r="Q1114" s="132">
        <v>0.0003</v>
      </c>
      <c r="R1114" s="132">
        <f>Q1114*H1114</f>
        <v>0.143319</v>
      </c>
      <c r="S1114" s="132">
        <v>0</v>
      </c>
      <c r="T1114" s="133">
        <f>S1114*H1114</f>
        <v>0</v>
      </c>
      <c r="AR1114" s="134" t="s">
        <v>221</v>
      </c>
      <c r="AT1114" s="134" t="s">
        <v>128</v>
      </c>
      <c r="AU1114" s="134" t="s">
        <v>80</v>
      </c>
      <c r="AY1114" s="17" t="s">
        <v>126</v>
      </c>
      <c r="BE1114" s="135">
        <f>IF(N1114="základní",J1114,0)</f>
        <v>0</v>
      </c>
      <c r="BF1114" s="135">
        <f>IF(N1114="snížená",J1114,0)</f>
        <v>0</v>
      </c>
      <c r="BG1114" s="135">
        <f>IF(N1114="zákl. přenesená",J1114,0)</f>
        <v>0</v>
      </c>
      <c r="BH1114" s="135">
        <f>IF(N1114="sníž. přenesená",J1114,0)</f>
        <v>0</v>
      </c>
      <c r="BI1114" s="135">
        <f>IF(N1114="nulová",J1114,0)</f>
        <v>0</v>
      </c>
      <c r="BJ1114" s="17" t="s">
        <v>78</v>
      </c>
      <c r="BK1114" s="135">
        <f>ROUND(I1114*H1114,2)</f>
        <v>0</v>
      </c>
      <c r="BL1114" s="17" t="s">
        <v>221</v>
      </c>
      <c r="BM1114" s="134" t="s">
        <v>2274</v>
      </c>
    </row>
    <row r="1115" spans="2:47" s="1" customFormat="1" ht="12">
      <c r="B1115" s="29"/>
      <c r="D1115" s="136" t="s">
        <v>135</v>
      </c>
      <c r="F1115" s="137" t="s">
        <v>2275</v>
      </c>
      <c r="L1115" s="29"/>
      <c r="M1115" s="138"/>
      <c r="T1115" s="49"/>
      <c r="AT1115" s="17" t="s">
        <v>135</v>
      </c>
      <c r="AU1115" s="17" t="s">
        <v>80</v>
      </c>
    </row>
    <row r="1116" spans="2:51" s="12" customFormat="1" ht="12">
      <c r="B1116" s="139"/>
      <c r="D1116" s="140" t="s">
        <v>137</v>
      </c>
      <c r="E1116" s="141" t="s">
        <v>3</v>
      </c>
      <c r="F1116" s="142" t="s">
        <v>2260</v>
      </c>
      <c r="H1116" s="143">
        <v>477.73</v>
      </c>
      <c r="L1116" s="139"/>
      <c r="M1116" s="144"/>
      <c r="T1116" s="145"/>
      <c r="AT1116" s="141" t="s">
        <v>137</v>
      </c>
      <c r="AU1116" s="141" t="s">
        <v>80</v>
      </c>
      <c r="AV1116" s="12" t="s">
        <v>80</v>
      </c>
      <c r="AW1116" s="12" t="s">
        <v>32</v>
      </c>
      <c r="AX1116" s="12" t="s">
        <v>78</v>
      </c>
      <c r="AY1116" s="141" t="s">
        <v>126</v>
      </c>
    </row>
    <row r="1117" spans="2:65" s="1" customFormat="1" ht="16.5" customHeight="1">
      <c r="B1117" s="123"/>
      <c r="C1117" s="152" t="s">
        <v>2276</v>
      </c>
      <c r="D1117" s="152" t="s">
        <v>405</v>
      </c>
      <c r="E1117" s="153" t="s">
        <v>2277</v>
      </c>
      <c r="F1117" s="154" t="s">
        <v>2278</v>
      </c>
      <c r="G1117" s="155" t="s">
        <v>131</v>
      </c>
      <c r="H1117" s="156">
        <v>525.503</v>
      </c>
      <c r="I1117" s="157"/>
      <c r="J1117" s="157">
        <f>ROUND(I1117*H1117,2)</f>
        <v>0</v>
      </c>
      <c r="K1117" s="154" t="s">
        <v>132</v>
      </c>
      <c r="L1117" s="158"/>
      <c r="M1117" s="159" t="s">
        <v>3</v>
      </c>
      <c r="N1117" s="160" t="s">
        <v>41</v>
      </c>
      <c r="O1117" s="132">
        <v>0</v>
      </c>
      <c r="P1117" s="132">
        <f>O1117*H1117</f>
        <v>0</v>
      </c>
      <c r="Q1117" s="132">
        <v>0.00264</v>
      </c>
      <c r="R1117" s="132">
        <f>Q1117*H1117</f>
        <v>1.3873279200000002</v>
      </c>
      <c r="S1117" s="132">
        <v>0</v>
      </c>
      <c r="T1117" s="133">
        <f>S1117*H1117</f>
        <v>0</v>
      </c>
      <c r="AR1117" s="134" t="s">
        <v>325</v>
      </c>
      <c r="AT1117" s="134" t="s">
        <v>405</v>
      </c>
      <c r="AU1117" s="134" t="s">
        <v>80</v>
      </c>
      <c r="AY1117" s="17" t="s">
        <v>126</v>
      </c>
      <c r="BE1117" s="135">
        <f>IF(N1117="základní",J1117,0)</f>
        <v>0</v>
      </c>
      <c r="BF1117" s="135">
        <f>IF(N1117="snížená",J1117,0)</f>
        <v>0</v>
      </c>
      <c r="BG1117" s="135">
        <f>IF(N1117="zákl. přenesená",J1117,0)</f>
        <v>0</v>
      </c>
      <c r="BH1117" s="135">
        <f>IF(N1117="sníž. přenesená",J1117,0)</f>
        <v>0</v>
      </c>
      <c r="BI1117" s="135">
        <f>IF(N1117="nulová",J1117,0)</f>
        <v>0</v>
      </c>
      <c r="BJ1117" s="17" t="s">
        <v>78</v>
      </c>
      <c r="BK1117" s="135">
        <f>ROUND(I1117*H1117,2)</f>
        <v>0</v>
      </c>
      <c r="BL1117" s="17" t="s">
        <v>221</v>
      </c>
      <c r="BM1117" s="134" t="s">
        <v>2279</v>
      </c>
    </row>
    <row r="1118" spans="2:51" s="12" customFormat="1" ht="12">
      <c r="B1118" s="139"/>
      <c r="D1118" s="140" t="s">
        <v>137</v>
      </c>
      <c r="F1118" s="142" t="s">
        <v>2280</v>
      </c>
      <c r="H1118" s="143">
        <v>525.503</v>
      </c>
      <c r="L1118" s="139"/>
      <c r="M1118" s="144"/>
      <c r="T1118" s="145"/>
      <c r="AT1118" s="141" t="s">
        <v>137</v>
      </c>
      <c r="AU1118" s="141" t="s">
        <v>80</v>
      </c>
      <c r="AV1118" s="12" t="s">
        <v>80</v>
      </c>
      <c r="AW1118" s="12" t="s">
        <v>4</v>
      </c>
      <c r="AX1118" s="12" t="s">
        <v>78</v>
      </c>
      <c r="AY1118" s="141" t="s">
        <v>126</v>
      </c>
    </row>
    <row r="1119" spans="2:65" s="1" customFormat="1" ht="16.5" customHeight="1">
      <c r="B1119" s="123"/>
      <c r="C1119" s="124" t="s">
        <v>2281</v>
      </c>
      <c r="D1119" s="124" t="s">
        <v>128</v>
      </c>
      <c r="E1119" s="125" t="s">
        <v>2282</v>
      </c>
      <c r="F1119" s="126" t="s">
        <v>2283</v>
      </c>
      <c r="G1119" s="127" t="s">
        <v>249</v>
      </c>
      <c r="H1119" s="128">
        <v>261.88</v>
      </c>
      <c r="I1119" s="129"/>
      <c r="J1119" s="129">
        <f>ROUND(I1119*H1119,2)</f>
        <v>0</v>
      </c>
      <c r="K1119" s="126" t="s">
        <v>132</v>
      </c>
      <c r="L1119" s="29"/>
      <c r="M1119" s="130" t="s">
        <v>3</v>
      </c>
      <c r="N1119" s="131" t="s">
        <v>41</v>
      </c>
      <c r="O1119" s="132">
        <v>0.25</v>
      </c>
      <c r="P1119" s="132">
        <f>O1119*H1119</f>
        <v>65.47</v>
      </c>
      <c r="Q1119" s="132">
        <v>1E-05</v>
      </c>
      <c r="R1119" s="132">
        <f>Q1119*H1119</f>
        <v>0.0026188</v>
      </c>
      <c r="S1119" s="132">
        <v>0</v>
      </c>
      <c r="T1119" s="133">
        <f>S1119*H1119</f>
        <v>0</v>
      </c>
      <c r="AR1119" s="134" t="s">
        <v>221</v>
      </c>
      <c r="AT1119" s="134" t="s">
        <v>128</v>
      </c>
      <c r="AU1119" s="134" t="s">
        <v>80</v>
      </c>
      <c r="AY1119" s="17" t="s">
        <v>126</v>
      </c>
      <c r="BE1119" s="135">
        <f>IF(N1119="základní",J1119,0)</f>
        <v>0</v>
      </c>
      <c r="BF1119" s="135">
        <f>IF(N1119="snížená",J1119,0)</f>
        <v>0</v>
      </c>
      <c r="BG1119" s="135">
        <f>IF(N1119="zákl. přenesená",J1119,0)</f>
        <v>0</v>
      </c>
      <c r="BH1119" s="135">
        <f>IF(N1119="sníž. přenesená",J1119,0)</f>
        <v>0</v>
      </c>
      <c r="BI1119" s="135">
        <f>IF(N1119="nulová",J1119,0)</f>
        <v>0</v>
      </c>
      <c r="BJ1119" s="17" t="s">
        <v>78</v>
      </c>
      <c r="BK1119" s="135">
        <f>ROUND(I1119*H1119,2)</f>
        <v>0</v>
      </c>
      <c r="BL1119" s="17" t="s">
        <v>221</v>
      </c>
      <c r="BM1119" s="134" t="s">
        <v>2284</v>
      </c>
    </row>
    <row r="1120" spans="2:47" s="1" customFormat="1" ht="12">
      <c r="B1120" s="29"/>
      <c r="D1120" s="136" t="s">
        <v>135</v>
      </c>
      <c r="F1120" s="137" t="s">
        <v>2285</v>
      </c>
      <c r="L1120" s="29"/>
      <c r="M1120" s="138"/>
      <c r="T1120" s="49"/>
      <c r="AT1120" s="17" t="s">
        <v>135</v>
      </c>
      <c r="AU1120" s="17" t="s">
        <v>80</v>
      </c>
    </row>
    <row r="1121" spans="2:51" s="12" customFormat="1" ht="22.5">
      <c r="B1121" s="139"/>
      <c r="D1121" s="140" t="s">
        <v>137</v>
      </c>
      <c r="E1121" s="141" t="s">
        <v>3</v>
      </c>
      <c r="F1121" s="142" t="s">
        <v>2286</v>
      </c>
      <c r="H1121" s="143">
        <v>261.88</v>
      </c>
      <c r="L1121" s="139"/>
      <c r="M1121" s="144"/>
      <c r="T1121" s="145"/>
      <c r="AT1121" s="141" t="s">
        <v>137</v>
      </c>
      <c r="AU1121" s="141" t="s">
        <v>80</v>
      </c>
      <c r="AV1121" s="12" t="s">
        <v>80</v>
      </c>
      <c r="AW1121" s="12" t="s">
        <v>32</v>
      </c>
      <c r="AX1121" s="12" t="s">
        <v>78</v>
      </c>
      <c r="AY1121" s="141" t="s">
        <v>126</v>
      </c>
    </row>
    <row r="1122" spans="2:65" s="1" customFormat="1" ht="16.5" customHeight="1">
      <c r="B1122" s="123"/>
      <c r="C1122" s="152" t="s">
        <v>2287</v>
      </c>
      <c r="D1122" s="152" t="s">
        <v>405</v>
      </c>
      <c r="E1122" s="153" t="s">
        <v>2288</v>
      </c>
      <c r="F1122" s="154" t="s">
        <v>2289</v>
      </c>
      <c r="G1122" s="155" t="s">
        <v>249</v>
      </c>
      <c r="H1122" s="156">
        <v>288.068</v>
      </c>
      <c r="I1122" s="157"/>
      <c r="J1122" s="157">
        <f>ROUND(I1122*H1122,2)</f>
        <v>0</v>
      </c>
      <c r="K1122" s="154" t="s">
        <v>132</v>
      </c>
      <c r="L1122" s="158"/>
      <c r="M1122" s="159" t="s">
        <v>3</v>
      </c>
      <c r="N1122" s="160" t="s">
        <v>41</v>
      </c>
      <c r="O1122" s="132">
        <v>0</v>
      </c>
      <c r="P1122" s="132">
        <f>O1122*H1122</f>
        <v>0</v>
      </c>
      <c r="Q1122" s="132">
        <v>0.0003</v>
      </c>
      <c r="R1122" s="132">
        <f>Q1122*H1122</f>
        <v>0.0864204</v>
      </c>
      <c r="S1122" s="132">
        <v>0</v>
      </c>
      <c r="T1122" s="133">
        <f>S1122*H1122</f>
        <v>0</v>
      </c>
      <c r="AR1122" s="134" t="s">
        <v>325</v>
      </c>
      <c r="AT1122" s="134" t="s">
        <v>405</v>
      </c>
      <c r="AU1122" s="134" t="s">
        <v>80</v>
      </c>
      <c r="AY1122" s="17" t="s">
        <v>126</v>
      </c>
      <c r="BE1122" s="135">
        <f>IF(N1122="základní",J1122,0)</f>
        <v>0</v>
      </c>
      <c r="BF1122" s="135">
        <f>IF(N1122="snížená",J1122,0)</f>
        <v>0</v>
      </c>
      <c r="BG1122" s="135">
        <f>IF(N1122="zákl. přenesená",J1122,0)</f>
        <v>0</v>
      </c>
      <c r="BH1122" s="135">
        <f>IF(N1122="sníž. přenesená",J1122,0)</f>
        <v>0</v>
      </c>
      <c r="BI1122" s="135">
        <f>IF(N1122="nulová",J1122,0)</f>
        <v>0</v>
      </c>
      <c r="BJ1122" s="17" t="s">
        <v>78</v>
      </c>
      <c r="BK1122" s="135">
        <f>ROUND(I1122*H1122,2)</f>
        <v>0</v>
      </c>
      <c r="BL1122" s="17" t="s">
        <v>221</v>
      </c>
      <c r="BM1122" s="134" t="s">
        <v>2290</v>
      </c>
    </row>
    <row r="1123" spans="2:51" s="12" customFormat="1" ht="12">
      <c r="B1123" s="139"/>
      <c r="D1123" s="140" t="s">
        <v>137</v>
      </c>
      <c r="F1123" s="142" t="s">
        <v>2291</v>
      </c>
      <c r="H1123" s="143">
        <v>288.068</v>
      </c>
      <c r="L1123" s="139"/>
      <c r="M1123" s="144"/>
      <c r="T1123" s="145"/>
      <c r="AT1123" s="141" t="s">
        <v>137</v>
      </c>
      <c r="AU1123" s="141" t="s">
        <v>80</v>
      </c>
      <c r="AV1123" s="12" t="s">
        <v>80</v>
      </c>
      <c r="AW1123" s="12" t="s">
        <v>4</v>
      </c>
      <c r="AX1123" s="12" t="s">
        <v>78</v>
      </c>
      <c r="AY1123" s="141" t="s">
        <v>126</v>
      </c>
    </row>
    <row r="1124" spans="2:65" s="1" customFormat="1" ht="16.5" customHeight="1">
      <c r="B1124" s="123"/>
      <c r="C1124" s="124" t="s">
        <v>2292</v>
      </c>
      <c r="D1124" s="124" t="s">
        <v>128</v>
      </c>
      <c r="E1124" s="125" t="s">
        <v>2293</v>
      </c>
      <c r="F1124" s="126" t="s">
        <v>2294</v>
      </c>
      <c r="G1124" s="127" t="s">
        <v>131</v>
      </c>
      <c r="H1124" s="128">
        <v>477.73</v>
      </c>
      <c r="I1124" s="129"/>
      <c r="J1124" s="129">
        <f>ROUND(I1124*H1124,2)</f>
        <v>0</v>
      </c>
      <c r="K1124" s="126" t="s">
        <v>132</v>
      </c>
      <c r="L1124" s="29"/>
      <c r="M1124" s="130" t="s">
        <v>3</v>
      </c>
      <c r="N1124" s="131" t="s">
        <v>41</v>
      </c>
      <c r="O1124" s="132">
        <v>0.098</v>
      </c>
      <c r="P1124" s="132">
        <f>O1124*H1124</f>
        <v>46.81754</v>
      </c>
      <c r="Q1124" s="132">
        <v>0</v>
      </c>
      <c r="R1124" s="132">
        <f>Q1124*H1124</f>
        <v>0</v>
      </c>
      <c r="S1124" s="132">
        <v>0</v>
      </c>
      <c r="T1124" s="133">
        <f>S1124*H1124</f>
        <v>0</v>
      </c>
      <c r="AR1124" s="134" t="s">
        <v>221</v>
      </c>
      <c r="AT1124" s="134" t="s">
        <v>128</v>
      </c>
      <c r="AU1124" s="134" t="s">
        <v>80</v>
      </c>
      <c r="AY1124" s="17" t="s">
        <v>126</v>
      </c>
      <c r="BE1124" s="135">
        <f>IF(N1124="základní",J1124,0)</f>
        <v>0</v>
      </c>
      <c r="BF1124" s="135">
        <f>IF(N1124="snížená",J1124,0)</f>
        <v>0</v>
      </c>
      <c r="BG1124" s="135">
        <f>IF(N1124="zákl. přenesená",J1124,0)</f>
        <v>0</v>
      </c>
      <c r="BH1124" s="135">
        <f>IF(N1124="sníž. přenesená",J1124,0)</f>
        <v>0</v>
      </c>
      <c r="BI1124" s="135">
        <f>IF(N1124="nulová",J1124,0)</f>
        <v>0</v>
      </c>
      <c r="BJ1124" s="17" t="s">
        <v>78</v>
      </c>
      <c r="BK1124" s="135">
        <f>ROUND(I1124*H1124,2)</f>
        <v>0</v>
      </c>
      <c r="BL1124" s="17" t="s">
        <v>221</v>
      </c>
      <c r="BM1124" s="134" t="s">
        <v>2295</v>
      </c>
    </row>
    <row r="1125" spans="2:47" s="1" customFormat="1" ht="12">
      <c r="B1125" s="29"/>
      <c r="D1125" s="136" t="s">
        <v>135</v>
      </c>
      <c r="F1125" s="137" t="s">
        <v>2296</v>
      </c>
      <c r="L1125" s="29"/>
      <c r="M1125" s="138"/>
      <c r="T1125" s="49"/>
      <c r="AT1125" s="17" t="s">
        <v>135</v>
      </c>
      <c r="AU1125" s="17" t="s">
        <v>80</v>
      </c>
    </row>
    <row r="1126" spans="2:51" s="12" customFormat="1" ht="12">
      <c r="B1126" s="139"/>
      <c r="D1126" s="140" t="s">
        <v>137</v>
      </c>
      <c r="E1126" s="141" t="s">
        <v>3</v>
      </c>
      <c r="F1126" s="142" t="s">
        <v>2260</v>
      </c>
      <c r="H1126" s="143">
        <v>477.73</v>
      </c>
      <c r="L1126" s="139"/>
      <c r="M1126" s="144"/>
      <c r="T1126" s="145"/>
      <c r="AT1126" s="141" t="s">
        <v>137</v>
      </c>
      <c r="AU1126" s="141" t="s">
        <v>80</v>
      </c>
      <c r="AV1126" s="12" t="s">
        <v>80</v>
      </c>
      <c r="AW1126" s="12" t="s">
        <v>32</v>
      </c>
      <c r="AX1126" s="12" t="s">
        <v>78</v>
      </c>
      <c r="AY1126" s="141" t="s">
        <v>126</v>
      </c>
    </row>
    <row r="1127" spans="2:65" s="1" customFormat="1" ht="24.2" customHeight="1">
      <c r="B1127" s="123"/>
      <c r="C1127" s="124" t="s">
        <v>2297</v>
      </c>
      <c r="D1127" s="124" t="s">
        <v>128</v>
      </c>
      <c r="E1127" s="125" t="s">
        <v>2298</v>
      </c>
      <c r="F1127" s="126" t="s">
        <v>2299</v>
      </c>
      <c r="G1127" s="127" t="s">
        <v>413</v>
      </c>
      <c r="H1127" s="128"/>
      <c r="I1127" s="129"/>
      <c r="J1127" s="129">
        <f>ROUND(I1127*H1127,2)</f>
        <v>0</v>
      </c>
      <c r="K1127" s="126" t="s">
        <v>132</v>
      </c>
      <c r="L1127" s="29"/>
      <c r="M1127" s="130" t="s">
        <v>3</v>
      </c>
      <c r="N1127" s="131" t="s">
        <v>41</v>
      </c>
      <c r="O1127" s="132">
        <v>0</v>
      </c>
      <c r="P1127" s="132">
        <f>O1127*H1127</f>
        <v>0</v>
      </c>
      <c r="Q1127" s="132">
        <v>0</v>
      </c>
      <c r="R1127" s="132">
        <f>Q1127*H1127</f>
        <v>0</v>
      </c>
      <c r="S1127" s="132">
        <v>0</v>
      </c>
      <c r="T1127" s="133">
        <f>S1127*H1127</f>
        <v>0</v>
      </c>
      <c r="AR1127" s="134" t="s">
        <v>221</v>
      </c>
      <c r="AT1127" s="134" t="s">
        <v>128</v>
      </c>
      <c r="AU1127" s="134" t="s">
        <v>80</v>
      </c>
      <c r="AY1127" s="17" t="s">
        <v>126</v>
      </c>
      <c r="BE1127" s="135">
        <f>IF(N1127="základní",J1127,0)</f>
        <v>0</v>
      </c>
      <c r="BF1127" s="135">
        <f>IF(N1127="snížená",J1127,0)</f>
        <v>0</v>
      </c>
      <c r="BG1127" s="135">
        <f>IF(N1127="zákl. přenesená",J1127,0)</f>
        <v>0</v>
      </c>
      <c r="BH1127" s="135">
        <f>IF(N1127="sníž. přenesená",J1127,0)</f>
        <v>0</v>
      </c>
      <c r="BI1127" s="135">
        <f>IF(N1127="nulová",J1127,0)</f>
        <v>0</v>
      </c>
      <c r="BJ1127" s="17" t="s">
        <v>78</v>
      </c>
      <c r="BK1127" s="135">
        <f>ROUND(I1127*H1127,2)</f>
        <v>0</v>
      </c>
      <c r="BL1127" s="17" t="s">
        <v>221</v>
      </c>
      <c r="BM1127" s="134" t="s">
        <v>2300</v>
      </c>
    </row>
    <row r="1128" spans="2:47" s="1" customFormat="1" ht="12">
      <c r="B1128" s="29"/>
      <c r="D1128" s="136" t="s">
        <v>135</v>
      </c>
      <c r="F1128" s="137" t="s">
        <v>2301</v>
      </c>
      <c r="L1128" s="29"/>
      <c r="M1128" s="138"/>
      <c r="T1128" s="49"/>
      <c r="AT1128" s="17" t="s">
        <v>135</v>
      </c>
      <c r="AU1128" s="17" t="s">
        <v>80</v>
      </c>
    </row>
    <row r="1129" spans="2:63" s="11" customFormat="1" ht="22.7" customHeight="1">
      <c r="B1129" s="112"/>
      <c r="D1129" s="113" t="s">
        <v>69</v>
      </c>
      <c r="E1129" s="121" t="s">
        <v>2302</v>
      </c>
      <c r="F1129" s="121" t="s">
        <v>2303</v>
      </c>
      <c r="J1129" s="122">
        <f>BK1129</f>
        <v>0</v>
      </c>
      <c r="L1129" s="112"/>
      <c r="M1129" s="116"/>
      <c r="P1129" s="117">
        <f>SUM(P1130:P1146)</f>
        <v>26.56696</v>
      </c>
      <c r="R1129" s="117">
        <f>SUM(R1130:R1146)</f>
        <v>0.201094</v>
      </c>
      <c r="T1129" s="118">
        <f>SUM(T1130:T1146)</f>
        <v>0</v>
      </c>
      <c r="AR1129" s="113" t="s">
        <v>80</v>
      </c>
      <c r="AT1129" s="119" t="s">
        <v>69</v>
      </c>
      <c r="AU1129" s="119" t="s">
        <v>78</v>
      </c>
      <c r="AY1129" s="113" t="s">
        <v>126</v>
      </c>
      <c r="BK1129" s="120">
        <f>SUM(BK1130:BK1146)</f>
        <v>0</v>
      </c>
    </row>
    <row r="1130" spans="2:65" s="1" customFormat="1" ht="16.5" customHeight="1">
      <c r="B1130" s="123"/>
      <c r="C1130" s="124" t="s">
        <v>2304</v>
      </c>
      <c r="D1130" s="124" t="s">
        <v>128</v>
      </c>
      <c r="E1130" s="125" t="s">
        <v>2305</v>
      </c>
      <c r="F1130" s="126" t="s">
        <v>2306</v>
      </c>
      <c r="G1130" s="127" t="s">
        <v>131</v>
      </c>
      <c r="H1130" s="128">
        <v>26.44</v>
      </c>
      <c r="I1130" s="129"/>
      <c r="J1130" s="129">
        <f>ROUND(I1130*H1130,2)</f>
        <v>0</v>
      </c>
      <c r="K1130" s="126" t="s">
        <v>132</v>
      </c>
      <c r="L1130" s="29"/>
      <c r="M1130" s="130" t="s">
        <v>3</v>
      </c>
      <c r="N1130" s="131" t="s">
        <v>41</v>
      </c>
      <c r="O1130" s="132">
        <v>0.032</v>
      </c>
      <c r="P1130" s="132">
        <f>O1130*H1130</f>
        <v>0.84608</v>
      </c>
      <c r="Q1130" s="132">
        <v>0</v>
      </c>
      <c r="R1130" s="132">
        <f>Q1130*H1130</f>
        <v>0</v>
      </c>
      <c r="S1130" s="132">
        <v>0</v>
      </c>
      <c r="T1130" s="133">
        <f>S1130*H1130</f>
        <v>0</v>
      </c>
      <c r="AR1130" s="134" t="s">
        <v>221</v>
      </c>
      <c r="AT1130" s="134" t="s">
        <v>128</v>
      </c>
      <c r="AU1130" s="134" t="s">
        <v>80</v>
      </c>
      <c r="AY1130" s="17" t="s">
        <v>126</v>
      </c>
      <c r="BE1130" s="135">
        <f>IF(N1130="základní",J1130,0)</f>
        <v>0</v>
      </c>
      <c r="BF1130" s="135">
        <f>IF(N1130="snížená",J1130,0)</f>
        <v>0</v>
      </c>
      <c r="BG1130" s="135">
        <f>IF(N1130="zákl. přenesená",J1130,0)</f>
        <v>0</v>
      </c>
      <c r="BH1130" s="135">
        <f>IF(N1130="sníž. přenesená",J1130,0)</f>
        <v>0</v>
      </c>
      <c r="BI1130" s="135">
        <f>IF(N1130="nulová",J1130,0)</f>
        <v>0</v>
      </c>
      <c r="BJ1130" s="17" t="s">
        <v>78</v>
      </c>
      <c r="BK1130" s="135">
        <f>ROUND(I1130*H1130,2)</f>
        <v>0</v>
      </c>
      <c r="BL1130" s="17" t="s">
        <v>221</v>
      </c>
      <c r="BM1130" s="134" t="s">
        <v>2307</v>
      </c>
    </row>
    <row r="1131" spans="2:47" s="1" customFormat="1" ht="12">
      <c r="B1131" s="29"/>
      <c r="D1131" s="136" t="s">
        <v>135</v>
      </c>
      <c r="F1131" s="137" t="s">
        <v>2308</v>
      </c>
      <c r="L1131" s="29"/>
      <c r="M1131" s="138"/>
      <c r="T1131" s="49"/>
      <c r="AT1131" s="17" t="s">
        <v>135</v>
      </c>
      <c r="AU1131" s="17" t="s">
        <v>80</v>
      </c>
    </row>
    <row r="1132" spans="2:51" s="12" customFormat="1" ht="12">
      <c r="B1132" s="139"/>
      <c r="D1132" s="140" t="s">
        <v>137</v>
      </c>
      <c r="E1132" s="141" t="s">
        <v>3</v>
      </c>
      <c r="F1132" s="142" t="s">
        <v>2309</v>
      </c>
      <c r="H1132" s="143">
        <v>26.44</v>
      </c>
      <c r="L1132" s="139"/>
      <c r="M1132" s="144"/>
      <c r="T1132" s="145"/>
      <c r="AT1132" s="141" t="s">
        <v>137</v>
      </c>
      <c r="AU1132" s="141" t="s">
        <v>80</v>
      </c>
      <c r="AV1132" s="12" t="s">
        <v>80</v>
      </c>
      <c r="AW1132" s="12" t="s">
        <v>32</v>
      </c>
      <c r="AX1132" s="12" t="s">
        <v>78</v>
      </c>
      <c r="AY1132" s="141" t="s">
        <v>126</v>
      </c>
    </row>
    <row r="1133" spans="2:65" s="1" customFormat="1" ht="16.5" customHeight="1">
      <c r="B1133" s="123"/>
      <c r="C1133" s="124" t="s">
        <v>2310</v>
      </c>
      <c r="D1133" s="124" t="s">
        <v>128</v>
      </c>
      <c r="E1133" s="125" t="s">
        <v>2311</v>
      </c>
      <c r="F1133" s="126" t="s">
        <v>2312</v>
      </c>
      <c r="G1133" s="127" t="s">
        <v>131</v>
      </c>
      <c r="H1133" s="128">
        <v>26.44</v>
      </c>
      <c r="I1133" s="129"/>
      <c r="J1133" s="129">
        <f>ROUND(I1133*H1133,2)</f>
        <v>0</v>
      </c>
      <c r="K1133" s="126" t="s">
        <v>132</v>
      </c>
      <c r="L1133" s="29"/>
      <c r="M1133" s="130" t="s">
        <v>3</v>
      </c>
      <c r="N1133" s="131" t="s">
        <v>41</v>
      </c>
      <c r="O1133" s="132">
        <v>0.113</v>
      </c>
      <c r="P1133" s="132">
        <f>O1133*H1133</f>
        <v>2.9877200000000004</v>
      </c>
      <c r="Q1133" s="132">
        <v>0.0003</v>
      </c>
      <c r="R1133" s="132">
        <f>Q1133*H1133</f>
        <v>0.007932</v>
      </c>
      <c r="S1133" s="132">
        <v>0</v>
      </c>
      <c r="T1133" s="133">
        <f>S1133*H1133</f>
        <v>0</v>
      </c>
      <c r="AR1133" s="134" t="s">
        <v>221</v>
      </c>
      <c r="AT1133" s="134" t="s">
        <v>128</v>
      </c>
      <c r="AU1133" s="134" t="s">
        <v>80</v>
      </c>
      <c r="AY1133" s="17" t="s">
        <v>126</v>
      </c>
      <c r="BE1133" s="135">
        <f>IF(N1133="základní",J1133,0)</f>
        <v>0</v>
      </c>
      <c r="BF1133" s="135">
        <f>IF(N1133="snížená",J1133,0)</f>
        <v>0</v>
      </c>
      <c r="BG1133" s="135">
        <f>IF(N1133="zákl. přenesená",J1133,0)</f>
        <v>0</v>
      </c>
      <c r="BH1133" s="135">
        <f>IF(N1133="sníž. přenesená",J1133,0)</f>
        <v>0</v>
      </c>
      <c r="BI1133" s="135">
        <f>IF(N1133="nulová",J1133,0)</f>
        <v>0</v>
      </c>
      <c r="BJ1133" s="17" t="s">
        <v>78</v>
      </c>
      <c r="BK1133" s="135">
        <f>ROUND(I1133*H1133,2)</f>
        <v>0</v>
      </c>
      <c r="BL1133" s="17" t="s">
        <v>221</v>
      </c>
      <c r="BM1133" s="134" t="s">
        <v>2313</v>
      </c>
    </row>
    <row r="1134" spans="2:47" s="1" customFormat="1" ht="12">
      <c r="B1134" s="29"/>
      <c r="D1134" s="136" t="s">
        <v>135</v>
      </c>
      <c r="F1134" s="137" t="s">
        <v>2314</v>
      </c>
      <c r="L1134" s="29"/>
      <c r="M1134" s="138"/>
      <c r="T1134" s="49"/>
      <c r="AT1134" s="17" t="s">
        <v>135</v>
      </c>
      <c r="AU1134" s="17" t="s">
        <v>80</v>
      </c>
    </row>
    <row r="1135" spans="2:51" s="12" customFormat="1" ht="12">
      <c r="B1135" s="139"/>
      <c r="D1135" s="140" t="s">
        <v>137</v>
      </c>
      <c r="E1135" s="141" t="s">
        <v>3</v>
      </c>
      <c r="F1135" s="142" t="s">
        <v>2309</v>
      </c>
      <c r="H1135" s="143">
        <v>26.44</v>
      </c>
      <c r="L1135" s="139"/>
      <c r="M1135" s="144"/>
      <c r="T1135" s="145"/>
      <c r="AT1135" s="141" t="s">
        <v>137</v>
      </c>
      <c r="AU1135" s="141" t="s">
        <v>80</v>
      </c>
      <c r="AV1135" s="12" t="s">
        <v>80</v>
      </c>
      <c r="AW1135" s="12" t="s">
        <v>32</v>
      </c>
      <c r="AX1135" s="12" t="s">
        <v>78</v>
      </c>
      <c r="AY1135" s="141" t="s">
        <v>126</v>
      </c>
    </row>
    <row r="1136" spans="2:65" s="1" customFormat="1" ht="16.5" customHeight="1">
      <c r="B1136" s="123"/>
      <c r="C1136" s="124" t="s">
        <v>2315</v>
      </c>
      <c r="D1136" s="124" t="s">
        <v>128</v>
      </c>
      <c r="E1136" s="125" t="s">
        <v>2316</v>
      </c>
      <c r="F1136" s="126" t="s">
        <v>2317</v>
      </c>
      <c r="G1136" s="127" t="s">
        <v>131</v>
      </c>
      <c r="H1136" s="128">
        <v>26.44</v>
      </c>
      <c r="I1136" s="129"/>
      <c r="J1136" s="129">
        <f>ROUND(I1136*H1136,2)</f>
        <v>0</v>
      </c>
      <c r="K1136" s="126" t="s">
        <v>132</v>
      </c>
      <c r="L1136" s="29"/>
      <c r="M1136" s="130" t="s">
        <v>3</v>
      </c>
      <c r="N1136" s="131" t="s">
        <v>41</v>
      </c>
      <c r="O1136" s="132">
        <v>0.26</v>
      </c>
      <c r="P1136" s="132">
        <f>O1136*H1136</f>
        <v>6.8744000000000005</v>
      </c>
      <c r="Q1136" s="132">
        <v>0.0032</v>
      </c>
      <c r="R1136" s="132">
        <f>Q1136*H1136</f>
        <v>0.084608</v>
      </c>
      <c r="S1136" s="132">
        <v>0</v>
      </c>
      <c r="T1136" s="133">
        <f>S1136*H1136</f>
        <v>0</v>
      </c>
      <c r="AR1136" s="134" t="s">
        <v>221</v>
      </c>
      <c r="AT1136" s="134" t="s">
        <v>128</v>
      </c>
      <c r="AU1136" s="134" t="s">
        <v>80</v>
      </c>
      <c r="AY1136" s="17" t="s">
        <v>126</v>
      </c>
      <c r="BE1136" s="135">
        <f>IF(N1136="základní",J1136,0)</f>
        <v>0</v>
      </c>
      <c r="BF1136" s="135">
        <f>IF(N1136="snížená",J1136,0)</f>
        <v>0</v>
      </c>
      <c r="BG1136" s="135">
        <f>IF(N1136="zákl. přenesená",J1136,0)</f>
        <v>0</v>
      </c>
      <c r="BH1136" s="135">
        <f>IF(N1136="sníž. přenesená",J1136,0)</f>
        <v>0</v>
      </c>
      <c r="BI1136" s="135">
        <f>IF(N1136="nulová",J1136,0)</f>
        <v>0</v>
      </c>
      <c r="BJ1136" s="17" t="s">
        <v>78</v>
      </c>
      <c r="BK1136" s="135">
        <f>ROUND(I1136*H1136,2)</f>
        <v>0</v>
      </c>
      <c r="BL1136" s="17" t="s">
        <v>221</v>
      </c>
      <c r="BM1136" s="134" t="s">
        <v>2318</v>
      </c>
    </row>
    <row r="1137" spans="2:47" s="1" customFormat="1" ht="12">
      <c r="B1137" s="29"/>
      <c r="D1137" s="136" t="s">
        <v>135</v>
      </c>
      <c r="F1137" s="137" t="s">
        <v>2319</v>
      </c>
      <c r="L1137" s="29"/>
      <c r="M1137" s="138"/>
      <c r="T1137" s="49"/>
      <c r="AT1137" s="17" t="s">
        <v>135</v>
      </c>
      <c r="AU1137" s="17" t="s">
        <v>80</v>
      </c>
    </row>
    <row r="1138" spans="2:51" s="12" customFormat="1" ht="12">
      <c r="B1138" s="139"/>
      <c r="D1138" s="140" t="s">
        <v>137</v>
      </c>
      <c r="E1138" s="141" t="s">
        <v>3</v>
      </c>
      <c r="F1138" s="142" t="s">
        <v>2309</v>
      </c>
      <c r="H1138" s="143">
        <v>26.44</v>
      </c>
      <c r="L1138" s="139"/>
      <c r="M1138" s="144"/>
      <c r="T1138" s="145"/>
      <c r="AT1138" s="141" t="s">
        <v>137</v>
      </c>
      <c r="AU1138" s="141" t="s">
        <v>80</v>
      </c>
      <c r="AV1138" s="12" t="s">
        <v>80</v>
      </c>
      <c r="AW1138" s="12" t="s">
        <v>32</v>
      </c>
      <c r="AX1138" s="12" t="s">
        <v>78</v>
      </c>
      <c r="AY1138" s="141" t="s">
        <v>126</v>
      </c>
    </row>
    <row r="1139" spans="2:65" s="1" customFormat="1" ht="16.5" customHeight="1">
      <c r="B1139" s="123"/>
      <c r="C1139" s="124" t="s">
        <v>2320</v>
      </c>
      <c r="D1139" s="124" t="s">
        <v>128</v>
      </c>
      <c r="E1139" s="125" t="s">
        <v>2321</v>
      </c>
      <c r="F1139" s="126" t="s">
        <v>2322</v>
      </c>
      <c r="G1139" s="127" t="s">
        <v>131</v>
      </c>
      <c r="H1139" s="128">
        <v>26.44</v>
      </c>
      <c r="I1139" s="129"/>
      <c r="J1139" s="129">
        <f>ROUND(I1139*H1139,2)</f>
        <v>0</v>
      </c>
      <c r="K1139" s="126" t="s">
        <v>132</v>
      </c>
      <c r="L1139" s="29"/>
      <c r="M1139" s="130" t="s">
        <v>3</v>
      </c>
      <c r="N1139" s="131" t="s">
        <v>41</v>
      </c>
      <c r="O1139" s="132">
        <v>0.211</v>
      </c>
      <c r="P1139" s="132">
        <f>O1139*H1139</f>
        <v>5.5788400000000005</v>
      </c>
      <c r="Q1139" s="132">
        <v>0.00024</v>
      </c>
      <c r="R1139" s="132">
        <f>Q1139*H1139</f>
        <v>0.006345600000000001</v>
      </c>
      <c r="S1139" s="132">
        <v>0</v>
      </c>
      <c r="T1139" s="133">
        <f>S1139*H1139</f>
        <v>0</v>
      </c>
      <c r="AR1139" s="134" t="s">
        <v>221</v>
      </c>
      <c r="AT1139" s="134" t="s">
        <v>128</v>
      </c>
      <c r="AU1139" s="134" t="s">
        <v>80</v>
      </c>
      <c r="AY1139" s="17" t="s">
        <v>126</v>
      </c>
      <c r="BE1139" s="135">
        <f>IF(N1139="základní",J1139,0)</f>
        <v>0</v>
      </c>
      <c r="BF1139" s="135">
        <f>IF(N1139="snížená",J1139,0)</f>
        <v>0</v>
      </c>
      <c r="BG1139" s="135">
        <f>IF(N1139="zákl. přenesená",J1139,0)</f>
        <v>0</v>
      </c>
      <c r="BH1139" s="135">
        <f>IF(N1139="sníž. přenesená",J1139,0)</f>
        <v>0</v>
      </c>
      <c r="BI1139" s="135">
        <f>IF(N1139="nulová",J1139,0)</f>
        <v>0</v>
      </c>
      <c r="BJ1139" s="17" t="s">
        <v>78</v>
      </c>
      <c r="BK1139" s="135">
        <f>ROUND(I1139*H1139,2)</f>
        <v>0</v>
      </c>
      <c r="BL1139" s="17" t="s">
        <v>221</v>
      </c>
      <c r="BM1139" s="134" t="s">
        <v>2323</v>
      </c>
    </row>
    <row r="1140" spans="2:47" s="1" customFormat="1" ht="12">
      <c r="B1140" s="29"/>
      <c r="D1140" s="136" t="s">
        <v>135</v>
      </c>
      <c r="F1140" s="137" t="s">
        <v>2324</v>
      </c>
      <c r="L1140" s="29"/>
      <c r="M1140" s="138"/>
      <c r="T1140" s="49"/>
      <c r="AT1140" s="17" t="s">
        <v>135</v>
      </c>
      <c r="AU1140" s="17" t="s">
        <v>80</v>
      </c>
    </row>
    <row r="1141" spans="2:51" s="12" customFormat="1" ht="12">
      <c r="B1141" s="139"/>
      <c r="D1141" s="140" t="s">
        <v>137</v>
      </c>
      <c r="E1141" s="141" t="s">
        <v>3</v>
      </c>
      <c r="F1141" s="142" t="s">
        <v>2309</v>
      </c>
      <c r="H1141" s="143">
        <v>26.44</v>
      </c>
      <c r="L1141" s="139"/>
      <c r="M1141" s="144"/>
      <c r="T1141" s="145"/>
      <c r="AT1141" s="141" t="s">
        <v>137</v>
      </c>
      <c r="AU1141" s="141" t="s">
        <v>80</v>
      </c>
      <c r="AV1141" s="12" t="s">
        <v>80</v>
      </c>
      <c r="AW1141" s="12" t="s">
        <v>32</v>
      </c>
      <c r="AX1141" s="12" t="s">
        <v>78</v>
      </c>
      <c r="AY1141" s="141" t="s">
        <v>126</v>
      </c>
    </row>
    <row r="1142" spans="2:65" s="1" customFormat="1" ht="24.2" customHeight="1">
      <c r="B1142" s="123"/>
      <c r="C1142" s="124" t="s">
        <v>2325</v>
      </c>
      <c r="D1142" s="124" t="s">
        <v>128</v>
      </c>
      <c r="E1142" s="125" t="s">
        <v>2326</v>
      </c>
      <c r="F1142" s="126" t="s">
        <v>2327</v>
      </c>
      <c r="G1142" s="127" t="s">
        <v>249</v>
      </c>
      <c r="H1142" s="128">
        <v>29.54</v>
      </c>
      <c r="I1142" s="129"/>
      <c r="J1142" s="129">
        <f>ROUND(I1142*H1142,2)</f>
        <v>0</v>
      </c>
      <c r="K1142" s="126" t="s">
        <v>132</v>
      </c>
      <c r="L1142" s="29"/>
      <c r="M1142" s="130" t="s">
        <v>3</v>
      </c>
      <c r="N1142" s="131" t="s">
        <v>41</v>
      </c>
      <c r="O1142" s="132">
        <v>0.348</v>
      </c>
      <c r="P1142" s="132">
        <f>O1142*H1142</f>
        <v>10.279919999999999</v>
      </c>
      <c r="Q1142" s="132">
        <v>0.00346</v>
      </c>
      <c r="R1142" s="132">
        <f>Q1142*H1142</f>
        <v>0.10220839999999999</v>
      </c>
      <c r="S1142" s="132">
        <v>0</v>
      </c>
      <c r="T1142" s="133">
        <f>S1142*H1142</f>
        <v>0</v>
      </c>
      <c r="AR1142" s="134" t="s">
        <v>221</v>
      </c>
      <c r="AT1142" s="134" t="s">
        <v>128</v>
      </c>
      <c r="AU1142" s="134" t="s">
        <v>80</v>
      </c>
      <c r="AY1142" s="17" t="s">
        <v>126</v>
      </c>
      <c r="BE1142" s="135">
        <f>IF(N1142="základní",J1142,0)</f>
        <v>0</v>
      </c>
      <c r="BF1142" s="135">
        <f>IF(N1142="snížená",J1142,0)</f>
        <v>0</v>
      </c>
      <c r="BG1142" s="135">
        <f>IF(N1142="zákl. přenesená",J1142,0)</f>
        <v>0</v>
      </c>
      <c r="BH1142" s="135">
        <f>IF(N1142="sníž. přenesená",J1142,0)</f>
        <v>0</v>
      </c>
      <c r="BI1142" s="135">
        <f>IF(N1142="nulová",J1142,0)</f>
        <v>0</v>
      </c>
      <c r="BJ1142" s="17" t="s">
        <v>78</v>
      </c>
      <c r="BK1142" s="135">
        <f>ROUND(I1142*H1142,2)</f>
        <v>0</v>
      </c>
      <c r="BL1142" s="17" t="s">
        <v>221</v>
      </c>
      <c r="BM1142" s="134" t="s">
        <v>2328</v>
      </c>
    </row>
    <row r="1143" spans="2:47" s="1" customFormat="1" ht="12">
      <c r="B1143" s="29"/>
      <c r="D1143" s="136" t="s">
        <v>135</v>
      </c>
      <c r="F1143" s="137" t="s">
        <v>2329</v>
      </c>
      <c r="L1143" s="29"/>
      <c r="M1143" s="138"/>
      <c r="T1143" s="49"/>
      <c r="AT1143" s="17" t="s">
        <v>135</v>
      </c>
      <c r="AU1143" s="17" t="s">
        <v>80</v>
      </c>
    </row>
    <row r="1144" spans="2:51" s="12" customFormat="1" ht="12">
      <c r="B1144" s="139"/>
      <c r="D1144" s="140" t="s">
        <v>137</v>
      </c>
      <c r="E1144" s="141" t="s">
        <v>3</v>
      </c>
      <c r="F1144" s="142" t="s">
        <v>2330</v>
      </c>
      <c r="H1144" s="143">
        <v>29.54</v>
      </c>
      <c r="L1144" s="139"/>
      <c r="M1144" s="144"/>
      <c r="T1144" s="145"/>
      <c r="AT1144" s="141" t="s">
        <v>137</v>
      </c>
      <c r="AU1144" s="141" t="s">
        <v>80</v>
      </c>
      <c r="AV1144" s="12" t="s">
        <v>80</v>
      </c>
      <c r="AW1144" s="12" t="s">
        <v>32</v>
      </c>
      <c r="AX1144" s="12" t="s">
        <v>78</v>
      </c>
      <c r="AY1144" s="141" t="s">
        <v>126</v>
      </c>
    </row>
    <row r="1145" spans="2:65" s="1" customFormat="1" ht="24.2" customHeight="1">
      <c r="B1145" s="123"/>
      <c r="C1145" s="124" t="s">
        <v>2331</v>
      </c>
      <c r="D1145" s="124" t="s">
        <v>128</v>
      </c>
      <c r="E1145" s="125" t="s">
        <v>2332</v>
      </c>
      <c r="F1145" s="126" t="s">
        <v>2333</v>
      </c>
      <c r="G1145" s="127" t="s">
        <v>413</v>
      </c>
      <c r="H1145" s="128"/>
      <c r="I1145" s="129"/>
      <c r="J1145" s="129">
        <f>ROUND(I1145*H1145,2)</f>
        <v>0</v>
      </c>
      <c r="K1145" s="126" t="s">
        <v>132</v>
      </c>
      <c r="L1145" s="29"/>
      <c r="M1145" s="130" t="s">
        <v>3</v>
      </c>
      <c r="N1145" s="131" t="s">
        <v>41</v>
      </c>
      <c r="O1145" s="132">
        <v>0</v>
      </c>
      <c r="P1145" s="132">
        <f>O1145*H1145</f>
        <v>0</v>
      </c>
      <c r="Q1145" s="132">
        <v>0</v>
      </c>
      <c r="R1145" s="132">
        <f>Q1145*H1145</f>
        <v>0</v>
      </c>
      <c r="S1145" s="132">
        <v>0</v>
      </c>
      <c r="T1145" s="133">
        <f>S1145*H1145</f>
        <v>0</v>
      </c>
      <c r="AR1145" s="134" t="s">
        <v>221</v>
      </c>
      <c r="AT1145" s="134" t="s">
        <v>128</v>
      </c>
      <c r="AU1145" s="134" t="s">
        <v>80</v>
      </c>
      <c r="AY1145" s="17" t="s">
        <v>126</v>
      </c>
      <c r="BE1145" s="135">
        <f>IF(N1145="základní",J1145,0)</f>
        <v>0</v>
      </c>
      <c r="BF1145" s="135">
        <f>IF(N1145="snížená",J1145,0)</f>
        <v>0</v>
      </c>
      <c r="BG1145" s="135">
        <f>IF(N1145="zákl. přenesená",J1145,0)</f>
        <v>0</v>
      </c>
      <c r="BH1145" s="135">
        <f>IF(N1145="sníž. přenesená",J1145,0)</f>
        <v>0</v>
      </c>
      <c r="BI1145" s="135">
        <f>IF(N1145="nulová",J1145,0)</f>
        <v>0</v>
      </c>
      <c r="BJ1145" s="17" t="s">
        <v>78</v>
      </c>
      <c r="BK1145" s="135">
        <f>ROUND(I1145*H1145,2)</f>
        <v>0</v>
      </c>
      <c r="BL1145" s="17" t="s">
        <v>221</v>
      </c>
      <c r="BM1145" s="134" t="s">
        <v>2334</v>
      </c>
    </row>
    <row r="1146" spans="2:47" s="1" customFormat="1" ht="12">
      <c r="B1146" s="29"/>
      <c r="D1146" s="136" t="s">
        <v>135</v>
      </c>
      <c r="F1146" s="137" t="s">
        <v>2335</v>
      </c>
      <c r="L1146" s="29"/>
      <c r="M1146" s="138"/>
      <c r="T1146" s="49"/>
      <c r="AT1146" s="17" t="s">
        <v>135</v>
      </c>
      <c r="AU1146" s="17" t="s">
        <v>80</v>
      </c>
    </row>
    <row r="1147" spans="2:63" s="11" customFormat="1" ht="22.7" customHeight="1">
      <c r="B1147" s="112"/>
      <c r="D1147" s="113" t="s">
        <v>69</v>
      </c>
      <c r="E1147" s="121" t="s">
        <v>2336</v>
      </c>
      <c r="F1147" s="121" t="s">
        <v>2337</v>
      </c>
      <c r="J1147" s="122">
        <f>BK1147</f>
        <v>0</v>
      </c>
      <c r="L1147" s="112"/>
      <c r="M1147" s="116"/>
      <c r="P1147" s="117">
        <f>SUM(P1148:P1184)</f>
        <v>102.47451000000001</v>
      </c>
      <c r="R1147" s="117">
        <f>SUM(R1148:R1184)</f>
        <v>2.0207412</v>
      </c>
      <c r="T1147" s="118">
        <f>SUM(T1148:T1184)</f>
        <v>0</v>
      </c>
      <c r="AR1147" s="113" t="s">
        <v>80</v>
      </c>
      <c r="AT1147" s="119" t="s">
        <v>69</v>
      </c>
      <c r="AU1147" s="119" t="s">
        <v>78</v>
      </c>
      <c r="AY1147" s="113" t="s">
        <v>126</v>
      </c>
      <c r="BK1147" s="120">
        <f>SUM(BK1148:BK1184)</f>
        <v>0</v>
      </c>
    </row>
    <row r="1148" spans="2:65" s="1" customFormat="1" ht="16.5" customHeight="1">
      <c r="B1148" s="123"/>
      <c r="C1148" s="124" t="s">
        <v>2338</v>
      </c>
      <c r="D1148" s="124" t="s">
        <v>128</v>
      </c>
      <c r="E1148" s="125" t="s">
        <v>2339</v>
      </c>
      <c r="F1148" s="126" t="s">
        <v>2340</v>
      </c>
      <c r="G1148" s="127" t="s">
        <v>131</v>
      </c>
      <c r="H1148" s="128">
        <v>103.39</v>
      </c>
      <c r="I1148" s="129"/>
      <c r="J1148" s="129">
        <f>ROUND(I1148*H1148,2)</f>
        <v>0</v>
      </c>
      <c r="K1148" s="126" t="s">
        <v>132</v>
      </c>
      <c r="L1148" s="29"/>
      <c r="M1148" s="130" t="s">
        <v>3</v>
      </c>
      <c r="N1148" s="131" t="s">
        <v>41</v>
      </c>
      <c r="O1148" s="132">
        <v>0.012</v>
      </c>
      <c r="P1148" s="132">
        <f>O1148*H1148</f>
        <v>1.24068</v>
      </c>
      <c r="Q1148" s="132">
        <v>0</v>
      </c>
      <c r="R1148" s="132">
        <f>Q1148*H1148</f>
        <v>0</v>
      </c>
      <c r="S1148" s="132">
        <v>0</v>
      </c>
      <c r="T1148" s="133">
        <f>S1148*H1148</f>
        <v>0</v>
      </c>
      <c r="AR1148" s="134" t="s">
        <v>221</v>
      </c>
      <c r="AT1148" s="134" t="s">
        <v>128</v>
      </c>
      <c r="AU1148" s="134" t="s">
        <v>80</v>
      </c>
      <c r="AY1148" s="17" t="s">
        <v>126</v>
      </c>
      <c r="BE1148" s="135">
        <f>IF(N1148="základní",J1148,0)</f>
        <v>0</v>
      </c>
      <c r="BF1148" s="135">
        <f>IF(N1148="snížená",J1148,0)</f>
        <v>0</v>
      </c>
      <c r="BG1148" s="135">
        <f>IF(N1148="zákl. přenesená",J1148,0)</f>
        <v>0</v>
      </c>
      <c r="BH1148" s="135">
        <f>IF(N1148="sníž. přenesená",J1148,0)</f>
        <v>0</v>
      </c>
      <c r="BI1148" s="135">
        <f>IF(N1148="nulová",J1148,0)</f>
        <v>0</v>
      </c>
      <c r="BJ1148" s="17" t="s">
        <v>78</v>
      </c>
      <c r="BK1148" s="135">
        <f>ROUND(I1148*H1148,2)</f>
        <v>0</v>
      </c>
      <c r="BL1148" s="17" t="s">
        <v>221</v>
      </c>
      <c r="BM1148" s="134" t="s">
        <v>2341</v>
      </c>
    </row>
    <row r="1149" spans="2:47" s="1" customFormat="1" ht="12">
      <c r="B1149" s="29"/>
      <c r="D1149" s="136" t="s">
        <v>135</v>
      </c>
      <c r="F1149" s="137" t="s">
        <v>2342</v>
      </c>
      <c r="L1149" s="29"/>
      <c r="M1149" s="138"/>
      <c r="T1149" s="49"/>
      <c r="AT1149" s="17" t="s">
        <v>135</v>
      </c>
      <c r="AU1149" s="17" t="s">
        <v>80</v>
      </c>
    </row>
    <row r="1150" spans="2:51" s="12" customFormat="1" ht="12">
      <c r="B1150" s="139"/>
      <c r="D1150" s="140" t="s">
        <v>137</v>
      </c>
      <c r="E1150" s="141" t="s">
        <v>3</v>
      </c>
      <c r="F1150" s="142" t="s">
        <v>2343</v>
      </c>
      <c r="H1150" s="143">
        <v>89.89</v>
      </c>
      <c r="L1150" s="139"/>
      <c r="M1150" s="144"/>
      <c r="T1150" s="145"/>
      <c r="AT1150" s="141" t="s">
        <v>137</v>
      </c>
      <c r="AU1150" s="141" t="s">
        <v>80</v>
      </c>
      <c r="AV1150" s="12" t="s">
        <v>80</v>
      </c>
      <c r="AW1150" s="12" t="s">
        <v>32</v>
      </c>
      <c r="AX1150" s="12" t="s">
        <v>70</v>
      </c>
      <c r="AY1150" s="141" t="s">
        <v>126</v>
      </c>
    </row>
    <row r="1151" spans="2:51" s="12" customFormat="1" ht="12">
      <c r="B1151" s="139"/>
      <c r="D1151" s="140" t="s">
        <v>137</v>
      </c>
      <c r="E1151" s="141" t="s">
        <v>3</v>
      </c>
      <c r="F1151" s="142" t="s">
        <v>1415</v>
      </c>
      <c r="H1151" s="143">
        <v>13.5</v>
      </c>
      <c r="L1151" s="139"/>
      <c r="M1151" s="144"/>
      <c r="T1151" s="145"/>
      <c r="AT1151" s="141" t="s">
        <v>137</v>
      </c>
      <c r="AU1151" s="141" t="s">
        <v>80</v>
      </c>
      <c r="AV1151" s="12" t="s">
        <v>80</v>
      </c>
      <c r="AW1151" s="12" t="s">
        <v>32</v>
      </c>
      <c r="AX1151" s="12" t="s">
        <v>70</v>
      </c>
      <c r="AY1151" s="141" t="s">
        <v>126</v>
      </c>
    </row>
    <row r="1152" spans="2:51" s="13" customFormat="1" ht="12">
      <c r="B1152" s="146"/>
      <c r="D1152" s="140" t="s">
        <v>137</v>
      </c>
      <c r="E1152" s="147" t="s">
        <v>3</v>
      </c>
      <c r="F1152" s="148" t="s">
        <v>151</v>
      </c>
      <c r="H1152" s="149">
        <v>103.39</v>
      </c>
      <c r="L1152" s="146"/>
      <c r="M1152" s="150"/>
      <c r="T1152" s="151"/>
      <c r="AT1152" s="147" t="s">
        <v>137</v>
      </c>
      <c r="AU1152" s="147" t="s">
        <v>80</v>
      </c>
      <c r="AV1152" s="13" t="s">
        <v>133</v>
      </c>
      <c r="AW1152" s="13" t="s">
        <v>32</v>
      </c>
      <c r="AX1152" s="13" t="s">
        <v>78</v>
      </c>
      <c r="AY1152" s="147" t="s">
        <v>126</v>
      </c>
    </row>
    <row r="1153" spans="2:65" s="1" customFormat="1" ht="16.5" customHeight="1">
      <c r="B1153" s="123"/>
      <c r="C1153" s="124" t="s">
        <v>2344</v>
      </c>
      <c r="D1153" s="124" t="s">
        <v>128</v>
      </c>
      <c r="E1153" s="125" t="s">
        <v>2345</v>
      </c>
      <c r="F1153" s="126" t="s">
        <v>2346</v>
      </c>
      <c r="G1153" s="127" t="s">
        <v>131</v>
      </c>
      <c r="H1153" s="128">
        <v>103.39</v>
      </c>
      <c r="I1153" s="129"/>
      <c r="J1153" s="129">
        <f>ROUND(I1153*H1153,2)</f>
        <v>0</v>
      </c>
      <c r="K1153" s="126" t="s">
        <v>132</v>
      </c>
      <c r="L1153" s="29"/>
      <c r="M1153" s="130" t="s">
        <v>3</v>
      </c>
      <c r="N1153" s="131" t="s">
        <v>41</v>
      </c>
      <c r="O1153" s="132">
        <v>0.044</v>
      </c>
      <c r="P1153" s="132">
        <f>O1153*H1153</f>
        <v>4.54916</v>
      </c>
      <c r="Q1153" s="132">
        <v>0.0003</v>
      </c>
      <c r="R1153" s="132">
        <f>Q1153*H1153</f>
        <v>0.031016999999999996</v>
      </c>
      <c r="S1153" s="132">
        <v>0</v>
      </c>
      <c r="T1153" s="133">
        <f>S1153*H1153</f>
        <v>0</v>
      </c>
      <c r="AR1153" s="134" t="s">
        <v>221</v>
      </c>
      <c r="AT1153" s="134" t="s">
        <v>128</v>
      </c>
      <c r="AU1153" s="134" t="s">
        <v>80</v>
      </c>
      <c r="AY1153" s="17" t="s">
        <v>126</v>
      </c>
      <c r="BE1153" s="135">
        <f>IF(N1153="základní",J1153,0)</f>
        <v>0</v>
      </c>
      <c r="BF1153" s="135">
        <f>IF(N1153="snížená",J1153,0)</f>
        <v>0</v>
      </c>
      <c r="BG1153" s="135">
        <f>IF(N1153="zákl. přenesená",J1153,0)</f>
        <v>0</v>
      </c>
      <c r="BH1153" s="135">
        <f>IF(N1153="sníž. přenesená",J1153,0)</f>
        <v>0</v>
      </c>
      <c r="BI1153" s="135">
        <f>IF(N1153="nulová",J1153,0)</f>
        <v>0</v>
      </c>
      <c r="BJ1153" s="17" t="s">
        <v>78</v>
      </c>
      <c r="BK1153" s="135">
        <f>ROUND(I1153*H1153,2)</f>
        <v>0</v>
      </c>
      <c r="BL1153" s="17" t="s">
        <v>221</v>
      </c>
      <c r="BM1153" s="134" t="s">
        <v>2347</v>
      </c>
    </row>
    <row r="1154" spans="2:47" s="1" customFormat="1" ht="12">
      <c r="B1154" s="29"/>
      <c r="D1154" s="136" t="s">
        <v>135</v>
      </c>
      <c r="F1154" s="137" t="s">
        <v>2348</v>
      </c>
      <c r="L1154" s="29"/>
      <c r="M1154" s="138"/>
      <c r="T1154" s="49"/>
      <c r="AT1154" s="17" t="s">
        <v>135</v>
      </c>
      <c r="AU1154" s="17" t="s">
        <v>80</v>
      </c>
    </row>
    <row r="1155" spans="2:51" s="12" customFormat="1" ht="12">
      <c r="B1155" s="139"/>
      <c r="D1155" s="140" t="s">
        <v>137</v>
      </c>
      <c r="E1155" s="141" t="s">
        <v>3</v>
      </c>
      <c r="F1155" s="142" t="s">
        <v>2343</v>
      </c>
      <c r="H1155" s="143">
        <v>89.89</v>
      </c>
      <c r="L1155" s="139"/>
      <c r="M1155" s="144"/>
      <c r="T1155" s="145"/>
      <c r="AT1155" s="141" t="s">
        <v>137</v>
      </c>
      <c r="AU1155" s="141" t="s">
        <v>80</v>
      </c>
      <c r="AV1155" s="12" t="s">
        <v>80</v>
      </c>
      <c r="AW1155" s="12" t="s">
        <v>32</v>
      </c>
      <c r="AX1155" s="12" t="s">
        <v>70</v>
      </c>
      <c r="AY1155" s="141" t="s">
        <v>126</v>
      </c>
    </row>
    <row r="1156" spans="2:51" s="12" customFormat="1" ht="12">
      <c r="B1156" s="139"/>
      <c r="D1156" s="140" t="s">
        <v>137</v>
      </c>
      <c r="E1156" s="141" t="s">
        <v>3</v>
      </c>
      <c r="F1156" s="142" t="s">
        <v>1415</v>
      </c>
      <c r="H1156" s="143">
        <v>13.5</v>
      </c>
      <c r="L1156" s="139"/>
      <c r="M1156" s="144"/>
      <c r="T1156" s="145"/>
      <c r="AT1156" s="141" t="s">
        <v>137</v>
      </c>
      <c r="AU1156" s="141" t="s">
        <v>80</v>
      </c>
      <c r="AV1156" s="12" t="s">
        <v>80</v>
      </c>
      <c r="AW1156" s="12" t="s">
        <v>32</v>
      </c>
      <c r="AX1156" s="12" t="s">
        <v>70</v>
      </c>
      <c r="AY1156" s="141" t="s">
        <v>126</v>
      </c>
    </row>
    <row r="1157" spans="2:51" s="13" customFormat="1" ht="12">
      <c r="B1157" s="146"/>
      <c r="D1157" s="140" t="s">
        <v>137</v>
      </c>
      <c r="E1157" s="147" t="s">
        <v>3</v>
      </c>
      <c r="F1157" s="148" t="s">
        <v>151</v>
      </c>
      <c r="H1157" s="149">
        <v>103.39</v>
      </c>
      <c r="L1157" s="146"/>
      <c r="M1157" s="150"/>
      <c r="T1157" s="151"/>
      <c r="AT1157" s="147" t="s">
        <v>137</v>
      </c>
      <c r="AU1157" s="147" t="s">
        <v>80</v>
      </c>
      <c r="AV1157" s="13" t="s">
        <v>133</v>
      </c>
      <c r="AW1157" s="13" t="s">
        <v>32</v>
      </c>
      <c r="AX1157" s="13" t="s">
        <v>78</v>
      </c>
      <c r="AY1157" s="147" t="s">
        <v>126</v>
      </c>
    </row>
    <row r="1158" spans="2:65" s="1" customFormat="1" ht="24.2" customHeight="1">
      <c r="B1158" s="123"/>
      <c r="C1158" s="124" t="s">
        <v>2349</v>
      </c>
      <c r="D1158" s="124" t="s">
        <v>128</v>
      </c>
      <c r="E1158" s="125" t="s">
        <v>2350</v>
      </c>
      <c r="F1158" s="126" t="s">
        <v>2351</v>
      </c>
      <c r="G1158" s="127" t="s">
        <v>131</v>
      </c>
      <c r="H1158" s="128">
        <v>103.39</v>
      </c>
      <c r="I1158" s="129"/>
      <c r="J1158" s="129">
        <f>ROUND(I1158*H1158,2)</f>
        <v>0</v>
      </c>
      <c r="K1158" s="126" t="s">
        <v>132</v>
      </c>
      <c r="L1158" s="29"/>
      <c r="M1158" s="130" t="s">
        <v>3</v>
      </c>
      <c r="N1158" s="131" t="s">
        <v>41</v>
      </c>
      <c r="O1158" s="132">
        <v>0.642</v>
      </c>
      <c r="P1158" s="132">
        <f>O1158*H1158</f>
        <v>66.37638</v>
      </c>
      <c r="Q1158" s="132">
        <v>0.006</v>
      </c>
      <c r="R1158" s="132">
        <f>Q1158*H1158</f>
        <v>0.62034</v>
      </c>
      <c r="S1158" s="132">
        <v>0</v>
      </c>
      <c r="T1158" s="133">
        <f>S1158*H1158</f>
        <v>0</v>
      </c>
      <c r="AR1158" s="134" t="s">
        <v>221</v>
      </c>
      <c r="AT1158" s="134" t="s">
        <v>128</v>
      </c>
      <c r="AU1158" s="134" t="s">
        <v>80</v>
      </c>
      <c r="AY1158" s="17" t="s">
        <v>126</v>
      </c>
      <c r="BE1158" s="135">
        <f>IF(N1158="základní",J1158,0)</f>
        <v>0</v>
      </c>
      <c r="BF1158" s="135">
        <f>IF(N1158="snížená",J1158,0)</f>
        <v>0</v>
      </c>
      <c r="BG1158" s="135">
        <f>IF(N1158="zákl. přenesená",J1158,0)</f>
        <v>0</v>
      </c>
      <c r="BH1158" s="135">
        <f>IF(N1158="sníž. přenesená",J1158,0)</f>
        <v>0</v>
      </c>
      <c r="BI1158" s="135">
        <f>IF(N1158="nulová",J1158,0)</f>
        <v>0</v>
      </c>
      <c r="BJ1158" s="17" t="s">
        <v>78</v>
      </c>
      <c r="BK1158" s="135">
        <f>ROUND(I1158*H1158,2)</f>
        <v>0</v>
      </c>
      <c r="BL1158" s="17" t="s">
        <v>221</v>
      </c>
      <c r="BM1158" s="134" t="s">
        <v>2352</v>
      </c>
    </row>
    <row r="1159" spans="2:47" s="1" customFormat="1" ht="12">
      <c r="B1159" s="29"/>
      <c r="D1159" s="136" t="s">
        <v>135</v>
      </c>
      <c r="F1159" s="137" t="s">
        <v>2353</v>
      </c>
      <c r="L1159" s="29"/>
      <c r="M1159" s="138"/>
      <c r="T1159" s="49"/>
      <c r="AT1159" s="17" t="s">
        <v>135</v>
      </c>
      <c r="AU1159" s="17" t="s">
        <v>80</v>
      </c>
    </row>
    <row r="1160" spans="2:51" s="12" customFormat="1" ht="12">
      <c r="B1160" s="139"/>
      <c r="D1160" s="140" t="s">
        <v>137</v>
      </c>
      <c r="E1160" s="141" t="s">
        <v>3</v>
      </c>
      <c r="F1160" s="142" t="s">
        <v>2343</v>
      </c>
      <c r="H1160" s="143">
        <v>89.89</v>
      </c>
      <c r="L1160" s="139"/>
      <c r="M1160" s="144"/>
      <c r="T1160" s="145"/>
      <c r="AT1160" s="141" t="s">
        <v>137</v>
      </c>
      <c r="AU1160" s="141" t="s">
        <v>80</v>
      </c>
      <c r="AV1160" s="12" t="s">
        <v>80</v>
      </c>
      <c r="AW1160" s="12" t="s">
        <v>32</v>
      </c>
      <c r="AX1160" s="12" t="s">
        <v>70</v>
      </c>
      <c r="AY1160" s="141" t="s">
        <v>126</v>
      </c>
    </row>
    <row r="1161" spans="2:51" s="12" customFormat="1" ht="12">
      <c r="B1161" s="139"/>
      <c r="D1161" s="140" t="s">
        <v>137</v>
      </c>
      <c r="E1161" s="141" t="s">
        <v>3</v>
      </c>
      <c r="F1161" s="142" t="s">
        <v>1415</v>
      </c>
      <c r="H1161" s="143">
        <v>13.5</v>
      </c>
      <c r="L1161" s="139"/>
      <c r="M1161" s="144"/>
      <c r="T1161" s="145"/>
      <c r="AT1161" s="141" t="s">
        <v>137</v>
      </c>
      <c r="AU1161" s="141" t="s">
        <v>80</v>
      </c>
      <c r="AV1161" s="12" t="s">
        <v>80</v>
      </c>
      <c r="AW1161" s="12" t="s">
        <v>32</v>
      </c>
      <c r="AX1161" s="12" t="s">
        <v>70</v>
      </c>
      <c r="AY1161" s="141" t="s">
        <v>126</v>
      </c>
    </row>
    <row r="1162" spans="2:51" s="13" customFormat="1" ht="12">
      <c r="B1162" s="146"/>
      <c r="D1162" s="140" t="s">
        <v>137</v>
      </c>
      <c r="E1162" s="147" t="s">
        <v>3</v>
      </c>
      <c r="F1162" s="148" t="s">
        <v>151</v>
      </c>
      <c r="H1162" s="149">
        <v>103.39</v>
      </c>
      <c r="L1162" s="146"/>
      <c r="M1162" s="150"/>
      <c r="T1162" s="151"/>
      <c r="AT1162" s="147" t="s">
        <v>137</v>
      </c>
      <c r="AU1162" s="147" t="s">
        <v>80</v>
      </c>
      <c r="AV1162" s="13" t="s">
        <v>133</v>
      </c>
      <c r="AW1162" s="13" t="s">
        <v>32</v>
      </c>
      <c r="AX1162" s="13" t="s">
        <v>78</v>
      </c>
      <c r="AY1162" s="147" t="s">
        <v>126</v>
      </c>
    </row>
    <row r="1163" spans="2:65" s="1" customFormat="1" ht="16.5" customHeight="1">
      <c r="B1163" s="123"/>
      <c r="C1163" s="152" t="s">
        <v>2354</v>
      </c>
      <c r="D1163" s="152" t="s">
        <v>405</v>
      </c>
      <c r="E1163" s="153" t="s">
        <v>2355</v>
      </c>
      <c r="F1163" s="154" t="s">
        <v>2356</v>
      </c>
      <c r="G1163" s="155" t="s">
        <v>131</v>
      </c>
      <c r="H1163" s="156">
        <v>113.729</v>
      </c>
      <c r="I1163" s="157"/>
      <c r="J1163" s="157">
        <f>ROUND(I1163*H1163,2)</f>
        <v>0</v>
      </c>
      <c r="K1163" s="154" t="s">
        <v>132</v>
      </c>
      <c r="L1163" s="158"/>
      <c r="M1163" s="159" t="s">
        <v>3</v>
      </c>
      <c r="N1163" s="160" t="s">
        <v>41</v>
      </c>
      <c r="O1163" s="132">
        <v>0</v>
      </c>
      <c r="P1163" s="132">
        <f>O1163*H1163</f>
        <v>0</v>
      </c>
      <c r="Q1163" s="132">
        <v>0.0118</v>
      </c>
      <c r="R1163" s="132">
        <f>Q1163*H1163</f>
        <v>1.3420022</v>
      </c>
      <c r="S1163" s="132">
        <v>0</v>
      </c>
      <c r="T1163" s="133">
        <f>S1163*H1163</f>
        <v>0</v>
      </c>
      <c r="AR1163" s="134" t="s">
        <v>325</v>
      </c>
      <c r="AT1163" s="134" t="s">
        <v>405</v>
      </c>
      <c r="AU1163" s="134" t="s">
        <v>80</v>
      </c>
      <c r="AY1163" s="17" t="s">
        <v>126</v>
      </c>
      <c r="BE1163" s="135">
        <f>IF(N1163="základní",J1163,0)</f>
        <v>0</v>
      </c>
      <c r="BF1163" s="135">
        <f>IF(N1163="snížená",J1163,0)</f>
        <v>0</v>
      </c>
      <c r="BG1163" s="135">
        <f>IF(N1163="zákl. přenesená",J1163,0)</f>
        <v>0</v>
      </c>
      <c r="BH1163" s="135">
        <f>IF(N1163="sníž. přenesená",J1163,0)</f>
        <v>0</v>
      </c>
      <c r="BI1163" s="135">
        <f>IF(N1163="nulová",J1163,0)</f>
        <v>0</v>
      </c>
      <c r="BJ1163" s="17" t="s">
        <v>78</v>
      </c>
      <c r="BK1163" s="135">
        <f>ROUND(I1163*H1163,2)</f>
        <v>0</v>
      </c>
      <c r="BL1163" s="17" t="s">
        <v>221</v>
      </c>
      <c r="BM1163" s="134" t="s">
        <v>2357</v>
      </c>
    </row>
    <row r="1164" spans="2:51" s="12" customFormat="1" ht="12">
      <c r="B1164" s="139"/>
      <c r="D1164" s="140" t="s">
        <v>137</v>
      </c>
      <c r="F1164" s="142" t="s">
        <v>2358</v>
      </c>
      <c r="H1164" s="143">
        <v>113.729</v>
      </c>
      <c r="L1164" s="139"/>
      <c r="M1164" s="144"/>
      <c r="T1164" s="145"/>
      <c r="AT1164" s="141" t="s">
        <v>137</v>
      </c>
      <c r="AU1164" s="141" t="s">
        <v>80</v>
      </c>
      <c r="AV1164" s="12" t="s">
        <v>80</v>
      </c>
      <c r="AW1164" s="12" t="s">
        <v>4</v>
      </c>
      <c r="AX1164" s="12" t="s">
        <v>78</v>
      </c>
      <c r="AY1164" s="141" t="s">
        <v>126</v>
      </c>
    </row>
    <row r="1165" spans="2:65" s="1" customFormat="1" ht="21.75" customHeight="1">
      <c r="B1165" s="123"/>
      <c r="C1165" s="124" t="s">
        <v>2359</v>
      </c>
      <c r="D1165" s="124" t="s">
        <v>128</v>
      </c>
      <c r="E1165" s="125" t="s">
        <v>2360</v>
      </c>
      <c r="F1165" s="126" t="s">
        <v>2361</v>
      </c>
      <c r="G1165" s="127" t="s">
        <v>131</v>
      </c>
      <c r="H1165" s="128">
        <v>103.39</v>
      </c>
      <c r="I1165" s="129"/>
      <c r="J1165" s="129">
        <f>ROUND(I1165*H1165,2)</f>
        <v>0</v>
      </c>
      <c r="K1165" s="126" t="s">
        <v>132</v>
      </c>
      <c r="L1165" s="29"/>
      <c r="M1165" s="130" t="s">
        <v>3</v>
      </c>
      <c r="N1165" s="131" t="s">
        <v>41</v>
      </c>
      <c r="O1165" s="132">
        <v>0.13</v>
      </c>
      <c r="P1165" s="132">
        <f>O1165*H1165</f>
        <v>13.4407</v>
      </c>
      <c r="Q1165" s="132">
        <v>0</v>
      </c>
      <c r="R1165" s="132">
        <f>Q1165*H1165</f>
        <v>0</v>
      </c>
      <c r="S1165" s="132">
        <v>0</v>
      </c>
      <c r="T1165" s="133">
        <f>S1165*H1165</f>
        <v>0</v>
      </c>
      <c r="AR1165" s="134" t="s">
        <v>221</v>
      </c>
      <c r="AT1165" s="134" t="s">
        <v>128</v>
      </c>
      <c r="AU1165" s="134" t="s">
        <v>80</v>
      </c>
      <c r="AY1165" s="17" t="s">
        <v>126</v>
      </c>
      <c r="BE1165" s="135">
        <f>IF(N1165="základní",J1165,0)</f>
        <v>0</v>
      </c>
      <c r="BF1165" s="135">
        <f>IF(N1165="snížená",J1165,0)</f>
        <v>0</v>
      </c>
      <c r="BG1165" s="135">
        <f>IF(N1165="zákl. přenesená",J1165,0)</f>
        <v>0</v>
      </c>
      <c r="BH1165" s="135">
        <f>IF(N1165="sníž. přenesená",J1165,0)</f>
        <v>0</v>
      </c>
      <c r="BI1165" s="135">
        <f>IF(N1165="nulová",J1165,0)</f>
        <v>0</v>
      </c>
      <c r="BJ1165" s="17" t="s">
        <v>78</v>
      </c>
      <c r="BK1165" s="135">
        <f>ROUND(I1165*H1165,2)</f>
        <v>0</v>
      </c>
      <c r="BL1165" s="17" t="s">
        <v>221</v>
      </c>
      <c r="BM1165" s="134" t="s">
        <v>2362</v>
      </c>
    </row>
    <row r="1166" spans="2:47" s="1" customFormat="1" ht="12">
      <c r="B1166" s="29"/>
      <c r="D1166" s="136" t="s">
        <v>135</v>
      </c>
      <c r="F1166" s="137" t="s">
        <v>2363</v>
      </c>
      <c r="L1166" s="29"/>
      <c r="M1166" s="138"/>
      <c r="T1166" s="49"/>
      <c r="AT1166" s="17" t="s">
        <v>135</v>
      </c>
      <c r="AU1166" s="17" t="s">
        <v>80</v>
      </c>
    </row>
    <row r="1167" spans="2:51" s="12" customFormat="1" ht="12">
      <c r="B1167" s="139"/>
      <c r="D1167" s="140" t="s">
        <v>137</v>
      </c>
      <c r="E1167" s="141" t="s">
        <v>3</v>
      </c>
      <c r="F1167" s="142" t="s">
        <v>2343</v>
      </c>
      <c r="H1167" s="143">
        <v>89.89</v>
      </c>
      <c r="L1167" s="139"/>
      <c r="M1167" s="144"/>
      <c r="T1167" s="145"/>
      <c r="AT1167" s="141" t="s">
        <v>137</v>
      </c>
      <c r="AU1167" s="141" t="s">
        <v>80</v>
      </c>
      <c r="AV1167" s="12" t="s">
        <v>80</v>
      </c>
      <c r="AW1167" s="12" t="s">
        <v>32</v>
      </c>
      <c r="AX1167" s="12" t="s">
        <v>70</v>
      </c>
      <c r="AY1167" s="141" t="s">
        <v>126</v>
      </c>
    </row>
    <row r="1168" spans="2:51" s="12" customFormat="1" ht="12">
      <c r="B1168" s="139"/>
      <c r="D1168" s="140" t="s">
        <v>137</v>
      </c>
      <c r="E1168" s="141" t="s">
        <v>3</v>
      </c>
      <c r="F1168" s="142" t="s">
        <v>1415</v>
      </c>
      <c r="H1168" s="143">
        <v>13.5</v>
      </c>
      <c r="L1168" s="139"/>
      <c r="M1168" s="144"/>
      <c r="T1168" s="145"/>
      <c r="AT1168" s="141" t="s">
        <v>137</v>
      </c>
      <c r="AU1168" s="141" t="s">
        <v>80</v>
      </c>
      <c r="AV1168" s="12" t="s">
        <v>80</v>
      </c>
      <c r="AW1168" s="12" t="s">
        <v>32</v>
      </c>
      <c r="AX1168" s="12" t="s">
        <v>70</v>
      </c>
      <c r="AY1168" s="141" t="s">
        <v>126</v>
      </c>
    </row>
    <row r="1169" spans="2:51" s="13" customFormat="1" ht="12">
      <c r="B1169" s="146"/>
      <c r="D1169" s="140" t="s">
        <v>137</v>
      </c>
      <c r="E1169" s="147" t="s">
        <v>3</v>
      </c>
      <c r="F1169" s="148" t="s">
        <v>151</v>
      </c>
      <c r="H1169" s="149">
        <v>103.39</v>
      </c>
      <c r="L1169" s="146"/>
      <c r="M1169" s="150"/>
      <c r="T1169" s="151"/>
      <c r="AT1169" s="147" t="s">
        <v>137</v>
      </c>
      <c r="AU1169" s="147" t="s">
        <v>80</v>
      </c>
      <c r="AV1169" s="13" t="s">
        <v>133</v>
      </c>
      <c r="AW1169" s="13" t="s">
        <v>32</v>
      </c>
      <c r="AX1169" s="13" t="s">
        <v>78</v>
      </c>
      <c r="AY1169" s="147" t="s">
        <v>126</v>
      </c>
    </row>
    <row r="1170" spans="2:65" s="1" customFormat="1" ht="16.5" customHeight="1">
      <c r="B1170" s="123"/>
      <c r="C1170" s="124" t="s">
        <v>2364</v>
      </c>
      <c r="D1170" s="124" t="s">
        <v>128</v>
      </c>
      <c r="E1170" s="125" t="s">
        <v>2365</v>
      </c>
      <c r="F1170" s="126" t="s">
        <v>2366</v>
      </c>
      <c r="G1170" s="127" t="s">
        <v>249</v>
      </c>
      <c r="H1170" s="128">
        <v>36.95</v>
      </c>
      <c r="I1170" s="129"/>
      <c r="J1170" s="129">
        <f>ROUND(I1170*H1170,2)</f>
        <v>0</v>
      </c>
      <c r="K1170" s="126" t="s">
        <v>132</v>
      </c>
      <c r="L1170" s="29"/>
      <c r="M1170" s="130" t="s">
        <v>3</v>
      </c>
      <c r="N1170" s="131" t="s">
        <v>41</v>
      </c>
      <c r="O1170" s="132">
        <v>0.248</v>
      </c>
      <c r="P1170" s="132">
        <f>O1170*H1170</f>
        <v>9.1636</v>
      </c>
      <c r="Q1170" s="132">
        <v>0.00055</v>
      </c>
      <c r="R1170" s="132">
        <f>Q1170*H1170</f>
        <v>0.020322500000000004</v>
      </c>
      <c r="S1170" s="132">
        <v>0</v>
      </c>
      <c r="T1170" s="133">
        <f>S1170*H1170</f>
        <v>0</v>
      </c>
      <c r="AR1170" s="134" t="s">
        <v>221</v>
      </c>
      <c r="AT1170" s="134" t="s">
        <v>128</v>
      </c>
      <c r="AU1170" s="134" t="s">
        <v>80</v>
      </c>
      <c r="AY1170" s="17" t="s">
        <v>126</v>
      </c>
      <c r="BE1170" s="135">
        <f>IF(N1170="základní",J1170,0)</f>
        <v>0</v>
      </c>
      <c r="BF1170" s="135">
        <f>IF(N1170="snížená",J1170,0)</f>
        <v>0</v>
      </c>
      <c r="BG1170" s="135">
        <f>IF(N1170="zákl. přenesená",J1170,0)</f>
        <v>0</v>
      </c>
      <c r="BH1170" s="135">
        <f>IF(N1170="sníž. přenesená",J1170,0)</f>
        <v>0</v>
      </c>
      <c r="BI1170" s="135">
        <f>IF(N1170="nulová",J1170,0)</f>
        <v>0</v>
      </c>
      <c r="BJ1170" s="17" t="s">
        <v>78</v>
      </c>
      <c r="BK1170" s="135">
        <f>ROUND(I1170*H1170,2)</f>
        <v>0</v>
      </c>
      <c r="BL1170" s="17" t="s">
        <v>221</v>
      </c>
      <c r="BM1170" s="134" t="s">
        <v>2367</v>
      </c>
    </row>
    <row r="1171" spans="2:47" s="1" customFormat="1" ht="12">
      <c r="B1171" s="29"/>
      <c r="D1171" s="136" t="s">
        <v>135</v>
      </c>
      <c r="F1171" s="137" t="s">
        <v>2368</v>
      </c>
      <c r="L1171" s="29"/>
      <c r="M1171" s="138"/>
      <c r="T1171" s="49"/>
      <c r="AT1171" s="17" t="s">
        <v>135</v>
      </c>
      <c r="AU1171" s="17" t="s">
        <v>80</v>
      </c>
    </row>
    <row r="1172" spans="2:51" s="12" customFormat="1" ht="12">
      <c r="B1172" s="139"/>
      <c r="D1172" s="140" t="s">
        <v>137</v>
      </c>
      <c r="E1172" s="141" t="s">
        <v>3</v>
      </c>
      <c r="F1172" s="142" t="s">
        <v>2369</v>
      </c>
      <c r="H1172" s="143">
        <v>9.95</v>
      </c>
      <c r="L1172" s="139"/>
      <c r="M1172" s="144"/>
      <c r="T1172" s="145"/>
      <c r="AT1172" s="141" t="s">
        <v>137</v>
      </c>
      <c r="AU1172" s="141" t="s">
        <v>80</v>
      </c>
      <c r="AV1172" s="12" t="s">
        <v>80</v>
      </c>
      <c r="AW1172" s="12" t="s">
        <v>32</v>
      </c>
      <c r="AX1172" s="12" t="s">
        <v>70</v>
      </c>
      <c r="AY1172" s="141" t="s">
        <v>126</v>
      </c>
    </row>
    <row r="1173" spans="2:51" s="12" customFormat="1" ht="12">
      <c r="B1173" s="139"/>
      <c r="D1173" s="140" t="s">
        <v>137</v>
      </c>
      <c r="E1173" s="141" t="s">
        <v>3</v>
      </c>
      <c r="F1173" s="142" t="s">
        <v>2370</v>
      </c>
      <c r="H1173" s="143">
        <v>27</v>
      </c>
      <c r="L1173" s="139"/>
      <c r="M1173" s="144"/>
      <c r="T1173" s="145"/>
      <c r="AT1173" s="141" t="s">
        <v>137</v>
      </c>
      <c r="AU1173" s="141" t="s">
        <v>80</v>
      </c>
      <c r="AV1173" s="12" t="s">
        <v>80</v>
      </c>
      <c r="AW1173" s="12" t="s">
        <v>32</v>
      </c>
      <c r="AX1173" s="12" t="s">
        <v>70</v>
      </c>
      <c r="AY1173" s="141" t="s">
        <v>126</v>
      </c>
    </row>
    <row r="1174" spans="2:51" s="13" customFormat="1" ht="12">
      <c r="B1174" s="146"/>
      <c r="D1174" s="140" t="s">
        <v>137</v>
      </c>
      <c r="E1174" s="147" t="s">
        <v>3</v>
      </c>
      <c r="F1174" s="148" t="s">
        <v>151</v>
      </c>
      <c r="H1174" s="149">
        <v>36.95</v>
      </c>
      <c r="L1174" s="146"/>
      <c r="M1174" s="150"/>
      <c r="T1174" s="151"/>
      <c r="AT1174" s="147" t="s">
        <v>137</v>
      </c>
      <c r="AU1174" s="147" t="s">
        <v>80</v>
      </c>
      <c r="AV1174" s="13" t="s">
        <v>133</v>
      </c>
      <c r="AW1174" s="13" t="s">
        <v>32</v>
      </c>
      <c r="AX1174" s="13" t="s">
        <v>78</v>
      </c>
      <c r="AY1174" s="147" t="s">
        <v>126</v>
      </c>
    </row>
    <row r="1175" spans="2:65" s="1" customFormat="1" ht="16.5" customHeight="1">
      <c r="B1175" s="123"/>
      <c r="C1175" s="124" t="s">
        <v>2371</v>
      </c>
      <c r="D1175" s="124" t="s">
        <v>128</v>
      </c>
      <c r="E1175" s="125" t="s">
        <v>2372</v>
      </c>
      <c r="F1175" s="126" t="s">
        <v>2373</v>
      </c>
      <c r="G1175" s="127" t="s">
        <v>249</v>
      </c>
      <c r="H1175" s="128">
        <v>63</v>
      </c>
      <c r="I1175" s="129"/>
      <c r="J1175" s="129">
        <f>ROUND(I1175*H1175,2)</f>
        <v>0</v>
      </c>
      <c r="K1175" s="126" t="s">
        <v>132</v>
      </c>
      <c r="L1175" s="29"/>
      <c r="M1175" s="130" t="s">
        <v>3</v>
      </c>
      <c r="N1175" s="131" t="s">
        <v>41</v>
      </c>
      <c r="O1175" s="132">
        <v>0.055</v>
      </c>
      <c r="P1175" s="132">
        <f>O1175*H1175</f>
        <v>3.465</v>
      </c>
      <c r="Q1175" s="132">
        <v>3E-05</v>
      </c>
      <c r="R1175" s="132">
        <f>Q1175*H1175</f>
        <v>0.00189</v>
      </c>
      <c r="S1175" s="132">
        <v>0</v>
      </c>
      <c r="T1175" s="133">
        <f>S1175*H1175</f>
        <v>0</v>
      </c>
      <c r="AR1175" s="134" t="s">
        <v>221</v>
      </c>
      <c r="AT1175" s="134" t="s">
        <v>128</v>
      </c>
      <c r="AU1175" s="134" t="s">
        <v>80</v>
      </c>
      <c r="AY1175" s="17" t="s">
        <v>126</v>
      </c>
      <c r="BE1175" s="135">
        <f>IF(N1175="základní",J1175,0)</f>
        <v>0</v>
      </c>
      <c r="BF1175" s="135">
        <f>IF(N1175="snížená",J1175,0)</f>
        <v>0</v>
      </c>
      <c r="BG1175" s="135">
        <f>IF(N1175="zákl. přenesená",J1175,0)</f>
        <v>0</v>
      </c>
      <c r="BH1175" s="135">
        <f>IF(N1175="sníž. přenesená",J1175,0)</f>
        <v>0</v>
      </c>
      <c r="BI1175" s="135">
        <f>IF(N1175="nulová",J1175,0)</f>
        <v>0</v>
      </c>
      <c r="BJ1175" s="17" t="s">
        <v>78</v>
      </c>
      <c r="BK1175" s="135">
        <f>ROUND(I1175*H1175,2)</f>
        <v>0</v>
      </c>
      <c r="BL1175" s="17" t="s">
        <v>221</v>
      </c>
      <c r="BM1175" s="134" t="s">
        <v>2374</v>
      </c>
    </row>
    <row r="1176" spans="2:47" s="1" customFormat="1" ht="12">
      <c r="B1176" s="29"/>
      <c r="D1176" s="136" t="s">
        <v>135</v>
      </c>
      <c r="F1176" s="137" t="s">
        <v>2375</v>
      </c>
      <c r="L1176" s="29"/>
      <c r="M1176" s="138"/>
      <c r="T1176" s="49"/>
      <c r="AT1176" s="17" t="s">
        <v>135</v>
      </c>
      <c r="AU1176" s="17" t="s">
        <v>80</v>
      </c>
    </row>
    <row r="1177" spans="2:51" s="12" customFormat="1" ht="12">
      <c r="B1177" s="139"/>
      <c r="D1177" s="140" t="s">
        <v>137</v>
      </c>
      <c r="E1177" s="141" t="s">
        <v>3</v>
      </c>
      <c r="F1177" s="142" t="s">
        <v>2376</v>
      </c>
      <c r="H1177" s="143">
        <v>63</v>
      </c>
      <c r="L1177" s="139"/>
      <c r="M1177" s="144"/>
      <c r="T1177" s="145"/>
      <c r="AT1177" s="141" t="s">
        <v>137</v>
      </c>
      <c r="AU1177" s="141" t="s">
        <v>80</v>
      </c>
      <c r="AV1177" s="12" t="s">
        <v>80</v>
      </c>
      <c r="AW1177" s="12" t="s">
        <v>32</v>
      </c>
      <c r="AX1177" s="12" t="s">
        <v>78</v>
      </c>
      <c r="AY1177" s="141" t="s">
        <v>126</v>
      </c>
    </row>
    <row r="1178" spans="2:65" s="1" customFormat="1" ht="16.5" customHeight="1">
      <c r="B1178" s="123"/>
      <c r="C1178" s="124" t="s">
        <v>2377</v>
      </c>
      <c r="D1178" s="124" t="s">
        <v>128</v>
      </c>
      <c r="E1178" s="125" t="s">
        <v>2378</v>
      </c>
      <c r="F1178" s="126" t="s">
        <v>2379</v>
      </c>
      <c r="G1178" s="127" t="s">
        <v>131</v>
      </c>
      <c r="H1178" s="128">
        <v>103.39</v>
      </c>
      <c r="I1178" s="129"/>
      <c r="J1178" s="129">
        <f>ROUND(I1178*H1178,2)</f>
        <v>0</v>
      </c>
      <c r="K1178" s="126" t="s">
        <v>132</v>
      </c>
      <c r="L1178" s="29"/>
      <c r="M1178" s="130" t="s">
        <v>3</v>
      </c>
      <c r="N1178" s="131" t="s">
        <v>41</v>
      </c>
      <c r="O1178" s="132">
        <v>0.041</v>
      </c>
      <c r="P1178" s="132">
        <f>O1178*H1178</f>
        <v>4.23899</v>
      </c>
      <c r="Q1178" s="132">
        <v>5E-05</v>
      </c>
      <c r="R1178" s="132">
        <f>Q1178*H1178</f>
        <v>0.0051695000000000005</v>
      </c>
      <c r="S1178" s="132">
        <v>0</v>
      </c>
      <c r="T1178" s="133">
        <f>S1178*H1178</f>
        <v>0</v>
      </c>
      <c r="AR1178" s="134" t="s">
        <v>221</v>
      </c>
      <c r="AT1178" s="134" t="s">
        <v>128</v>
      </c>
      <c r="AU1178" s="134" t="s">
        <v>80</v>
      </c>
      <c r="AY1178" s="17" t="s">
        <v>126</v>
      </c>
      <c r="BE1178" s="135">
        <f>IF(N1178="základní",J1178,0)</f>
        <v>0</v>
      </c>
      <c r="BF1178" s="135">
        <f>IF(N1178="snížená",J1178,0)</f>
        <v>0</v>
      </c>
      <c r="BG1178" s="135">
        <f>IF(N1178="zákl. přenesená",J1178,0)</f>
        <v>0</v>
      </c>
      <c r="BH1178" s="135">
        <f>IF(N1178="sníž. přenesená",J1178,0)</f>
        <v>0</v>
      </c>
      <c r="BI1178" s="135">
        <f>IF(N1178="nulová",J1178,0)</f>
        <v>0</v>
      </c>
      <c r="BJ1178" s="17" t="s">
        <v>78</v>
      </c>
      <c r="BK1178" s="135">
        <f>ROUND(I1178*H1178,2)</f>
        <v>0</v>
      </c>
      <c r="BL1178" s="17" t="s">
        <v>221</v>
      </c>
      <c r="BM1178" s="134" t="s">
        <v>2380</v>
      </c>
    </row>
    <row r="1179" spans="2:47" s="1" customFormat="1" ht="12">
      <c r="B1179" s="29"/>
      <c r="D1179" s="136" t="s">
        <v>135</v>
      </c>
      <c r="F1179" s="137" t="s">
        <v>2381</v>
      </c>
      <c r="L1179" s="29"/>
      <c r="M1179" s="138"/>
      <c r="T1179" s="49"/>
      <c r="AT1179" s="17" t="s">
        <v>135</v>
      </c>
      <c r="AU1179" s="17" t="s">
        <v>80</v>
      </c>
    </row>
    <row r="1180" spans="2:51" s="12" customFormat="1" ht="12">
      <c r="B1180" s="139"/>
      <c r="D1180" s="140" t="s">
        <v>137</v>
      </c>
      <c r="E1180" s="141" t="s">
        <v>3</v>
      </c>
      <c r="F1180" s="142" t="s">
        <v>2343</v>
      </c>
      <c r="H1180" s="143">
        <v>89.89</v>
      </c>
      <c r="L1180" s="139"/>
      <c r="M1180" s="144"/>
      <c r="T1180" s="145"/>
      <c r="AT1180" s="141" t="s">
        <v>137</v>
      </c>
      <c r="AU1180" s="141" t="s">
        <v>80</v>
      </c>
      <c r="AV1180" s="12" t="s">
        <v>80</v>
      </c>
      <c r="AW1180" s="12" t="s">
        <v>32</v>
      </c>
      <c r="AX1180" s="12" t="s">
        <v>70</v>
      </c>
      <c r="AY1180" s="141" t="s">
        <v>126</v>
      </c>
    </row>
    <row r="1181" spans="2:51" s="12" customFormat="1" ht="12">
      <c r="B1181" s="139"/>
      <c r="D1181" s="140" t="s">
        <v>137</v>
      </c>
      <c r="E1181" s="141" t="s">
        <v>3</v>
      </c>
      <c r="F1181" s="142" t="s">
        <v>1415</v>
      </c>
      <c r="H1181" s="143">
        <v>13.5</v>
      </c>
      <c r="L1181" s="139"/>
      <c r="M1181" s="144"/>
      <c r="T1181" s="145"/>
      <c r="AT1181" s="141" t="s">
        <v>137</v>
      </c>
      <c r="AU1181" s="141" t="s">
        <v>80</v>
      </c>
      <c r="AV1181" s="12" t="s">
        <v>80</v>
      </c>
      <c r="AW1181" s="12" t="s">
        <v>32</v>
      </c>
      <c r="AX1181" s="12" t="s">
        <v>70</v>
      </c>
      <c r="AY1181" s="141" t="s">
        <v>126</v>
      </c>
    </row>
    <row r="1182" spans="2:51" s="13" customFormat="1" ht="12">
      <c r="B1182" s="146"/>
      <c r="D1182" s="140" t="s">
        <v>137</v>
      </c>
      <c r="E1182" s="147" t="s">
        <v>3</v>
      </c>
      <c r="F1182" s="148" t="s">
        <v>151</v>
      </c>
      <c r="H1182" s="149">
        <v>103.39</v>
      </c>
      <c r="L1182" s="146"/>
      <c r="M1182" s="150"/>
      <c r="T1182" s="151"/>
      <c r="AT1182" s="147" t="s">
        <v>137</v>
      </c>
      <c r="AU1182" s="147" t="s">
        <v>80</v>
      </c>
      <c r="AV1182" s="13" t="s">
        <v>133</v>
      </c>
      <c r="AW1182" s="13" t="s">
        <v>32</v>
      </c>
      <c r="AX1182" s="13" t="s">
        <v>78</v>
      </c>
      <c r="AY1182" s="147" t="s">
        <v>126</v>
      </c>
    </row>
    <row r="1183" spans="2:65" s="1" customFormat="1" ht="24.2" customHeight="1">
      <c r="B1183" s="123"/>
      <c r="C1183" s="124" t="s">
        <v>2382</v>
      </c>
      <c r="D1183" s="124" t="s">
        <v>128</v>
      </c>
      <c r="E1183" s="125" t="s">
        <v>2383</v>
      </c>
      <c r="F1183" s="126" t="s">
        <v>2384</v>
      </c>
      <c r="G1183" s="127" t="s">
        <v>413</v>
      </c>
      <c r="H1183" s="128"/>
      <c r="I1183" s="129"/>
      <c r="J1183" s="129">
        <f>ROUND(I1183*H1183,2)</f>
        <v>0</v>
      </c>
      <c r="K1183" s="126" t="s">
        <v>132</v>
      </c>
      <c r="L1183" s="29"/>
      <c r="M1183" s="130" t="s">
        <v>3</v>
      </c>
      <c r="N1183" s="131" t="s">
        <v>41</v>
      </c>
      <c r="O1183" s="132">
        <v>0</v>
      </c>
      <c r="P1183" s="132">
        <f>O1183*H1183</f>
        <v>0</v>
      </c>
      <c r="Q1183" s="132">
        <v>0</v>
      </c>
      <c r="R1183" s="132">
        <f>Q1183*H1183</f>
        <v>0</v>
      </c>
      <c r="S1183" s="132">
        <v>0</v>
      </c>
      <c r="T1183" s="133">
        <f>S1183*H1183</f>
        <v>0</v>
      </c>
      <c r="AR1183" s="134" t="s">
        <v>221</v>
      </c>
      <c r="AT1183" s="134" t="s">
        <v>128</v>
      </c>
      <c r="AU1183" s="134" t="s">
        <v>80</v>
      </c>
      <c r="AY1183" s="17" t="s">
        <v>126</v>
      </c>
      <c r="BE1183" s="135">
        <f>IF(N1183="základní",J1183,0)</f>
        <v>0</v>
      </c>
      <c r="BF1183" s="135">
        <f>IF(N1183="snížená",J1183,0)</f>
        <v>0</v>
      </c>
      <c r="BG1183" s="135">
        <f>IF(N1183="zákl. přenesená",J1183,0)</f>
        <v>0</v>
      </c>
      <c r="BH1183" s="135">
        <f>IF(N1183="sníž. přenesená",J1183,0)</f>
        <v>0</v>
      </c>
      <c r="BI1183" s="135">
        <f>IF(N1183="nulová",J1183,0)</f>
        <v>0</v>
      </c>
      <c r="BJ1183" s="17" t="s">
        <v>78</v>
      </c>
      <c r="BK1183" s="135">
        <f>ROUND(I1183*H1183,2)</f>
        <v>0</v>
      </c>
      <c r="BL1183" s="17" t="s">
        <v>221</v>
      </c>
      <c r="BM1183" s="134" t="s">
        <v>2385</v>
      </c>
    </row>
    <row r="1184" spans="2:47" s="1" customFormat="1" ht="12">
      <c r="B1184" s="29"/>
      <c r="D1184" s="136" t="s">
        <v>135</v>
      </c>
      <c r="F1184" s="137" t="s">
        <v>2386</v>
      </c>
      <c r="L1184" s="29"/>
      <c r="M1184" s="138"/>
      <c r="T1184" s="49"/>
      <c r="AT1184" s="17" t="s">
        <v>135</v>
      </c>
      <c r="AU1184" s="17" t="s">
        <v>80</v>
      </c>
    </row>
    <row r="1185" spans="2:63" s="11" customFormat="1" ht="22.7" customHeight="1">
      <c r="B1185" s="112"/>
      <c r="D1185" s="113" t="s">
        <v>69</v>
      </c>
      <c r="E1185" s="121" t="s">
        <v>2387</v>
      </c>
      <c r="F1185" s="121" t="s">
        <v>2388</v>
      </c>
      <c r="J1185" s="122">
        <f>BK1185</f>
        <v>0</v>
      </c>
      <c r="L1185" s="112"/>
      <c r="M1185" s="116"/>
      <c r="P1185" s="117">
        <f>SUM(P1186:P1192)</f>
        <v>5.3595</v>
      </c>
      <c r="R1185" s="117">
        <f>SUM(R1186:R1192)</f>
        <v>0.16995000000000002</v>
      </c>
      <c r="T1185" s="118">
        <f>SUM(T1186:T1192)</f>
        <v>0</v>
      </c>
      <c r="AR1185" s="113" t="s">
        <v>80</v>
      </c>
      <c r="AT1185" s="119" t="s">
        <v>69</v>
      </c>
      <c r="AU1185" s="119" t="s">
        <v>78</v>
      </c>
      <c r="AY1185" s="113" t="s">
        <v>126</v>
      </c>
      <c r="BK1185" s="120">
        <f>SUM(BK1186:BK1192)</f>
        <v>0</v>
      </c>
    </row>
    <row r="1186" spans="2:65" s="1" customFormat="1" ht="24.2" customHeight="1">
      <c r="B1186" s="123"/>
      <c r="C1186" s="124" t="s">
        <v>2389</v>
      </c>
      <c r="D1186" s="124" t="s">
        <v>128</v>
      </c>
      <c r="E1186" s="125" t="s">
        <v>2390</v>
      </c>
      <c r="F1186" s="126" t="s">
        <v>2391</v>
      </c>
      <c r="G1186" s="127" t="s">
        <v>131</v>
      </c>
      <c r="H1186" s="128">
        <v>1.5</v>
      </c>
      <c r="I1186" s="129"/>
      <c r="J1186" s="129">
        <f>ROUND(I1186*H1186,2)</f>
        <v>0</v>
      </c>
      <c r="K1186" s="126" t="s">
        <v>132</v>
      </c>
      <c r="L1186" s="29"/>
      <c r="M1186" s="130" t="s">
        <v>3</v>
      </c>
      <c r="N1186" s="131" t="s">
        <v>41</v>
      </c>
      <c r="O1186" s="132">
        <v>3.573</v>
      </c>
      <c r="P1186" s="132">
        <f>O1186*H1186</f>
        <v>5.3595</v>
      </c>
      <c r="Q1186" s="132">
        <v>0.0083</v>
      </c>
      <c r="R1186" s="132">
        <f>Q1186*H1186</f>
        <v>0.01245</v>
      </c>
      <c r="S1186" s="132">
        <v>0</v>
      </c>
      <c r="T1186" s="133">
        <f>S1186*H1186</f>
        <v>0</v>
      </c>
      <c r="AR1186" s="134" t="s">
        <v>221</v>
      </c>
      <c r="AT1186" s="134" t="s">
        <v>128</v>
      </c>
      <c r="AU1186" s="134" t="s">
        <v>80</v>
      </c>
      <c r="AY1186" s="17" t="s">
        <v>126</v>
      </c>
      <c r="BE1186" s="135">
        <f>IF(N1186="základní",J1186,0)</f>
        <v>0</v>
      </c>
      <c r="BF1186" s="135">
        <f>IF(N1186="snížená",J1186,0)</f>
        <v>0</v>
      </c>
      <c r="BG1186" s="135">
        <f>IF(N1186="zákl. přenesená",J1186,0)</f>
        <v>0</v>
      </c>
      <c r="BH1186" s="135">
        <f>IF(N1186="sníž. přenesená",J1186,0)</f>
        <v>0</v>
      </c>
      <c r="BI1186" s="135">
        <f>IF(N1186="nulová",J1186,0)</f>
        <v>0</v>
      </c>
      <c r="BJ1186" s="17" t="s">
        <v>78</v>
      </c>
      <c r="BK1186" s="135">
        <f>ROUND(I1186*H1186,2)</f>
        <v>0</v>
      </c>
      <c r="BL1186" s="17" t="s">
        <v>221</v>
      </c>
      <c r="BM1186" s="134" t="s">
        <v>2392</v>
      </c>
    </row>
    <row r="1187" spans="2:47" s="1" customFormat="1" ht="12">
      <c r="B1187" s="29"/>
      <c r="D1187" s="136" t="s">
        <v>135</v>
      </c>
      <c r="F1187" s="137" t="s">
        <v>2393</v>
      </c>
      <c r="L1187" s="29"/>
      <c r="M1187" s="138"/>
      <c r="T1187" s="49"/>
      <c r="AT1187" s="17" t="s">
        <v>135</v>
      </c>
      <c r="AU1187" s="17" t="s">
        <v>80</v>
      </c>
    </row>
    <row r="1188" spans="2:51" s="12" customFormat="1" ht="12">
      <c r="B1188" s="139"/>
      <c r="D1188" s="140" t="s">
        <v>137</v>
      </c>
      <c r="E1188" s="141" t="s">
        <v>3</v>
      </c>
      <c r="F1188" s="142" t="s">
        <v>854</v>
      </c>
      <c r="H1188" s="143">
        <v>1.5</v>
      </c>
      <c r="L1188" s="139"/>
      <c r="M1188" s="144"/>
      <c r="T1188" s="145"/>
      <c r="AT1188" s="141" t="s">
        <v>137</v>
      </c>
      <c r="AU1188" s="141" t="s">
        <v>80</v>
      </c>
      <c r="AV1188" s="12" t="s">
        <v>80</v>
      </c>
      <c r="AW1188" s="12" t="s">
        <v>32</v>
      </c>
      <c r="AX1188" s="12" t="s">
        <v>78</v>
      </c>
      <c r="AY1188" s="141" t="s">
        <v>126</v>
      </c>
    </row>
    <row r="1189" spans="2:65" s="1" customFormat="1" ht="16.5" customHeight="1">
      <c r="B1189" s="123"/>
      <c r="C1189" s="152" t="s">
        <v>2394</v>
      </c>
      <c r="D1189" s="152" t="s">
        <v>405</v>
      </c>
      <c r="E1189" s="153" t="s">
        <v>2395</v>
      </c>
      <c r="F1189" s="154" t="s">
        <v>2396</v>
      </c>
      <c r="G1189" s="155" t="s">
        <v>131</v>
      </c>
      <c r="H1189" s="156">
        <v>2.25</v>
      </c>
      <c r="I1189" s="157"/>
      <c r="J1189" s="157">
        <f>ROUND(I1189*H1189,2)</f>
        <v>0</v>
      </c>
      <c r="K1189" s="154" t="s">
        <v>132</v>
      </c>
      <c r="L1189" s="158"/>
      <c r="M1189" s="159" t="s">
        <v>3</v>
      </c>
      <c r="N1189" s="160" t="s">
        <v>41</v>
      </c>
      <c r="O1189" s="132">
        <v>0</v>
      </c>
      <c r="P1189" s="132">
        <f>O1189*H1189</f>
        <v>0</v>
      </c>
      <c r="Q1189" s="132">
        <v>0.07</v>
      </c>
      <c r="R1189" s="132">
        <f>Q1189*H1189</f>
        <v>0.15750000000000003</v>
      </c>
      <c r="S1189" s="132">
        <v>0</v>
      </c>
      <c r="T1189" s="133">
        <f>S1189*H1189</f>
        <v>0</v>
      </c>
      <c r="AR1189" s="134" t="s">
        <v>325</v>
      </c>
      <c r="AT1189" s="134" t="s">
        <v>405</v>
      </c>
      <c r="AU1189" s="134" t="s">
        <v>80</v>
      </c>
      <c r="AY1189" s="17" t="s">
        <v>126</v>
      </c>
      <c r="BE1189" s="135">
        <f>IF(N1189="základní",J1189,0)</f>
        <v>0</v>
      </c>
      <c r="BF1189" s="135">
        <f>IF(N1189="snížená",J1189,0)</f>
        <v>0</v>
      </c>
      <c r="BG1189" s="135">
        <f>IF(N1189="zákl. přenesená",J1189,0)</f>
        <v>0</v>
      </c>
      <c r="BH1189" s="135">
        <f>IF(N1189="sníž. přenesená",J1189,0)</f>
        <v>0</v>
      </c>
      <c r="BI1189" s="135">
        <f>IF(N1189="nulová",J1189,0)</f>
        <v>0</v>
      </c>
      <c r="BJ1189" s="17" t="s">
        <v>78</v>
      </c>
      <c r="BK1189" s="135">
        <f>ROUND(I1189*H1189,2)</f>
        <v>0</v>
      </c>
      <c r="BL1189" s="17" t="s">
        <v>221</v>
      </c>
      <c r="BM1189" s="134" t="s">
        <v>2397</v>
      </c>
    </row>
    <row r="1190" spans="2:51" s="12" customFormat="1" ht="12">
      <c r="B1190" s="139"/>
      <c r="D1190" s="140" t="s">
        <v>137</v>
      </c>
      <c r="F1190" s="142" t="s">
        <v>2398</v>
      </c>
      <c r="H1190" s="143">
        <v>2.25</v>
      </c>
      <c r="L1190" s="139"/>
      <c r="M1190" s="144"/>
      <c r="T1190" s="145"/>
      <c r="AT1190" s="141" t="s">
        <v>137</v>
      </c>
      <c r="AU1190" s="141" t="s">
        <v>80</v>
      </c>
      <c r="AV1190" s="12" t="s">
        <v>80</v>
      </c>
      <c r="AW1190" s="12" t="s">
        <v>4</v>
      </c>
      <c r="AX1190" s="12" t="s">
        <v>78</v>
      </c>
      <c r="AY1190" s="141" t="s">
        <v>126</v>
      </c>
    </row>
    <row r="1191" spans="2:65" s="1" customFormat="1" ht="24.2" customHeight="1">
      <c r="B1191" s="123"/>
      <c r="C1191" s="124" t="s">
        <v>2399</v>
      </c>
      <c r="D1191" s="124" t="s">
        <v>128</v>
      </c>
      <c r="E1191" s="125" t="s">
        <v>2400</v>
      </c>
      <c r="F1191" s="126" t="s">
        <v>2401</v>
      </c>
      <c r="G1191" s="127" t="s">
        <v>413</v>
      </c>
      <c r="H1191" s="128"/>
      <c r="I1191" s="129"/>
      <c r="J1191" s="129">
        <f>ROUND(I1191*H1191,2)</f>
        <v>0</v>
      </c>
      <c r="K1191" s="126" t="s">
        <v>132</v>
      </c>
      <c r="L1191" s="29"/>
      <c r="M1191" s="130" t="s">
        <v>3</v>
      </c>
      <c r="N1191" s="131" t="s">
        <v>41</v>
      </c>
      <c r="O1191" s="132">
        <v>0</v>
      </c>
      <c r="P1191" s="132">
        <f>O1191*H1191</f>
        <v>0</v>
      </c>
      <c r="Q1191" s="132">
        <v>0</v>
      </c>
      <c r="R1191" s="132">
        <f>Q1191*H1191</f>
        <v>0</v>
      </c>
      <c r="S1191" s="132">
        <v>0</v>
      </c>
      <c r="T1191" s="133">
        <f>S1191*H1191</f>
        <v>0</v>
      </c>
      <c r="AR1191" s="134" t="s">
        <v>221</v>
      </c>
      <c r="AT1191" s="134" t="s">
        <v>128</v>
      </c>
      <c r="AU1191" s="134" t="s">
        <v>80</v>
      </c>
      <c r="AY1191" s="17" t="s">
        <v>126</v>
      </c>
      <c r="BE1191" s="135">
        <f>IF(N1191="základní",J1191,0)</f>
        <v>0</v>
      </c>
      <c r="BF1191" s="135">
        <f>IF(N1191="snížená",J1191,0)</f>
        <v>0</v>
      </c>
      <c r="BG1191" s="135">
        <f>IF(N1191="zákl. přenesená",J1191,0)</f>
        <v>0</v>
      </c>
      <c r="BH1191" s="135">
        <f>IF(N1191="sníž. přenesená",J1191,0)</f>
        <v>0</v>
      </c>
      <c r="BI1191" s="135">
        <f>IF(N1191="nulová",J1191,0)</f>
        <v>0</v>
      </c>
      <c r="BJ1191" s="17" t="s">
        <v>78</v>
      </c>
      <c r="BK1191" s="135">
        <f>ROUND(I1191*H1191,2)</f>
        <v>0</v>
      </c>
      <c r="BL1191" s="17" t="s">
        <v>221</v>
      </c>
      <c r="BM1191" s="134" t="s">
        <v>2402</v>
      </c>
    </row>
    <row r="1192" spans="2:47" s="1" customFormat="1" ht="12">
      <c r="B1192" s="29"/>
      <c r="D1192" s="136" t="s">
        <v>135</v>
      </c>
      <c r="F1192" s="137" t="s">
        <v>2403</v>
      </c>
      <c r="L1192" s="29"/>
      <c r="M1192" s="138"/>
      <c r="T1192" s="49"/>
      <c r="AT1192" s="17" t="s">
        <v>135</v>
      </c>
      <c r="AU1192" s="17" t="s">
        <v>80</v>
      </c>
    </row>
    <row r="1193" spans="2:63" s="11" customFormat="1" ht="22.7" customHeight="1">
      <c r="B1193" s="112"/>
      <c r="D1193" s="113" t="s">
        <v>69</v>
      </c>
      <c r="E1193" s="121" t="s">
        <v>2404</v>
      </c>
      <c r="F1193" s="121" t="s">
        <v>2405</v>
      </c>
      <c r="J1193" s="122">
        <f>BK1193</f>
        <v>0</v>
      </c>
      <c r="L1193" s="112"/>
      <c r="M1193" s="116"/>
      <c r="P1193" s="117">
        <f>SUM(P1194:P1232)</f>
        <v>256.78785600000003</v>
      </c>
      <c r="R1193" s="117">
        <f>SUM(R1194:R1232)</f>
        <v>0.17283798</v>
      </c>
      <c r="T1193" s="118">
        <f>SUM(T1194:T1232)</f>
        <v>0</v>
      </c>
      <c r="AR1193" s="113" t="s">
        <v>80</v>
      </c>
      <c r="AT1193" s="119" t="s">
        <v>69</v>
      </c>
      <c r="AU1193" s="119" t="s">
        <v>78</v>
      </c>
      <c r="AY1193" s="113" t="s">
        <v>126</v>
      </c>
      <c r="BK1193" s="120">
        <f>SUM(BK1194:BK1232)</f>
        <v>0</v>
      </c>
    </row>
    <row r="1194" spans="2:65" s="1" customFormat="1" ht="21.75" customHeight="1">
      <c r="B1194" s="123"/>
      <c r="C1194" s="124" t="s">
        <v>2406</v>
      </c>
      <c r="D1194" s="124" t="s">
        <v>128</v>
      </c>
      <c r="E1194" s="125" t="s">
        <v>2407</v>
      </c>
      <c r="F1194" s="126" t="s">
        <v>2408</v>
      </c>
      <c r="G1194" s="127" t="s">
        <v>131</v>
      </c>
      <c r="H1194" s="128">
        <v>823.038</v>
      </c>
      <c r="I1194" s="129"/>
      <c r="J1194" s="129">
        <f>ROUND(I1194*H1194,2)</f>
        <v>0</v>
      </c>
      <c r="K1194" s="126" t="s">
        <v>132</v>
      </c>
      <c r="L1194" s="29"/>
      <c r="M1194" s="130" t="s">
        <v>3</v>
      </c>
      <c r="N1194" s="131" t="s">
        <v>41</v>
      </c>
      <c r="O1194" s="132">
        <v>0.117</v>
      </c>
      <c r="P1194" s="132">
        <f>O1194*H1194</f>
        <v>96.29544600000001</v>
      </c>
      <c r="Q1194" s="132">
        <v>7E-05</v>
      </c>
      <c r="R1194" s="132">
        <f>Q1194*H1194</f>
        <v>0.057612659999999996</v>
      </c>
      <c r="S1194" s="132">
        <v>0</v>
      </c>
      <c r="T1194" s="133">
        <f>S1194*H1194</f>
        <v>0</v>
      </c>
      <c r="AR1194" s="134" t="s">
        <v>221</v>
      </c>
      <c r="AT1194" s="134" t="s">
        <v>128</v>
      </c>
      <c r="AU1194" s="134" t="s">
        <v>80</v>
      </c>
      <c r="AY1194" s="17" t="s">
        <v>126</v>
      </c>
      <c r="BE1194" s="135">
        <f>IF(N1194="základní",J1194,0)</f>
        <v>0</v>
      </c>
      <c r="BF1194" s="135">
        <f>IF(N1194="snížená",J1194,0)</f>
        <v>0</v>
      </c>
      <c r="BG1194" s="135">
        <f>IF(N1194="zákl. přenesená",J1194,0)</f>
        <v>0</v>
      </c>
      <c r="BH1194" s="135">
        <f>IF(N1194="sníž. přenesená",J1194,0)</f>
        <v>0</v>
      </c>
      <c r="BI1194" s="135">
        <f>IF(N1194="nulová",J1194,0)</f>
        <v>0</v>
      </c>
      <c r="BJ1194" s="17" t="s">
        <v>78</v>
      </c>
      <c r="BK1194" s="135">
        <f>ROUND(I1194*H1194,2)</f>
        <v>0</v>
      </c>
      <c r="BL1194" s="17" t="s">
        <v>221</v>
      </c>
      <c r="BM1194" s="134" t="s">
        <v>2409</v>
      </c>
    </row>
    <row r="1195" spans="2:47" s="1" customFormat="1" ht="12">
      <c r="B1195" s="29"/>
      <c r="D1195" s="136" t="s">
        <v>135</v>
      </c>
      <c r="F1195" s="137" t="s">
        <v>2410</v>
      </c>
      <c r="L1195" s="29"/>
      <c r="M1195" s="138"/>
      <c r="T1195" s="49"/>
      <c r="AT1195" s="17" t="s">
        <v>135</v>
      </c>
      <c r="AU1195" s="17" t="s">
        <v>80</v>
      </c>
    </row>
    <row r="1196" spans="2:51" s="12" customFormat="1" ht="12">
      <c r="B1196" s="139"/>
      <c r="D1196" s="140" t="s">
        <v>137</v>
      </c>
      <c r="E1196" s="141" t="s">
        <v>3</v>
      </c>
      <c r="F1196" s="142" t="s">
        <v>2411</v>
      </c>
      <c r="H1196" s="143">
        <v>108.217</v>
      </c>
      <c r="L1196" s="139"/>
      <c r="M1196" s="144"/>
      <c r="T1196" s="145"/>
      <c r="AT1196" s="141" t="s">
        <v>137</v>
      </c>
      <c r="AU1196" s="141" t="s">
        <v>80</v>
      </c>
      <c r="AV1196" s="12" t="s">
        <v>80</v>
      </c>
      <c r="AW1196" s="12" t="s">
        <v>32</v>
      </c>
      <c r="AX1196" s="12" t="s">
        <v>70</v>
      </c>
      <c r="AY1196" s="141" t="s">
        <v>126</v>
      </c>
    </row>
    <row r="1197" spans="2:51" s="12" customFormat="1" ht="12">
      <c r="B1197" s="139"/>
      <c r="D1197" s="140" t="s">
        <v>137</v>
      </c>
      <c r="E1197" s="141" t="s">
        <v>3</v>
      </c>
      <c r="F1197" s="142" t="s">
        <v>2412</v>
      </c>
      <c r="H1197" s="143">
        <v>68.083</v>
      </c>
      <c r="L1197" s="139"/>
      <c r="M1197" s="144"/>
      <c r="T1197" s="145"/>
      <c r="AT1197" s="141" t="s">
        <v>137</v>
      </c>
      <c r="AU1197" s="141" t="s">
        <v>80</v>
      </c>
      <c r="AV1197" s="12" t="s">
        <v>80</v>
      </c>
      <c r="AW1197" s="12" t="s">
        <v>32</v>
      </c>
      <c r="AX1197" s="12" t="s">
        <v>70</v>
      </c>
      <c r="AY1197" s="141" t="s">
        <v>126</v>
      </c>
    </row>
    <row r="1198" spans="2:51" s="12" customFormat="1" ht="12">
      <c r="B1198" s="139"/>
      <c r="D1198" s="140" t="s">
        <v>137</v>
      </c>
      <c r="E1198" s="141" t="s">
        <v>3</v>
      </c>
      <c r="F1198" s="142" t="s">
        <v>2413</v>
      </c>
      <c r="H1198" s="143">
        <v>472.533</v>
      </c>
      <c r="L1198" s="139"/>
      <c r="M1198" s="144"/>
      <c r="T1198" s="145"/>
      <c r="AT1198" s="141" t="s">
        <v>137</v>
      </c>
      <c r="AU1198" s="141" t="s">
        <v>80</v>
      </c>
      <c r="AV1198" s="12" t="s">
        <v>80</v>
      </c>
      <c r="AW1198" s="12" t="s">
        <v>32</v>
      </c>
      <c r="AX1198" s="12" t="s">
        <v>70</v>
      </c>
      <c r="AY1198" s="141" t="s">
        <v>126</v>
      </c>
    </row>
    <row r="1199" spans="2:51" s="12" customFormat="1" ht="12">
      <c r="B1199" s="139"/>
      <c r="D1199" s="140" t="s">
        <v>137</v>
      </c>
      <c r="E1199" s="141" t="s">
        <v>3</v>
      </c>
      <c r="F1199" s="142" t="s">
        <v>2414</v>
      </c>
      <c r="H1199" s="143">
        <v>3.2</v>
      </c>
      <c r="L1199" s="139"/>
      <c r="M1199" s="144"/>
      <c r="T1199" s="145"/>
      <c r="AT1199" s="141" t="s">
        <v>137</v>
      </c>
      <c r="AU1199" s="141" t="s">
        <v>80</v>
      </c>
      <c r="AV1199" s="12" t="s">
        <v>80</v>
      </c>
      <c r="AW1199" s="12" t="s">
        <v>32</v>
      </c>
      <c r="AX1199" s="12" t="s">
        <v>70</v>
      </c>
      <c r="AY1199" s="141" t="s">
        <v>126</v>
      </c>
    </row>
    <row r="1200" spans="2:51" s="12" customFormat="1" ht="12">
      <c r="B1200" s="139"/>
      <c r="D1200" s="140" t="s">
        <v>137</v>
      </c>
      <c r="E1200" s="141" t="s">
        <v>3</v>
      </c>
      <c r="F1200" s="142" t="s">
        <v>2415</v>
      </c>
      <c r="H1200" s="143">
        <v>12.84</v>
      </c>
      <c r="L1200" s="139"/>
      <c r="M1200" s="144"/>
      <c r="T1200" s="145"/>
      <c r="AT1200" s="141" t="s">
        <v>137</v>
      </c>
      <c r="AU1200" s="141" t="s">
        <v>80</v>
      </c>
      <c r="AV1200" s="12" t="s">
        <v>80</v>
      </c>
      <c r="AW1200" s="12" t="s">
        <v>32</v>
      </c>
      <c r="AX1200" s="12" t="s">
        <v>70</v>
      </c>
      <c r="AY1200" s="141" t="s">
        <v>126</v>
      </c>
    </row>
    <row r="1201" spans="2:51" s="12" customFormat="1" ht="12">
      <c r="B1201" s="139"/>
      <c r="D1201" s="140" t="s">
        <v>137</v>
      </c>
      <c r="E1201" s="141" t="s">
        <v>3</v>
      </c>
      <c r="F1201" s="142" t="s">
        <v>2416</v>
      </c>
      <c r="H1201" s="143">
        <v>14.85</v>
      </c>
      <c r="L1201" s="139"/>
      <c r="M1201" s="144"/>
      <c r="T1201" s="145"/>
      <c r="AT1201" s="141" t="s">
        <v>137</v>
      </c>
      <c r="AU1201" s="141" t="s">
        <v>80</v>
      </c>
      <c r="AV1201" s="12" t="s">
        <v>80</v>
      </c>
      <c r="AW1201" s="12" t="s">
        <v>32</v>
      </c>
      <c r="AX1201" s="12" t="s">
        <v>70</v>
      </c>
      <c r="AY1201" s="141" t="s">
        <v>126</v>
      </c>
    </row>
    <row r="1202" spans="2:51" s="12" customFormat="1" ht="12">
      <c r="B1202" s="139"/>
      <c r="D1202" s="140" t="s">
        <v>137</v>
      </c>
      <c r="E1202" s="141" t="s">
        <v>3</v>
      </c>
      <c r="F1202" s="142" t="s">
        <v>2417</v>
      </c>
      <c r="H1202" s="143">
        <v>62.92</v>
      </c>
      <c r="L1202" s="139"/>
      <c r="M1202" s="144"/>
      <c r="T1202" s="145"/>
      <c r="AT1202" s="141" t="s">
        <v>137</v>
      </c>
      <c r="AU1202" s="141" t="s">
        <v>80</v>
      </c>
      <c r="AV1202" s="12" t="s">
        <v>80</v>
      </c>
      <c r="AW1202" s="12" t="s">
        <v>32</v>
      </c>
      <c r="AX1202" s="12" t="s">
        <v>70</v>
      </c>
      <c r="AY1202" s="141" t="s">
        <v>126</v>
      </c>
    </row>
    <row r="1203" spans="2:51" s="12" customFormat="1" ht="12">
      <c r="B1203" s="139"/>
      <c r="D1203" s="140" t="s">
        <v>137</v>
      </c>
      <c r="E1203" s="141" t="s">
        <v>3</v>
      </c>
      <c r="F1203" s="142" t="s">
        <v>2418</v>
      </c>
      <c r="H1203" s="143">
        <v>27.143</v>
      </c>
      <c r="L1203" s="139"/>
      <c r="M1203" s="144"/>
      <c r="T1203" s="145"/>
      <c r="AT1203" s="141" t="s">
        <v>137</v>
      </c>
      <c r="AU1203" s="141" t="s">
        <v>80</v>
      </c>
      <c r="AV1203" s="12" t="s">
        <v>80</v>
      </c>
      <c r="AW1203" s="12" t="s">
        <v>32</v>
      </c>
      <c r="AX1203" s="12" t="s">
        <v>70</v>
      </c>
      <c r="AY1203" s="141" t="s">
        <v>126</v>
      </c>
    </row>
    <row r="1204" spans="2:51" s="12" customFormat="1" ht="12">
      <c r="B1204" s="139"/>
      <c r="D1204" s="140" t="s">
        <v>137</v>
      </c>
      <c r="E1204" s="141" t="s">
        <v>3</v>
      </c>
      <c r="F1204" s="142" t="s">
        <v>2419</v>
      </c>
      <c r="H1204" s="143">
        <v>26.88</v>
      </c>
      <c r="L1204" s="139"/>
      <c r="M1204" s="144"/>
      <c r="T1204" s="145"/>
      <c r="AT1204" s="141" t="s">
        <v>137</v>
      </c>
      <c r="AU1204" s="141" t="s">
        <v>80</v>
      </c>
      <c r="AV1204" s="12" t="s">
        <v>80</v>
      </c>
      <c r="AW1204" s="12" t="s">
        <v>32</v>
      </c>
      <c r="AX1204" s="12" t="s">
        <v>70</v>
      </c>
      <c r="AY1204" s="141" t="s">
        <v>126</v>
      </c>
    </row>
    <row r="1205" spans="2:51" s="12" customFormat="1" ht="12">
      <c r="B1205" s="139"/>
      <c r="D1205" s="140" t="s">
        <v>137</v>
      </c>
      <c r="E1205" s="141" t="s">
        <v>3</v>
      </c>
      <c r="F1205" s="142" t="s">
        <v>2420</v>
      </c>
      <c r="H1205" s="143">
        <v>26.372</v>
      </c>
      <c r="L1205" s="139"/>
      <c r="M1205" s="144"/>
      <c r="T1205" s="145"/>
      <c r="AT1205" s="141" t="s">
        <v>137</v>
      </c>
      <c r="AU1205" s="141" t="s">
        <v>80</v>
      </c>
      <c r="AV1205" s="12" t="s">
        <v>80</v>
      </c>
      <c r="AW1205" s="12" t="s">
        <v>32</v>
      </c>
      <c r="AX1205" s="12" t="s">
        <v>70</v>
      </c>
      <c r="AY1205" s="141" t="s">
        <v>126</v>
      </c>
    </row>
    <row r="1206" spans="2:51" s="13" customFormat="1" ht="12">
      <c r="B1206" s="146"/>
      <c r="D1206" s="140" t="s">
        <v>137</v>
      </c>
      <c r="E1206" s="147" t="s">
        <v>3</v>
      </c>
      <c r="F1206" s="148" t="s">
        <v>151</v>
      </c>
      <c r="H1206" s="149">
        <v>823.0380000000001</v>
      </c>
      <c r="L1206" s="146"/>
      <c r="M1206" s="150"/>
      <c r="T1206" s="151"/>
      <c r="AT1206" s="147" t="s">
        <v>137</v>
      </c>
      <c r="AU1206" s="147" t="s">
        <v>80</v>
      </c>
      <c r="AV1206" s="13" t="s">
        <v>133</v>
      </c>
      <c r="AW1206" s="13" t="s">
        <v>32</v>
      </c>
      <c r="AX1206" s="13" t="s">
        <v>78</v>
      </c>
      <c r="AY1206" s="147" t="s">
        <v>126</v>
      </c>
    </row>
    <row r="1207" spans="2:65" s="1" customFormat="1" ht="16.5" customHeight="1">
      <c r="B1207" s="123"/>
      <c r="C1207" s="124" t="s">
        <v>2421</v>
      </c>
      <c r="D1207" s="124" t="s">
        <v>128</v>
      </c>
      <c r="E1207" s="125" t="s">
        <v>2422</v>
      </c>
      <c r="F1207" s="126" t="s">
        <v>2423</v>
      </c>
      <c r="G1207" s="127" t="s">
        <v>131</v>
      </c>
      <c r="H1207" s="128">
        <v>823.038</v>
      </c>
      <c r="I1207" s="129"/>
      <c r="J1207" s="129">
        <f>ROUND(I1207*H1207,2)</f>
        <v>0</v>
      </c>
      <c r="K1207" s="126" t="s">
        <v>132</v>
      </c>
      <c r="L1207" s="29"/>
      <c r="M1207" s="130" t="s">
        <v>3</v>
      </c>
      <c r="N1207" s="131" t="s">
        <v>41</v>
      </c>
      <c r="O1207" s="132">
        <v>0.011</v>
      </c>
      <c r="P1207" s="132">
        <f>O1207*H1207</f>
        <v>9.053417999999999</v>
      </c>
      <c r="Q1207" s="132">
        <v>0</v>
      </c>
      <c r="R1207" s="132">
        <f>Q1207*H1207</f>
        <v>0</v>
      </c>
      <c r="S1207" s="132">
        <v>0</v>
      </c>
      <c r="T1207" s="133">
        <f>S1207*H1207</f>
        <v>0</v>
      </c>
      <c r="AR1207" s="134" t="s">
        <v>221</v>
      </c>
      <c r="AT1207" s="134" t="s">
        <v>128</v>
      </c>
      <c r="AU1207" s="134" t="s">
        <v>80</v>
      </c>
      <c r="AY1207" s="17" t="s">
        <v>126</v>
      </c>
      <c r="BE1207" s="135">
        <f>IF(N1207="základní",J1207,0)</f>
        <v>0</v>
      </c>
      <c r="BF1207" s="135">
        <f>IF(N1207="snížená",J1207,0)</f>
        <v>0</v>
      </c>
      <c r="BG1207" s="135">
        <f>IF(N1207="zákl. přenesená",J1207,0)</f>
        <v>0</v>
      </c>
      <c r="BH1207" s="135">
        <f>IF(N1207="sníž. přenesená",J1207,0)</f>
        <v>0</v>
      </c>
      <c r="BI1207" s="135">
        <f>IF(N1207="nulová",J1207,0)</f>
        <v>0</v>
      </c>
      <c r="BJ1207" s="17" t="s">
        <v>78</v>
      </c>
      <c r="BK1207" s="135">
        <f>ROUND(I1207*H1207,2)</f>
        <v>0</v>
      </c>
      <c r="BL1207" s="17" t="s">
        <v>221</v>
      </c>
      <c r="BM1207" s="134" t="s">
        <v>2424</v>
      </c>
    </row>
    <row r="1208" spans="2:47" s="1" customFormat="1" ht="12">
      <c r="B1208" s="29"/>
      <c r="D1208" s="136" t="s">
        <v>135</v>
      </c>
      <c r="F1208" s="137" t="s">
        <v>2425</v>
      </c>
      <c r="L1208" s="29"/>
      <c r="M1208" s="138"/>
      <c r="T1208" s="49"/>
      <c r="AT1208" s="17" t="s">
        <v>135</v>
      </c>
      <c r="AU1208" s="17" t="s">
        <v>80</v>
      </c>
    </row>
    <row r="1209" spans="2:51" s="12" customFormat="1" ht="12">
      <c r="B1209" s="139"/>
      <c r="D1209" s="140" t="s">
        <v>137</v>
      </c>
      <c r="E1209" s="141" t="s">
        <v>3</v>
      </c>
      <c r="F1209" s="142" t="s">
        <v>2411</v>
      </c>
      <c r="H1209" s="143">
        <v>108.217</v>
      </c>
      <c r="L1209" s="139"/>
      <c r="M1209" s="144"/>
      <c r="T1209" s="145"/>
      <c r="AT1209" s="141" t="s">
        <v>137</v>
      </c>
      <c r="AU1209" s="141" t="s">
        <v>80</v>
      </c>
      <c r="AV1209" s="12" t="s">
        <v>80</v>
      </c>
      <c r="AW1209" s="12" t="s">
        <v>32</v>
      </c>
      <c r="AX1209" s="12" t="s">
        <v>70</v>
      </c>
      <c r="AY1209" s="141" t="s">
        <v>126</v>
      </c>
    </row>
    <row r="1210" spans="2:51" s="12" customFormat="1" ht="12">
      <c r="B1210" s="139"/>
      <c r="D1210" s="140" t="s">
        <v>137</v>
      </c>
      <c r="E1210" s="141" t="s">
        <v>3</v>
      </c>
      <c r="F1210" s="142" t="s">
        <v>2412</v>
      </c>
      <c r="H1210" s="143">
        <v>68.083</v>
      </c>
      <c r="L1210" s="139"/>
      <c r="M1210" s="144"/>
      <c r="T1210" s="145"/>
      <c r="AT1210" s="141" t="s">
        <v>137</v>
      </c>
      <c r="AU1210" s="141" t="s">
        <v>80</v>
      </c>
      <c r="AV1210" s="12" t="s">
        <v>80</v>
      </c>
      <c r="AW1210" s="12" t="s">
        <v>32</v>
      </c>
      <c r="AX1210" s="12" t="s">
        <v>70</v>
      </c>
      <c r="AY1210" s="141" t="s">
        <v>126</v>
      </c>
    </row>
    <row r="1211" spans="2:51" s="12" customFormat="1" ht="12">
      <c r="B1211" s="139"/>
      <c r="D1211" s="140" t="s">
        <v>137</v>
      </c>
      <c r="E1211" s="141" t="s">
        <v>3</v>
      </c>
      <c r="F1211" s="142" t="s">
        <v>2413</v>
      </c>
      <c r="H1211" s="143">
        <v>472.533</v>
      </c>
      <c r="L1211" s="139"/>
      <c r="M1211" s="144"/>
      <c r="T1211" s="145"/>
      <c r="AT1211" s="141" t="s">
        <v>137</v>
      </c>
      <c r="AU1211" s="141" t="s">
        <v>80</v>
      </c>
      <c r="AV1211" s="12" t="s">
        <v>80</v>
      </c>
      <c r="AW1211" s="12" t="s">
        <v>32</v>
      </c>
      <c r="AX1211" s="12" t="s">
        <v>70</v>
      </c>
      <c r="AY1211" s="141" t="s">
        <v>126</v>
      </c>
    </row>
    <row r="1212" spans="2:51" s="12" customFormat="1" ht="12">
      <c r="B1212" s="139"/>
      <c r="D1212" s="140" t="s">
        <v>137</v>
      </c>
      <c r="E1212" s="141" t="s">
        <v>3</v>
      </c>
      <c r="F1212" s="142" t="s">
        <v>2414</v>
      </c>
      <c r="H1212" s="143">
        <v>3.2</v>
      </c>
      <c r="L1212" s="139"/>
      <c r="M1212" s="144"/>
      <c r="T1212" s="145"/>
      <c r="AT1212" s="141" t="s">
        <v>137</v>
      </c>
      <c r="AU1212" s="141" t="s">
        <v>80</v>
      </c>
      <c r="AV1212" s="12" t="s">
        <v>80</v>
      </c>
      <c r="AW1212" s="12" t="s">
        <v>32</v>
      </c>
      <c r="AX1212" s="12" t="s">
        <v>70</v>
      </c>
      <c r="AY1212" s="141" t="s">
        <v>126</v>
      </c>
    </row>
    <row r="1213" spans="2:51" s="12" customFormat="1" ht="12">
      <c r="B1213" s="139"/>
      <c r="D1213" s="140" t="s">
        <v>137</v>
      </c>
      <c r="E1213" s="141" t="s">
        <v>3</v>
      </c>
      <c r="F1213" s="142" t="s">
        <v>2415</v>
      </c>
      <c r="H1213" s="143">
        <v>12.84</v>
      </c>
      <c r="L1213" s="139"/>
      <c r="M1213" s="144"/>
      <c r="T1213" s="145"/>
      <c r="AT1213" s="141" t="s">
        <v>137</v>
      </c>
      <c r="AU1213" s="141" t="s">
        <v>80</v>
      </c>
      <c r="AV1213" s="12" t="s">
        <v>80</v>
      </c>
      <c r="AW1213" s="12" t="s">
        <v>32</v>
      </c>
      <c r="AX1213" s="12" t="s">
        <v>70</v>
      </c>
      <c r="AY1213" s="141" t="s">
        <v>126</v>
      </c>
    </row>
    <row r="1214" spans="2:51" s="12" customFormat="1" ht="12">
      <c r="B1214" s="139"/>
      <c r="D1214" s="140" t="s">
        <v>137</v>
      </c>
      <c r="E1214" s="141" t="s">
        <v>3</v>
      </c>
      <c r="F1214" s="142" t="s">
        <v>2416</v>
      </c>
      <c r="H1214" s="143">
        <v>14.85</v>
      </c>
      <c r="L1214" s="139"/>
      <c r="M1214" s="144"/>
      <c r="T1214" s="145"/>
      <c r="AT1214" s="141" t="s">
        <v>137</v>
      </c>
      <c r="AU1214" s="141" t="s">
        <v>80</v>
      </c>
      <c r="AV1214" s="12" t="s">
        <v>80</v>
      </c>
      <c r="AW1214" s="12" t="s">
        <v>32</v>
      </c>
      <c r="AX1214" s="12" t="s">
        <v>70</v>
      </c>
      <c r="AY1214" s="141" t="s">
        <v>126</v>
      </c>
    </row>
    <row r="1215" spans="2:51" s="12" customFormat="1" ht="12">
      <c r="B1215" s="139"/>
      <c r="D1215" s="140" t="s">
        <v>137</v>
      </c>
      <c r="E1215" s="141" t="s">
        <v>3</v>
      </c>
      <c r="F1215" s="142" t="s">
        <v>2417</v>
      </c>
      <c r="H1215" s="143">
        <v>62.92</v>
      </c>
      <c r="L1215" s="139"/>
      <c r="M1215" s="144"/>
      <c r="T1215" s="145"/>
      <c r="AT1215" s="141" t="s">
        <v>137</v>
      </c>
      <c r="AU1215" s="141" t="s">
        <v>80</v>
      </c>
      <c r="AV1215" s="12" t="s">
        <v>80</v>
      </c>
      <c r="AW1215" s="12" t="s">
        <v>32</v>
      </c>
      <c r="AX1215" s="12" t="s">
        <v>70</v>
      </c>
      <c r="AY1215" s="141" t="s">
        <v>126</v>
      </c>
    </row>
    <row r="1216" spans="2:51" s="12" customFormat="1" ht="12">
      <c r="B1216" s="139"/>
      <c r="D1216" s="140" t="s">
        <v>137</v>
      </c>
      <c r="E1216" s="141" t="s">
        <v>3</v>
      </c>
      <c r="F1216" s="142" t="s">
        <v>2418</v>
      </c>
      <c r="H1216" s="143">
        <v>27.143</v>
      </c>
      <c r="L1216" s="139"/>
      <c r="M1216" s="144"/>
      <c r="T1216" s="145"/>
      <c r="AT1216" s="141" t="s">
        <v>137</v>
      </c>
      <c r="AU1216" s="141" t="s">
        <v>80</v>
      </c>
      <c r="AV1216" s="12" t="s">
        <v>80</v>
      </c>
      <c r="AW1216" s="12" t="s">
        <v>32</v>
      </c>
      <c r="AX1216" s="12" t="s">
        <v>70</v>
      </c>
      <c r="AY1216" s="141" t="s">
        <v>126</v>
      </c>
    </row>
    <row r="1217" spans="2:51" s="12" customFormat="1" ht="12">
      <c r="B1217" s="139"/>
      <c r="D1217" s="140" t="s">
        <v>137</v>
      </c>
      <c r="E1217" s="141" t="s">
        <v>3</v>
      </c>
      <c r="F1217" s="142" t="s">
        <v>2419</v>
      </c>
      <c r="H1217" s="143">
        <v>26.88</v>
      </c>
      <c r="L1217" s="139"/>
      <c r="M1217" s="144"/>
      <c r="T1217" s="145"/>
      <c r="AT1217" s="141" t="s">
        <v>137</v>
      </c>
      <c r="AU1217" s="141" t="s">
        <v>80</v>
      </c>
      <c r="AV1217" s="12" t="s">
        <v>80</v>
      </c>
      <c r="AW1217" s="12" t="s">
        <v>32</v>
      </c>
      <c r="AX1217" s="12" t="s">
        <v>70</v>
      </c>
      <c r="AY1217" s="141" t="s">
        <v>126</v>
      </c>
    </row>
    <row r="1218" spans="2:51" s="12" customFormat="1" ht="12">
      <c r="B1218" s="139"/>
      <c r="D1218" s="140" t="s">
        <v>137</v>
      </c>
      <c r="E1218" s="141" t="s">
        <v>3</v>
      </c>
      <c r="F1218" s="142" t="s">
        <v>2420</v>
      </c>
      <c r="H1218" s="143">
        <v>26.372</v>
      </c>
      <c r="L1218" s="139"/>
      <c r="M1218" s="144"/>
      <c r="T1218" s="145"/>
      <c r="AT1218" s="141" t="s">
        <v>137</v>
      </c>
      <c r="AU1218" s="141" t="s">
        <v>80</v>
      </c>
      <c r="AV1218" s="12" t="s">
        <v>80</v>
      </c>
      <c r="AW1218" s="12" t="s">
        <v>32</v>
      </c>
      <c r="AX1218" s="12" t="s">
        <v>70</v>
      </c>
      <c r="AY1218" s="141" t="s">
        <v>126</v>
      </c>
    </row>
    <row r="1219" spans="2:51" s="13" customFormat="1" ht="12">
      <c r="B1219" s="146"/>
      <c r="D1219" s="140" t="s">
        <v>137</v>
      </c>
      <c r="E1219" s="147" t="s">
        <v>3</v>
      </c>
      <c r="F1219" s="148" t="s">
        <v>151</v>
      </c>
      <c r="H1219" s="149">
        <v>823.0380000000001</v>
      </c>
      <c r="L1219" s="146"/>
      <c r="M1219" s="150"/>
      <c r="T1219" s="151"/>
      <c r="AT1219" s="147" t="s">
        <v>137</v>
      </c>
      <c r="AU1219" s="147" t="s">
        <v>80</v>
      </c>
      <c r="AV1219" s="13" t="s">
        <v>133</v>
      </c>
      <c r="AW1219" s="13" t="s">
        <v>32</v>
      </c>
      <c r="AX1219" s="13" t="s">
        <v>78</v>
      </c>
      <c r="AY1219" s="147" t="s">
        <v>126</v>
      </c>
    </row>
    <row r="1220" spans="2:65" s="1" customFormat="1" ht="16.5" customHeight="1">
      <c r="B1220" s="123"/>
      <c r="C1220" s="124" t="s">
        <v>2426</v>
      </c>
      <c r="D1220" s="124" t="s">
        <v>128</v>
      </c>
      <c r="E1220" s="125" t="s">
        <v>2427</v>
      </c>
      <c r="F1220" s="126" t="s">
        <v>2428</v>
      </c>
      <c r="G1220" s="127" t="s">
        <v>131</v>
      </c>
      <c r="H1220" s="128">
        <v>823.038</v>
      </c>
      <c r="I1220" s="129"/>
      <c r="J1220" s="129">
        <f>ROUND(I1220*H1220,2)</f>
        <v>0</v>
      </c>
      <c r="K1220" s="126" t="s">
        <v>132</v>
      </c>
      <c r="L1220" s="29"/>
      <c r="M1220" s="130" t="s">
        <v>3</v>
      </c>
      <c r="N1220" s="131" t="s">
        <v>41</v>
      </c>
      <c r="O1220" s="132">
        <v>0.184</v>
      </c>
      <c r="P1220" s="132">
        <f>O1220*H1220</f>
        <v>151.438992</v>
      </c>
      <c r="Q1220" s="132">
        <v>0.00014</v>
      </c>
      <c r="R1220" s="132">
        <f>Q1220*H1220</f>
        <v>0.11522531999999999</v>
      </c>
      <c r="S1220" s="132">
        <v>0</v>
      </c>
      <c r="T1220" s="133">
        <f>S1220*H1220</f>
        <v>0</v>
      </c>
      <c r="AR1220" s="134" t="s">
        <v>221</v>
      </c>
      <c r="AT1220" s="134" t="s">
        <v>128</v>
      </c>
      <c r="AU1220" s="134" t="s">
        <v>80</v>
      </c>
      <c r="AY1220" s="17" t="s">
        <v>126</v>
      </c>
      <c r="BE1220" s="135">
        <f>IF(N1220="základní",J1220,0)</f>
        <v>0</v>
      </c>
      <c r="BF1220" s="135">
        <f>IF(N1220="snížená",J1220,0)</f>
        <v>0</v>
      </c>
      <c r="BG1220" s="135">
        <f>IF(N1220="zákl. přenesená",J1220,0)</f>
        <v>0</v>
      </c>
      <c r="BH1220" s="135">
        <f>IF(N1220="sníž. přenesená",J1220,0)</f>
        <v>0</v>
      </c>
      <c r="BI1220" s="135">
        <f>IF(N1220="nulová",J1220,0)</f>
        <v>0</v>
      </c>
      <c r="BJ1220" s="17" t="s">
        <v>78</v>
      </c>
      <c r="BK1220" s="135">
        <f>ROUND(I1220*H1220,2)</f>
        <v>0</v>
      </c>
      <c r="BL1220" s="17" t="s">
        <v>221</v>
      </c>
      <c r="BM1220" s="134" t="s">
        <v>2429</v>
      </c>
    </row>
    <row r="1221" spans="2:47" s="1" customFormat="1" ht="12">
      <c r="B1221" s="29"/>
      <c r="D1221" s="136" t="s">
        <v>135</v>
      </c>
      <c r="F1221" s="137" t="s">
        <v>2430</v>
      </c>
      <c r="L1221" s="29"/>
      <c r="M1221" s="138"/>
      <c r="T1221" s="49"/>
      <c r="AT1221" s="17" t="s">
        <v>135</v>
      </c>
      <c r="AU1221" s="17" t="s">
        <v>80</v>
      </c>
    </row>
    <row r="1222" spans="2:51" s="12" customFormat="1" ht="12">
      <c r="B1222" s="139"/>
      <c r="D1222" s="140" t="s">
        <v>137</v>
      </c>
      <c r="E1222" s="141" t="s">
        <v>3</v>
      </c>
      <c r="F1222" s="142" t="s">
        <v>2411</v>
      </c>
      <c r="H1222" s="143">
        <v>108.217</v>
      </c>
      <c r="L1222" s="139"/>
      <c r="M1222" s="144"/>
      <c r="T1222" s="145"/>
      <c r="AT1222" s="141" t="s">
        <v>137</v>
      </c>
      <c r="AU1222" s="141" t="s">
        <v>80</v>
      </c>
      <c r="AV1222" s="12" t="s">
        <v>80</v>
      </c>
      <c r="AW1222" s="12" t="s">
        <v>32</v>
      </c>
      <c r="AX1222" s="12" t="s">
        <v>70</v>
      </c>
      <c r="AY1222" s="141" t="s">
        <v>126</v>
      </c>
    </row>
    <row r="1223" spans="2:51" s="12" customFormat="1" ht="12">
      <c r="B1223" s="139"/>
      <c r="D1223" s="140" t="s">
        <v>137</v>
      </c>
      <c r="E1223" s="141" t="s">
        <v>3</v>
      </c>
      <c r="F1223" s="142" t="s">
        <v>2412</v>
      </c>
      <c r="H1223" s="143">
        <v>68.083</v>
      </c>
      <c r="L1223" s="139"/>
      <c r="M1223" s="144"/>
      <c r="T1223" s="145"/>
      <c r="AT1223" s="141" t="s">
        <v>137</v>
      </c>
      <c r="AU1223" s="141" t="s">
        <v>80</v>
      </c>
      <c r="AV1223" s="12" t="s">
        <v>80</v>
      </c>
      <c r="AW1223" s="12" t="s">
        <v>32</v>
      </c>
      <c r="AX1223" s="12" t="s">
        <v>70</v>
      </c>
      <c r="AY1223" s="141" t="s">
        <v>126</v>
      </c>
    </row>
    <row r="1224" spans="2:51" s="12" customFormat="1" ht="12">
      <c r="B1224" s="139"/>
      <c r="D1224" s="140" t="s">
        <v>137</v>
      </c>
      <c r="E1224" s="141" t="s">
        <v>3</v>
      </c>
      <c r="F1224" s="142" t="s">
        <v>2413</v>
      </c>
      <c r="H1224" s="143">
        <v>472.533</v>
      </c>
      <c r="L1224" s="139"/>
      <c r="M1224" s="144"/>
      <c r="T1224" s="145"/>
      <c r="AT1224" s="141" t="s">
        <v>137</v>
      </c>
      <c r="AU1224" s="141" t="s">
        <v>80</v>
      </c>
      <c r="AV1224" s="12" t="s">
        <v>80</v>
      </c>
      <c r="AW1224" s="12" t="s">
        <v>32</v>
      </c>
      <c r="AX1224" s="12" t="s">
        <v>70</v>
      </c>
      <c r="AY1224" s="141" t="s">
        <v>126</v>
      </c>
    </row>
    <row r="1225" spans="2:51" s="12" customFormat="1" ht="12">
      <c r="B1225" s="139"/>
      <c r="D1225" s="140" t="s">
        <v>137</v>
      </c>
      <c r="E1225" s="141" t="s">
        <v>3</v>
      </c>
      <c r="F1225" s="142" t="s">
        <v>2414</v>
      </c>
      <c r="H1225" s="143">
        <v>3.2</v>
      </c>
      <c r="L1225" s="139"/>
      <c r="M1225" s="144"/>
      <c r="T1225" s="145"/>
      <c r="AT1225" s="141" t="s">
        <v>137</v>
      </c>
      <c r="AU1225" s="141" t="s">
        <v>80</v>
      </c>
      <c r="AV1225" s="12" t="s">
        <v>80</v>
      </c>
      <c r="AW1225" s="12" t="s">
        <v>32</v>
      </c>
      <c r="AX1225" s="12" t="s">
        <v>70</v>
      </c>
      <c r="AY1225" s="141" t="s">
        <v>126</v>
      </c>
    </row>
    <row r="1226" spans="2:51" s="12" customFormat="1" ht="12">
      <c r="B1226" s="139"/>
      <c r="D1226" s="140" t="s">
        <v>137</v>
      </c>
      <c r="E1226" s="141" t="s">
        <v>3</v>
      </c>
      <c r="F1226" s="142" t="s">
        <v>2415</v>
      </c>
      <c r="H1226" s="143">
        <v>12.84</v>
      </c>
      <c r="L1226" s="139"/>
      <c r="M1226" s="144"/>
      <c r="T1226" s="145"/>
      <c r="AT1226" s="141" t="s">
        <v>137</v>
      </c>
      <c r="AU1226" s="141" t="s">
        <v>80</v>
      </c>
      <c r="AV1226" s="12" t="s">
        <v>80</v>
      </c>
      <c r="AW1226" s="12" t="s">
        <v>32</v>
      </c>
      <c r="AX1226" s="12" t="s">
        <v>70</v>
      </c>
      <c r="AY1226" s="141" t="s">
        <v>126</v>
      </c>
    </row>
    <row r="1227" spans="2:51" s="12" customFormat="1" ht="12">
      <c r="B1227" s="139"/>
      <c r="D1227" s="140" t="s">
        <v>137</v>
      </c>
      <c r="E1227" s="141" t="s">
        <v>3</v>
      </c>
      <c r="F1227" s="142" t="s">
        <v>2416</v>
      </c>
      <c r="H1227" s="143">
        <v>14.85</v>
      </c>
      <c r="L1227" s="139"/>
      <c r="M1227" s="144"/>
      <c r="T1227" s="145"/>
      <c r="AT1227" s="141" t="s">
        <v>137</v>
      </c>
      <c r="AU1227" s="141" t="s">
        <v>80</v>
      </c>
      <c r="AV1227" s="12" t="s">
        <v>80</v>
      </c>
      <c r="AW1227" s="12" t="s">
        <v>32</v>
      </c>
      <c r="AX1227" s="12" t="s">
        <v>70</v>
      </c>
      <c r="AY1227" s="141" t="s">
        <v>126</v>
      </c>
    </row>
    <row r="1228" spans="2:51" s="12" customFormat="1" ht="12">
      <c r="B1228" s="139"/>
      <c r="D1228" s="140" t="s">
        <v>137</v>
      </c>
      <c r="E1228" s="141" t="s">
        <v>3</v>
      </c>
      <c r="F1228" s="142" t="s">
        <v>2417</v>
      </c>
      <c r="H1228" s="143">
        <v>62.92</v>
      </c>
      <c r="L1228" s="139"/>
      <c r="M1228" s="144"/>
      <c r="T1228" s="145"/>
      <c r="AT1228" s="141" t="s">
        <v>137</v>
      </c>
      <c r="AU1228" s="141" t="s">
        <v>80</v>
      </c>
      <c r="AV1228" s="12" t="s">
        <v>80</v>
      </c>
      <c r="AW1228" s="12" t="s">
        <v>32</v>
      </c>
      <c r="AX1228" s="12" t="s">
        <v>70</v>
      </c>
      <c r="AY1228" s="141" t="s">
        <v>126</v>
      </c>
    </row>
    <row r="1229" spans="2:51" s="12" customFormat="1" ht="12">
      <c r="B1229" s="139"/>
      <c r="D1229" s="140" t="s">
        <v>137</v>
      </c>
      <c r="E1229" s="141" t="s">
        <v>3</v>
      </c>
      <c r="F1229" s="142" t="s">
        <v>2418</v>
      </c>
      <c r="H1229" s="143">
        <v>27.143</v>
      </c>
      <c r="L1229" s="139"/>
      <c r="M1229" s="144"/>
      <c r="T1229" s="145"/>
      <c r="AT1229" s="141" t="s">
        <v>137</v>
      </c>
      <c r="AU1229" s="141" t="s">
        <v>80</v>
      </c>
      <c r="AV1229" s="12" t="s">
        <v>80</v>
      </c>
      <c r="AW1229" s="12" t="s">
        <v>32</v>
      </c>
      <c r="AX1229" s="12" t="s">
        <v>70</v>
      </c>
      <c r="AY1229" s="141" t="s">
        <v>126</v>
      </c>
    </row>
    <row r="1230" spans="2:51" s="12" customFormat="1" ht="12">
      <c r="B1230" s="139"/>
      <c r="D1230" s="140" t="s">
        <v>137</v>
      </c>
      <c r="E1230" s="141" t="s">
        <v>3</v>
      </c>
      <c r="F1230" s="142" t="s">
        <v>2419</v>
      </c>
      <c r="H1230" s="143">
        <v>26.88</v>
      </c>
      <c r="L1230" s="139"/>
      <c r="M1230" s="144"/>
      <c r="T1230" s="145"/>
      <c r="AT1230" s="141" t="s">
        <v>137</v>
      </c>
      <c r="AU1230" s="141" t="s">
        <v>80</v>
      </c>
      <c r="AV1230" s="12" t="s">
        <v>80</v>
      </c>
      <c r="AW1230" s="12" t="s">
        <v>32</v>
      </c>
      <c r="AX1230" s="12" t="s">
        <v>70</v>
      </c>
      <c r="AY1230" s="141" t="s">
        <v>126</v>
      </c>
    </row>
    <row r="1231" spans="2:51" s="12" customFormat="1" ht="12">
      <c r="B1231" s="139"/>
      <c r="D1231" s="140" t="s">
        <v>137</v>
      </c>
      <c r="E1231" s="141" t="s">
        <v>3</v>
      </c>
      <c r="F1231" s="142" t="s">
        <v>2420</v>
      </c>
      <c r="H1231" s="143">
        <v>26.372</v>
      </c>
      <c r="L1231" s="139"/>
      <c r="M1231" s="144"/>
      <c r="T1231" s="145"/>
      <c r="AT1231" s="141" t="s">
        <v>137</v>
      </c>
      <c r="AU1231" s="141" t="s">
        <v>80</v>
      </c>
      <c r="AV1231" s="12" t="s">
        <v>80</v>
      </c>
      <c r="AW1231" s="12" t="s">
        <v>32</v>
      </c>
      <c r="AX1231" s="12" t="s">
        <v>70</v>
      </c>
      <c r="AY1231" s="141" t="s">
        <v>126</v>
      </c>
    </row>
    <row r="1232" spans="2:51" s="13" customFormat="1" ht="12">
      <c r="B1232" s="146"/>
      <c r="D1232" s="140" t="s">
        <v>137</v>
      </c>
      <c r="E1232" s="147" t="s">
        <v>3</v>
      </c>
      <c r="F1232" s="148" t="s">
        <v>151</v>
      </c>
      <c r="H1232" s="149">
        <v>823.0380000000001</v>
      </c>
      <c r="L1232" s="146"/>
      <c r="M1232" s="150"/>
      <c r="T1232" s="151"/>
      <c r="AT1232" s="147" t="s">
        <v>137</v>
      </c>
      <c r="AU1232" s="147" t="s">
        <v>80</v>
      </c>
      <c r="AV1232" s="13" t="s">
        <v>133</v>
      </c>
      <c r="AW1232" s="13" t="s">
        <v>32</v>
      </c>
      <c r="AX1232" s="13" t="s">
        <v>78</v>
      </c>
      <c r="AY1232" s="147" t="s">
        <v>126</v>
      </c>
    </row>
    <row r="1233" spans="2:63" s="11" customFormat="1" ht="22.7" customHeight="1">
      <c r="B1233" s="112"/>
      <c r="D1233" s="113" t="s">
        <v>69</v>
      </c>
      <c r="E1233" s="121" t="s">
        <v>2431</v>
      </c>
      <c r="F1233" s="121" t="s">
        <v>2432</v>
      </c>
      <c r="J1233" s="122">
        <f>BK1233</f>
        <v>0</v>
      </c>
      <c r="L1233" s="112"/>
      <c r="M1233" s="116"/>
      <c r="P1233" s="117">
        <f>SUM(P1234:P1284)</f>
        <v>373.38654999999994</v>
      </c>
      <c r="R1233" s="117">
        <f>SUM(R1234:R1284)</f>
        <v>1.152737</v>
      </c>
      <c r="T1233" s="118">
        <f>SUM(T1234:T1284)</f>
        <v>0</v>
      </c>
      <c r="AR1233" s="113" t="s">
        <v>80</v>
      </c>
      <c r="AT1233" s="119" t="s">
        <v>69</v>
      </c>
      <c r="AU1233" s="119" t="s">
        <v>78</v>
      </c>
      <c r="AY1233" s="113" t="s">
        <v>126</v>
      </c>
      <c r="BK1233" s="120">
        <f>SUM(BK1234:BK1284)</f>
        <v>0</v>
      </c>
    </row>
    <row r="1234" spans="2:65" s="1" customFormat="1" ht="16.5" customHeight="1">
      <c r="B1234" s="123"/>
      <c r="C1234" s="124" t="s">
        <v>2433</v>
      </c>
      <c r="D1234" s="124" t="s">
        <v>128</v>
      </c>
      <c r="E1234" s="125" t="s">
        <v>2434</v>
      </c>
      <c r="F1234" s="126" t="s">
        <v>2435</v>
      </c>
      <c r="G1234" s="127" t="s">
        <v>131</v>
      </c>
      <c r="H1234" s="128">
        <v>2505.95</v>
      </c>
      <c r="I1234" s="129"/>
      <c r="J1234" s="129">
        <f>ROUND(I1234*H1234,2)</f>
        <v>0</v>
      </c>
      <c r="K1234" s="126" t="s">
        <v>132</v>
      </c>
      <c r="L1234" s="29"/>
      <c r="M1234" s="130" t="s">
        <v>3</v>
      </c>
      <c r="N1234" s="131" t="s">
        <v>41</v>
      </c>
      <c r="O1234" s="132">
        <v>0.012</v>
      </c>
      <c r="P1234" s="132">
        <f>O1234*H1234</f>
        <v>30.071399999999997</v>
      </c>
      <c r="Q1234" s="132">
        <v>0</v>
      </c>
      <c r="R1234" s="132">
        <f>Q1234*H1234</f>
        <v>0</v>
      </c>
      <c r="S1234" s="132">
        <v>0</v>
      </c>
      <c r="T1234" s="133">
        <f>S1234*H1234</f>
        <v>0</v>
      </c>
      <c r="AR1234" s="134" t="s">
        <v>221</v>
      </c>
      <c r="AT1234" s="134" t="s">
        <v>128</v>
      </c>
      <c r="AU1234" s="134" t="s">
        <v>80</v>
      </c>
      <c r="AY1234" s="17" t="s">
        <v>126</v>
      </c>
      <c r="BE1234" s="135">
        <f>IF(N1234="základní",J1234,0)</f>
        <v>0</v>
      </c>
      <c r="BF1234" s="135">
        <f>IF(N1234="snížená",J1234,0)</f>
        <v>0</v>
      </c>
      <c r="BG1234" s="135">
        <f>IF(N1234="zákl. přenesená",J1234,0)</f>
        <v>0</v>
      </c>
      <c r="BH1234" s="135">
        <f>IF(N1234="sníž. přenesená",J1234,0)</f>
        <v>0</v>
      </c>
      <c r="BI1234" s="135">
        <f>IF(N1234="nulová",J1234,0)</f>
        <v>0</v>
      </c>
      <c r="BJ1234" s="17" t="s">
        <v>78</v>
      </c>
      <c r="BK1234" s="135">
        <f>ROUND(I1234*H1234,2)</f>
        <v>0</v>
      </c>
      <c r="BL1234" s="17" t="s">
        <v>221</v>
      </c>
      <c r="BM1234" s="134" t="s">
        <v>2436</v>
      </c>
    </row>
    <row r="1235" spans="2:47" s="1" customFormat="1" ht="12">
      <c r="B1235" s="29"/>
      <c r="D1235" s="136" t="s">
        <v>135</v>
      </c>
      <c r="F1235" s="137" t="s">
        <v>2437</v>
      </c>
      <c r="L1235" s="29"/>
      <c r="M1235" s="138"/>
      <c r="T1235" s="49"/>
      <c r="AT1235" s="17" t="s">
        <v>135</v>
      </c>
      <c r="AU1235" s="17" t="s">
        <v>80</v>
      </c>
    </row>
    <row r="1236" spans="2:51" s="12" customFormat="1" ht="12">
      <c r="B1236" s="139"/>
      <c r="D1236" s="140" t="s">
        <v>137</v>
      </c>
      <c r="E1236" s="141" t="s">
        <v>3</v>
      </c>
      <c r="F1236" s="142" t="s">
        <v>822</v>
      </c>
      <c r="H1236" s="143">
        <v>312.74</v>
      </c>
      <c r="L1236" s="139"/>
      <c r="M1236" s="144"/>
      <c r="T1236" s="145"/>
      <c r="AT1236" s="141" t="s">
        <v>137</v>
      </c>
      <c r="AU1236" s="141" t="s">
        <v>80</v>
      </c>
      <c r="AV1236" s="12" t="s">
        <v>80</v>
      </c>
      <c r="AW1236" s="12" t="s">
        <v>32</v>
      </c>
      <c r="AX1236" s="12" t="s">
        <v>70</v>
      </c>
      <c r="AY1236" s="141" t="s">
        <v>126</v>
      </c>
    </row>
    <row r="1237" spans="2:51" s="12" customFormat="1" ht="12">
      <c r="B1237" s="139"/>
      <c r="D1237" s="140" t="s">
        <v>137</v>
      </c>
      <c r="E1237" s="141" t="s">
        <v>3</v>
      </c>
      <c r="F1237" s="142" t="s">
        <v>823</v>
      </c>
      <c r="H1237" s="143">
        <v>23.94</v>
      </c>
      <c r="L1237" s="139"/>
      <c r="M1237" s="144"/>
      <c r="T1237" s="145"/>
      <c r="AT1237" s="141" t="s">
        <v>137</v>
      </c>
      <c r="AU1237" s="141" t="s">
        <v>80</v>
      </c>
      <c r="AV1237" s="12" t="s">
        <v>80</v>
      </c>
      <c r="AW1237" s="12" t="s">
        <v>32</v>
      </c>
      <c r="AX1237" s="12" t="s">
        <v>70</v>
      </c>
      <c r="AY1237" s="141" t="s">
        <v>126</v>
      </c>
    </row>
    <row r="1238" spans="2:51" s="12" customFormat="1" ht="12">
      <c r="B1238" s="139"/>
      <c r="D1238" s="140" t="s">
        <v>137</v>
      </c>
      <c r="E1238" s="141" t="s">
        <v>3</v>
      </c>
      <c r="F1238" s="142" t="s">
        <v>824</v>
      </c>
      <c r="H1238" s="143">
        <v>96.54</v>
      </c>
      <c r="L1238" s="139"/>
      <c r="M1238" s="144"/>
      <c r="T1238" s="145"/>
      <c r="AT1238" s="141" t="s">
        <v>137</v>
      </c>
      <c r="AU1238" s="141" t="s">
        <v>80</v>
      </c>
      <c r="AV1238" s="12" t="s">
        <v>80</v>
      </c>
      <c r="AW1238" s="12" t="s">
        <v>32</v>
      </c>
      <c r="AX1238" s="12" t="s">
        <v>70</v>
      </c>
      <c r="AY1238" s="141" t="s">
        <v>126</v>
      </c>
    </row>
    <row r="1239" spans="2:51" s="12" customFormat="1" ht="12">
      <c r="B1239" s="139"/>
      <c r="D1239" s="140" t="s">
        <v>137</v>
      </c>
      <c r="E1239" s="141" t="s">
        <v>3</v>
      </c>
      <c r="F1239" s="142" t="s">
        <v>825</v>
      </c>
      <c r="H1239" s="143">
        <v>13.68</v>
      </c>
      <c r="L1239" s="139"/>
      <c r="M1239" s="144"/>
      <c r="T1239" s="145"/>
      <c r="AT1239" s="141" t="s">
        <v>137</v>
      </c>
      <c r="AU1239" s="141" t="s">
        <v>80</v>
      </c>
      <c r="AV1239" s="12" t="s">
        <v>80</v>
      </c>
      <c r="AW1239" s="12" t="s">
        <v>32</v>
      </c>
      <c r="AX1239" s="12" t="s">
        <v>70</v>
      </c>
      <c r="AY1239" s="141" t="s">
        <v>126</v>
      </c>
    </row>
    <row r="1240" spans="2:51" s="12" customFormat="1" ht="12">
      <c r="B1240" s="139"/>
      <c r="D1240" s="140" t="s">
        <v>137</v>
      </c>
      <c r="E1240" s="141" t="s">
        <v>3</v>
      </c>
      <c r="F1240" s="142" t="s">
        <v>826</v>
      </c>
      <c r="H1240" s="143">
        <v>220.611</v>
      </c>
      <c r="L1240" s="139"/>
      <c r="M1240" s="144"/>
      <c r="T1240" s="145"/>
      <c r="AT1240" s="141" t="s">
        <v>137</v>
      </c>
      <c r="AU1240" s="141" t="s">
        <v>80</v>
      </c>
      <c r="AV1240" s="12" t="s">
        <v>80</v>
      </c>
      <c r="AW1240" s="12" t="s">
        <v>32</v>
      </c>
      <c r="AX1240" s="12" t="s">
        <v>70</v>
      </c>
      <c r="AY1240" s="141" t="s">
        <v>126</v>
      </c>
    </row>
    <row r="1241" spans="2:51" s="12" customFormat="1" ht="12">
      <c r="B1241" s="139"/>
      <c r="D1241" s="140" t="s">
        <v>137</v>
      </c>
      <c r="E1241" s="141" t="s">
        <v>3</v>
      </c>
      <c r="F1241" s="142" t="s">
        <v>840</v>
      </c>
      <c r="H1241" s="143">
        <v>133.305</v>
      </c>
      <c r="L1241" s="139"/>
      <c r="M1241" s="144"/>
      <c r="T1241" s="145"/>
      <c r="AT1241" s="141" t="s">
        <v>137</v>
      </c>
      <c r="AU1241" s="141" t="s">
        <v>80</v>
      </c>
      <c r="AV1241" s="12" t="s">
        <v>80</v>
      </c>
      <c r="AW1241" s="12" t="s">
        <v>32</v>
      </c>
      <c r="AX1241" s="12" t="s">
        <v>70</v>
      </c>
      <c r="AY1241" s="141" t="s">
        <v>126</v>
      </c>
    </row>
    <row r="1242" spans="2:51" s="12" customFormat="1" ht="12">
      <c r="B1242" s="139"/>
      <c r="D1242" s="140" t="s">
        <v>137</v>
      </c>
      <c r="E1242" s="141" t="s">
        <v>3</v>
      </c>
      <c r="F1242" s="142" t="s">
        <v>2438</v>
      </c>
      <c r="H1242" s="143">
        <v>305.536</v>
      </c>
      <c r="L1242" s="139"/>
      <c r="M1242" s="144"/>
      <c r="T1242" s="145"/>
      <c r="AT1242" s="141" t="s">
        <v>137</v>
      </c>
      <c r="AU1242" s="141" t="s">
        <v>80</v>
      </c>
      <c r="AV1242" s="12" t="s">
        <v>80</v>
      </c>
      <c r="AW1242" s="12" t="s">
        <v>32</v>
      </c>
      <c r="AX1242" s="12" t="s">
        <v>70</v>
      </c>
      <c r="AY1242" s="141" t="s">
        <v>126</v>
      </c>
    </row>
    <row r="1243" spans="2:51" s="12" customFormat="1" ht="12">
      <c r="B1243" s="139"/>
      <c r="D1243" s="140" t="s">
        <v>137</v>
      </c>
      <c r="E1243" s="141" t="s">
        <v>3</v>
      </c>
      <c r="F1243" s="142" t="s">
        <v>2439</v>
      </c>
      <c r="H1243" s="143">
        <v>144</v>
      </c>
      <c r="L1243" s="139"/>
      <c r="M1243" s="144"/>
      <c r="T1243" s="145"/>
      <c r="AT1243" s="141" t="s">
        <v>137</v>
      </c>
      <c r="AU1243" s="141" t="s">
        <v>80</v>
      </c>
      <c r="AV1243" s="12" t="s">
        <v>80</v>
      </c>
      <c r="AW1243" s="12" t="s">
        <v>32</v>
      </c>
      <c r="AX1243" s="12" t="s">
        <v>70</v>
      </c>
      <c r="AY1243" s="141" t="s">
        <v>126</v>
      </c>
    </row>
    <row r="1244" spans="2:51" s="12" customFormat="1" ht="12">
      <c r="B1244" s="139"/>
      <c r="D1244" s="140" t="s">
        <v>137</v>
      </c>
      <c r="E1244" s="141" t="s">
        <v>3</v>
      </c>
      <c r="F1244" s="142" t="s">
        <v>1403</v>
      </c>
      <c r="H1244" s="143">
        <v>105.528</v>
      </c>
      <c r="L1244" s="139"/>
      <c r="M1244" s="144"/>
      <c r="T1244" s="145"/>
      <c r="AT1244" s="141" t="s">
        <v>137</v>
      </c>
      <c r="AU1244" s="141" t="s">
        <v>80</v>
      </c>
      <c r="AV1244" s="12" t="s">
        <v>80</v>
      </c>
      <c r="AW1244" s="12" t="s">
        <v>32</v>
      </c>
      <c r="AX1244" s="12" t="s">
        <v>70</v>
      </c>
      <c r="AY1244" s="141" t="s">
        <v>126</v>
      </c>
    </row>
    <row r="1245" spans="2:51" s="12" customFormat="1" ht="12">
      <c r="B1245" s="139"/>
      <c r="D1245" s="140" t="s">
        <v>137</v>
      </c>
      <c r="E1245" s="141" t="s">
        <v>3</v>
      </c>
      <c r="F1245" s="142" t="s">
        <v>1428</v>
      </c>
      <c r="H1245" s="143">
        <v>650</v>
      </c>
      <c r="L1245" s="139"/>
      <c r="M1245" s="144"/>
      <c r="T1245" s="145"/>
      <c r="AT1245" s="141" t="s">
        <v>137</v>
      </c>
      <c r="AU1245" s="141" t="s">
        <v>80</v>
      </c>
      <c r="AV1245" s="12" t="s">
        <v>80</v>
      </c>
      <c r="AW1245" s="12" t="s">
        <v>32</v>
      </c>
      <c r="AX1245" s="12" t="s">
        <v>70</v>
      </c>
      <c r="AY1245" s="141" t="s">
        <v>126</v>
      </c>
    </row>
    <row r="1246" spans="2:51" s="12" customFormat="1" ht="12">
      <c r="B1246" s="139"/>
      <c r="D1246" s="140" t="s">
        <v>137</v>
      </c>
      <c r="E1246" s="141" t="s">
        <v>3</v>
      </c>
      <c r="F1246" s="142" t="s">
        <v>1439</v>
      </c>
      <c r="H1246" s="143">
        <v>543.4</v>
      </c>
      <c r="L1246" s="139"/>
      <c r="M1246" s="144"/>
      <c r="T1246" s="145"/>
      <c r="AT1246" s="141" t="s">
        <v>137</v>
      </c>
      <c r="AU1246" s="141" t="s">
        <v>80</v>
      </c>
      <c r="AV1246" s="12" t="s">
        <v>80</v>
      </c>
      <c r="AW1246" s="12" t="s">
        <v>32</v>
      </c>
      <c r="AX1246" s="12" t="s">
        <v>70</v>
      </c>
      <c r="AY1246" s="141" t="s">
        <v>126</v>
      </c>
    </row>
    <row r="1247" spans="2:51" s="12" customFormat="1" ht="12">
      <c r="B1247" s="139"/>
      <c r="D1247" s="140" t="s">
        <v>137</v>
      </c>
      <c r="E1247" s="141" t="s">
        <v>3</v>
      </c>
      <c r="F1247" s="142" t="s">
        <v>2440</v>
      </c>
      <c r="H1247" s="143">
        <v>-103.39</v>
      </c>
      <c r="L1247" s="139"/>
      <c r="M1247" s="144"/>
      <c r="T1247" s="145"/>
      <c r="AT1247" s="141" t="s">
        <v>137</v>
      </c>
      <c r="AU1247" s="141" t="s">
        <v>80</v>
      </c>
      <c r="AV1247" s="12" t="s">
        <v>80</v>
      </c>
      <c r="AW1247" s="12" t="s">
        <v>32</v>
      </c>
      <c r="AX1247" s="12" t="s">
        <v>70</v>
      </c>
      <c r="AY1247" s="141" t="s">
        <v>126</v>
      </c>
    </row>
    <row r="1248" spans="2:51" s="12" customFormat="1" ht="12">
      <c r="B1248" s="139"/>
      <c r="D1248" s="140" t="s">
        <v>137</v>
      </c>
      <c r="E1248" s="141" t="s">
        <v>3</v>
      </c>
      <c r="F1248" s="142" t="s">
        <v>1421</v>
      </c>
      <c r="H1248" s="143">
        <v>23.66</v>
      </c>
      <c r="L1248" s="139"/>
      <c r="M1248" s="144"/>
      <c r="T1248" s="145"/>
      <c r="AT1248" s="141" t="s">
        <v>137</v>
      </c>
      <c r="AU1248" s="141" t="s">
        <v>80</v>
      </c>
      <c r="AV1248" s="12" t="s">
        <v>80</v>
      </c>
      <c r="AW1248" s="12" t="s">
        <v>32</v>
      </c>
      <c r="AX1248" s="12" t="s">
        <v>70</v>
      </c>
      <c r="AY1248" s="141" t="s">
        <v>126</v>
      </c>
    </row>
    <row r="1249" spans="2:51" s="12" customFormat="1" ht="12">
      <c r="B1249" s="139"/>
      <c r="D1249" s="140" t="s">
        <v>137</v>
      </c>
      <c r="E1249" s="141" t="s">
        <v>3</v>
      </c>
      <c r="F1249" s="142" t="s">
        <v>1422</v>
      </c>
      <c r="H1249" s="143">
        <v>36.4</v>
      </c>
      <c r="L1249" s="139"/>
      <c r="M1249" s="144"/>
      <c r="T1249" s="145"/>
      <c r="AT1249" s="141" t="s">
        <v>137</v>
      </c>
      <c r="AU1249" s="141" t="s">
        <v>80</v>
      </c>
      <c r="AV1249" s="12" t="s">
        <v>80</v>
      </c>
      <c r="AW1249" s="12" t="s">
        <v>32</v>
      </c>
      <c r="AX1249" s="12" t="s">
        <v>70</v>
      </c>
      <c r="AY1249" s="141" t="s">
        <v>126</v>
      </c>
    </row>
    <row r="1250" spans="2:51" s="13" customFormat="1" ht="12">
      <c r="B1250" s="146"/>
      <c r="D1250" s="140" t="s">
        <v>137</v>
      </c>
      <c r="E1250" s="147" t="s">
        <v>3</v>
      </c>
      <c r="F1250" s="148" t="s">
        <v>151</v>
      </c>
      <c r="H1250" s="149">
        <v>2505.9500000000003</v>
      </c>
      <c r="L1250" s="146"/>
      <c r="M1250" s="150"/>
      <c r="T1250" s="151"/>
      <c r="AT1250" s="147" t="s">
        <v>137</v>
      </c>
      <c r="AU1250" s="147" t="s">
        <v>80</v>
      </c>
      <c r="AV1250" s="13" t="s">
        <v>133</v>
      </c>
      <c r="AW1250" s="13" t="s">
        <v>32</v>
      </c>
      <c r="AX1250" s="13" t="s">
        <v>78</v>
      </c>
      <c r="AY1250" s="147" t="s">
        <v>126</v>
      </c>
    </row>
    <row r="1251" spans="2:65" s="1" customFormat="1" ht="16.5" customHeight="1">
      <c r="B1251" s="123"/>
      <c r="C1251" s="124" t="s">
        <v>2441</v>
      </c>
      <c r="D1251" s="124" t="s">
        <v>128</v>
      </c>
      <c r="E1251" s="125" t="s">
        <v>2442</v>
      </c>
      <c r="F1251" s="126" t="s">
        <v>2443</v>
      </c>
      <c r="G1251" s="127" t="s">
        <v>131</v>
      </c>
      <c r="H1251" s="128">
        <v>2505.95</v>
      </c>
      <c r="I1251" s="129"/>
      <c r="J1251" s="129">
        <f>ROUND(I1251*H1251,2)</f>
        <v>0</v>
      </c>
      <c r="K1251" s="126" t="s">
        <v>132</v>
      </c>
      <c r="L1251" s="29"/>
      <c r="M1251" s="130" t="s">
        <v>3</v>
      </c>
      <c r="N1251" s="131" t="s">
        <v>41</v>
      </c>
      <c r="O1251" s="132">
        <v>0.033</v>
      </c>
      <c r="P1251" s="132">
        <f>O1251*H1251</f>
        <v>82.69635</v>
      </c>
      <c r="Q1251" s="132">
        <v>0.0002</v>
      </c>
      <c r="R1251" s="132">
        <f>Q1251*H1251</f>
        <v>0.50119</v>
      </c>
      <c r="S1251" s="132">
        <v>0</v>
      </c>
      <c r="T1251" s="133">
        <f>S1251*H1251</f>
        <v>0</v>
      </c>
      <c r="AR1251" s="134" t="s">
        <v>221</v>
      </c>
      <c r="AT1251" s="134" t="s">
        <v>128</v>
      </c>
      <c r="AU1251" s="134" t="s">
        <v>80</v>
      </c>
      <c r="AY1251" s="17" t="s">
        <v>126</v>
      </c>
      <c r="BE1251" s="135">
        <f>IF(N1251="základní",J1251,0)</f>
        <v>0</v>
      </c>
      <c r="BF1251" s="135">
        <f>IF(N1251="snížená",J1251,0)</f>
        <v>0</v>
      </c>
      <c r="BG1251" s="135">
        <f>IF(N1251="zákl. přenesená",J1251,0)</f>
        <v>0</v>
      </c>
      <c r="BH1251" s="135">
        <f>IF(N1251="sníž. přenesená",J1251,0)</f>
        <v>0</v>
      </c>
      <c r="BI1251" s="135">
        <f>IF(N1251="nulová",J1251,0)</f>
        <v>0</v>
      </c>
      <c r="BJ1251" s="17" t="s">
        <v>78</v>
      </c>
      <c r="BK1251" s="135">
        <f>ROUND(I1251*H1251,2)</f>
        <v>0</v>
      </c>
      <c r="BL1251" s="17" t="s">
        <v>221</v>
      </c>
      <c r="BM1251" s="134" t="s">
        <v>2444</v>
      </c>
    </row>
    <row r="1252" spans="2:47" s="1" customFormat="1" ht="12">
      <c r="B1252" s="29"/>
      <c r="D1252" s="136" t="s">
        <v>135</v>
      </c>
      <c r="F1252" s="137" t="s">
        <v>2445</v>
      </c>
      <c r="L1252" s="29"/>
      <c r="M1252" s="138"/>
      <c r="T1252" s="49"/>
      <c r="AT1252" s="17" t="s">
        <v>135</v>
      </c>
      <c r="AU1252" s="17" t="s">
        <v>80</v>
      </c>
    </row>
    <row r="1253" spans="2:51" s="12" customFormat="1" ht="12">
      <c r="B1253" s="139"/>
      <c r="D1253" s="140" t="s">
        <v>137</v>
      </c>
      <c r="E1253" s="141" t="s">
        <v>3</v>
      </c>
      <c r="F1253" s="142" t="s">
        <v>822</v>
      </c>
      <c r="H1253" s="143">
        <v>312.74</v>
      </c>
      <c r="L1253" s="139"/>
      <c r="M1253" s="144"/>
      <c r="T1253" s="145"/>
      <c r="AT1253" s="141" t="s">
        <v>137</v>
      </c>
      <c r="AU1253" s="141" t="s">
        <v>80</v>
      </c>
      <c r="AV1253" s="12" t="s">
        <v>80</v>
      </c>
      <c r="AW1253" s="12" t="s">
        <v>32</v>
      </c>
      <c r="AX1253" s="12" t="s">
        <v>70</v>
      </c>
      <c r="AY1253" s="141" t="s">
        <v>126</v>
      </c>
    </row>
    <row r="1254" spans="2:51" s="12" customFormat="1" ht="12">
      <c r="B1254" s="139"/>
      <c r="D1254" s="140" t="s">
        <v>137</v>
      </c>
      <c r="E1254" s="141" t="s">
        <v>3</v>
      </c>
      <c r="F1254" s="142" t="s">
        <v>823</v>
      </c>
      <c r="H1254" s="143">
        <v>23.94</v>
      </c>
      <c r="L1254" s="139"/>
      <c r="M1254" s="144"/>
      <c r="T1254" s="145"/>
      <c r="AT1254" s="141" t="s">
        <v>137</v>
      </c>
      <c r="AU1254" s="141" t="s">
        <v>80</v>
      </c>
      <c r="AV1254" s="12" t="s">
        <v>80</v>
      </c>
      <c r="AW1254" s="12" t="s">
        <v>32</v>
      </c>
      <c r="AX1254" s="12" t="s">
        <v>70</v>
      </c>
      <c r="AY1254" s="141" t="s">
        <v>126</v>
      </c>
    </row>
    <row r="1255" spans="2:51" s="12" customFormat="1" ht="12">
      <c r="B1255" s="139"/>
      <c r="D1255" s="140" t="s">
        <v>137</v>
      </c>
      <c r="E1255" s="141" t="s">
        <v>3</v>
      </c>
      <c r="F1255" s="142" t="s">
        <v>824</v>
      </c>
      <c r="H1255" s="143">
        <v>96.54</v>
      </c>
      <c r="L1255" s="139"/>
      <c r="M1255" s="144"/>
      <c r="T1255" s="145"/>
      <c r="AT1255" s="141" t="s">
        <v>137</v>
      </c>
      <c r="AU1255" s="141" t="s">
        <v>80</v>
      </c>
      <c r="AV1255" s="12" t="s">
        <v>80</v>
      </c>
      <c r="AW1255" s="12" t="s">
        <v>32</v>
      </c>
      <c r="AX1255" s="12" t="s">
        <v>70</v>
      </c>
      <c r="AY1255" s="141" t="s">
        <v>126</v>
      </c>
    </row>
    <row r="1256" spans="2:51" s="12" customFormat="1" ht="12">
      <c r="B1256" s="139"/>
      <c r="D1256" s="140" t="s">
        <v>137</v>
      </c>
      <c r="E1256" s="141" t="s">
        <v>3</v>
      </c>
      <c r="F1256" s="142" t="s">
        <v>825</v>
      </c>
      <c r="H1256" s="143">
        <v>13.68</v>
      </c>
      <c r="L1256" s="139"/>
      <c r="M1256" s="144"/>
      <c r="T1256" s="145"/>
      <c r="AT1256" s="141" t="s">
        <v>137</v>
      </c>
      <c r="AU1256" s="141" t="s">
        <v>80</v>
      </c>
      <c r="AV1256" s="12" t="s">
        <v>80</v>
      </c>
      <c r="AW1256" s="12" t="s">
        <v>32</v>
      </c>
      <c r="AX1256" s="12" t="s">
        <v>70</v>
      </c>
      <c r="AY1256" s="141" t="s">
        <v>126</v>
      </c>
    </row>
    <row r="1257" spans="2:51" s="12" customFormat="1" ht="12">
      <c r="B1257" s="139"/>
      <c r="D1257" s="140" t="s">
        <v>137</v>
      </c>
      <c r="E1257" s="141" t="s">
        <v>3</v>
      </c>
      <c r="F1257" s="142" t="s">
        <v>826</v>
      </c>
      <c r="H1257" s="143">
        <v>220.611</v>
      </c>
      <c r="L1257" s="139"/>
      <c r="M1257" s="144"/>
      <c r="T1257" s="145"/>
      <c r="AT1257" s="141" t="s">
        <v>137</v>
      </c>
      <c r="AU1257" s="141" t="s">
        <v>80</v>
      </c>
      <c r="AV1257" s="12" t="s">
        <v>80</v>
      </c>
      <c r="AW1257" s="12" t="s">
        <v>32</v>
      </c>
      <c r="AX1257" s="12" t="s">
        <v>70</v>
      </c>
      <c r="AY1257" s="141" t="s">
        <v>126</v>
      </c>
    </row>
    <row r="1258" spans="2:51" s="12" customFormat="1" ht="12">
      <c r="B1258" s="139"/>
      <c r="D1258" s="140" t="s">
        <v>137</v>
      </c>
      <c r="E1258" s="141" t="s">
        <v>3</v>
      </c>
      <c r="F1258" s="142" t="s">
        <v>840</v>
      </c>
      <c r="H1258" s="143">
        <v>133.305</v>
      </c>
      <c r="L1258" s="139"/>
      <c r="M1258" s="144"/>
      <c r="T1258" s="145"/>
      <c r="AT1258" s="141" t="s">
        <v>137</v>
      </c>
      <c r="AU1258" s="141" t="s">
        <v>80</v>
      </c>
      <c r="AV1258" s="12" t="s">
        <v>80</v>
      </c>
      <c r="AW1258" s="12" t="s">
        <v>32</v>
      </c>
      <c r="AX1258" s="12" t="s">
        <v>70</v>
      </c>
      <c r="AY1258" s="141" t="s">
        <v>126</v>
      </c>
    </row>
    <row r="1259" spans="2:51" s="12" customFormat="1" ht="12">
      <c r="B1259" s="139"/>
      <c r="D1259" s="140" t="s">
        <v>137</v>
      </c>
      <c r="E1259" s="141" t="s">
        <v>3</v>
      </c>
      <c r="F1259" s="142" t="s">
        <v>2438</v>
      </c>
      <c r="H1259" s="143">
        <v>305.536</v>
      </c>
      <c r="L1259" s="139"/>
      <c r="M1259" s="144"/>
      <c r="T1259" s="145"/>
      <c r="AT1259" s="141" t="s">
        <v>137</v>
      </c>
      <c r="AU1259" s="141" t="s">
        <v>80</v>
      </c>
      <c r="AV1259" s="12" t="s">
        <v>80</v>
      </c>
      <c r="AW1259" s="12" t="s">
        <v>32</v>
      </c>
      <c r="AX1259" s="12" t="s">
        <v>70</v>
      </c>
      <c r="AY1259" s="141" t="s">
        <v>126</v>
      </c>
    </row>
    <row r="1260" spans="2:51" s="12" customFormat="1" ht="12">
      <c r="B1260" s="139"/>
      <c r="D1260" s="140" t="s">
        <v>137</v>
      </c>
      <c r="E1260" s="141" t="s">
        <v>3</v>
      </c>
      <c r="F1260" s="142" t="s">
        <v>2439</v>
      </c>
      <c r="H1260" s="143">
        <v>144</v>
      </c>
      <c r="L1260" s="139"/>
      <c r="M1260" s="144"/>
      <c r="T1260" s="145"/>
      <c r="AT1260" s="141" t="s">
        <v>137</v>
      </c>
      <c r="AU1260" s="141" t="s">
        <v>80</v>
      </c>
      <c r="AV1260" s="12" t="s">
        <v>80</v>
      </c>
      <c r="AW1260" s="12" t="s">
        <v>32</v>
      </c>
      <c r="AX1260" s="12" t="s">
        <v>70</v>
      </c>
      <c r="AY1260" s="141" t="s">
        <v>126</v>
      </c>
    </row>
    <row r="1261" spans="2:51" s="12" customFormat="1" ht="12">
      <c r="B1261" s="139"/>
      <c r="D1261" s="140" t="s">
        <v>137</v>
      </c>
      <c r="E1261" s="141" t="s">
        <v>3</v>
      </c>
      <c r="F1261" s="142" t="s">
        <v>1403</v>
      </c>
      <c r="H1261" s="143">
        <v>105.528</v>
      </c>
      <c r="L1261" s="139"/>
      <c r="M1261" s="144"/>
      <c r="T1261" s="145"/>
      <c r="AT1261" s="141" t="s">
        <v>137</v>
      </c>
      <c r="AU1261" s="141" t="s">
        <v>80</v>
      </c>
      <c r="AV1261" s="12" t="s">
        <v>80</v>
      </c>
      <c r="AW1261" s="12" t="s">
        <v>32</v>
      </c>
      <c r="AX1261" s="12" t="s">
        <v>70</v>
      </c>
      <c r="AY1261" s="141" t="s">
        <v>126</v>
      </c>
    </row>
    <row r="1262" spans="2:51" s="12" customFormat="1" ht="12">
      <c r="B1262" s="139"/>
      <c r="D1262" s="140" t="s">
        <v>137</v>
      </c>
      <c r="E1262" s="141" t="s">
        <v>3</v>
      </c>
      <c r="F1262" s="142" t="s">
        <v>1428</v>
      </c>
      <c r="H1262" s="143">
        <v>650</v>
      </c>
      <c r="L1262" s="139"/>
      <c r="M1262" s="144"/>
      <c r="T1262" s="145"/>
      <c r="AT1262" s="141" t="s">
        <v>137</v>
      </c>
      <c r="AU1262" s="141" t="s">
        <v>80</v>
      </c>
      <c r="AV1262" s="12" t="s">
        <v>80</v>
      </c>
      <c r="AW1262" s="12" t="s">
        <v>32</v>
      </c>
      <c r="AX1262" s="12" t="s">
        <v>70</v>
      </c>
      <c r="AY1262" s="141" t="s">
        <v>126</v>
      </c>
    </row>
    <row r="1263" spans="2:51" s="12" customFormat="1" ht="12">
      <c r="B1263" s="139"/>
      <c r="D1263" s="140" t="s">
        <v>137</v>
      </c>
      <c r="E1263" s="141" t="s">
        <v>3</v>
      </c>
      <c r="F1263" s="142" t="s">
        <v>1439</v>
      </c>
      <c r="H1263" s="143">
        <v>543.4</v>
      </c>
      <c r="L1263" s="139"/>
      <c r="M1263" s="144"/>
      <c r="T1263" s="145"/>
      <c r="AT1263" s="141" t="s">
        <v>137</v>
      </c>
      <c r="AU1263" s="141" t="s">
        <v>80</v>
      </c>
      <c r="AV1263" s="12" t="s">
        <v>80</v>
      </c>
      <c r="AW1263" s="12" t="s">
        <v>32</v>
      </c>
      <c r="AX1263" s="12" t="s">
        <v>70</v>
      </c>
      <c r="AY1263" s="141" t="s">
        <v>126</v>
      </c>
    </row>
    <row r="1264" spans="2:51" s="12" customFormat="1" ht="12">
      <c r="B1264" s="139"/>
      <c r="D1264" s="140" t="s">
        <v>137</v>
      </c>
      <c r="E1264" s="141" t="s">
        <v>3</v>
      </c>
      <c r="F1264" s="142" t="s">
        <v>2440</v>
      </c>
      <c r="H1264" s="143">
        <v>-103.39</v>
      </c>
      <c r="L1264" s="139"/>
      <c r="M1264" s="144"/>
      <c r="T1264" s="145"/>
      <c r="AT1264" s="141" t="s">
        <v>137</v>
      </c>
      <c r="AU1264" s="141" t="s">
        <v>80</v>
      </c>
      <c r="AV1264" s="12" t="s">
        <v>80</v>
      </c>
      <c r="AW1264" s="12" t="s">
        <v>32</v>
      </c>
      <c r="AX1264" s="12" t="s">
        <v>70</v>
      </c>
      <c r="AY1264" s="141" t="s">
        <v>126</v>
      </c>
    </row>
    <row r="1265" spans="2:51" s="12" customFormat="1" ht="12">
      <c r="B1265" s="139"/>
      <c r="D1265" s="140" t="s">
        <v>137</v>
      </c>
      <c r="E1265" s="141" t="s">
        <v>3</v>
      </c>
      <c r="F1265" s="142" t="s">
        <v>1421</v>
      </c>
      <c r="H1265" s="143">
        <v>23.66</v>
      </c>
      <c r="L1265" s="139"/>
      <c r="M1265" s="144"/>
      <c r="T1265" s="145"/>
      <c r="AT1265" s="141" t="s">
        <v>137</v>
      </c>
      <c r="AU1265" s="141" t="s">
        <v>80</v>
      </c>
      <c r="AV1265" s="12" t="s">
        <v>80</v>
      </c>
      <c r="AW1265" s="12" t="s">
        <v>32</v>
      </c>
      <c r="AX1265" s="12" t="s">
        <v>70</v>
      </c>
      <c r="AY1265" s="141" t="s">
        <v>126</v>
      </c>
    </row>
    <row r="1266" spans="2:51" s="12" customFormat="1" ht="12">
      <c r="B1266" s="139"/>
      <c r="D1266" s="140" t="s">
        <v>137</v>
      </c>
      <c r="E1266" s="141" t="s">
        <v>3</v>
      </c>
      <c r="F1266" s="142" t="s">
        <v>1422</v>
      </c>
      <c r="H1266" s="143">
        <v>36.4</v>
      </c>
      <c r="L1266" s="139"/>
      <c r="M1266" s="144"/>
      <c r="T1266" s="145"/>
      <c r="AT1266" s="141" t="s">
        <v>137</v>
      </c>
      <c r="AU1266" s="141" t="s">
        <v>80</v>
      </c>
      <c r="AV1266" s="12" t="s">
        <v>80</v>
      </c>
      <c r="AW1266" s="12" t="s">
        <v>32</v>
      </c>
      <c r="AX1266" s="12" t="s">
        <v>70</v>
      </c>
      <c r="AY1266" s="141" t="s">
        <v>126</v>
      </c>
    </row>
    <row r="1267" spans="2:51" s="13" customFormat="1" ht="12">
      <c r="B1267" s="146"/>
      <c r="D1267" s="140" t="s">
        <v>137</v>
      </c>
      <c r="E1267" s="147" t="s">
        <v>3</v>
      </c>
      <c r="F1267" s="148" t="s">
        <v>151</v>
      </c>
      <c r="H1267" s="149">
        <v>2505.9500000000003</v>
      </c>
      <c r="L1267" s="146"/>
      <c r="M1267" s="150"/>
      <c r="T1267" s="151"/>
      <c r="AT1267" s="147" t="s">
        <v>137</v>
      </c>
      <c r="AU1267" s="147" t="s">
        <v>80</v>
      </c>
      <c r="AV1267" s="13" t="s">
        <v>133</v>
      </c>
      <c r="AW1267" s="13" t="s">
        <v>32</v>
      </c>
      <c r="AX1267" s="13" t="s">
        <v>78</v>
      </c>
      <c r="AY1267" s="147" t="s">
        <v>126</v>
      </c>
    </row>
    <row r="1268" spans="2:65" s="1" customFormat="1" ht="24.2" customHeight="1">
      <c r="B1268" s="123"/>
      <c r="C1268" s="124" t="s">
        <v>2446</v>
      </c>
      <c r="D1268" s="124" t="s">
        <v>128</v>
      </c>
      <c r="E1268" s="125" t="s">
        <v>2447</v>
      </c>
      <c r="F1268" s="126" t="s">
        <v>2448</v>
      </c>
      <c r="G1268" s="127" t="s">
        <v>131</v>
      </c>
      <c r="H1268" s="128">
        <v>2505.95</v>
      </c>
      <c r="I1268" s="129"/>
      <c r="J1268" s="129">
        <f>ROUND(I1268*H1268,2)</f>
        <v>0</v>
      </c>
      <c r="K1268" s="126" t="s">
        <v>132</v>
      </c>
      <c r="L1268" s="29"/>
      <c r="M1268" s="130" t="s">
        <v>3</v>
      </c>
      <c r="N1268" s="131" t="s">
        <v>41</v>
      </c>
      <c r="O1268" s="132">
        <v>0.104</v>
      </c>
      <c r="P1268" s="132">
        <f>O1268*H1268</f>
        <v>260.61879999999996</v>
      </c>
      <c r="Q1268" s="132">
        <v>0.00026</v>
      </c>
      <c r="R1268" s="132">
        <f>Q1268*H1268</f>
        <v>0.6515469999999999</v>
      </c>
      <c r="S1268" s="132">
        <v>0</v>
      </c>
      <c r="T1268" s="133">
        <f>S1268*H1268</f>
        <v>0</v>
      </c>
      <c r="AR1268" s="134" t="s">
        <v>221</v>
      </c>
      <c r="AT1268" s="134" t="s">
        <v>128</v>
      </c>
      <c r="AU1268" s="134" t="s">
        <v>80</v>
      </c>
      <c r="AY1268" s="17" t="s">
        <v>126</v>
      </c>
      <c r="BE1268" s="135">
        <f>IF(N1268="základní",J1268,0)</f>
        <v>0</v>
      </c>
      <c r="BF1268" s="135">
        <f>IF(N1268="snížená",J1268,0)</f>
        <v>0</v>
      </c>
      <c r="BG1268" s="135">
        <f>IF(N1268="zákl. přenesená",J1268,0)</f>
        <v>0</v>
      </c>
      <c r="BH1268" s="135">
        <f>IF(N1268="sníž. přenesená",J1268,0)</f>
        <v>0</v>
      </c>
      <c r="BI1268" s="135">
        <f>IF(N1268="nulová",J1268,0)</f>
        <v>0</v>
      </c>
      <c r="BJ1268" s="17" t="s">
        <v>78</v>
      </c>
      <c r="BK1268" s="135">
        <f>ROUND(I1268*H1268,2)</f>
        <v>0</v>
      </c>
      <c r="BL1268" s="17" t="s">
        <v>221</v>
      </c>
      <c r="BM1268" s="134" t="s">
        <v>2449</v>
      </c>
    </row>
    <row r="1269" spans="2:47" s="1" customFormat="1" ht="12">
      <c r="B1269" s="29"/>
      <c r="D1269" s="136" t="s">
        <v>135</v>
      </c>
      <c r="F1269" s="137" t="s">
        <v>2450</v>
      </c>
      <c r="L1269" s="29"/>
      <c r="M1269" s="138"/>
      <c r="T1269" s="49"/>
      <c r="AT1269" s="17" t="s">
        <v>135</v>
      </c>
      <c r="AU1269" s="17" t="s">
        <v>80</v>
      </c>
    </row>
    <row r="1270" spans="2:51" s="12" customFormat="1" ht="12">
      <c r="B1270" s="139"/>
      <c r="D1270" s="140" t="s">
        <v>137</v>
      </c>
      <c r="E1270" s="141" t="s">
        <v>3</v>
      </c>
      <c r="F1270" s="142" t="s">
        <v>822</v>
      </c>
      <c r="H1270" s="143">
        <v>312.74</v>
      </c>
      <c r="L1270" s="139"/>
      <c r="M1270" s="144"/>
      <c r="T1270" s="145"/>
      <c r="AT1270" s="141" t="s">
        <v>137</v>
      </c>
      <c r="AU1270" s="141" t="s">
        <v>80</v>
      </c>
      <c r="AV1270" s="12" t="s">
        <v>80</v>
      </c>
      <c r="AW1270" s="12" t="s">
        <v>32</v>
      </c>
      <c r="AX1270" s="12" t="s">
        <v>70</v>
      </c>
      <c r="AY1270" s="141" t="s">
        <v>126</v>
      </c>
    </row>
    <row r="1271" spans="2:51" s="12" customFormat="1" ht="12">
      <c r="B1271" s="139"/>
      <c r="D1271" s="140" t="s">
        <v>137</v>
      </c>
      <c r="E1271" s="141" t="s">
        <v>3</v>
      </c>
      <c r="F1271" s="142" t="s">
        <v>823</v>
      </c>
      <c r="H1271" s="143">
        <v>23.94</v>
      </c>
      <c r="L1271" s="139"/>
      <c r="M1271" s="144"/>
      <c r="T1271" s="145"/>
      <c r="AT1271" s="141" t="s">
        <v>137</v>
      </c>
      <c r="AU1271" s="141" t="s">
        <v>80</v>
      </c>
      <c r="AV1271" s="12" t="s">
        <v>80</v>
      </c>
      <c r="AW1271" s="12" t="s">
        <v>32</v>
      </c>
      <c r="AX1271" s="12" t="s">
        <v>70</v>
      </c>
      <c r="AY1271" s="141" t="s">
        <v>126</v>
      </c>
    </row>
    <row r="1272" spans="2:51" s="12" customFormat="1" ht="12">
      <c r="B1272" s="139"/>
      <c r="D1272" s="140" t="s">
        <v>137</v>
      </c>
      <c r="E1272" s="141" t="s">
        <v>3</v>
      </c>
      <c r="F1272" s="142" t="s">
        <v>824</v>
      </c>
      <c r="H1272" s="143">
        <v>96.54</v>
      </c>
      <c r="L1272" s="139"/>
      <c r="M1272" s="144"/>
      <c r="T1272" s="145"/>
      <c r="AT1272" s="141" t="s">
        <v>137</v>
      </c>
      <c r="AU1272" s="141" t="s">
        <v>80</v>
      </c>
      <c r="AV1272" s="12" t="s">
        <v>80</v>
      </c>
      <c r="AW1272" s="12" t="s">
        <v>32</v>
      </c>
      <c r="AX1272" s="12" t="s">
        <v>70</v>
      </c>
      <c r="AY1272" s="141" t="s">
        <v>126</v>
      </c>
    </row>
    <row r="1273" spans="2:51" s="12" customFormat="1" ht="12">
      <c r="B1273" s="139"/>
      <c r="D1273" s="140" t="s">
        <v>137</v>
      </c>
      <c r="E1273" s="141" t="s">
        <v>3</v>
      </c>
      <c r="F1273" s="142" t="s">
        <v>825</v>
      </c>
      <c r="H1273" s="143">
        <v>13.68</v>
      </c>
      <c r="L1273" s="139"/>
      <c r="M1273" s="144"/>
      <c r="T1273" s="145"/>
      <c r="AT1273" s="141" t="s">
        <v>137</v>
      </c>
      <c r="AU1273" s="141" t="s">
        <v>80</v>
      </c>
      <c r="AV1273" s="12" t="s">
        <v>80</v>
      </c>
      <c r="AW1273" s="12" t="s">
        <v>32</v>
      </c>
      <c r="AX1273" s="12" t="s">
        <v>70</v>
      </c>
      <c r="AY1273" s="141" t="s">
        <v>126</v>
      </c>
    </row>
    <row r="1274" spans="2:51" s="12" customFormat="1" ht="12">
      <c r="B1274" s="139"/>
      <c r="D1274" s="140" t="s">
        <v>137</v>
      </c>
      <c r="E1274" s="141" t="s">
        <v>3</v>
      </c>
      <c r="F1274" s="142" t="s">
        <v>826</v>
      </c>
      <c r="H1274" s="143">
        <v>220.611</v>
      </c>
      <c r="L1274" s="139"/>
      <c r="M1274" s="144"/>
      <c r="T1274" s="145"/>
      <c r="AT1274" s="141" t="s">
        <v>137</v>
      </c>
      <c r="AU1274" s="141" t="s">
        <v>80</v>
      </c>
      <c r="AV1274" s="12" t="s">
        <v>80</v>
      </c>
      <c r="AW1274" s="12" t="s">
        <v>32</v>
      </c>
      <c r="AX1274" s="12" t="s">
        <v>70</v>
      </c>
      <c r="AY1274" s="141" t="s">
        <v>126</v>
      </c>
    </row>
    <row r="1275" spans="2:51" s="12" customFormat="1" ht="12">
      <c r="B1275" s="139"/>
      <c r="D1275" s="140" t="s">
        <v>137</v>
      </c>
      <c r="E1275" s="141" t="s">
        <v>3</v>
      </c>
      <c r="F1275" s="142" t="s">
        <v>840</v>
      </c>
      <c r="H1275" s="143">
        <v>133.305</v>
      </c>
      <c r="L1275" s="139"/>
      <c r="M1275" s="144"/>
      <c r="T1275" s="145"/>
      <c r="AT1275" s="141" t="s">
        <v>137</v>
      </c>
      <c r="AU1275" s="141" t="s">
        <v>80</v>
      </c>
      <c r="AV1275" s="12" t="s">
        <v>80</v>
      </c>
      <c r="AW1275" s="12" t="s">
        <v>32</v>
      </c>
      <c r="AX1275" s="12" t="s">
        <v>70</v>
      </c>
      <c r="AY1275" s="141" t="s">
        <v>126</v>
      </c>
    </row>
    <row r="1276" spans="2:51" s="12" customFormat="1" ht="12">
      <c r="B1276" s="139"/>
      <c r="D1276" s="140" t="s">
        <v>137</v>
      </c>
      <c r="E1276" s="141" t="s">
        <v>3</v>
      </c>
      <c r="F1276" s="142" t="s">
        <v>2438</v>
      </c>
      <c r="H1276" s="143">
        <v>305.536</v>
      </c>
      <c r="L1276" s="139"/>
      <c r="M1276" s="144"/>
      <c r="T1276" s="145"/>
      <c r="AT1276" s="141" t="s">
        <v>137</v>
      </c>
      <c r="AU1276" s="141" t="s">
        <v>80</v>
      </c>
      <c r="AV1276" s="12" t="s">
        <v>80</v>
      </c>
      <c r="AW1276" s="12" t="s">
        <v>32</v>
      </c>
      <c r="AX1276" s="12" t="s">
        <v>70</v>
      </c>
      <c r="AY1276" s="141" t="s">
        <v>126</v>
      </c>
    </row>
    <row r="1277" spans="2:51" s="12" customFormat="1" ht="12">
      <c r="B1277" s="139"/>
      <c r="D1277" s="140" t="s">
        <v>137</v>
      </c>
      <c r="E1277" s="141" t="s">
        <v>3</v>
      </c>
      <c r="F1277" s="142" t="s">
        <v>2439</v>
      </c>
      <c r="H1277" s="143">
        <v>144</v>
      </c>
      <c r="L1277" s="139"/>
      <c r="M1277" s="144"/>
      <c r="T1277" s="145"/>
      <c r="AT1277" s="141" t="s">
        <v>137</v>
      </c>
      <c r="AU1277" s="141" t="s">
        <v>80</v>
      </c>
      <c r="AV1277" s="12" t="s">
        <v>80</v>
      </c>
      <c r="AW1277" s="12" t="s">
        <v>32</v>
      </c>
      <c r="AX1277" s="12" t="s">
        <v>70</v>
      </c>
      <c r="AY1277" s="141" t="s">
        <v>126</v>
      </c>
    </row>
    <row r="1278" spans="2:51" s="12" customFormat="1" ht="12">
      <c r="B1278" s="139"/>
      <c r="D1278" s="140" t="s">
        <v>137</v>
      </c>
      <c r="E1278" s="141" t="s">
        <v>3</v>
      </c>
      <c r="F1278" s="142" t="s">
        <v>1403</v>
      </c>
      <c r="H1278" s="143">
        <v>105.528</v>
      </c>
      <c r="L1278" s="139"/>
      <c r="M1278" s="144"/>
      <c r="T1278" s="145"/>
      <c r="AT1278" s="141" t="s">
        <v>137</v>
      </c>
      <c r="AU1278" s="141" t="s">
        <v>80</v>
      </c>
      <c r="AV1278" s="12" t="s">
        <v>80</v>
      </c>
      <c r="AW1278" s="12" t="s">
        <v>32</v>
      </c>
      <c r="AX1278" s="12" t="s">
        <v>70</v>
      </c>
      <c r="AY1278" s="141" t="s">
        <v>126</v>
      </c>
    </row>
    <row r="1279" spans="2:51" s="12" customFormat="1" ht="12">
      <c r="B1279" s="139"/>
      <c r="D1279" s="140" t="s">
        <v>137</v>
      </c>
      <c r="E1279" s="141" t="s">
        <v>3</v>
      </c>
      <c r="F1279" s="142" t="s">
        <v>1428</v>
      </c>
      <c r="H1279" s="143">
        <v>650</v>
      </c>
      <c r="L1279" s="139"/>
      <c r="M1279" s="144"/>
      <c r="T1279" s="145"/>
      <c r="AT1279" s="141" t="s">
        <v>137</v>
      </c>
      <c r="AU1279" s="141" t="s">
        <v>80</v>
      </c>
      <c r="AV1279" s="12" t="s">
        <v>80</v>
      </c>
      <c r="AW1279" s="12" t="s">
        <v>32</v>
      </c>
      <c r="AX1279" s="12" t="s">
        <v>70</v>
      </c>
      <c r="AY1279" s="141" t="s">
        <v>126</v>
      </c>
    </row>
    <row r="1280" spans="2:51" s="12" customFormat="1" ht="12">
      <c r="B1280" s="139"/>
      <c r="D1280" s="140" t="s">
        <v>137</v>
      </c>
      <c r="E1280" s="141" t="s">
        <v>3</v>
      </c>
      <c r="F1280" s="142" t="s">
        <v>1439</v>
      </c>
      <c r="H1280" s="143">
        <v>543.4</v>
      </c>
      <c r="L1280" s="139"/>
      <c r="M1280" s="144"/>
      <c r="T1280" s="145"/>
      <c r="AT1280" s="141" t="s">
        <v>137</v>
      </c>
      <c r="AU1280" s="141" t="s">
        <v>80</v>
      </c>
      <c r="AV1280" s="12" t="s">
        <v>80</v>
      </c>
      <c r="AW1280" s="12" t="s">
        <v>32</v>
      </c>
      <c r="AX1280" s="12" t="s">
        <v>70</v>
      </c>
      <c r="AY1280" s="141" t="s">
        <v>126</v>
      </c>
    </row>
    <row r="1281" spans="2:51" s="12" customFormat="1" ht="12">
      <c r="B1281" s="139"/>
      <c r="D1281" s="140" t="s">
        <v>137</v>
      </c>
      <c r="E1281" s="141" t="s">
        <v>3</v>
      </c>
      <c r="F1281" s="142" t="s">
        <v>2440</v>
      </c>
      <c r="H1281" s="143">
        <v>-103.39</v>
      </c>
      <c r="L1281" s="139"/>
      <c r="M1281" s="144"/>
      <c r="T1281" s="145"/>
      <c r="AT1281" s="141" t="s">
        <v>137</v>
      </c>
      <c r="AU1281" s="141" t="s">
        <v>80</v>
      </c>
      <c r="AV1281" s="12" t="s">
        <v>80</v>
      </c>
      <c r="AW1281" s="12" t="s">
        <v>32</v>
      </c>
      <c r="AX1281" s="12" t="s">
        <v>70</v>
      </c>
      <c r="AY1281" s="141" t="s">
        <v>126</v>
      </c>
    </row>
    <row r="1282" spans="2:51" s="12" customFormat="1" ht="12">
      <c r="B1282" s="139"/>
      <c r="D1282" s="140" t="s">
        <v>137</v>
      </c>
      <c r="E1282" s="141" t="s">
        <v>3</v>
      </c>
      <c r="F1282" s="142" t="s">
        <v>1421</v>
      </c>
      <c r="H1282" s="143">
        <v>23.66</v>
      </c>
      <c r="L1282" s="139"/>
      <c r="M1282" s="144"/>
      <c r="T1282" s="145"/>
      <c r="AT1282" s="141" t="s">
        <v>137</v>
      </c>
      <c r="AU1282" s="141" t="s">
        <v>80</v>
      </c>
      <c r="AV1282" s="12" t="s">
        <v>80</v>
      </c>
      <c r="AW1282" s="12" t="s">
        <v>32</v>
      </c>
      <c r="AX1282" s="12" t="s">
        <v>70</v>
      </c>
      <c r="AY1282" s="141" t="s">
        <v>126</v>
      </c>
    </row>
    <row r="1283" spans="2:51" s="12" customFormat="1" ht="12">
      <c r="B1283" s="139"/>
      <c r="D1283" s="140" t="s">
        <v>137</v>
      </c>
      <c r="E1283" s="141" t="s">
        <v>3</v>
      </c>
      <c r="F1283" s="142" t="s">
        <v>1422</v>
      </c>
      <c r="H1283" s="143">
        <v>36.4</v>
      </c>
      <c r="L1283" s="139"/>
      <c r="M1283" s="144"/>
      <c r="T1283" s="145"/>
      <c r="AT1283" s="141" t="s">
        <v>137</v>
      </c>
      <c r="AU1283" s="141" t="s">
        <v>80</v>
      </c>
      <c r="AV1283" s="12" t="s">
        <v>80</v>
      </c>
      <c r="AW1283" s="12" t="s">
        <v>32</v>
      </c>
      <c r="AX1283" s="12" t="s">
        <v>70</v>
      </c>
      <c r="AY1283" s="141" t="s">
        <v>126</v>
      </c>
    </row>
    <row r="1284" spans="2:51" s="13" customFormat="1" ht="12">
      <c r="B1284" s="146"/>
      <c r="D1284" s="140" t="s">
        <v>137</v>
      </c>
      <c r="E1284" s="147" t="s">
        <v>3</v>
      </c>
      <c r="F1284" s="148" t="s">
        <v>151</v>
      </c>
      <c r="H1284" s="149">
        <v>2505.9500000000003</v>
      </c>
      <c r="L1284" s="146"/>
      <c r="M1284" s="150"/>
      <c r="T1284" s="151"/>
      <c r="AT1284" s="147" t="s">
        <v>137</v>
      </c>
      <c r="AU1284" s="147" t="s">
        <v>80</v>
      </c>
      <c r="AV1284" s="13" t="s">
        <v>133</v>
      </c>
      <c r="AW1284" s="13" t="s">
        <v>32</v>
      </c>
      <c r="AX1284" s="13" t="s">
        <v>78</v>
      </c>
      <c r="AY1284" s="147" t="s">
        <v>126</v>
      </c>
    </row>
    <row r="1285" spans="2:63" s="11" customFormat="1" ht="22.7" customHeight="1">
      <c r="B1285" s="112"/>
      <c r="D1285" s="113" t="s">
        <v>69</v>
      </c>
      <c r="E1285" s="121" t="s">
        <v>2451</v>
      </c>
      <c r="F1285" s="121" t="s">
        <v>2452</v>
      </c>
      <c r="J1285" s="122">
        <f>BK1285</f>
        <v>0</v>
      </c>
      <c r="L1285" s="112"/>
      <c r="M1285" s="116"/>
      <c r="P1285" s="117">
        <f>SUM(P1286:P1295)</f>
        <v>14.253522</v>
      </c>
      <c r="R1285" s="117">
        <f>SUM(R1286:R1295)</f>
        <v>0.0280274</v>
      </c>
      <c r="T1285" s="118">
        <f>SUM(T1286:T1295)</f>
        <v>0</v>
      </c>
      <c r="AR1285" s="113" t="s">
        <v>80</v>
      </c>
      <c r="AT1285" s="119" t="s">
        <v>69</v>
      </c>
      <c r="AU1285" s="119" t="s">
        <v>78</v>
      </c>
      <c r="AY1285" s="113" t="s">
        <v>126</v>
      </c>
      <c r="BK1285" s="120">
        <f>SUM(BK1286:BK1295)</f>
        <v>0</v>
      </c>
    </row>
    <row r="1286" spans="2:65" s="1" customFormat="1" ht="16.5" customHeight="1">
      <c r="B1286" s="123"/>
      <c r="C1286" s="124" t="s">
        <v>2453</v>
      </c>
      <c r="D1286" s="124" t="s">
        <v>128</v>
      </c>
      <c r="E1286" s="125" t="s">
        <v>2454</v>
      </c>
      <c r="F1286" s="126" t="s">
        <v>2455</v>
      </c>
      <c r="G1286" s="127" t="s">
        <v>296</v>
      </c>
      <c r="H1286" s="128">
        <v>24</v>
      </c>
      <c r="I1286" s="129"/>
      <c r="J1286" s="129">
        <f>ROUND(I1286*H1286,2)</f>
        <v>0</v>
      </c>
      <c r="K1286" s="126" t="s">
        <v>132</v>
      </c>
      <c r="L1286" s="29"/>
      <c r="M1286" s="130" t="s">
        <v>3</v>
      </c>
      <c r="N1286" s="131" t="s">
        <v>41</v>
      </c>
      <c r="O1286" s="132">
        <v>0.543</v>
      </c>
      <c r="P1286" s="132">
        <f>O1286*H1286</f>
        <v>13.032</v>
      </c>
      <c r="Q1286" s="132">
        <v>0</v>
      </c>
      <c r="R1286" s="132">
        <f>Q1286*H1286</f>
        <v>0</v>
      </c>
      <c r="S1286" s="132">
        <v>0</v>
      </c>
      <c r="T1286" s="133">
        <f>S1286*H1286</f>
        <v>0</v>
      </c>
      <c r="AR1286" s="134" t="s">
        <v>221</v>
      </c>
      <c r="AT1286" s="134" t="s">
        <v>128</v>
      </c>
      <c r="AU1286" s="134" t="s">
        <v>80</v>
      </c>
      <c r="AY1286" s="17" t="s">
        <v>126</v>
      </c>
      <c r="BE1286" s="135">
        <f>IF(N1286="základní",J1286,0)</f>
        <v>0</v>
      </c>
      <c r="BF1286" s="135">
        <f>IF(N1286="snížená",J1286,0)</f>
        <v>0</v>
      </c>
      <c r="BG1286" s="135">
        <f>IF(N1286="zákl. přenesená",J1286,0)</f>
        <v>0</v>
      </c>
      <c r="BH1286" s="135">
        <f>IF(N1286="sníž. přenesená",J1286,0)</f>
        <v>0</v>
      </c>
      <c r="BI1286" s="135">
        <f>IF(N1286="nulová",J1286,0)</f>
        <v>0</v>
      </c>
      <c r="BJ1286" s="17" t="s">
        <v>78</v>
      </c>
      <c r="BK1286" s="135">
        <f>ROUND(I1286*H1286,2)</f>
        <v>0</v>
      </c>
      <c r="BL1286" s="17" t="s">
        <v>221</v>
      </c>
      <c r="BM1286" s="134" t="s">
        <v>2456</v>
      </c>
    </row>
    <row r="1287" spans="2:47" s="1" customFormat="1" ht="12">
      <c r="B1287" s="29"/>
      <c r="D1287" s="136" t="s">
        <v>135</v>
      </c>
      <c r="F1287" s="137" t="s">
        <v>2457</v>
      </c>
      <c r="L1287" s="29"/>
      <c r="M1287" s="138"/>
      <c r="T1287" s="49"/>
      <c r="AT1287" s="17" t="s">
        <v>135</v>
      </c>
      <c r="AU1287" s="17" t="s">
        <v>80</v>
      </c>
    </row>
    <row r="1288" spans="2:65" s="1" customFormat="1" ht="16.5" customHeight="1">
      <c r="B1288" s="123"/>
      <c r="C1288" s="152" t="s">
        <v>2458</v>
      </c>
      <c r="D1288" s="152" t="s">
        <v>405</v>
      </c>
      <c r="E1288" s="153" t="s">
        <v>2459</v>
      </c>
      <c r="F1288" s="154" t="s">
        <v>2460</v>
      </c>
      <c r="G1288" s="155" t="s">
        <v>296</v>
      </c>
      <c r="H1288" s="156">
        <v>2</v>
      </c>
      <c r="I1288" s="157"/>
      <c r="J1288" s="157">
        <f>ROUND(I1288*H1288,2)</f>
        <v>0</v>
      </c>
      <c r="K1288" s="154" t="s">
        <v>132</v>
      </c>
      <c r="L1288" s="158"/>
      <c r="M1288" s="159" t="s">
        <v>3</v>
      </c>
      <c r="N1288" s="160" t="s">
        <v>41</v>
      </c>
      <c r="O1288" s="132">
        <v>0</v>
      </c>
      <c r="P1288" s="132">
        <f>O1288*H1288</f>
        <v>0</v>
      </c>
      <c r="Q1288" s="132">
        <v>0.00073</v>
      </c>
      <c r="R1288" s="132">
        <f>Q1288*H1288</f>
        <v>0.00146</v>
      </c>
      <c r="S1288" s="132">
        <v>0</v>
      </c>
      <c r="T1288" s="133">
        <f>S1288*H1288</f>
        <v>0</v>
      </c>
      <c r="AR1288" s="134" t="s">
        <v>325</v>
      </c>
      <c r="AT1288" s="134" t="s">
        <v>405</v>
      </c>
      <c r="AU1288" s="134" t="s">
        <v>80</v>
      </c>
      <c r="AY1288" s="17" t="s">
        <v>126</v>
      </c>
      <c r="BE1288" s="135">
        <f>IF(N1288="základní",J1288,0)</f>
        <v>0</v>
      </c>
      <c r="BF1288" s="135">
        <f>IF(N1288="snížená",J1288,0)</f>
        <v>0</v>
      </c>
      <c r="BG1288" s="135">
        <f>IF(N1288="zákl. přenesená",J1288,0)</f>
        <v>0</v>
      </c>
      <c r="BH1288" s="135">
        <f>IF(N1288="sníž. přenesená",J1288,0)</f>
        <v>0</v>
      </c>
      <c r="BI1288" s="135">
        <f>IF(N1288="nulová",J1288,0)</f>
        <v>0</v>
      </c>
      <c r="BJ1288" s="17" t="s">
        <v>78</v>
      </c>
      <c r="BK1288" s="135">
        <f>ROUND(I1288*H1288,2)</f>
        <v>0</v>
      </c>
      <c r="BL1288" s="17" t="s">
        <v>221</v>
      </c>
      <c r="BM1288" s="134" t="s">
        <v>2461</v>
      </c>
    </row>
    <row r="1289" spans="2:65" s="1" customFormat="1" ht="16.5" customHeight="1">
      <c r="B1289" s="123"/>
      <c r="C1289" s="152" t="s">
        <v>2462</v>
      </c>
      <c r="D1289" s="152" t="s">
        <v>405</v>
      </c>
      <c r="E1289" s="153" t="s">
        <v>2463</v>
      </c>
      <c r="F1289" s="154" t="s">
        <v>2464</v>
      </c>
      <c r="G1289" s="155" t="s">
        <v>296</v>
      </c>
      <c r="H1289" s="156">
        <v>22</v>
      </c>
      <c r="I1289" s="157"/>
      <c r="J1289" s="157">
        <f>ROUND(I1289*H1289,2)</f>
        <v>0</v>
      </c>
      <c r="K1289" s="154" t="s">
        <v>3</v>
      </c>
      <c r="L1289" s="158"/>
      <c r="M1289" s="159" t="s">
        <v>3</v>
      </c>
      <c r="N1289" s="160" t="s">
        <v>41</v>
      </c>
      <c r="O1289" s="132">
        <v>0</v>
      </c>
      <c r="P1289" s="132">
        <f>O1289*H1289</f>
        <v>0</v>
      </c>
      <c r="Q1289" s="132">
        <v>0.00106</v>
      </c>
      <c r="R1289" s="132">
        <f>Q1289*H1289</f>
        <v>0.02332</v>
      </c>
      <c r="S1289" s="132">
        <v>0</v>
      </c>
      <c r="T1289" s="133">
        <f>S1289*H1289</f>
        <v>0</v>
      </c>
      <c r="AR1289" s="134" t="s">
        <v>325</v>
      </c>
      <c r="AT1289" s="134" t="s">
        <v>405</v>
      </c>
      <c r="AU1289" s="134" t="s">
        <v>80</v>
      </c>
      <c r="AY1289" s="17" t="s">
        <v>126</v>
      </c>
      <c r="BE1289" s="135">
        <f>IF(N1289="základní",J1289,0)</f>
        <v>0</v>
      </c>
      <c r="BF1289" s="135">
        <f>IF(N1289="snížená",J1289,0)</f>
        <v>0</v>
      </c>
      <c r="BG1289" s="135">
        <f>IF(N1289="zákl. přenesená",J1289,0)</f>
        <v>0</v>
      </c>
      <c r="BH1289" s="135">
        <f>IF(N1289="sníž. přenesená",J1289,0)</f>
        <v>0</v>
      </c>
      <c r="BI1289" s="135">
        <f>IF(N1289="nulová",J1289,0)</f>
        <v>0</v>
      </c>
      <c r="BJ1289" s="17" t="s">
        <v>78</v>
      </c>
      <c r="BK1289" s="135">
        <f>ROUND(I1289*H1289,2)</f>
        <v>0</v>
      </c>
      <c r="BL1289" s="17" t="s">
        <v>221</v>
      </c>
      <c r="BM1289" s="134" t="s">
        <v>2465</v>
      </c>
    </row>
    <row r="1290" spans="2:65" s="1" customFormat="1" ht="16.5" customHeight="1">
      <c r="B1290" s="123"/>
      <c r="C1290" s="124" t="s">
        <v>2466</v>
      </c>
      <c r="D1290" s="124" t="s">
        <v>128</v>
      </c>
      <c r="E1290" s="125" t="s">
        <v>2467</v>
      </c>
      <c r="F1290" s="126" t="s">
        <v>2468</v>
      </c>
      <c r="G1290" s="127" t="s">
        <v>131</v>
      </c>
      <c r="H1290" s="128">
        <v>2.498</v>
      </c>
      <c r="I1290" s="129"/>
      <c r="J1290" s="129">
        <f>ROUND(I1290*H1290,2)</f>
        <v>0</v>
      </c>
      <c r="K1290" s="126" t="s">
        <v>132</v>
      </c>
      <c r="L1290" s="29"/>
      <c r="M1290" s="130" t="s">
        <v>3</v>
      </c>
      <c r="N1290" s="131" t="s">
        <v>41</v>
      </c>
      <c r="O1290" s="132">
        <v>0.489</v>
      </c>
      <c r="P1290" s="132">
        <f>O1290*H1290</f>
        <v>1.221522</v>
      </c>
      <c r="Q1290" s="132">
        <v>0</v>
      </c>
      <c r="R1290" s="132">
        <f>Q1290*H1290</f>
        <v>0</v>
      </c>
      <c r="S1290" s="132">
        <v>0</v>
      </c>
      <c r="T1290" s="133">
        <f>S1290*H1290</f>
        <v>0</v>
      </c>
      <c r="AR1290" s="134" t="s">
        <v>221</v>
      </c>
      <c r="AT1290" s="134" t="s">
        <v>128</v>
      </c>
      <c r="AU1290" s="134" t="s">
        <v>80</v>
      </c>
      <c r="AY1290" s="17" t="s">
        <v>126</v>
      </c>
      <c r="BE1290" s="135">
        <f>IF(N1290="základní",J1290,0)</f>
        <v>0</v>
      </c>
      <c r="BF1290" s="135">
        <f>IF(N1290="snížená",J1290,0)</f>
        <v>0</v>
      </c>
      <c r="BG1290" s="135">
        <f>IF(N1290="zákl. přenesená",J1290,0)</f>
        <v>0</v>
      </c>
      <c r="BH1290" s="135">
        <f>IF(N1290="sníž. přenesená",J1290,0)</f>
        <v>0</v>
      </c>
      <c r="BI1290" s="135">
        <f>IF(N1290="nulová",J1290,0)</f>
        <v>0</v>
      </c>
      <c r="BJ1290" s="17" t="s">
        <v>78</v>
      </c>
      <c r="BK1290" s="135">
        <f>ROUND(I1290*H1290,2)</f>
        <v>0</v>
      </c>
      <c r="BL1290" s="17" t="s">
        <v>221</v>
      </c>
      <c r="BM1290" s="134" t="s">
        <v>2469</v>
      </c>
    </row>
    <row r="1291" spans="2:47" s="1" customFormat="1" ht="12">
      <c r="B1291" s="29"/>
      <c r="D1291" s="136" t="s">
        <v>135</v>
      </c>
      <c r="F1291" s="137" t="s">
        <v>2470</v>
      </c>
      <c r="L1291" s="29"/>
      <c r="M1291" s="138"/>
      <c r="T1291" s="49"/>
      <c r="AT1291" s="17" t="s">
        <v>135</v>
      </c>
      <c r="AU1291" s="17" t="s">
        <v>80</v>
      </c>
    </row>
    <row r="1292" spans="2:51" s="12" customFormat="1" ht="12">
      <c r="B1292" s="139"/>
      <c r="D1292" s="140" t="s">
        <v>137</v>
      </c>
      <c r="E1292" s="141" t="s">
        <v>3</v>
      </c>
      <c r="F1292" s="142" t="s">
        <v>2471</v>
      </c>
      <c r="H1292" s="143">
        <v>2.498</v>
      </c>
      <c r="L1292" s="139"/>
      <c r="M1292" s="144"/>
      <c r="T1292" s="145"/>
      <c r="AT1292" s="141" t="s">
        <v>137</v>
      </c>
      <c r="AU1292" s="141" t="s">
        <v>80</v>
      </c>
      <c r="AV1292" s="12" t="s">
        <v>80</v>
      </c>
      <c r="AW1292" s="12" t="s">
        <v>32</v>
      </c>
      <c r="AX1292" s="12" t="s">
        <v>78</v>
      </c>
      <c r="AY1292" s="141" t="s">
        <v>126</v>
      </c>
    </row>
    <row r="1293" spans="2:65" s="1" customFormat="1" ht="16.5" customHeight="1">
      <c r="B1293" s="123"/>
      <c r="C1293" s="152" t="s">
        <v>2472</v>
      </c>
      <c r="D1293" s="152" t="s">
        <v>405</v>
      </c>
      <c r="E1293" s="153" t="s">
        <v>2473</v>
      </c>
      <c r="F1293" s="154" t="s">
        <v>2474</v>
      </c>
      <c r="G1293" s="155" t="s">
        <v>131</v>
      </c>
      <c r="H1293" s="156">
        <v>2.498</v>
      </c>
      <c r="I1293" s="157"/>
      <c r="J1293" s="157">
        <f>ROUND(I1293*H1293,2)</f>
        <v>0</v>
      </c>
      <c r="K1293" s="154" t="s">
        <v>132</v>
      </c>
      <c r="L1293" s="158"/>
      <c r="M1293" s="159" t="s">
        <v>3</v>
      </c>
      <c r="N1293" s="160" t="s">
        <v>41</v>
      </c>
      <c r="O1293" s="132">
        <v>0</v>
      </c>
      <c r="P1293" s="132">
        <f>O1293*H1293</f>
        <v>0</v>
      </c>
      <c r="Q1293" s="132">
        <v>0.0013</v>
      </c>
      <c r="R1293" s="132">
        <f>Q1293*H1293</f>
        <v>0.0032474</v>
      </c>
      <c r="S1293" s="132">
        <v>0</v>
      </c>
      <c r="T1293" s="133">
        <f>S1293*H1293</f>
        <v>0</v>
      </c>
      <c r="AR1293" s="134" t="s">
        <v>325</v>
      </c>
      <c r="AT1293" s="134" t="s">
        <v>405</v>
      </c>
      <c r="AU1293" s="134" t="s">
        <v>80</v>
      </c>
      <c r="AY1293" s="17" t="s">
        <v>126</v>
      </c>
      <c r="BE1293" s="135">
        <f>IF(N1293="základní",J1293,0)</f>
        <v>0</v>
      </c>
      <c r="BF1293" s="135">
        <f>IF(N1293="snížená",J1293,0)</f>
        <v>0</v>
      </c>
      <c r="BG1293" s="135">
        <f>IF(N1293="zákl. přenesená",J1293,0)</f>
        <v>0</v>
      </c>
      <c r="BH1293" s="135">
        <f>IF(N1293="sníž. přenesená",J1293,0)</f>
        <v>0</v>
      </c>
      <c r="BI1293" s="135">
        <f>IF(N1293="nulová",J1293,0)</f>
        <v>0</v>
      </c>
      <c r="BJ1293" s="17" t="s">
        <v>78</v>
      </c>
      <c r="BK1293" s="135">
        <f>ROUND(I1293*H1293,2)</f>
        <v>0</v>
      </c>
      <c r="BL1293" s="17" t="s">
        <v>221</v>
      </c>
      <c r="BM1293" s="134" t="s">
        <v>2475</v>
      </c>
    </row>
    <row r="1294" spans="2:65" s="1" customFormat="1" ht="24.2" customHeight="1">
      <c r="B1294" s="123"/>
      <c r="C1294" s="124" t="s">
        <v>2476</v>
      </c>
      <c r="D1294" s="124" t="s">
        <v>128</v>
      </c>
      <c r="E1294" s="125" t="s">
        <v>2477</v>
      </c>
      <c r="F1294" s="126" t="s">
        <v>2478</v>
      </c>
      <c r="G1294" s="127" t="s">
        <v>413</v>
      </c>
      <c r="H1294" s="128"/>
      <c r="I1294" s="129"/>
      <c r="J1294" s="129">
        <f>ROUND(I1294*H1294,2)</f>
        <v>0</v>
      </c>
      <c r="K1294" s="126" t="s">
        <v>132</v>
      </c>
      <c r="L1294" s="29"/>
      <c r="M1294" s="130" t="s">
        <v>3</v>
      </c>
      <c r="N1294" s="131" t="s">
        <v>41</v>
      </c>
      <c r="O1294" s="132">
        <v>0</v>
      </c>
      <c r="P1294" s="132">
        <f>O1294*H1294</f>
        <v>0</v>
      </c>
      <c r="Q1294" s="132">
        <v>0</v>
      </c>
      <c r="R1294" s="132">
        <f>Q1294*H1294</f>
        <v>0</v>
      </c>
      <c r="S1294" s="132">
        <v>0</v>
      </c>
      <c r="T1294" s="133">
        <f>S1294*H1294</f>
        <v>0</v>
      </c>
      <c r="AR1294" s="134" t="s">
        <v>221</v>
      </c>
      <c r="AT1294" s="134" t="s">
        <v>128</v>
      </c>
      <c r="AU1294" s="134" t="s">
        <v>80</v>
      </c>
      <c r="AY1294" s="17" t="s">
        <v>126</v>
      </c>
      <c r="BE1294" s="135">
        <f>IF(N1294="základní",J1294,0)</f>
        <v>0</v>
      </c>
      <c r="BF1294" s="135">
        <f>IF(N1294="snížená",J1294,0)</f>
        <v>0</v>
      </c>
      <c r="BG1294" s="135">
        <f>IF(N1294="zákl. přenesená",J1294,0)</f>
        <v>0</v>
      </c>
      <c r="BH1294" s="135">
        <f>IF(N1294="sníž. přenesená",J1294,0)</f>
        <v>0</v>
      </c>
      <c r="BI1294" s="135">
        <f>IF(N1294="nulová",J1294,0)</f>
        <v>0</v>
      </c>
      <c r="BJ1294" s="17" t="s">
        <v>78</v>
      </c>
      <c r="BK1294" s="135">
        <f>ROUND(I1294*H1294,2)</f>
        <v>0</v>
      </c>
      <c r="BL1294" s="17" t="s">
        <v>221</v>
      </c>
      <c r="BM1294" s="134" t="s">
        <v>2479</v>
      </c>
    </row>
    <row r="1295" spans="2:47" s="1" customFormat="1" ht="12">
      <c r="B1295" s="29"/>
      <c r="D1295" s="136" t="s">
        <v>135</v>
      </c>
      <c r="F1295" s="137" t="s">
        <v>2480</v>
      </c>
      <c r="L1295" s="29"/>
      <c r="M1295" s="138"/>
      <c r="T1295" s="49"/>
      <c r="AT1295" s="17" t="s">
        <v>135</v>
      </c>
      <c r="AU1295" s="17" t="s">
        <v>80</v>
      </c>
    </row>
    <row r="1296" spans="2:63" s="11" customFormat="1" ht="25.9" customHeight="1">
      <c r="B1296" s="112"/>
      <c r="D1296" s="113" t="s">
        <v>69</v>
      </c>
      <c r="E1296" s="114" t="s">
        <v>2481</v>
      </c>
      <c r="F1296" s="114" t="s">
        <v>2482</v>
      </c>
      <c r="J1296" s="115">
        <f>BK1296</f>
        <v>0</v>
      </c>
      <c r="L1296" s="112"/>
      <c r="M1296" s="116"/>
      <c r="P1296" s="117">
        <f>SUM(P1297:P1299)</f>
        <v>300</v>
      </c>
      <c r="R1296" s="117">
        <f>SUM(R1297:R1299)</f>
        <v>0</v>
      </c>
      <c r="T1296" s="118">
        <f>SUM(T1297:T1299)</f>
        <v>0</v>
      </c>
      <c r="AR1296" s="113" t="s">
        <v>133</v>
      </c>
      <c r="AT1296" s="119" t="s">
        <v>69</v>
      </c>
      <c r="AU1296" s="119" t="s">
        <v>70</v>
      </c>
      <c r="AY1296" s="113" t="s">
        <v>126</v>
      </c>
      <c r="BK1296" s="120">
        <f>SUM(BK1297:BK1299)</f>
        <v>0</v>
      </c>
    </row>
    <row r="1297" spans="2:65" s="1" customFormat="1" ht="24.2" customHeight="1">
      <c r="B1297" s="123"/>
      <c r="C1297" s="124" t="s">
        <v>2483</v>
      </c>
      <c r="D1297" s="124" t="s">
        <v>128</v>
      </c>
      <c r="E1297" s="125" t="s">
        <v>2484</v>
      </c>
      <c r="F1297" s="126" t="s">
        <v>2485</v>
      </c>
      <c r="G1297" s="127" t="s">
        <v>1021</v>
      </c>
      <c r="H1297" s="128">
        <v>300</v>
      </c>
      <c r="I1297" s="129"/>
      <c r="J1297" s="129">
        <f>ROUND(I1297*H1297,2)</f>
        <v>0</v>
      </c>
      <c r="K1297" s="126" t="s">
        <v>132</v>
      </c>
      <c r="L1297" s="29"/>
      <c r="M1297" s="130" t="s">
        <v>3</v>
      </c>
      <c r="N1297" s="131" t="s">
        <v>41</v>
      </c>
      <c r="O1297" s="132">
        <v>1</v>
      </c>
      <c r="P1297" s="132">
        <f>O1297*H1297</f>
        <v>300</v>
      </c>
      <c r="Q1297" s="132">
        <v>0</v>
      </c>
      <c r="R1297" s="132">
        <f>Q1297*H1297</f>
        <v>0</v>
      </c>
      <c r="S1297" s="132">
        <v>0</v>
      </c>
      <c r="T1297" s="133">
        <f>S1297*H1297</f>
        <v>0</v>
      </c>
      <c r="AR1297" s="134" t="s">
        <v>2486</v>
      </c>
      <c r="AT1297" s="134" t="s">
        <v>128</v>
      </c>
      <c r="AU1297" s="134" t="s">
        <v>78</v>
      </c>
      <c r="AY1297" s="17" t="s">
        <v>126</v>
      </c>
      <c r="BE1297" s="135">
        <f>IF(N1297="základní",J1297,0)</f>
        <v>0</v>
      </c>
      <c r="BF1297" s="135">
        <f>IF(N1297="snížená",J1297,0)</f>
        <v>0</v>
      </c>
      <c r="BG1297" s="135">
        <f>IF(N1297="zákl. přenesená",J1297,0)</f>
        <v>0</v>
      </c>
      <c r="BH1297" s="135">
        <f>IF(N1297="sníž. přenesená",J1297,0)</f>
        <v>0</v>
      </c>
      <c r="BI1297" s="135">
        <f>IF(N1297="nulová",J1297,0)</f>
        <v>0</v>
      </c>
      <c r="BJ1297" s="17" t="s">
        <v>78</v>
      </c>
      <c r="BK1297" s="135">
        <f>ROUND(I1297*H1297,2)</f>
        <v>0</v>
      </c>
      <c r="BL1297" s="17" t="s">
        <v>2486</v>
      </c>
      <c r="BM1297" s="134" t="s">
        <v>2487</v>
      </c>
    </row>
    <row r="1298" spans="2:47" s="1" customFormat="1" ht="12">
      <c r="B1298" s="29"/>
      <c r="D1298" s="136" t="s">
        <v>135</v>
      </c>
      <c r="F1298" s="137" t="s">
        <v>2488</v>
      </c>
      <c r="L1298" s="29"/>
      <c r="M1298" s="138"/>
      <c r="T1298" s="49"/>
      <c r="AT1298" s="17" t="s">
        <v>135</v>
      </c>
      <c r="AU1298" s="17" t="s">
        <v>78</v>
      </c>
    </row>
    <row r="1299" spans="2:51" s="12" customFormat="1" ht="12">
      <c r="B1299" s="139"/>
      <c r="D1299" s="140" t="s">
        <v>137</v>
      </c>
      <c r="E1299" s="141" t="s">
        <v>3</v>
      </c>
      <c r="F1299" s="142" t="s">
        <v>2489</v>
      </c>
      <c r="H1299" s="143">
        <v>300</v>
      </c>
      <c r="L1299" s="139"/>
      <c r="M1299" s="144"/>
      <c r="T1299" s="145"/>
      <c r="AT1299" s="141" t="s">
        <v>137</v>
      </c>
      <c r="AU1299" s="141" t="s">
        <v>78</v>
      </c>
      <c r="AV1299" s="12" t="s">
        <v>80</v>
      </c>
      <c r="AW1299" s="12" t="s">
        <v>32</v>
      </c>
      <c r="AX1299" s="12" t="s">
        <v>78</v>
      </c>
      <c r="AY1299" s="141" t="s">
        <v>126</v>
      </c>
    </row>
    <row r="1300" spans="2:63" s="11" customFormat="1" ht="25.9" customHeight="1">
      <c r="B1300" s="112"/>
      <c r="D1300" s="113" t="s">
        <v>69</v>
      </c>
      <c r="E1300" s="114" t="s">
        <v>2490</v>
      </c>
      <c r="F1300" s="114" t="s">
        <v>2491</v>
      </c>
      <c r="J1300" s="115">
        <f>BK1300</f>
        <v>0</v>
      </c>
      <c r="L1300" s="112"/>
      <c r="M1300" s="116"/>
      <c r="P1300" s="117">
        <f>SUM(P1301:P1304)</f>
        <v>0</v>
      </c>
      <c r="R1300" s="117">
        <f>SUM(R1301:R1304)</f>
        <v>0</v>
      </c>
      <c r="T1300" s="118">
        <f>SUM(T1301:T1304)</f>
        <v>0</v>
      </c>
      <c r="AR1300" s="113" t="s">
        <v>133</v>
      </c>
      <c r="AT1300" s="119" t="s">
        <v>69</v>
      </c>
      <c r="AU1300" s="119" t="s">
        <v>70</v>
      </c>
      <c r="AY1300" s="113" t="s">
        <v>126</v>
      </c>
      <c r="BK1300" s="120">
        <f>SUM(BK1301:BK1304)</f>
        <v>0</v>
      </c>
    </row>
    <row r="1301" spans="2:65" s="1" customFormat="1" ht="16.5" customHeight="1">
      <c r="B1301" s="123"/>
      <c r="C1301" s="124" t="s">
        <v>2492</v>
      </c>
      <c r="D1301" s="124" t="s">
        <v>128</v>
      </c>
      <c r="E1301" s="125" t="s">
        <v>2493</v>
      </c>
      <c r="F1301" s="126" t="s">
        <v>2494</v>
      </c>
      <c r="G1301" s="127" t="s">
        <v>183</v>
      </c>
      <c r="H1301" s="128">
        <v>1</v>
      </c>
      <c r="I1301" s="129"/>
      <c r="J1301" s="129">
        <f>ROUND(I1301*H1301,2)</f>
        <v>0</v>
      </c>
      <c r="K1301" s="126" t="s">
        <v>3</v>
      </c>
      <c r="L1301" s="29"/>
      <c r="M1301" s="130" t="s">
        <v>3</v>
      </c>
      <c r="N1301" s="131" t="s">
        <v>41</v>
      </c>
      <c r="O1301" s="132">
        <v>0</v>
      </c>
      <c r="P1301" s="132">
        <f>O1301*H1301</f>
        <v>0</v>
      </c>
      <c r="Q1301" s="132">
        <v>0</v>
      </c>
      <c r="R1301" s="132">
        <f>Q1301*H1301</f>
        <v>0</v>
      </c>
      <c r="S1301" s="132">
        <v>0</v>
      </c>
      <c r="T1301" s="133">
        <f>S1301*H1301</f>
        <v>0</v>
      </c>
      <c r="AR1301" s="134" t="s">
        <v>2486</v>
      </c>
      <c r="AT1301" s="134" t="s">
        <v>128</v>
      </c>
      <c r="AU1301" s="134" t="s">
        <v>78</v>
      </c>
      <c r="AY1301" s="17" t="s">
        <v>126</v>
      </c>
      <c r="BE1301" s="135">
        <f>IF(N1301="základní",J1301,0)</f>
        <v>0</v>
      </c>
      <c r="BF1301" s="135">
        <f>IF(N1301="snížená",J1301,0)</f>
        <v>0</v>
      </c>
      <c r="BG1301" s="135">
        <f>IF(N1301="zákl. přenesená",J1301,0)</f>
        <v>0</v>
      </c>
      <c r="BH1301" s="135">
        <f>IF(N1301="sníž. přenesená",J1301,0)</f>
        <v>0</v>
      </c>
      <c r="BI1301" s="135">
        <f>IF(N1301="nulová",J1301,0)</f>
        <v>0</v>
      </c>
      <c r="BJ1301" s="17" t="s">
        <v>78</v>
      </c>
      <c r="BK1301" s="135">
        <f>ROUND(I1301*H1301,2)</f>
        <v>0</v>
      </c>
      <c r="BL1301" s="17" t="s">
        <v>2486</v>
      </c>
      <c r="BM1301" s="134" t="s">
        <v>2495</v>
      </c>
    </row>
    <row r="1302" spans="2:65" s="1" customFormat="1" ht="16.5" customHeight="1">
      <c r="B1302" s="123"/>
      <c r="C1302" s="124" t="s">
        <v>2496</v>
      </c>
      <c r="D1302" s="124" t="s">
        <v>128</v>
      </c>
      <c r="E1302" s="125" t="s">
        <v>2497</v>
      </c>
      <c r="F1302" s="126" t="s">
        <v>2498</v>
      </c>
      <c r="G1302" s="127" t="s">
        <v>183</v>
      </c>
      <c r="H1302" s="128">
        <v>1</v>
      </c>
      <c r="I1302" s="129"/>
      <c r="J1302" s="129">
        <f>ROUND(I1302*H1302,2)</f>
        <v>0</v>
      </c>
      <c r="K1302" s="126" t="s">
        <v>3</v>
      </c>
      <c r="L1302" s="29"/>
      <c r="M1302" s="130" t="s">
        <v>3</v>
      </c>
      <c r="N1302" s="131" t="s">
        <v>41</v>
      </c>
      <c r="O1302" s="132">
        <v>0</v>
      </c>
      <c r="P1302" s="132">
        <f>O1302*H1302</f>
        <v>0</v>
      </c>
      <c r="Q1302" s="132">
        <v>0</v>
      </c>
      <c r="R1302" s="132">
        <f>Q1302*H1302</f>
        <v>0</v>
      </c>
      <c r="S1302" s="132">
        <v>0</v>
      </c>
      <c r="T1302" s="133">
        <f>S1302*H1302</f>
        <v>0</v>
      </c>
      <c r="AR1302" s="134" t="s">
        <v>2486</v>
      </c>
      <c r="AT1302" s="134" t="s">
        <v>128</v>
      </c>
      <c r="AU1302" s="134" t="s">
        <v>78</v>
      </c>
      <c r="AY1302" s="17" t="s">
        <v>126</v>
      </c>
      <c r="BE1302" s="135">
        <f>IF(N1302="základní",J1302,0)</f>
        <v>0</v>
      </c>
      <c r="BF1302" s="135">
        <f>IF(N1302="snížená",J1302,0)</f>
        <v>0</v>
      </c>
      <c r="BG1302" s="135">
        <f>IF(N1302="zákl. přenesená",J1302,0)</f>
        <v>0</v>
      </c>
      <c r="BH1302" s="135">
        <f>IF(N1302="sníž. přenesená",J1302,0)</f>
        <v>0</v>
      </c>
      <c r="BI1302" s="135">
        <f>IF(N1302="nulová",J1302,0)</f>
        <v>0</v>
      </c>
      <c r="BJ1302" s="17" t="s">
        <v>78</v>
      </c>
      <c r="BK1302" s="135">
        <f>ROUND(I1302*H1302,2)</f>
        <v>0</v>
      </c>
      <c r="BL1302" s="17" t="s">
        <v>2486</v>
      </c>
      <c r="BM1302" s="134" t="s">
        <v>2499</v>
      </c>
    </row>
    <row r="1303" spans="2:65" s="1" customFormat="1" ht="16.5" customHeight="1">
      <c r="B1303" s="123"/>
      <c r="C1303" s="124" t="s">
        <v>2500</v>
      </c>
      <c r="D1303" s="124" t="s">
        <v>128</v>
      </c>
      <c r="E1303" s="125" t="s">
        <v>2501</v>
      </c>
      <c r="F1303" s="126" t="s">
        <v>2502</v>
      </c>
      <c r="G1303" s="127" t="s">
        <v>183</v>
      </c>
      <c r="H1303" s="128">
        <v>1</v>
      </c>
      <c r="I1303" s="129"/>
      <c r="J1303" s="129">
        <f>ROUND(I1303*H1303,2)</f>
        <v>0</v>
      </c>
      <c r="K1303" s="126" t="s">
        <v>3</v>
      </c>
      <c r="L1303" s="29"/>
      <c r="M1303" s="130" t="s">
        <v>3</v>
      </c>
      <c r="N1303" s="131" t="s">
        <v>41</v>
      </c>
      <c r="O1303" s="132">
        <v>0</v>
      </c>
      <c r="P1303" s="132">
        <f>O1303*H1303</f>
        <v>0</v>
      </c>
      <c r="Q1303" s="132">
        <v>0</v>
      </c>
      <c r="R1303" s="132">
        <f>Q1303*H1303</f>
        <v>0</v>
      </c>
      <c r="S1303" s="132">
        <v>0</v>
      </c>
      <c r="T1303" s="133">
        <f>S1303*H1303</f>
        <v>0</v>
      </c>
      <c r="AR1303" s="134" t="s">
        <v>2486</v>
      </c>
      <c r="AT1303" s="134" t="s">
        <v>128</v>
      </c>
      <c r="AU1303" s="134" t="s">
        <v>78</v>
      </c>
      <c r="AY1303" s="17" t="s">
        <v>126</v>
      </c>
      <c r="BE1303" s="135">
        <f>IF(N1303="základní",J1303,0)</f>
        <v>0</v>
      </c>
      <c r="BF1303" s="135">
        <f>IF(N1303="snížená",J1303,0)</f>
        <v>0</v>
      </c>
      <c r="BG1303" s="135">
        <f>IF(N1303="zákl. přenesená",J1303,0)</f>
        <v>0</v>
      </c>
      <c r="BH1303" s="135">
        <f>IF(N1303="sníž. přenesená",J1303,0)</f>
        <v>0</v>
      </c>
      <c r="BI1303" s="135">
        <f>IF(N1303="nulová",J1303,0)</f>
        <v>0</v>
      </c>
      <c r="BJ1303" s="17" t="s">
        <v>78</v>
      </c>
      <c r="BK1303" s="135">
        <f>ROUND(I1303*H1303,2)</f>
        <v>0</v>
      </c>
      <c r="BL1303" s="17" t="s">
        <v>2486</v>
      </c>
      <c r="BM1303" s="134" t="s">
        <v>2503</v>
      </c>
    </row>
    <row r="1304" spans="2:65" s="1" customFormat="1" ht="16.5" customHeight="1">
      <c r="B1304" s="123"/>
      <c r="C1304" s="124" t="s">
        <v>2504</v>
      </c>
      <c r="D1304" s="124" t="s">
        <v>128</v>
      </c>
      <c r="E1304" s="125" t="s">
        <v>2505</v>
      </c>
      <c r="F1304" s="126" t="s">
        <v>2506</v>
      </c>
      <c r="G1304" s="127" t="s">
        <v>183</v>
      </c>
      <c r="H1304" s="128">
        <v>1</v>
      </c>
      <c r="I1304" s="129"/>
      <c r="J1304" s="129">
        <f>ROUND(I1304*H1304,2)</f>
        <v>0</v>
      </c>
      <c r="K1304" s="126" t="s">
        <v>3</v>
      </c>
      <c r="L1304" s="29"/>
      <c r="M1304" s="169" t="s">
        <v>3</v>
      </c>
      <c r="N1304" s="170" t="s">
        <v>41</v>
      </c>
      <c r="O1304" s="171">
        <v>0</v>
      </c>
      <c r="P1304" s="171">
        <f>O1304*H1304</f>
        <v>0</v>
      </c>
      <c r="Q1304" s="171">
        <v>0</v>
      </c>
      <c r="R1304" s="171">
        <f>Q1304*H1304</f>
        <v>0</v>
      </c>
      <c r="S1304" s="171">
        <v>0</v>
      </c>
      <c r="T1304" s="172">
        <f>S1304*H1304</f>
        <v>0</v>
      </c>
      <c r="AR1304" s="134" t="s">
        <v>2486</v>
      </c>
      <c r="AT1304" s="134" t="s">
        <v>128</v>
      </c>
      <c r="AU1304" s="134" t="s">
        <v>78</v>
      </c>
      <c r="AY1304" s="17" t="s">
        <v>126</v>
      </c>
      <c r="BE1304" s="135">
        <f>IF(N1304="základní",J1304,0)</f>
        <v>0</v>
      </c>
      <c r="BF1304" s="135">
        <f>IF(N1304="snížená",J1304,0)</f>
        <v>0</v>
      </c>
      <c r="BG1304" s="135">
        <f>IF(N1304="zákl. přenesená",J1304,0)</f>
        <v>0</v>
      </c>
      <c r="BH1304" s="135">
        <f>IF(N1304="sníž. přenesená",J1304,0)</f>
        <v>0</v>
      </c>
      <c r="BI1304" s="135">
        <f>IF(N1304="nulová",J1304,0)</f>
        <v>0</v>
      </c>
      <c r="BJ1304" s="17" t="s">
        <v>78</v>
      </c>
      <c r="BK1304" s="135">
        <f>ROUND(I1304*H1304,2)</f>
        <v>0</v>
      </c>
      <c r="BL1304" s="17" t="s">
        <v>2486</v>
      </c>
      <c r="BM1304" s="134" t="s">
        <v>2507</v>
      </c>
    </row>
    <row r="1305" spans="2:12" s="1" customFormat="1" ht="6.95" customHeight="1">
      <c r="B1305" s="38"/>
      <c r="C1305" s="39"/>
      <c r="D1305" s="39"/>
      <c r="E1305" s="39"/>
      <c r="F1305" s="39"/>
      <c r="G1305" s="39"/>
      <c r="H1305" s="39"/>
      <c r="I1305" s="39"/>
      <c r="J1305" s="39"/>
      <c r="K1305" s="39"/>
      <c r="L1305" s="29"/>
    </row>
  </sheetData>
  <autoFilter ref="C110:K1304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hyperlinks>
    <hyperlink ref="F115" r:id="rId1" display="https://podminky.urs.cz/item/CS_URS_2022_02/181912112"/>
    <hyperlink ref="F118" r:id="rId2" display="https://podminky.urs.cz/item/CS_URS_2022_02/273321511"/>
    <hyperlink ref="F121" r:id="rId3" display="https://podminky.urs.cz/item/CS_URS_2022_02/273351121"/>
    <hyperlink ref="F124" r:id="rId4" display="https://podminky.urs.cz/item/CS_URS_2022_02/273351122"/>
    <hyperlink ref="F126" r:id="rId5" display="https://podminky.urs.cz/item/CS_URS_2022_02/273362021"/>
    <hyperlink ref="F130" r:id="rId6" display="https://podminky.urs.cz/item/CS_URS_2022_02/274321411"/>
    <hyperlink ref="F135" r:id="rId7" display="https://podminky.urs.cz/item/CS_URS_2022_02/274351121"/>
    <hyperlink ref="F138" r:id="rId8" display="https://podminky.urs.cz/item/CS_URS_2022_02/274351122"/>
    <hyperlink ref="F140" r:id="rId9" display="https://podminky.urs.cz/item/CS_URS_2022_02/274361821"/>
    <hyperlink ref="F147" r:id="rId10" display="https://podminky.urs.cz/item/CS_URS_2022_02/311234051"/>
    <hyperlink ref="F150" r:id="rId11" display="https://podminky.urs.cz/item/CS_URS_2022_02/311234111"/>
    <hyperlink ref="F153" r:id="rId12" display="https://podminky.urs.cz/item/CS_URS_2022_02/311236101"/>
    <hyperlink ref="F156" r:id="rId13" display="https://podminky.urs.cz/item/CS_URS_2022_02/311238803"/>
    <hyperlink ref="F159" r:id="rId14" display="https://podminky.urs.cz/item/CS_URS_2022_02/317168052"/>
    <hyperlink ref="F165" r:id="rId15" display="https://podminky.urs.cz/item/CS_URS_2022_02/317168053"/>
    <hyperlink ref="F170" r:id="rId16" display="https://podminky.urs.cz/item/CS_URS_2022_02/317168056"/>
    <hyperlink ref="F173" r:id="rId17" display="https://podminky.urs.cz/item/CS_URS_2022_02/317234410"/>
    <hyperlink ref="F179" r:id="rId18" display="https://podminky.urs.cz/item/CS_URS_2022_02/317998143"/>
    <hyperlink ref="F185" r:id="rId19" display="https://podminky.urs.cz/item/CS_URS_2022_02/411121232"/>
    <hyperlink ref="F200" r:id="rId20" display="https://podminky.urs.cz/item/CS_URS_2022_02/417321515"/>
    <hyperlink ref="F206" r:id="rId21" display="https://podminky.urs.cz/item/CS_URS_2022_02/417351115"/>
    <hyperlink ref="F212" r:id="rId22" display="https://podminky.urs.cz/item/CS_URS_2022_02/417351116"/>
    <hyperlink ref="F214" r:id="rId23" display="https://podminky.urs.cz/item/CS_URS_2022_02/417361821"/>
    <hyperlink ref="F221" r:id="rId24" display="https://podminky.urs.cz/item/CS_URS_2022_02/430321212"/>
    <hyperlink ref="F224" r:id="rId25" display="https://podminky.urs.cz/item/CS_URS_2022_02/430361821"/>
    <hyperlink ref="F228" r:id="rId26" display="https://podminky.urs.cz/item/CS_URS_2022_02/434351141"/>
    <hyperlink ref="F231" r:id="rId27" display="https://podminky.urs.cz/item/CS_URS_2022_02/434351142"/>
    <hyperlink ref="F234" r:id="rId28" display="https://podminky.urs.cz/item/CS_URS_2022_02/564760001"/>
    <hyperlink ref="F237" r:id="rId29" display="https://podminky.urs.cz/item/CS_URS_2022_02/596211110"/>
    <hyperlink ref="F243" r:id="rId30" display="https://podminky.urs.cz/item/CS_URS_2022_02/612131121"/>
    <hyperlink ref="F251" r:id="rId31" display="https://podminky.urs.cz/item/CS_URS_2022_02/612321141"/>
    <hyperlink ref="F259" r:id="rId32" display="https://podminky.urs.cz/item/CS_URS_2022_02/612325302"/>
    <hyperlink ref="F262" r:id="rId33" display="https://podminky.urs.cz/item/CS_URS_2022_02/612325419"/>
    <hyperlink ref="F265" r:id="rId34" display="https://podminky.urs.cz/item/CS_URS_2022_02/619996117"/>
    <hyperlink ref="F268" r:id="rId35" display="https://podminky.urs.cz/item/CS_URS_2022_02/619996145"/>
    <hyperlink ref="F271" r:id="rId36" display="https://podminky.urs.cz/item/CS_URS_2022_02/621211012"/>
    <hyperlink ref="F276" r:id="rId37" display="https://podminky.urs.cz/item/CS_URS_2022_02/622131121"/>
    <hyperlink ref="F279" r:id="rId38" display="https://podminky.urs.cz/item/CS_URS_2022_02/622142001"/>
    <hyperlink ref="F285" r:id="rId39" display="https://podminky.urs.cz/item/CS_URS_2022_02/622151011"/>
    <hyperlink ref="F290" r:id="rId40" display="https://podminky.urs.cz/item/CS_URS_2022_02/622221021"/>
    <hyperlink ref="F295" r:id="rId41" display="https://podminky.urs.cz/item/CS_URS_2022_02/622212051"/>
    <hyperlink ref="F306" r:id="rId42" display="https://podminky.urs.cz/item/CS_URS_2022_02/622252001"/>
    <hyperlink ref="F311" r:id="rId43" display="https://podminky.urs.cz/item/CS_URS_2022_02/622252002"/>
    <hyperlink ref="F322" r:id="rId44" display="https://podminky.urs.cz/item/CS_URS_2022_02/622326359"/>
    <hyperlink ref="F325" r:id="rId45" display="https://podminky.urs.cz/item/CS_URS_2022_02/622521012"/>
    <hyperlink ref="F330" r:id="rId46" display="https://podminky.urs.cz/item/CS_URS_2022_02/629991011"/>
    <hyperlink ref="F333" r:id="rId47" display="https://podminky.urs.cz/item/CS_URS_2022_02/631311113"/>
    <hyperlink ref="F336" r:id="rId48" display="https://podminky.urs.cz/item/CS_URS_2022_02/631311114"/>
    <hyperlink ref="F339" r:id="rId49" display="https://podminky.urs.cz/item/CS_URS_2022_02/631319011"/>
    <hyperlink ref="F344" r:id="rId50" display="https://podminky.urs.cz/item/CS_URS_2022_02/631319171"/>
    <hyperlink ref="F349" r:id="rId51" display="https://podminky.urs.cz/item/CS_URS_2022_02/631362021"/>
    <hyperlink ref="F355" r:id="rId52" display="https://podminky.urs.cz/item/CS_URS_2022_02/634112113"/>
    <hyperlink ref="F360" r:id="rId53" display="https://podminky.urs.cz/item/CS_URS_2022_02/642945111"/>
    <hyperlink ref="F374" r:id="rId54" display="https://podminky.urs.cz/item/CS_URS_2022_02/941211111"/>
    <hyperlink ref="F377" r:id="rId55" display="https://podminky.urs.cz/item/CS_URS_2022_02/941211112"/>
    <hyperlink ref="F380" r:id="rId56" display="https://podminky.urs.cz/item/CS_URS_2022_02/941211211"/>
    <hyperlink ref="F385" r:id="rId57" display="https://podminky.urs.cz/item/CS_URS_2022_02/941211811"/>
    <hyperlink ref="F387" r:id="rId58" display="https://podminky.urs.cz/item/CS_URS_2022_02/941211812"/>
    <hyperlink ref="F389" r:id="rId59" display="https://podminky.urs.cz/item/CS_URS_2022_02/942322111"/>
    <hyperlink ref="F392" r:id="rId60" display="https://podminky.urs.cz/item/CS_URS_2022_02/942322211"/>
    <hyperlink ref="F395" r:id="rId61" display="https://podminky.urs.cz/item/CS_URS_2022_02/942322811"/>
    <hyperlink ref="F397" r:id="rId62" display="https://podminky.urs.cz/item/CS_URS_2022_02/945421112"/>
    <hyperlink ref="F400" r:id="rId63" display="https://podminky.urs.cz/item/CS_URS_2022_02/949101112"/>
    <hyperlink ref="F403" r:id="rId64" display="https://podminky.urs.cz/item/CS_URS_2022_02/952901111"/>
    <hyperlink ref="F406" r:id="rId65" display="https://podminky.urs.cz/item/CS_URS_2022_02/953961114"/>
    <hyperlink ref="F409" r:id="rId66" display="https://podminky.urs.cz/item/CS_URS_2022_02/953965133"/>
    <hyperlink ref="F412" r:id="rId67" display="https://podminky.urs.cz/item/CS_URS_2022_02/973031325"/>
    <hyperlink ref="F417" r:id="rId68" display="https://podminky.urs.cz/item/CS_URS_2022_02/997013154"/>
    <hyperlink ref="F419" r:id="rId69" display="https://podminky.urs.cz/item/CS_URS_2022_02/997013501"/>
    <hyperlink ref="F421" r:id="rId70" display="https://podminky.urs.cz/item/CS_URS_2022_02/997013509"/>
    <hyperlink ref="F424" r:id="rId71" display="https://podminky.urs.cz/item/CS_URS_2022_02/997013631"/>
    <hyperlink ref="F427" r:id="rId72" display="https://podminky.urs.cz/item/CS_URS_2022_02/998017003"/>
    <hyperlink ref="F431" r:id="rId73" display="https://podminky.urs.cz/item/CS_URS_2022_02/711111002"/>
    <hyperlink ref="F436" r:id="rId74" display="https://podminky.urs.cz/item/CS_URS_2022_02/711141559"/>
    <hyperlink ref="F441" r:id="rId75" display="https://podminky.urs.cz/item/CS_URS_2022_02/998711203"/>
    <hyperlink ref="F444" r:id="rId76" display="https://podminky.urs.cz/item/CS_URS_2022_02/713121111"/>
    <hyperlink ref="F449" r:id="rId77" display="https://podminky.urs.cz/item/CS_URS_2022_02/713121121"/>
    <hyperlink ref="F456" r:id="rId78" display="https://podminky.urs.cz/item/CS_URS_2022_02/713121122"/>
    <hyperlink ref="F461" r:id="rId79" display="https://podminky.urs.cz/item/CS_URS_2022_02/713131141"/>
    <hyperlink ref="F466" r:id="rId80" display="https://podminky.urs.cz/item/CS_URS_2022_02/713151111"/>
    <hyperlink ref="F489" r:id="rId81" display="https://podminky.urs.cz/item/CS_URS_2022_02/713191132"/>
    <hyperlink ref="F496" r:id="rId82" display="https://podminky.urs.cz/item/CS_URS_2022_02/998713203"/>
    <hyperlink ref="F513" r:id="rId83" display="https://podminky.urs.cz/item/CS_URS_2022_02/762081150"/>
    <hyperlink ref="F520" r:id="rId84" display="https://podminky.urs.cz/item/CS_URS_2022_02/762083121"/>
    <hyperlink ref="F528" r:id="rId85" display="https://podminky.urs.cz/item/CS_URS_2022_02/762332542"/>
    <hyperlink ref="F538" r:id="rId86" display="https://podminky.urs.cz/item/CS_URS_2022_02/762332543"/>
    <hyperlink ref="F544" r:id="rId87" display="https://podminky.urs.cz/item/CS_URS_2022_02/762332544"/>
    <hyperlink ref="F550" r:id="rId88" display="https://podminky.urs.cz/item/CS_URS_2022_02/762332641"/>
    <hyperlink ref="F556" r:id="rId89" display="https://podminky.urs.cz/item/CS_URS_2022_02/762332645"/>
    <hyperlink ref="F562" r:id="rId90" display="https://podminky.urs.cz/item/CS_URS_2022_02/762341042"/>
    <hyperlink ref="F565" r:id="rId91" display="https://podminky.urs.cz/item/CS_URS_2022_02/762341270"/>
    <hyperlink ref="F572" r:id="rId92" display="https://podminky.urs.cz/item/CS_URS_2022_02/762342214"/>
    <hyperlink ref="F578" r:id="rId93" display="https://podminky.urs.cz/item/CS_URS_2022_02/762342511"/>
    <hyperlink ref="F583" r:id="rId94" display="https://podminky.urs.cz/item/CS_URS_2022_02/762395000"/>
    <hyperlink ref="F596" r:id="rId95" display="https://podminky.urs.cz/item/CS_URS_2022_02/762511145"/>
    <hyperlink ref="F599" r:id="rId96" display="https://podminky.urs.cz/item/CS_URS_2022_02/762511277"/>
    <hyperlink ref="F602" r:id="rId97" display="https://podminky.urs.cz/item/CS_URS_2022_02/762511264"/>
    <hyperlink ref="F605" r:id="rId98" display="https://podminky.urs.cz/item/CS_URS_2022_02/762512261"/>
    <hyperlink ref="F616" r:id="rId99" display="https://podminky.urs.cz/item/CS_URS_2022_02/762595001"/>
    <hyperlink ref="F622" r:id="rId100" display="https://podminky.urs.cz/item/CS_URS_2022_02/998762203"/>
    <hyperlink ref="F625" r:id="rId101" display="https://podminky.urs.cz/item/CS_URS_2022_02/763111314"/>
    <hyperlink ref="F628" r:id="rId102" display="https://podminky.urs.cz/item/CS_URS_2022_02/763111333"/>
    <hyperlink ref="F631" r:id="rId103" display="https://podminky.urs.cz/item/CS_URS_2022_02/763121411"/>
    <hyperlink ref="F634" r:id="rId104" display="https://podminky.urs.cz/item/CS_URS_2022_02/763121415"/>
    <hyperlink ref="F637" r:id="rId105" display="https://podminky.urs.cz/item/CS_URS_2022_02/763121422"/>
    <hyperlink ref="F640" r:id="rId106" display="https://podminky.urs.cz/item/CS_URS_2022_02/763131431"/>
    <hyperlink ref="F645" r:id="rId107" display="https://podminky.urs.cz/item/CS_URS_2022_02/763131751"/>
    <hyperlink ref="F650" r:id="rId108" display="https://podminky.urs.cz/item/CS_URS_2022_02/763132121"/>
    <hyperlink ref="F653" r:id="rId109" display="https://podminky.urs.cz/item/CS_URS_2022_02/763158115"/>
    <hyperlink ref="F656" r:id="rId110" display="https://podminky.urs.cz/item/CS_URS_2022_02/763158118"/>
    <hyperlink ref="F658" r:id="rId111" display="https://podminky.urs.cz/item/CS_URS_2022_02/763161751"/>
    <hyperlink ref="F661" r:id="rId112" display="https://podminky.urs.cz/item/CS_URS_2022_02/763181311"/>
    <hyperlink ref="F668" r:id="rId113" display="https://podminky.urs.cz/item/CS_URS_2022_02/763182411"/>
    <hyperlink ref="F673" r:id="rId114" display="https://podminky.urs.cz/item/CS_URS_2022_02/763264542"/>
    <hyperlink ref="F676" r:id="rId115" display="https://podminky.urs.cz/item/CS_URS_2022_02/763782213"/>
    <hyperlink ref="F687" r:id="rId116" display="https://podminky.urs.cz/item/CS_URS_2022_02/998763403"/>
    <hyperlink ref="F690" r:id="rId117" display="https://podminky.urs.cz/item/CS_URS_2022_02/764002414"/>
    <hyperlink ref="F697" r:id="rId118" display="https://podminky.urs.cz/item/CS_URS_2022_02/764131403"/>
    <hyperlink ref="F702" r:id="rId119" display="https://podminky.urs.cz/item/CS_URS_2022_02/764131491"/>
    <hyperlink ref="F707" r:id="rId120" display="https://podminky.urs.cz/item/CS_URS_2022_02/764231467"/>
    <hyperlink ref="F710" r:id="rId121" display="https://podminky.urs.cz/item/CS_URS_2022_02/764232437"/>
    <hyperlink ref="F713" r:id="rId122" display="https://podminky.urs.cz/item/CS_URS_2022_02/764235408"/>
    <hyperlink ref="F716" r:id="rId123" display="https://podminky.urs.cz/item/CS_URS_2022_02/764235411"/>
    <hyperlink ref="F719" r:id="rId124" display="https://podminky.urs.cz/item/CS_URS_2022_02/764236444"/>
    <hyperlink ref="F722" r:id="rId125" display="https://podminky.urs.cz/item/CS_URS_2022_02/764331415"/>
    <hyperlink ref="F725" r:id="rId126" display="https://podminky.urs.cz/item/CS_URS_2022_02/764331416"/>
    <hyperlink ref="F728" r:id="rId127" display="https://podminky.urs.cz/item/CS_URS_2022_02/764531404"/>
    <hyperlink ref="F731" r:id="rId128" display="https://podminky.urs.cz/item/CS_URS_2022_02/764531445"/>
    <hyperlink ref="F736" r:id="rId129" display="https://podminky.urs.cz/item/CS_URS_2022_02/764533412"/>
    <hyperlink ref="F739" r:id="rId130" display="https://podminky.urs.cz/item/CS_URS_2022_02/764538423"/>
    <hyperlink ref="F744" r:id="rId131" display="https://podminky.urs.cz/item/CS_URS_2022_02/998764203"/>
    <hyperlink ref="F747" r:id="rId132" display="https://podminky.urs.cz/item/CS_URS_2022_02/765111015"/>
    <hyperlink ref="F761" r:id="rId133" display="https://podminky.urs.cz/item/CS_URS_2022_02/765111201"/>
    <hyperlink ref="F766" r:id="rId134" display="https://podminky.urs.cz/item/CS_URS_2022_02/765111253"/>
    <hyperlink ref="F771" r:id="rId135" display="https://podminky.urs.cz/item/CS_URS_2022_02/765111403"/>
    <hyperlink ref="F774" r:id="rId136" display="https://podminky.urs.cz/item/CS_URS_2022_02/765111404"/>
    <hyperlink ref="F777" r:id="rId137" display="https://podminky.urs.cz/item/CS_URS_2022_02/765111503"/>
    <hyperlink ref="F780" r:id="rId138" display="https://podminky.urs.cz/item/CS_URS_2022_02/765115302"/>
    <hyperlink ref="F784" r:id="rId139" display="https://podminky.urs.cz/item/CS_URS_2022_02/765115351"/>
    <hyperlink ref="F788" r:id="rId140" display="https://podminky.urs.cz/item/CS_URS_2022_02/765115352"/>
    <hyperlink ref="F792" r:id="rId141" display="https://podminky.urs.cz/item/CS_URS_2022_02/765115401"/>
    <hyperlink ref="F797" r:id="rId142" display="https://podminky.urs.cz/item/CS_URS_2022_02/765115421"/>
    <hyperlink ref="F800" r:id="rId143" display="https://podminky.urs.cz/item/CS_URS_2022_02/765191001"/>
    <hyperlink ref="F805" r:id="rId144" display="https://podminky.urs.cz/item/CS_URS_2022_02/765191021"/>
    <hyperlink ref="F813" r:id="rId145" display="https://podminky.urs.cz/item/CS_URS_2022_02/765191045"/>
    <hyperlink ref="F818" r:id="rId146" display="https://podminky.urs.cz/item/CS_URS_2022_02/765191051"/>
    <hyperlink ref="F821" r:id="rId147" display="https://podminky.urs.cz/item/CS_URS_2022_02/765191071"/>
    <hyperlink ref="F824" r:id="rId148" display="https://podminky.urs.cz/item/CS_URS_2022_02/765191091"/>
    <hyperlink ref="F827" r:id="rId149" display="https://podminky.urs.cz/item/CS_URS_2022_02/998765203"/>
    <hyperlink ref="F830" r:id="rId150" display="https://podminky.urs.cz/item/CS_URS_2022_02/766231113"/>
    <hyperlink ref="F834" r:id="rId151" display="https://podminky.urs.cz/item/CS_URS_2022_02/766660001"/>
    <hyperlink ref="F838" r:id="rId152" display="https://podminky.urs.cz/item/CS_URS_2022_02/766660002"/>
    <hyperlink ref="F842" r:id="rId153" display="https://podminky.urs.cz/item/CS_URS_2022_02/766660022"/>
    <hyperlink ref="F849" r:id="rId154" display="https://podminky.urs.cz/item/CS_URS_2022_02/766660717"/>
    <hyperlink ref="F855" r:id="rId155" display="https://podminky.urs.cz/item/CS_URS_2022_02/766660729"/>
    <hyperlink ref="F861" r:id="rId156" display="https://podminky.urs.cz/item/CS_URS_2022_02/766660734"/>
    <hyperlink ref="F867" r:id="rId157" display="https://podminky.urs.cz/item/CS_URS_2022_02/766671023"/>
    <hyperlink ref="F874" r:id="rId158" display="https://podminky.urs.cz/item/CS_URS_2022_02/766671026"/>
    <hyperlink ref="F887" r:id="rId159" display="https://podminky.urs.cz/item/CS_URS_2022_02/766694112"/>
    <hyperlink ref="F893" r:id="rId160" display="https://podminky.urs.cz/item/CS_URS_2022_02/766694113"/>
    <hyperlink ref="F903" r:id="rId161" display="https://podminky.urs.cz/item/CS_URS_2022_02/998766203"/>
    <hyperlink ref="F906" r:id="rId162" display="https://podminky.urs.cz/item/CS_URS_2022_02/767610127"/>
    <hyperlink ref="F910" r:id="rId163" display="https://podminky.urs.cz/item/CS_URS_2022_02/767610128"/>
    <hyperlink ref="F914" r:id="rId164" display="https://podminky.urs.cz/item/CS_URS_2022_02/767627306"/>
    <hyperlink ref="F920" r:id="rId165" display="https://podminky.urs.cz/item/CS_URS_2022_02/767627307"/>
    <hyperlink ref="F926" r:id="rId166" display="https://podminky.urs.cz/item/CS_URS_2022_02/767640111"/>
    <hyperlink ref="F932" r:id="rId167" display="https://podminky.urs.cz/item/CS_URS_2022_02/767649191"/>
    <hyperlink ref="F936" r:id="rId168" display="https://podminky.urs.cz/item/CS_URS_2022_02/767995113"/>
    <hyperlink ref="F947" r:id="rId169" display="https://podminky.urs.cz/item/CS_URS_2022_02/767995114"/>
    <hyperlink ref="F1006" r:id="rId170" display="https://podminky.urs.cz/item/CS_URS_2022_02/998767203"/>
    <hyperlink ref="F1009" r:id="rId171" display="https://podminky.urs.cz/item/CS_URS_2022_02/771111011"/>
    <hyperlink ref="F1015" r:id="rId172" display="https://podminky.urs.cz/item/CS_URS_2022_02/771111012"/>
    <hyperlink ref="F1018" r:id="rId173" display="https://podminky.urs.cz/item/CS_URS_2022_02/771121011"/>
    <hyperlink ref="F1025" r:id="rId174" display="https://podminky.urs.cz/item/CS_URS_2022_02/771151012"/>
    <hyperlink ref="F1031" r:id="rId175" display="https://podminky.urs.cz/item/CS_URS_2022_02/771161022"/>
    <hyperlink ref="F1036" r:id="rId176" display="https://podminky.urs.cz/item/CS_URS_2022_02/771274123"/>
    <hyperlink ref="F1042" r:id="rId177" display="https://podminky.urs.cz/item/CS_URS_2022_02/771274232"/>
    <hyperlink ref="F1048" r:id="rId178" display="https://podminky.urs.cz/item/CS_URS_2022_02/771474113"/>
    <hyperlink ref="F1055" r:id="rId179" display="https://podminky.urs.cz/item/CS_URS_2022_02/771474133"/>
    <hyperlink ref="F1060" r:id="rId180" display="https://podminky.urs.cz/item/CS_URS_2022_02/771574263"/>
    <hyperlink ref="F1068" r:id="rId181" display="https://podminky.urs.cz/item/CS_URS_2022_02/771591112"/>
    <hyperlink ref="F1073" r:id="rId182" display="https://podminky.urs.cz/item/CS_URS_2022_02/771591115"/>
    <hyperlink ref="F1081" r:id="rId183" display="https://podminky.urs.cz/item/CS_URS_2022_02/771591117"/>
    <hyperlink ref="F1087" r:id="rId184" display="https://podminky.urs.cz/item/CS_URS_2022_02/771591241"/>
    <hyperlink ref="F1090" r:id="rId185" display="https://podminky.urs.cz/item/CS_URS_2022_02/771591242"/>
    <hyperlink ref="F1093" r:id="rId186" display="https://podminky.urs.cz/item/CS_URS_2022_02/771591264"/>
    <hyperlink ref="F1096" r:id="rId187" display="https://podminky.urs.cz/item/CS_URS_2022_02/771592011"/>
    <hyperlink ref="F1103" r:id="rId188" display="https://podminky.urs.cz/item/CS_URS_2022_02/998771203"/>
    <hyperlink ref="F1106" r:id="rId189" display="https://podminky.urs.cz/item/CS_URS_2022_02/776111311"/>
    <hyperlink ref="F1109" r:id="rId190" display="https://podminky.urs.cz/item/CS_URS_2022_02/776121112"/>
    <hyperlink ref="F1112" r:id="rId191" display="https://podminky.urs.cz/item/CS_URS_2022_02/776141113"/>
    <hyperlink ref="F1115" r:id="rId192" display="https://podminky.urs.cz/item/CS_URS_2022_02/776221111"/>
    <hyperlink ref="F1120" r:id="rId193" display="https://podminky.urs.cz/item/CS_URS_2022_02/776411111"/>
    <hyperlink ref="F1125" r:id="rId194" display="https://podminky.urs.cz/item/CS_URS_2022_02/776991121"/>
    <hyperlink ref="F1128" r:id="rId195" display="https://podminky.urs.cz/item/CS_URS_2022_02/998776203"/>
    <hyperlink ref="F1131" r:id="rId196" display="https://podminky.urs.cz/item/CS_URS_2022_02/777111111"/>
    <hyperlink ref="F1134" r:id="rId197" display="https://podminky.urs.cz/item/CS_URS_2022_02/777131101"/>
    <hyperlink ref="F1137" r:id="rId198" display="https://podminky.urs.cz/item/CS_URS_2022_02/777511103"/>
    <hyperlink ref="F1140" r:id="rId199" display="https://podminky.urs.cz/item/CS_URS_2022_02/777611101"/>
    <hyperlink ref="F1143" r:id="rId200" display="https://podminky.urs.cz/item/CS_URS_2022_02/777911113"/>
    <hyperlink ref="F1146" r:id="rId201" display="https://podminky.urs.cz/item/CS_URS_2022_02/998777203"/>
    <hyperlink ref="F1149" r:id="rId202" display="https://podminky.urs.cz/item/CS_URS_2022_02/781111011"/>
    <hyperlink ref="F1154" r:id="rId203" display="https://podminky.urs.cz/item/CS_URS_2022_02/781121011"/>
    <hyperlink ref="F1159" r:id="rId204" display="https://podminky.urs.cz/item/CS_URS_2022_02/781474112"/>
    <hyperlink ref="F1166" r:id="rId205" display="https://podminky.urs.cz/item/CS_URS_2022_02/781477111"/>
    <hyperlink ref="F1171" r:id="rId206" display="https://podminky.urs.cz/item/CS_URS_2022_02/781494111"/>
    <hyperlink ref="F1176" r:id="rId207" display="https://podminky.urs.cz/item/CS_URS_2022_02/781495115"/>
    <hyperlink ref="F1179" r:id="rId208" display="https://podminky.urs.cz/item/CS_URS_2022_02/781495211"/>
    <hyperlink ref="F1184" r:id="rId209" display="https://podminky.urs.cz/item/CS_URS_2022_02/998781203"/>
    <hyperlink ref="F1187" r:id="rId210" display="https://podminky.urs.cz/item/CS_URS_2022_02/782132412"/>
    <hyperlink ref="F1192" r:id="rId211" display="https://podminky.urs.cz/item/CS_URS_2022_02/998782201"/>
    <hyperlink ref="F1195" r:id="rId212" display="https://podminky.urs.cz/item/CS_URS_2022_02/783301313"/>
    <hyperlink ref="F1208" r:id="rId213" display="https://podminky.urs.cz/item/CS_URS_2022_02/783301401"/>
    <hyperlink ref="F1221" r:id="rId214" display="https://podminky.urs.cz/item/CS_URS_2022_02/783314203"/>
    <hyperlink ref="F1235" r:id="rId215" display="https://podminky.urs.cz/item/CS_URS_2022_02/784111001"/>
    <hyperlink ref="F1252" r:id="rId216" display="https://podminky.urs.cz/item/CS_URS_2022_02/784181101"/>
    <hyperlink ref="F1269" r:id="rId217" display="https://podminky.urs.cz/item/CS_URS_2022_02/784211101"/>
    <hyperlink ref="F1287" r:id="rId218" display="https://podminky.urs.cz/item/CS_URS_2022_02/786623111"/>
    <hyperlink ref="F1291" r:id="rId219" display="https://podminky.urs.cz/item/CS_URS_2022_02/786626121"/>
    <hyperlink ref="F1295" r:id="rId220" display="https://podminky.urs.cz/item/CS_URS_2022_02/998786203"/>
    <hyperlink ref="F1298" r:id="rId221" display="https://podminky.urs.cz/item/CS_URS_2022_02/HZS144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490" t="s">
        <v>6</v>
      </c>
      <c r="M2" s="472"/>
      <c r="N2" s="472"/>
      <c r="O2" s="472"/>
      <c r="P2" s="472"/>
      <c r="Q2" s="472"/>
      <c r="R2" s="472"/>
      <c r="S2" s="472"/>
      <c r="T2" s="472"/>
      <c r="U2" s="472"/>
      <c r="V2" s="472"/>
      <c r="AT2" s="17" t="s">
        <v>86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87</v>
      </c>
      <c r="L4" s="20"/>
      <c r="M4" s="81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6" t="s">
        <v>15</v>
      </c>
      <c r="L6" s="20"/>
    </row>
    <row r="7" spans="2:12" ht="16.5" customHeight="1">
      <c r="B7" s="20"/>
      <c r="E7" s="505" t="str">
        <f>'Rekapitulace stavby'!K6</f>
        <v>gymnáziu Hostivice - rekonstrukce gymnázia II.etapa</v>
      </c>
      <c r="F7" s="506"/>
      <c r="G7" s="506"/>
      <c r="H7" s="506"/>
      <c r="L7" s="20"/>
    </row>
    <row r="8" spans="2:12" s="1" customFormat="1" ht="12" customHeight="1">
      <c r="B8" s="29"/>
      <c r="D8" s="26" t="s">
        <v>88</v>
      </c>
      <c r="L8" s="29"/>
    </row>
    <row r="9" spans="2:12" s="1" customFormat="1" ht="16.5" customHeight="1">
      <c r="B9" s="29"/>
      <c r="E9" s="491" t="s">
        <v>2508</v>
      </c>
      <c r="F9" s="504"/>
      <c r="G9" s="504"/>
      <c r="H9" s="504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6" t="s">
        <v>17</v>
      </c>
      <c r="F11" s="24" t="s">
        <v>3</v>
      </c>
      <c r="I11" s="26" t="s">
        <v>18</v>
      </c>
      <c r="J11" s="24" t="s">
        <v>3</v>
      </c>
      <c r="L11" s="29"/>
    </row>
    <row r="12" spans="2:12" s="1" customFormat="1" ht="12" customHeight="1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9. 12. 2022</v>
      </c>
      <c r="L12" s="29"/>
    </row>
    <row r="13" spans="2:12" s="1" customFormat="1" ht="10.7" customHeight="1">
      <c r="B13" s="29"/>
      <c r="L13" s="29"/>
    </row>
    <row r="14" spans="2:12" s="1" customFormat="1" ht="12" customHeight="1">
      <c r="B14" s="29"/>
      <c r="D14" s="26" t="s">
        <v>23</v>
      </c>
      <c r="I14" s="26" t="s">
        <v>24</v>
      </c>
      <c r="J14" s="24" t="s">
        <v>3</v>
      </c>
      <c r="L14" s="29"/>
    </row>
    <row r="15" spans="2:12" s="1" customFormat="1" ht="18" customHeight="1">
      <c r="B15" s="29"/>
      <c r="E15" s="24" t="s">
        <v>25</v>
      </c>
      <c r="I15" s="26" t="s">
        <v>26</v>
      </c>
      <c r="J15" s="24" t="s">
        <v>3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27</v>
      </c>
      <c r="I17" s="26" t="s">
        <v>24</v>
      </c>
      <c r="J17" s="24" t="str">
        <f>'Rekapitulace stavby'!AN13</f>
        <v/>
      </c>
      <c r="L17" s="29"/>
    </row>
    <row r="18" spans="2:12" s="1" customFormat="1" ht="18" customHeight="1">
      <c r="B18" s="29"/>
      <c r="E18" s="471" t="str">
        <f>'Rekapitulace stavby'!E14</f>
        <v xml:space="preserve"> </v>
      </c>
      <c r="F18" s="471"/>
      <c r="G18" s="471"/>
      <c r="H18" s="471"/>
      <c r="I18" s="26" t="s">
        <v>26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29</v>
      </c>
      <c r="I20" s="26" t="s">
        <v>24</v>
      </c>
      <c r="J20" s="24" t="s">
        <v>30</v>
      </c>
      <c r="L20" s="29"/>
    </row>
    <row r="21" spans="2:12" s="1" customFormat="1" ht="18" customHeight="1">
      <c r="B21" s="29"/>
      <c r="E21" s="24" t="s">
        <v>31</v>
      </c>
      <c r="I21" s="26" t="s">
        <v>26</v>
      </c>
      <c r="J21" s="24" t="s">
        <v>3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33</v>
      </c>
      <c r="I23" s="26" t="s">
        <v>24</v>
      </c>
      <c r="J23" s="24" t="s">
        <v>3</v>
      </c>
      <c r="L23" s="29"/>
    </row>
    <row r="24" spans="2:12" s="1" customFormat="1" ht="18" customHeight="1">
      <c r="B24" s="29"/>
      <c r="E24" s="24" t="s">
        <v>31</v>
      </c>
      <c r="I24" s="26" t="s">
        <v>26</v>
      </c>
      <c r="J24" s="24" t="s">
        <v>3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34</v>
      </c>
      <c r="L26" s="29"/>
    </row>
    <row r="27" spans="2:12" s="7" customFormat="1" ht="16.5" customHeight="1">
      <c r="B27" s="82"/>
      <c r="E27" s="474" t="s">
        <v>3</v>
      </c>
      <c r="F27" s="474"/>
      <c r="G27" s="474"/>
      <c r="H27" s="474"/>
      <c r="L27" s="8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>
      <c r="B30" s="29"/>
      <c r="D30" s="83" t="s">
        <v>36</v>
      </c>
      <c r="J30" s="59">
        <f>ROUND(J86,2)</f>
        <v>0</v>
      </c>
      <c r="L30" s="29"/>
    </row>
    <row r="31" spans="2:12" s="1" customFormat="1" ht="6.95" customHeight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>
      <c r="B32" s="29"/>
      <c r="F32" s="32" t="s">
        <v>38</v>
      </c>
      <c r="I32" s="32" t="s">
        <v>37</v>
      </c>
      <c r="J32" s="32" t="s">
        <v>39</v>
      </c>
      <c r="L32" s="29"/>
    </row>
    <row r="33" spans="2:12" s="1" customFormat="1" ht="14.45" customHeight="1">
      <c r="B33" s="29"/>
      <c r="D33" s="84" t="s">
        <v>40</v>
      </c>
      <c r="E33" s="26" t="s">
        <v>41</v>
      </c>
      <c r="F33" s="85">
        <f>ROUND((SUM(BE86:BE131)),2)</f>
        <v>0</v>
      </c>
      <c r="I33" s="86">
        <v>0.21</v>
      </c>
      <c r="J33" s="85">
        <f>ROUND(((SUM(BE86:BE131))*I33),2)</f>
        <v>0</v>
      </c>
      <c r="L33" s="29"/>
    </row>
    <row r="34" spans="2:12" s="1" customFormat="1" ht="14.45" customHeight="1">
      <c r="B34" s="29"/>
      <c r="E34" s="26" t="s">
        <v>42</v>
      </c>
      <c r="F34" s="85">
        <f>ROUND((SUM(BF86:BF131)),2)</f>
        <v>0</v>
      </c>
      <c r="I34" s="86">
        <v>0.15</v>
      </c>
      <c r="J34" s="85">
        <f>ROUND(((SUM(BF86:BF131))*I34),2)</f>
        <v>0</v>
      </c>
      <c r="L34" s="29"/>
    </row>
    <row r="35" spans="2:12" s="1" customFormat="1" ht="14.45" customHeight="1" hidden="1">
      <c r="B35" s="29"/>
      <c r="E35" s="26" t="s">
        <v>43</v>
      </c>
      <c r="F35" s="85">
        <f>ROUND((SUM(BG86:BG131)),2)</f>
        <v>0</v>
      </c>
      <c r="I35" s="86">
        <v>0.21</v>
      </c>
      <c r="J35" s="85">
        <f>0</f>
        <v>0</v>
      </c>
      <c r="L35" s="29"/>
    </row>
    <row r="36" spans="2:12" s="1" customFormat="1" ht="14.45" customHeight="1" hidden="1">
      <c r="B36" s="29"/>
      <c r="E36" s="26" t="s">
        <v>44</v>
      </c>
      <c r="F36" s="85">
        <f>ROUND((SUM(BH86:BH131)),2)</f>
        <v>0</v>
      </c>
      <c r="I36" s="86">
        <v>0.15</v>
      </c>
      <c r="J36" s="85">
        <f>0</f>
        <v>0</v>
      </c>
      <c r="L36" s="29"/>
    </row>
    <row r="37" spans="2:12" s="1" customFormat="1" ht="14.45" customHeight="1" hidden="1">
      <c r="B37" s="29"/>
      <c r="E37" s="26" t="s">
        <v>45</v>
      </c>
      <c r="F37" s="85">
        <f>ROUND((SUM(BI86:BI131)),2)</f>
        <v>0</v>
      </c>
      <c r="I37" s="86">
        <v>0</v>
      </c>
      <c r="J37" s="85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7"/>
      <c r="D39" s="88" t="s">
        <v>46</v>
      </c>
      <c r="E39" s="50"/>
      <c r="F39" s="50"/>
      <c r="G39" s="89" t="s">
        <v>47</v>
      </c>
      <c r="H39" s="90" t="s">
        <v>48</v>
      </c>
      <c r="I39" s="50"/>
      <c r="J39" s="91">
        <f>SUM(J30:J37)</f>
        <v>0</v>
      </c>
      <c r="K39" s="92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>
      <c r="B45" s="29"/>
      <c r="C45" s="21" t="s">
        <v>90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6" t="s">
        <v>15</v>
      </c>
      <c r="L47" s="29"/>
    </row>
    <row r="48" spans="2:12" s="1" customFormat="1" ht="16.5" customHeight="1">
      <c r="B48" s="29"/>
      <c r="E48" s="505" t="str">
        <f>E7</f>
        <v>gymnáziu Hostivice - rekonstrukce gymnázia II.etapa</v>
      </c>
      <c r="F48" s="506"/>
      <c r="G48" s="506"/>
      <c r="H48" s="506"/>
      <c r="L48" s="29"/>
    </row>
    <row r="49" spans="2:12" s="1" customFormat="1" ht="12" customHeight="1">
      <c r="B49" s="29"/>
      <c r="C49" s="26" t="s">
        <v>88</v>
      </c>
      <c r="L49" s="29"/>
    </row>
    <row r="50" spans="2:12" s="1" customFormat="1" ht="16.5" customHeight="1">
      <c r="B50" s="29"/>
      <c r="E50" s="491" t="str">
        <f>E9</f>
        <v>03 - Vedlejší rozpočtové náklady</v>
      </c>
      <c r="F50" s="504"/>
      <c r="G50" s="504"/>
      <c r="H50" s="504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6" t="s">
        <v>19</v>
      </c>
      <c r="F52" s="24" t="str">
        <f>F12</f>
        <v>Gymnázium Hostivice, Komenského 141</v>
      </c>
      <c r="I52" s="26" t="s">
        <v>21</v>
      </c>
      <c r="J52" s="46" t="str">
        <f>IF(J12="","",J12)</f>
        <v>9. 12. 2022</v>
      </c>
      <c r="L52" s="29"/>
    </row>
    <row r="53" spans="2:12" s="1" customFormat="1" ht="6.95" customHeight="1">
      <c r="B53" s="29"/>
      <c r="L53" s="29"/>
    </row>
    <row r="54" spans="2:12" s="1" customFormat="1" ht="15.2" customHeight="1">
      <c r="B54" s="29"/>
      <c r="C54" s="26" t="s">
        <v>23</v>
      </c>
      <c r="F54" s="24" t="str">
        <f>E15</f>
        <v>Středočeský kraj, Zborovská 81/11, Praha 5</v>
      </c>
      <c r="I54" s="26" t="s">
        <v>29</v>
      </c>
      <c r="J54" s="27" t="str">
        <f>E21</f>
        <v>Ing. Petr Petele</v>
      </c>
      <c r="L54" s="29"/>
    </row>
    <row r="55" spans="2:12" s="1" customFormat="1" ht="15.2" customHeight="1">
      <c r="B55" s="29"/>
      <c r="C55" s="26" t="s">
        <v>27</v>
      </c>
      <c r="F55" s="24" t="str">
        <f>IF(E18="","",E18)</f>
        <v xml:space="preserve"> </v>
      </c>
      <c r="I55" s="26" t="s">
        <v>33</v>
      </c>
      <c r="J55" s="27" t="str">
        <f>E24</f>
        <v>Ing. Petr Petele</v>
      </c>
      <c r="L55" s="29"/>
    </row>
    <row r="56" spans="2:12" s="1" customFormat="1" ht="10.35" customHeight="1">
      <c r="B56" s="29"/>
      <c r="L56" s="29"/>
    </row>
    <row r="57" spans="2:12" s="1" customFormat="1" ht="29.25" customHeight="1">
      <c r="B57" s="29"/>
      <c r="C57" s="93" t="s">
        <v>91</v>
      </c>
      <c r="D57" s="87"/>
      <c r="E57" s="87"/>
      <c r="F57" s="87"/>
      <c r="G57" s="87"/>
      <c r="H57" s="87"/>
      <c r="I57" s="87"/>
      <c r="J57" s="94" t="s">
        <v>92</v>
      </c>
      <c r="K57" s="87"/>
      <c r="L57" s="29"/>
    </row>
    <row r="58" spans="2:12" s="1" customFormat="1" ht="10.35" customHeight="1">
      <c r="B58" s="29"/>
      <c r="L58" s="29"/>
    </row>
    <row r="59" spans="2:47" s="1" customFormat="1" ht="22.7" customHeight="1">
      <c r="B59" s="29"/>
      <c r="C59" s="95" t="s">
        <v>68</v>
      </c>
      <c r="J59" s="59">
        <f>J86</f>
        <v>0</v>
      </c>
      <c r="L59" s="29"/>
      <c r="AU59" s="17" t="s">
        <v>93</v>
      </c>
    </row>
    <row r="60" spans="2:12" s="8" customFormat="1" ht="24.95" customHeight="1">
      <c r="B60" s="96"/>
      <c r="D60" s="97" t="s">
        <v>109</v>
      </c>
      <c r="E60" s="98"/>
      <c r="F60" s="98"/>
      <c r="G60" s="98"/>
      <c r="H60" s="98"/>
      <c r="I60" s="98"/>
      <c r="J60" s="99">
        <f>J87</f>
        <v>0</v>
      </c>
      <c r="L60" s="96"/>
    </row>
    <row r="61" spans="2:12" s="9" customFormat="1" ht="19.9" customHeight="1">
      <c r="B61" s="100"/>
      <c r="D61" s="101" t="s">
        <v>2509</v>
      </c>
      <c r="E61" s="102"/>
      <c r="F61" s="102"/>
      <c r="G61" s="102"/>
      <c r="H61" s="102"/>
      <c r="I61" s="102"/>
      <c r="J61" s="103">
        <f>J88</f>
        <v>0</v>
      </c>
      <c r="L61" s="100"/>
    </row>
    <row r="62" spans="2:12" s="9" customFormat="1" ht="19.9" customHeight="1">
      <c r="B62" s="100"/>
      <c r="D62" s="101" t="s">
        <v>2510</v>
      </c>
      <c r="E62" s="102"/>
      <c r="F62" s="102"/>
      <c r="G62" s="102"/>
      <c r="H62" s="102"/>
      <c r="I62" s="102"/>
      <c r="J62" s="103">
        <f>J111</f>
        <v>0</v>
      </c>
      <c r="L62" s="100"/>
    </row>
    <row r="63" spans="2:12" s="9" customFormat="1" ht="19.9" customHeight="1">
      <c r="B63" s="100"/>
      <c r="D63" s="101" t="s">
        <v>2511</v>
      </c>
      <c r="E63" s="102"/>
      <c r="F63" s="102"/>
      <c r="G63" s="102"/>
      <c r="H63" s="102"/>
      <c r="I63" s="102"/>
      <c r="J63" s="103">
        <f>J118</f>
        <v>0</v>
      </c>
      <c r="L63" s="100"/>
    </row>
    <row r="64" spans="2:12" s="9" customFormat="1" ht="19.9" customHeight="1">
      <c r="B64" s="100"/>
      <c r="D64" s="101" t="s">
        <v>2512</v>
      </c>
      <c r="E64" s="102"/>
      <c r="F64" s="102"/>
      <c r="G64" s="102"/>
      <c r="H64" s="102"/>
      <c r="I64" s="102"/>
      <c r="J64" s="103">
        <f>J121</f>
        <v>0</v>
      </c>
      <c r="L64" s="100"/>
    </row>
    <row r="65" spans="2:12" s="9" customFormat="1" ht="19.9" customHeight="1">
      <c r="B65" s="100"/>
      <c r="D65" s="101" t="s">
        <v>2513</v>
      </c>
      <c r="E65" s="102"/>
      <c r="F65" s="102"/>
      <c r="G65" s="102"/>
      <c r="H65" s="102"/>
      <c r="I65" s="102"/>
      <c r="J65" s="103">
        <f>J126</f>
        <v>0</v>
      </c>
      <c r="L65" s="100"/>
    </row>
    <row r="66" spans="2:12" s="9" customFormat="1" ht="19.9" customHeight="1">
      <c r="B66" s="100"/>
      <c r="D66" s="101" t="s">
        <v>110</v>
      </c>
      <c r="E66" s="102"/>
      <c r="F66" s="102"/>
      <c r="G66" s="102"/>
      <c r="H66" s="102"/>
      <c r="I66" s="102"/>
      <c r="J66" s="103">
        <f>J129</f>
        <v>0</v>
      </c>
      <c r="L66" s="100"/>
    </row>
    <row r="67" spans="2:12" s="1" customFormat="1" ht="21.75" customHeight="1">
      <c r="B67" s="29"/>
      <c r="L67" s="29"/>
    </row>
    <row r="68" spans="2:12" s="1" customFormat="1" ht="6.95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29"/>
    </row>
    <row r="72" spans="2:12" s="1" customFormat="1" ht="6.95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29"/>
    </row>
    <row r="73" spans="2:12" s="1" customFormat="1" ht="24.95" customHeight="1">
      <c r="B73" s="29"/>
      <c r="C73" s="21" t="s">
        <v>111</v>
      </c>
      <c r="L73" s="29"/>
    </row>
    <row r="74" spans="2:12" s="1" customFormat="1" ht="6.95" customHeight="1">
      <c r="B74" s="29"/>
      <c r="L74" s="29"/>
    </row>
    <row r="75" spans="2:12" s="1" customFormat="1" ht="12" customHeight="1">
      <c r="B75" s="29"/>
      <c r="C75" s="26" t="s">
        <v>15</v>
      </c>
      <c r="L75" s="29"/>
    </row>
    <row r="76" spans="2:12" s="1" customFormat="1" ht="16.5" customHeight="1">
      <c r="B76" s="29"/>
      <c r="E76" s="505" t="str">
        <f>E7</f>
        <v>gymnáziu Hostivice - rekonstrukce gymnázia II.etapa</v>
      </c>
      <c r="F76" s="506"/>
      <c r="G76" s="506"/>
      <c r="H76" s="506"/>
      <c r="L76" s="29"/>
    </row>
    <row r="77" spans="2:12" s="1" customFormat="1" ht="12" customHeight="1">
      <c r="B77" s="29"/>
      <c r="C77" s="26" t="s">
        <v>88</v>
      </c>
      <c r="L77" s="29"/>
    </row>
    <row r="78" spans="2:12" s="1" customFormat="1" ht="16.5" customHeight="1">
      <c r="B78" s="29"/>
      <c r="E78" s="491" t="str">
        <f>E9</f>
        <v>03 - Vedlejší rozpočtové náklady</v>
      </c>
      <c r="F78" s="504"/>
      <c r="G78" s="504"/>
      <c r="H78" s="504"/>
      <c r="L78" s="29"/>
    </row>
    <row r="79" spans="2:12" s="1" customFormat="1" ht="6.95" customHeight="1">
      <c r="B79" s="29"/>
      <c r="L79" s="29"/>
    </row>
    <row r="80" spans="2:12" s="1" customFormat="1" ht="12" customHeight="1">
      <c r="B80" s="29"/>
      <c r="C80" s="26" t="s">
        <v>19</v>
      </c>
      <c r="F80" s="24" t="str">
        <f>F12</f>
        <v>Gymnázium Hostivice, Komenského 141</v>
      </c>
      <c r="I80" s="26" t="s">
        <v>21</v>
      </c>
      <c r="J80" s="46" t="str">
        <f>IF(J12="","",J12)</f>
        <v>9. 12. 2022</v>
      </c>
      <c r="L80" s="29"/>
    </row>
    <row r="81" spans="2:12" s="1" customFormat="1" ht="6.95" customHeight="1">
      <c r="B81" s="29"/>
      <c r="L81" s="29"/>
    </row>
    <row r="82" spans="2:12" s="1" customFormat="1" ht="15.2" customHeight="1">
      <c r="B82" s="29"/>
      <c r="C82" s="26" t="s">
        <v>23</v>
      </c>
      <c r="F82" s="24" t="str">
        <f>E15</f>
        <v>Středočeský kraj, Zborovská 81/11, Praha 5</v>
      </c>
      <c r="I82" s="26" t="s">
        <v>29</v>
      </c>
      <c r="J82" s="27" t="str">
        <f>E21</f>
        <v>Ing. Petr Petele</v>
      </c>
      <c r="L82" s="29"/>
    </row>
    <row r="83" spans="2:12" s="1" customFormat="1" ht="15.2" customHeight="1">
      <c r="B83" s="29"/>
      <c r="C83" s="26" t="s">
        <v>27</v>
      </c>
      <c r="F83" s="24" t="str">
        <f>IF(E18="","",E18)</f>
        <v xml:space="preserve"> </v>
      </c>
      <c r="I83" s="26" t="s">
        <v>33</v>
      </c>
      <c r="J83" s="27" t="str">
        <f>E24</f>
        <v>Ing. Petr Petele</v>
      </c>
      <c r="L83" s="29"/>
    </row>
    <row r="84" spans="2:12" s="1" customFormat="1" ht="10.35" customHeight="1">
      <c r="B84" s="29"/>
      <c r="L84" s="29"/>
    </row>
    <row r="85" spans="2:20" s="10" customFormat="1" ht="29.25" customHeight="1">
      <c r="B85" s="104"/>
      <c r="C85" s="105" t="s">
        <v>112</v>
      </c>
      <c r="D85" s="106" t="s">
        <v>55</v>
      </c>
      <c r="E85" s="106" t="s">
        <v>51</v>
      </c>
      <c r="F85" s="106" t="s">
        <v>52</v>
      </c>
      <c r="G85" s="106" t="s">
        <v>113</v>
      </c>
      <c r="H85" s="106" t="s">
        <v>114</v>
      </c>
      <c r="I85" s="106" t="s">
        <v>115</v>
      </c>
      <c r="J85" s="106" t="s">
        <v>92</v>
      </c>
      <c r="K85" s="107" t="s">
        <v>116</v>
      </c>
      <c r="L85" s="104"/>
      <c r="M85" s="52" t="s">
        <v>3</v>
      </c>
      <c r="N85" s="53" t="s">
        <v>40</v>
      </c>
      <c r="O85" s="53" t="s">
        <v>117</v>
      </c>
      <c r="P85" s="53" t="s">
        <v>118</v>
      </c>
      <c r="Q85" s="53" t="s">
        <v>119</v>
      </c>
      <c r="R85" s="53" t="s">
        <v>120</v>
      </c>
      <c r="S85" s="53" t="s">
        <v>121</v>
      </c>
      <c r="T85" s="54" t="s">
        <v>122</v>
      </c>
    </row>
    <row r="86" spans="2:63" s="1" customFormat="1" ht="22.7" customHeight="1">
      <c r="B86" s="29"/>
      <c r="C86" s="57" t="s">
        <v>123</v>
      </c>
      <c r="J86" s="108">
        <f>BK86</f>
        <v>0</v>
      </c>
      <c r="L86" s="29"/>
      <c r="M86" s="55"/>
      <c r="N86" s="47"/>
      <c r="O86" s="47"/>
      <c r="P86" s="109">
        <f>P87</f>
        <v>0</v>
      </c>
      <c r="Q86" s="47"/>
      <c r="R86" s="109">
        <f>R87</f>
        <v>0</v>
      </c>
      <c r="S86" s="47"/>
      <c r="T86" s="110">
        <f>T87</f>
        <v>0</v>
      </c>
      <c r="AT86" s="17" t="s">
        <v>69</v>
      </c>
      <c r="AU86" s="17" t="s">
        <v>93</v>
      </c>
      <c r="BK86" s="111">
        <f>BK87</f>
        <v>0</v>
      </c>
    </row>
    <row r="87" spans="2:63" s="11" customFormat="1" ht="25.9" customHeight="1">
      <c r="B87" s="112"/>
      <c r="D87" s="113" t="s">
        <v>69</v>
      </c>
      <c r="E87" s="114" t="s">
        <v>606</v>
      </c>
      <c r="F87" s="114" t="s">
        <v>85</v>
      </c>
      <c r="J87" s="115">
        <f>BK87</f>
        <v>0</v>
      </c>
      <c r="L87" s="112"/>
      <c r="M87" s="116"/>
      <c r="P87" s="117">
        <f>P88+P111+P118+P121+P126+P129</f>
        <v>0</v>
      </c>
      <c r="R87" s="117">
        <f>R88+R111+R118+R121+R126+R129</f>
        <v>0</v>
      </c>
      <c r="T87" s="118">
        <f>T88+T111+T118+T121+T126+T129</f>
        <v>0</v>
      </c>
      <c r="AR87" s="113" t="s">
        <v>157</v>
      </c>
      <c r="AT87" s="119" t="s">
        <v>69</v>
      </c>
      <c r="AU87" s="119" t="s">
        <v>70</v>
      </c>
      <c r="AY87" s="113" t="s">
        <v>126</v>
      </c>
      <c r="BK87" s="120">
        <f>BK88+BK111+BK118+BK121+BK126+BK129</f>
        <v>0</v>
      </c>
    </row>
    <row r="88" spans="2:63" s="11" customFormat="1" ht="22.7" customHeight="1">
      <c r="B88" s="112"/>
      <c r="D88" s="113" t="s">
        <v>69</v>
      </c>
      <c r="E88" s="121" t="s">
        <v>2514</v>
      </c>
      <c r="F88" s="121" t="s">
        <v>2515</v>
      </c>
      <c r="J88" s="122">
        <f>BK88</f>
        <v>0</v>
      </c>
      <c r="L88" s="112"/>
      <c r="M88" s="116"/>
      <c r="P88" s="117">
        <f>SUM(P89:P110)</f>
        <v>0</v>
      </c>
      <c r="R88" s="117">
        <f>SUM(R89:R110)</f>
        <v>0</v>
      </c>
      <c r="T88" s="118">
        <f>SUM(T89:T110)</f>
        <v>0</v>
      </c>
      <c r="AR88" s="113" t="s">
        <v>157</v>
      </c>
      <c r="AT88" s="119" t="s">
        <v>69</v>
      </c>
      <c r="AU88" s="119" t="s">
        <v>78</v>
      </c>
      <c r="AY88" s="113" t="s">
        <v>126</v>
      </c>
      <c r="BK88" s="120">
        <f>SUM(BK89:BK110)</f>
        <v>0</v>
      </c>
    </row>
    <row r="89" spans="2:65" s="1" customFormat="1" ht="16.5" customHeight="1">
      <c r="B89" s="123"/>
      <c r="C89" s="124" t="s">
        <v>78</v>
      </c>
      <c r="D89" s="124" t="s">
        <v>128</v>
      </c>
      <c r="E89" s="125" t="s">
        <v>2516</v>
      </c>
      <c r="F89" s="126" t="s">
        <v>2517</v>
      </c>
      <c r="G89" s="127" t="s">
        <v>183</v>
      </c>
      <c r="H89" s="128">
        <v>1</v>
      </c>
      <c r="I89" s="129"/>
      <c r="J89" s="129">
        <f>ROUND(I89*H89,2)</f>
        <v>0</v>
      </c>
      <c r="K89" s="126" t="s">
        <v>132</v>
      </c>
      <c r="L89" s="29"/>
      <c r="M89" s="130" t="s">
        <v>3</v>
      </c>
      <c r="N89" s="131" t="s">
        <v>41</v>
      </c>
      <c r="O89" s="132">
        <v>0</v>
      </c>
      <c r="P89" s="132">
        <f>O89*H89</f>
        <v>0</v>
      </c>
      <c r="Q89" s="132">
        <v>0</v>
      </c>
      <c r="R89" s="132">
        <f>Q89*H89</f>
        <v>0</v>
      </c>
      <c r="S89" s="132">
        <v>0</v>
      </c>
      <c r="T89" s="133">
        <f>S89*H89</f>
        <v>0</v>
      </c>
      <c r="AR89" s="134" t="s">
        <v>612</v>
      </c>
      <c r="AT89" s="134" t="s">
        <v>128</v>
      </c>
      <c r="AU89" s="134" t="s">
        <v>80</v>
      </c>
      <c r="AY89" s="17" t="s">
        <v>126</v>
      </c>
      <c r="BE89" s="135">
        <f>IF(N89="základní",J89,0)</f>
        <v>0</v>
      </c>
      <c r="BF89" s="135">
        <f>IF(N89="snížená",J89,0)</f>
        <v>0</v>
      </c>
      <c r="BG89" s="135">
        <f>IF(N89="zákl. přenesená",J89,0)</f>
        <v>0</v>
      </c>
      <c r="BH89" s="135">
        <f>IF(N89="sníž. přenesená",J89,0)</f>
        <v>0</v>
      </c>
      <c r="BI89" s="135">
        <f>IF(N89="nulová",J89,0)</f>
        <v>0</v>
      </c>
      <c r="BJ89" s="17" t="s">
        <v>78</v>
      </c>
      <c r="BK89" s="135">
        <f>ROUND(I89*H89,2)</f>
        <v>0</v>
      </c>
      <c r="BL89" s="17" t="s">
        <v>612</v>
      </c>
      <c r="BM89" s="134" t="s">
        <v>2518</v>
      </c>
    </row>
    <row r="90" spans="2:47" s="1" customFormat="1" ht="12">
      <c r="B90" s="29"/>
      <c r="D90" s="136" t="s">
        <v>135</v>
      </c>
      <c r="F90" s="137" t="s">
        <v>2519</v>
      </c>
      <c r="L90" s="29"/>
      <c r="M90" s="138"/>
      <c r="T90" s="49"/>
      <c r="AT90" s="17" t="s">
        <v>135</v>
      </c>
      <c r="AU90" s="17" t="s">
        <v>80</v>
      </c>
    </row>
    <row r="91" spans="2:47" s="1" customFormat="1" ht="19.5">
      <c r="B91" s="29"/>
      <c r="D91" s="140" t="s">
        <v>2520</v>
      </c>
      <c r="F91" s="173" t="s">
        <v>2521</v>
      </c>
      <c r="L91" s="29"/>
      <c r="M91" s="138"/>
      <c r="T91" s="49"/>
      <c r="AT91" s="17" t="s">
        <v>2520</v>
      </c>
      <c r="AU91" s="17" t="s">
        <v>80</v>
      </c>
    </row>
    <row r="92" spans="2:65" s="1" customFormat="1" ht="16.5" customHeight="1">
      <c r="B92" s="123"/>
      <c r="C92" s="124" t="s">
        <v>80</v>
      </c>
      <c r="D92" s="124" t="s">
        <v>128</v>
      </c>
      <c r="E92" s="125" t="s">
        <v>2522</v>
      </c>
      <c r="F92" s="126" t="s">
        <v>2523</v>
      </c>
      <c r="G92" s="127" t="s">
        <v>183</v>
      </c>
      <c r="H92" s="128">
        <v>1</v>
      </c>
      <c r="I92" s="129"/>
      <c r="J92" s="129">
        <f>ROUND(I92*H92,2)</f>
        <v>0</v>
      </c>
      <c r="K92" s="126" t="s">
        <v>132</v>
      </c>
      <c r="L92" s="29"/>
      <c r="M92" s="130" t="s">
        <v>3</v>
      </c>
      <c r="N92" s="131" t="s">
        <v>41</v>
      </c>
      <c r="O92" s="132">
        <v>0</v>
      </c>
      <c r="P92" s="132">
        <f>O92*H92</f>
        <v>0</v>
      </c>
      <c r="Q92" s="132">
        <v>0</v>
      </c>
      <c r="R92" s="132">
        <f>Q92*H92</f>
        <v>0</v>
      </c>
      <c r="S92" s="132">
        <v>0</v>
      </c>
      <c r="T92" s="133">
        <f>S92*H92</f>
        <v>0</v>
      </c>
      <c r="AR92" s="134" t="s">
        <v>612</v>
      </c>
      <c r="AT92" s="134" t="s">
        <v>128</v>
      </c>
      <c r="AU92" s="134" t="s">
        <v>80</v>
      </c>
      <c r="AY92" s="17" t="s">
        <v>126</v>
      </c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17" t="s">
        <v>78</v>
      </c>
      <c r="BK92" s="135">
        <f>ROUND(I92*H92,2)</f>
        <v>0</v>
      </c>
      <c r="BL92" s="17" t="s">
        <v>612</v>
      </c>
      <c r="BM92" s="134" t="s">
        <v>2524</v>
      </c>
    </row>
    <row r="93" spans="2:47" s="1" customFormat="1" ht="12">
      <c r="B93" s="29"/>
      <c r="D93" s="136" t="s">
        <v>135</v>
      </c>
      <c r="F93" s="137" t="s">
        <v>2525</v>
      </c>
      <c r="L93" s="29"/>
      <c r="M93" s="138"/>
      <c r="T93" s="49"/>
      <c r="AT93" s="17" t="s">
        <v>135</v>
      </c>
      <c r="AU93" s="17" t="s">
        <v>80</v>
      </c>
    </row>
    <row r="94" spans="2:65" s="1" customFormat="1" ht="16.5" customHeight="1">
      <c r="B94" s="123"/>
      <c r="C94" s="124" t="s">
        <v>143</v>
      </c>
      <c r="D94" s="124" t="s">
        <v>128</v>
      </c>
      <c r="E94" s="125" t="s">
        <v>2526</v>
      </c>
      <c r="F94" s="126" t="s">
        <v>2527</v>
      </c>
      <c r="G94" s="127" t="s">
        <v>183</v>
      </c>
      <c r="H94" s="128">
        <v>1</v>
      </c>
      <c r="I94" s="129"/>
      <c r="J94" s="129">
        <f>ROUND(I94*H94,2)</f>
        <v>0</v>
      </c>
      <c r="K94" s="126" t="s">
        <v>132</v>
      </c>
      <c r="L94" s="29"/>
      <c r="M94" s="130" t="s">
        <v>3</v>
      </c>
      <c r="N94" s="131" t="s">
        <v>41</v>
      </c>
      <c r="O94" s="132">
        <v>0</v>
      </c>
      <c r="P94" s="132">
        <f>O94*H94</f>
        <v>0</v>
      </c>
      <c r="Q94" s="132">
        <v>0</v>
      </c>
      <c r="R94" s="132">
        <f>Q94*H94</f>
        <v>0</v>
      </c>
      <c r="S94" s="132">
        <v>0</v>
      </c>
      <c r="T94" s="133">
        <f>S94*H94</f>
        <v>0</v>
      </c>
      <c r="AR94" s="134" t="s">
        <v>612</v>
      </c>
      <c r="AT94" s="134" t="s">
        <v>128</v>
      </c>
      <c r="AU94" s="134" t="s">
        <v>80</v>
      </c>
      <c r="AY94" s="17" t="s">
        <v>126</v>
      </c>
      <c r="BE94" s="135">
        <f>IF(N94="základní",J94,0)</f>
        <v>0</v>
      </c>
      <c r="BF94" s="135">
        <f>IF(N94="snížená",J94,0)</f>
        <v>0</v>
      </c>
      <c r="BG94" s="135">
        <f>IF(N94="zákl. přenesená",J94,0)</f>
        <v>0</v>
      </c>
      <c r="BH94" s="135">
        <f>IF(N94="sníž. přenesená",J94,0)</f>
        <v>0</v>
      </c>
      <c r="BI94" s="135">
        <f>IF(N94="nulová",J94,0)</f>
        <v>0</v>
      </c>
      <c r="BJ94" s="17" t="s">
        <v>78</v>
      </c>
      <c r="BK94" s="135">
        <f>ROUND(I94*H94,2)</f>
        <v>0</v>
      </c>
      <c r="BL94" s="17" t="s">
        <v>612</v>
      </c>
      <c r="BM94" s="134" t="s">
        <v>2528</v>
      </c>
    </row>
    <row r="95" spans="2:47" s="1" customFormat="1" ht="12">
      <c r="B95" s="29"/>
      <c r="D95" s="136" t="s">
        <v>135</v>
      </c>
      <c r="F95" s="137" t="s">
        <v>2529</v>
      </c>
      <c r="L95" s="29"/>
      <c r="M95" s="138"/>
      <c r="T95" s="49"/>
      <c r="AT95" s="17" t="s">
        <v>135</v>
      </c>
      <c r="AU95" s="17" t="s">
        <v>80</v>
      </c>
    </row>
    <row r="96" spans="2:65" s="1" customFormat="1" ht="16.5" customHeight="1">
      <c r="B96" s="123"/>
      <c r="C96" s="124" t="s">
        <v>133</v>
      </c>
      <c r="D96" s="124" t="s">
        <v>128</v>
      </c>
      <c r="E96" s="125" t="s">
        <v>2530</v>
      </c>
      <c r="F96" s="126" t="s">
        <v>2531</v>
      </c>
      <c r="G96" s="127" t="s">
        <v>183</v>
      </c>
      <c r="H96" s="128">
        <v>1</v>
      </c>
      <c r="I96" s="129"/>
      <c r="J96" s="129">
        <f>ROUND(I96*H96,2)</f>
        <v>0</v>
      </c>
      <c r="K96" s="126" t="s">
        <v>132</v>
      </c>
      <c r="L96" s="29"/>
      <c r="M96" s="130" t="s">
        <v>3</v>
      </c>
      <c r="N96" s="131" t="s">
        <v>41</v>
      </c>
      <c r="O96" s="132">
        <v>0</v>
      </c>
      <c r="P96" s="132">
        <f>O96*H96</f>
        <v>0</v>
      </c>
      <c r="Q96" s="132">
        <v>0</v>
      </c>
      <c r="R96" s="132">
        <f>Q96*H96</f>
        <v>0</v>
      </c>
      <c r="S96" s="132">
        <v>0</v>
      </c>
      <c r="T96" s="133">
        <f>S96*H96</f>
        <v>0</v>
      </c>
      <c r="AR96" s="134" t="s">
        <v>612</v>
      </c>
      <c r="AT96" s="134" t="s">
        <v>128</v>
      </c>
      <c r="AU96" s="134" t="s">
        <v>80</v>
      </c>
      <c r="AY96" s="17" t="s">
        <v>126</v>
      </c>
      <c r="BE96" s="135">
        <f>IF(N96="základní",J96,0)</f>
        <v>0</v>
      </c>
      <c r="BF96" s="135">
        <f>IF(N96="snížená",J96,0)</f>
        <v>0</v>
      </c>
      <c r="BG96" s="135">
        <f>IF(N96="zákl. přenesená",J96,0)</f>
        <v>0</v>
      </c>
      <c r="BH96" s="135">
        <f>IF(N96="sníž. přenesená",J96,0)</f>
        <v>0</v>
      </c>
      <c r="BI96" s="135">
        <f>IF(N96="nulová",J96,0)</f>
        <v>0</v>
      </c>
      <c r="BJ96" s="17" t="s">
        <v>78</v>
      </c>
      <c r="BK96" s="135">
        <f>ROUND(I96*H96,2)</f>
        <v>0</v>
      </c>
      <c r="BL96" s="17" t="s">
        <v>612</v>
      </c>
      <c r="BM96" s="134" t="s">
        <v>2532</v>
      </c>
    </row>
    <row r="97" spans="2:47" s="1" customFormat="1" ht="12">
      <c r="B97" s="29"/>
      <c r="D97" s="136" t="s">
        <v>135</v>
      </c>
      <c r="F97" s="137" t="s">
        <v>2533</v>
      </c>
      <c r="L97" s="29"/>
      <c r="M97" s="138"/>
      <c r="T97" s="49"/>
      <c r="AT97" s="17" t="s">
        <v>135</v>
      </c>
      <c r="AU97" s="17" t="s">
        <v>80</v>
      </c>
    </row>
    <row r="98" spans="2:65" s="1" customFormat="1" ht="16.5" customHeight="1">
      <c r="B98" s="123"/>
      <c r="C98" s="124" t="s">
        <v>157</v>
      </c>
      <c r="D98" s="124" t="s">
        <v>128</v>
      </c>
      <c r="E98" s="125" t="s">
        <v>2534</v>
      </c>
      <c r="F98" s="126" t="s">
        <v>2535</v>
      </c>
      <c r="G98" s="127" t="s">
        <v>183</v>
      </c>
      <c r="H98" s="128">
        <v>1</v>
      </c>
      <c r="I98" s="129"/>
      <c r="J98" s="129">
        <f>ROUND(I98*H98,2)</f>
        <v>0</v>
      </c>
      <c r="K98" s="126" t="s">
        <v>132</v>
      </c>
      <c r="L98" s="29"/>
      <c r="M98" s="130" t="s">
        <v>3</v>
      </c>
      <c r="N98" s="131" t="s">
        <v>41</v>
      </c>
      <c r="O98" s="132">
        <v>0</v>
      </c>
      <c r="P98" s="132">
        <f>O98*H98</f>
        <v>0</v>
      </c>
      <c r="Q98" s="132">
        <v>0</v>
      </c>
      <c r="R98" s="132">
        <f>Q98*H98</f>
        <v>0</v>
      </c>
      <c r="S98" s="132">
        <v>0</v>
      </c>
      <c r="T98" s="133">
        <f>S98*H98</f>
        <v>0</v>
      </c>
      <c r="AR98" s="134" t="s">
        <v>612</v>
      </c>
      <c r="AT98" s="134" t="s">
        <v>128</v>
      </c>
      <c r="AU98" s="134" t="s">
        <v>80</v>
      </c>
      <c r="AY98" s="17" t="s">
        <v>126</v>
      </c>
      <c r="BE98" s="135">
        <f>IF(N98="základní",J98,0)</f>
        <v>0</v>
      </c>
      <c r="BF98" s="135">
        <f>IF(N98="snížená",J98,0)</f>
        <v>0</v>
      </c>
      <c r="BG98" s="135">
        <f>IF(N98="zákl. přenesená",J98,0)</f>
        <v>0</v>
      </c>
      <c r="BH98" s="135">
        <f>IF(N98="sníž. přenesená",J98,0)</f>
        <v>0</v>
      </c>
      <c r="BI98" s="135">
        <f>IF(N98="nulová",J98,0)</f>
        <v>0</v>
      </c>
      <c r="BJ98" s="17" t="s">
        <v>78</v>
      </c>
      <c r="BK98" s="135">
        <f>ROUND(I98*H98,2)</f>
        <v>0</v>
      </c>
      <c r="BL98" s="17" t="s">
        <v>612</v>
      </c>
      <c r="BM98" s="134" t="s">
        <v>2536</v>
      </c>
    </row>
    <row r="99" spans="2:47" s="1" customFormat="1" ht="12">
      <c r="B99" s="29"/>
      <c r="D99" s="136" t="s">
        <v>135</v>
      </c>
      <c r="F99" s="137" t="s">
        <v>2537</v>
      </c>
      <c r="L99" s="29"/>
      <c r="M99" s="138"/>
      <c r="T99" s="49"/>
      <c r="AT99" s="17" t="s">
        <v>135</v>
      </c>
      <c r="AU99" s="17" t="s">
        <v>80</v>
      </c>
    </row>
    <row r="100" spans="2:65" s="1" customFormat="1" ht="16.5" customHeight="1">
      <c r="B100" s="123"/>
      <c r="C100" s="124" t="s">
        <v>163</v>
      </c>
      <c r="D100" s="124" t="s">
        <v>128</v>
      </c>
      <c r="E100" s="125" t="s">
        <v>2538</v>
      </c>
      <c r="F100" s="126" t="s">
        <v>2539</v>
      </c>
      <c r="G100" s="127" t="s">
        <v>183</v>
      </c>
      <c r="H100" s="128">
        <v>1</v>
      </c>
      <c r="I100" s="129"/>
      <c r="J100" s="129">
        <f>ROUND(I100*H100,2)</f>
        <v>0</v>
      </c>
      <c r="K100" s="126" t="s">
        <v>3</v>
      </c>
      <c r="L100" s="29"/>
      <c r="M100" s="130" t="s">
        <v>3</v>
      </c>
      <c r="N100" s="131" t="s">
        <v>41</v>
      </c>
      <c r="O100" s="132">
        <v>0</v>
      </c>
      <c r="P100" s="132">
        <f>O100*H100</f>
        <v>0</v>
      </c>
      <c r="Q100" s="132">
        <v>0</v>
      </c>
      <c r="R100" s="132">
        <f>Q100*H100</f>
        <v>0</v>
      </c>
      <c r="S100" s="132">
        <v>0</v>
      </c>
      <c r="T100" s="133">
        <f>S100*H100</f>
        <v>0</v>
      </c>
      <c r="AR100" s="134" t="s">
        <v>612</v>
      </c>
      <c r="AT100" s="134" t="s">
        <v>128</v>
      </c>
      <c r="AU100" s="134" t="s">
        <v>80</v>
      </c>
      <c r="AY100" s="17" t="s">
        <v>126</v>
      </c>
      <c r="BE100" s="135">
        <f>IF(N100="základní",J100,0)</f>
        <v>0</v>
      </c>
      <c r="BF100" s="135">
        <f>IF(N100="snížená",J100,0)</f>
        <v>0</v>
      </c>
      <c r="BG100" s="135">
        <f>IF(N100="zákl. přenesená",J100,0)</f>
        <v>0</v>
      </c>
      <c r="BH100" s="135">
        <f>IF(N100="sníž. přenesená",J100,0)</f>
        <v>0</v>
      </c>
      <c r="BI100" s="135">
        <f>IF(N100="nulová",J100,0)</f>
        <v>0</v>
      </c>
      <c r="BJ100" s="17" t="s">
        <v>78</v>
      </c>
      <c r="BK100" s="135">
        <f>ROUND(I100*H100,2)</f>
        <v>0</v>
      </c>
      <c r="BL100" s="17" t="s">
        <v>612</v>
      </c>
      <c r="BM100" s="134" t="s">
        <v>2540</v>
      </c>
    </row>
    <row r="101" spans="2:65" s="1" customFormat="1" ht="16.5" customHeight="1">
      <c r="B101" s="123"/>
      <c r="C101" s="124" t="s">
        <v>168</v>
      </c>
      <c r="D101" s="124" t="s">
        <v>128</v>
      </c>
      <c r="E101" s="125" t="s">
        <v>2541</v>
      </c>
      <c r="F101" s="126" t="s">
        <v>2542</v>
      </c>
      <c r="G101" s="127" t="s">
        <v>183</v>
      </c>
      <c r="H101" s="128">
        <v>1</v>
      </c>
      <c r="I101" s="129"/>
      <c r="J101" s="129">
        <f>ROUND(I101*H101,2)</f>
        <v>0</v>
      </c>
      <c r="K101" s="126" t="s">
        <v>132</v>
      </c>
      <c r="L101" s="29"/>
      <c r="M101" s="130" t="s">
        <v>3</v>
      </c>
      <c r="N101" s="131" t="s">
        <v>41</v>
      </c>
      <c r="O101" s="132">
        <v>0</v>
      </c>
      <c r="P101" s="132">
        <f>O101*H101</f>
        <v>0</v>
      </c>
      <c r="Q101" s="132">
        <v>0</v>
      </c>
      <c r="R101" s="132">
        <f>Q101*H101</f>
        <v>0</v>
      </c>
      <c r="S101" s="132">
        <v>0</v>
      </c>
      <c r="T101" s="133">
        <f>S101*H101</f>
        <v>0</v>
      </c>
      <c r="AR101" s="134" t="s">
        <v>612</v>
      </c>
      <c r="AT101" s="134" t="s">
        <v>128</v>
      </c>
      <c r="AU101" s="134" t="s">
        <v>80</v>
      </c>
      <c r="AY101" s="17" t="s">
        <v>126</v>
      </c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17" t="s">
        <v>78</v>
      </c>
      <c r="BK101" s="135">
        <f>ROUND(I101*H101,2)</f>
        <v>0</v>
      </c>
      <c r="BL101" s="17" t="s">
        <v>612</v>
      </c>
      <c r="BM101" s="134" t="s">
        <v>2543</v>
      </c>
    </row>
    <row r="102" spans="2:47" s="1" customFormat="1" ht="12">
      <c r="B102" s="29"/>
      <c r="D102" s="136" t="s">
        <v>135</v>
      </c>
      <c r="F102" s="137" t="s">
        <v>2544</v>
      </c>
      <c r="L102" s="29"/>
      <c r="M102" s="138"/>
      <c r="T102" s="49"/>
      <c r="AT102" s="17" t="s">
        <v>135</v>
      </c>
      <c r="AU102" s="17" t="s">
        <v>80</v>
      </c>
    </row>
    <row r="103" spans="2:47" s="1" customFormat="1" ht="29.25">
      <c r="B103" s="29"/>
      <c r="D103" s="140" t="s">
        <v>2520</v>
      </c>
      <c r="F103" s="173" t="s">
        <v>2545</v>
      </c>
      <c r="L103" s="29"/>
      <c r="M103" s="138"/>
      <c r="T103" s="49"/>
      <c r="AT103" s="17" t="s">
        <v>2520</v>
      </c>
      <c r="AU103" s="17" t="s">
        <v>80</v>
      </c>
    </row>
    <row r="104" spans="2:65" s="1" customFormat="1" ht="16.5" customHeight="1">
      <c r="B104" s="123"/>
      <c r="C104" s="124" t="s">
        <v>175</v>
      </c>
      <c r="D104" s="124" t="s">
        <v>128</v>
      </c>
      <c r="E104" s="125" t="s">
        <v>2546</v>
      </c>
      <c r="F104" s="126" t="s">
        <v>2547</v>
      </c>
      <c r="G104" s="127" t="s">
        <v>183</v>
      </c>
      <c r="H104" s="128">
        <v>1</v>
      </c>
      <c r="I104" s="129"/>
      <c r="J104" s="129">
        <f>ROUND(I104*H104,2)</f>
        <v>0</v>
      </c>
      <c r="K104" s="126" t="s">
        <v>132</v>
      </c>
      <c r="L104" s="29"/>
      <c r="M104" s="130" t="s">
        <v>3</v>
      </c>
      <c r="N104" s="131" t="s">
        <v>41</v>
      </c>
      <c r="O104" s="132">
        <v>0</v>
      </c>
      <c r="P104" s="132">
        <f>O104*H104</f>
        <v>0</v>
      </c>
      <c r="Q104" s="132">
        <v>0</v>
      </c>
      <c r="R104" s="132">
        <f>Q104*H104</f>
        <v>0</v>
      </c>
      <c r="S104" s="132">
        <v>0</v>
      </c>
      <c r="T104" s="133">
        <f>S104*H104</f>
        <v>0</v>
      </c>
      <c r="AR104" s="134" t="s">
        <v>612</v>
      </c>
      <c r="AT104" s="134" t="s">
        <v>128</v>
      </c>
      <c r="AU104" s="134" t="s">
        <v>80</v>
      </c>
      <c r="AY104" s="17" t="s">
        <v>126</v>
      </c>
      <c r="BE104" s="135">
        <f>IF(N104="základní",J104,0)</f>
        <v>0</v>
      </c>
      <c r="BF104" s="135">
        <f>IF(N104="snížená",J104,0)</f>
        <v>0</v>
      </c>
      <c r="BG104" s="135">
        <f>IF(N104="zákl. přenesená",J104,0)</f>
        <v>0</v>
      </c>
      <c r="BH104" s="135">
        <f>IF(N104="sníž. přenesená",J104,0)</f>
        <v>0</v>
      </c>
      <c r="BI104" s="135">
        <f>IF(N104="nulová",J104,0)</f>
        <v>0</v>
      </c>
      <c r="BJ104" s="17" t="s">
        <v>78</v>
      </c>
      <c r="BK104" s="135">
        <f>ROUND(I104*H104,2)</f>
        <v>0</v>
      </c>
      <c r="BL104" s="17" t="s">
        <v>612</v>
      </c>
      <c r="BM104" s="134" t="s">
        <v>2548</v>
      </c>
    </row>
    <row r="105" spans="2:47" s="1" customFormat="1" ht="12">
      <c r="B105" s="29"/>
      <c r="D105" s="136" t="s">
        <v>135</v>
      </c>
      <c r="F105" s="137" t="s">
        <v>2549</v>
      </c>
      <c r="L105" s="29"/>
      <c r="M105" s="138"/>
      <c r="T105" s="49"/>
      <c r="AT105" s="17" t="s">
        <v>135</v>
      </c>
      <c r="AU105" s="17" t="s">
        <v>80</v>
      </c>
    </row>
    <row r="106" spans="2:65" s="1" customFormat="1" ht="16.5" customHeight="1">
      <c r="B106" s="123"/>
      <c r="C106" s="124" t="s">
        <v>180</v>
      </c>
      <c r="D106" s="124" t="s">
        <v>128</v>
      </c>
      <c r="E106" s="125" t="s">
        <v>2550</v>
      </c>
      <c r="F106" s="126" t="s">
        <v>2551</v>
      </c>
      <c r="G106" s="127" t="s">
        <v>183</v>
      </c>
      <c r="H106" s="128">
        <v>1</v>
      </c>
      <c r="I106" s="129"/>
      <c r="J106" s="129">
        <f>ROUND(I106*H106,2)</f>
        <v>0</v>
      </c>
      <c r="K106" s="126" t="s">
        <v>132</v>
      </c>
      <c r="L106" s="29"/>
      <c r="M106" s="130" t="s">
        <v>3</v>
      </c>
      <c r="N106" s="131" t="s">
        <v>41</v>
      </c>
      <c r="O106" s="132">
        <v>0</v>
      </c>
      <c r="P106" s="132">
        <f>O106*H106</f>
        <v>0</v>
      </c>
      <c r="Q106" s="132">
        <v>0</v>
      </c>
      <c r="R106" s="132">
        <f>Q106*H106</f>
        <v>0</v>
      </c>
      <c r="S106" s="132">
        <v>0</v>
      </c>
      <c r="T106" s="133">
        <f>S106*H106</f>
        <v>0</v>
      </c>
      <c r="AR106" s="134" t="s">
        <v>612</v>
      </c>
      <c r="AT106" s="134" t="s">
        <v>128</v>
      </c>
      <c r="AU106" s="134" t="s">
        <v>80</v>
      </c>
      <c r="AY106" s="17" t="s">
        <v>126</v>
      </c>
      <c r="BE106" s="135">
        <f>IF(N106="základní",J106,0)</f>
        <v>0</v>
      </c>
      <c r="BF106" s="135">
        <f>IF(N106="snížená",J106,0)</f>
        <v>0</v>
      </c>
      <c r="BG106" s="135">
        <f>IF(N106="zákl. přenesená",J106,0)</f>
        <v>0</v>
      </c>
      <c r="BH106" s="135">
        <f>IF(N106="sníž. přenesená",J106,0)</f>
        <v>0</v>
      </c>
      <c r="BI106" s="135">
        <f>IF(N106="nulová",J106,0)</f>
        <v>0</v>
      </c>
      <c r="BJ106" s="17" t="s">
        <v>78</v>
      </c>
      <c r="BK106" s="135">
        <f>ROUND(I106*H106,2)</f>
        <v>0</v>
      </c>
      <c r="BL106" s="17" t="s">
        <v>612</v>
      </c>
      <c r="BM106" s="134" t="s">
        <v>2552</v>
      </c>
    </row>
    <row r="107" spans="2:47" s="1" customFormat="1" ht="12">
      <c r="B107" s="29"/>
      <c r="D107" s="136" t="s">
        <v>135</v>
      </c>
      <c r="F107" s="137" t="s">
        <v>2553</v>
      </c>
      <c r="L107" s="29"/>
      <c r="M107" s="138"/>
      <c r="T107" s="49"/>
      <c r="AT107" s="17" t="s">
        <v>135</v>
      </c>
      <c r="AU107" s="17" t="s">
        <v>80</v>
      </c>
    </row>
    <row r="108" spans="2:65" s="1" customFormat="1" ht="16.5" customHeight="1">
      <c r="B108" s="123"/>
      <c r="C108" s="124" t="s">
        <v>186</v>
      </c>
      <c r="D108" s="124" t="s">
        <v>128</v>
      </c>
      <c r="E108" s="125" t="s">
        <v>2554</v>
      </c>
      <c r="F108" s="126" t="s">
        <v>2555</v>
      </c>
      <c r="G108" s="127" t="s">
        <v>183</v>
      </c>
      <c r="H108" s="128">
        <v>1</v>
      </c>
      <c r="I108" s="129"/>
      <c r="J108" s="129">
        <f>ROUND(I108*H108,2)</f>
        <v>0</v>
      </c>
      <c r="K108" s="126" t="s">
        <v>132</v>
      </c>
      <c r="L108" s="29"/>
      <c r="M108" s="130" t="s">
        <v>3</v>
      </c>
      <c r="N108" s="131" t="s">
        <v>41</v>
      </c>
      <c r="O108" s="132">
        <v>0</v>
      </c>
      <c r="P108" s="132">
        <f>O108*H108</f>
        <v>0</v>
      </c>
      <c r="Q108" s="132">
        <v>0</v>
      </c>
      <c r="R108" s="132">
        <f>Q108*H108</f>
        <v>0</v>
      </c>
      <c r="S108" s="132">
        <v>0</v>
      </c>
      <c r="T108" s="133">
        <f>S108*H108</f>
        <v>0</v>
      </c>
      <c r="AR108" s="134" t="s">
        <v>612</v>
      </c>
      <c r="AT108" s="134" t="s">
        <v>128</v>
      </c>
      <c r="AU108" s="134" t="s">
        <v>80</v>
      </c>
      <c r="AY108" s="17" t="s">
        <v>126</v>
      </c>
      <c r="BE108" s="135">
        <f>IF(N108="základní",J108,0)</f>
        <v>0</v>
      </c>
      <c r="BF108" s="135">
        <f>IF(N108="snížená",J108,0)</f>
        <v>0</v>
      </c>
      <c r="BG108" s="135">
        <f>IF(N108="zákl. přenesená",J108,0)</f>
        <v>0</v>
      </c>
      <c r="BH108" s="135">
        <f>IF(N108="sníž. přenesená",J108,0)</f>
        <v>0</v>
      </c>
      <c r="BI108" s="135">
        <f>IF(N108="nulová",J108,0)</f>
        <v>0</v>
      </c>
      <c r="BJ108" s="17" t="s">
        <v>78</v>
      </c>
      <c r="BK108" s="135">
        <f>ROUND(I108*H108,2)</f>
        <v>0</v>
      </c>
      <c r="BL108" s="17" t="s">
        <v>612</v>
      </c>
      <c r="BM108" s="134" t="s">
        <v>2556</v>
      </c>
    </row>
    <row r="109" spans="2:47" s="1" customFormat="1" ht="12">
      <c r="B109" s="29"/>
      <c r="D109" s="136" t="s">
        <v>135</v>
      </c>
      <c r="F109" s="137" t="s">
        <v>2557</v>
      </c>
      <c r="L109" s="29"/>
      <c r="M109" s="138"/>
      <c r="T109" s="49"/>
      <c r="AT109" s="17" t="s">
        <v>135</v>
      </c>
      <c r="AU109" s="17" t="s">
        <v>80</v>
      </c>
    </row>
    <row r="110" spans="2:47" s="1" customFormat="1" ht="68.25">
      <c r="B110" s="29"/>
      <c r="D110" s="140" t="s">
        <v>2520</v>
      </c>
      <c r="F110" s="173" t="s">
        <v>2558</v>
      </c>
      <c r="L110" s="29"/>
      <c r="M110" s="138"/>
      <c r="T110" s="49"/>
      <c r="AT110" s="17" t="s">
        <v>2520</v>
      </c>
      <c r="AU110" s="17" t="s">
        <v>80</v>
      </c>
    </row>
    <row r="111" spans="2:63" s="11" customFormat="1" ht="22.7" customHeight="1">
      <c r="B111" s="112"/>
      <c r="D111" s="113" t="s">
        <v>69</v>
      </c>
      <c r="E111" s="121" t="s">
        <v>2559</v>
      </c>
      <c r="F111" s="121" t="s">
        <v>2560</v>
      </c>
      <c r="J111" s="122">
        <f>BK111</f>
        <v>0</v>
      </c>
      <c r="L111" s="112"/>
      <c r="M111" s="116"/>
      <c r="P111" s="117">
        <f>SUM(P112:P117)</f>
        <v>0</v>
      </c>
      <c r="R111" s="117">
        <f>SUM(R112:R117)</f>
        <v>0</v>
      </c>
      <c r="T111" s="118">
        <f>SUM(T112:T117)</f>
        <v>0</v>
      </c>
      <c r="AR111" s="113" t="s">
        <v>157</v>
      </c>
      <c r="AT111" s="119" t="s">
        <v>69</v>
      </c>
      <c r="AU111" s="119" t="s">
        <v>78</v>
      </c>
      <c r="AY111" s="113" t="s">
        <v>126</v>
      </c>
      <c r="BK111" s="120">
        <f>SUM(BK112:BK117)</f>
        <v>0</v>
      </c>
    </row>
    <row r="112" spans="2:65" s="1" customFormat="1" ht="16.5" customHeight="1">
      <c r="B112" s="123"/>
      <c r="C112" s="124" t="s">
        <v>192</v>
      </c>
      <c r="D112" s="124" t="s">
        <v>128</v>
      </c>
      <c r="E112" s="125" t="s">
        <v>2561</v>
      </c>
      <c r="F112" s="126" t="s">
        <v>2560</v>
      </c>
      <c r="G112" s="127" t="s">
        <v>183</v>
      </c>
      <c r="H112" s="128">
        <v>1</v>
      </c>
      <c r="I112" s="129"/>
      <c r="J112" s="129">
        <f>ROUND(I112*H112,2)</f>
        <v>0</v>
      </c>
      <c r="K112" s="126" t="s">
        <v>132</v>
      </c>
      <c r="L112" s="29"/>
      <c r="M112" s="130" t="s">
        <v>3</v>
      </c>
      <c r="N112" s="131" t="s">
        <v>41</v>
      </c>
      <c r="O112" s="132">
        <v>0</v>
      </c>
      <c r="P112" s="132">
        <f>O112*H112</f>
        <v>0</v>
      </c>
      <c r="Q112" s="132">
        <v>0</v>
      </c>
      <c r="R112" s="132">
        <f>Q112*H112</f>
        <v>0</v>
      </c>
      <c r="S112" s="132">
        <v>0</v>
      </c>
      <c r="T112" s="133">
        <f>S112*H112</f>
        <v>0</v>
      </c>
      <c r="AR112" s="134" t="s">
        <v>612</v>
      </c>
      <c r="AT112" s="134" t="s">
        <v>128</v>
      </c>
      <c r="AU112" s="134" t="s">
        <v>80</v>
      </c>
      <c r="AY112" s="17" t="s">
        <v>126</v>
      </c>
      <c r="BE112" s="135">
        <f>IF(N112="základní",J112,0)</f>
        <v>0</v>
      </c>
      <c r="BF112" s="135">
        <f>IF(N112="snížená",J112,0)</f>
        <v>0</v>
      </c>
      <c r="BG112" s="135">
        <f>IF(N112="zákl. přenesená",J112,0)</f>
        <v>0</v>
      </c>
      <c r="BH112" s="135">
        <f>IF(N112="sníž. přenesená",J112,0)</f>
        <v>0</v>
      </c>
      <c r="BI112" s="135">
        <f>IF(N112="nulová",J112,0)</f>
        <v>0</v>
      </c>
      <c r="BJ112" s="17" t="s">
        <v>78</v>
      </c>
      <c r="BK112" s="135">
        <f>ROUND(I112*H112,2)</f>
        <v>0</v>
      </c>
      <c r="BL112" s="17" t="s">
        <v>612</v>
      </c>
      <c r="BM112" s="134" t="s">
        <v>2562</v>
      </c>
    </row>
    <row r="113" spans="2:47" s="1" customFormat="1" ht="12">
      <c r="B113" s="29"/>
      <c r="D113" s="136" t="s">
        <v>135</v>
      </c>
      <c r="F113" s="137" t="s">
        <v>2563</v>
      </c>
      <c r="L113" s="29"/>
      <c r="M113" s="138"/>
      <c r="T113" s="49"/>
      <c r="AT113" s="17" t="s">
        <v>135</v>
      </c>
      <c r="AU113" s="17" t="s">
        <v>80</v>
      </c>
    </row>
    <row r="114" spans="2:65" s="1" customFormat="1" ht="16.5" customHeight="1">
      <c r="B114" s="123"/>
      <c r="C114" s="124" t="s">
        <v>198</v>
      </c>
      <c r="D114" s="124" t="s">
        <v>128</v>
      </c>
      <c r="E114" s="125" t="s">
        <v>2564</v>
      </c>
      <c r="F114" s="126" t="s">
        <v>2565</v>
      </c>
      <c r="G114" s="127" t="s">
        <v>183</v>
      </c>
      <c r="H114" s="128">
        <v>1</v>
      </c>
      <c r="I114" s="129"/>
      <c r="J114" s="129">
        <f>ROUND(I114*H114,2)</f>
        <v>0</v>
      </c>
      <c r="K114" s="126" t="s">
        <v>132</v>
      </c>
      <c r="L114" s="29"/>
      <c r="M114" s="130" t="s">
        <v>3</v>
      </c>
      <c r="N114" s="131" t="s">
        <v>41</v>
      </c>
      <c r="O114" s="132">
        <v>0</v>
      </c>
      <c r="P114" s="132">
        <f>O114*H114</f>
        <v>0</v>
      </c>
      <c r="Q114" s="132">
        <v>0</v>
      </c>
      <c r="R114" s="132">
        <f>Q114*H114</f>
        <v>0</v>
      </c>
      <c r="S114" s="132">
        <v>0</v>
      </c>
      <c r="T114" s="133">
        <f>S114*H114</f>
        <v>0</v>
      </c>
      <c r="AR114" s="134" t="s">
        <v>612</v>
      </c>
      <c r="AT114" s="134" t="s">
        <v>128</v>
      </c>
      <c r="AU114" s="134" t="s">
        <v>80</v>
      </c>
      <c r="AY114" s="17" t="s">
        <v>126</v>
      </c>
      <c r="BE114" s="135">
        <f>IF(N114="základní",J114,0)</f>
        <v>0</v>
      </c>
      <c r="BF114" s="135">
        <f>IF(N114="snížená",J114,0)</f>
        <v>0</v>
      </c>
      <c r="BG114" s="135">
        <f>IF(N114="zákl. přenesená",J114,0)</f>
        <v>0</v>
      </c>
      <c r="BH114" s="135">
        <f>IF(N114="sníž. přenesená",J114,0)</f>
        <v>0</v>
      </c>
      <c r="BI114" s="135">
        <f>IF(N114="nulová",J114,0)</f>
        <v>0</v>
      </c>
      <c r="BJ114" s="17" t="s">
        <v>78</v>
      </c>
      <c r="BK114" s="135">
        <f>ROUND(I114*H114,2)</f>
        <v>0</v>
      </c>
      <c r="BL114" s="17" t="s">
        <v>612</v>
      </c>
      <c r="BM114" s="134" t="s">
        <v>2566</v>
      </c>
    </row>
    <row r="115" spans="2:47" s="1" customFormat="1" ht="12">
      <c r="B115" s="29"/>
      <c r="D115" s="136" t="s">
        <v>135</v>
      </c>
      <c r="F115" s="137" t="s">
        <v>2567</v>
      </c>
      <c r="L115" s="29"/>
      <c r="M115" s="138"/>
      <c r="T115" s="49"/>
      <c r="AT115" s="17" t="s">
        <v>135</v>
      </c>
      <c r="AU115" s="17" t="s">
        <v>80</v>
      </c>
    </row>
    <row r="116" spans="2:65" s="1" customFormat="1" ht="16.5" customHeight="1">
      <c r="B116" s="123"/>
      <c r="C116" s="124" t="s">
        <v>203</v>
      </c>
      <c r="D116" s="124" t="s">
        <v>128</v>
      </c>
      <c r="E116" s="125" t="s">
        <v>2568</v>
      </c>
      <c r="F116" s="126" t="s">
        <v>2569</v>
      </c>
      <c r="G116" s="127" t="s">
        <v>183</v>
      </c>
      <c r="H116" s="128">
        <v>1</v>
      </c>
      <c r="I116" s="129"/>
      <c r="J116" s="129">
        <f>ROUND(I116*H116,2)</f>
        <v>0</v>
      </c>
      <c r="K116" s="126" t="s">
        <v>132</v>
      </c>
      <c r="L116" s="29"/>
      <c r="M116" s="130" t="s">
        <v>3</v>
      </c>
      <c r="N116" s="131" t="s">
        <v>41</v>
      </c>
      <c r="O116" s="132">
        <v>0</v>
      </c>
      <c r="P116" s="132">
        <f>O116*H116</f>
        <v>0</v>
      </c>
      <c r="Q116" s="132">
        <v>0</v>
      </c>
      <c r="R116" s="132">
        <f>Q116*H116</f>
        <v>0</v>
      </c>
      <c r="S116" s="132">
        <v>0</v>
      </c>
      <c r="T116" s="133">
        <f>S116*H116</f>
        <v>0</v>
      </c>
      <c r="AR116" s="134" t="s">
        <v>612</v>
      </c>
      <c r="AT116" s="134" t="s">
        <v>128</v>
      </c>
      <c r="AU116" s="134" t="s">
        <v>80</v>
      </c>
      <c r="AY116" s="17" t="s">
        <v>126</v>
      </c>
      <c r="BE116" s="135">
        <f>IF(N116="základní",J116,0)</f>
        <v>0</v>
      </c>
      <c r="BF116" s="135">
        <f>IF(N116="snížená",J116,0)</f>
        <v>0</v>
      </c>
      <c r="BG116" s="135">
        <f>IF(N116="zákl. přenesená",J116,0)</f>
        <v>0</v>
      </c>
      <c r="BH116" s="135">
        <f>IF(N116="sníž. přenesená",J116,0)</f>
        <v>0</v>
      </c>
      <c r="BI116" s="135">
        <f>IF(N116="nulová",J116,0)</f>
        <v>0</v>
      </c>
      <c r="BJ116" s="17" t="s">
        <v>78</v>
      </c>
      <c r="BK116" s="135">
        <f>ROUND(I116*H116,2)</f>
        <v>0</v>
      </c>
      <c r="BL116" s="17" t="s">
        <v>612</v>
      </c>
      <c r="BM116" s="134" t="s">
        <v>2570</v>
      </c>
    </row>
    <row r="117" spans="2:47" s="1" customFormat="1" ht="12">
      <c r="B117" s="29"/>
      <c r="D117" s="136" t="s">
        <v>135</v>
      </c>
      <c r="F117" s="137" t="s">
        <v>2571</v>
      </c>
      <c r="L117" s="29"/>
      <c r="M117" s="138"/>
      <c r="T117" s="49"/>
      <c r="AT117" s="17" t="s">
        <v>135</v>
      </c>
      <c r="AU117" s="17" t="s">
        <v>80</v>
      </c>
    </row>
    <row r="118" spans="2:63" s="11" customFormat="1" ht="22.7" customHeight="1">
      <c r="B118" s="112"/>
      <c r="D118" s="113" t="s">
        <v>69</v>
      </c>
      <c r="E118" s="121" t="s">
        <v>2572</v>
      </c>
      <c r="F118" s="121" t="s">
        <v>2573</v>
      </c>
      <c r="J118" s="122">
        <f>BK118</f>
        <v>0</v>
      </c>
      <c r="L118" s="112"/>
      <c r="M118" s="116"/>
      <c r="P118" s="117">
        <f>SUM(P119:P120)</f>
        <v>0</v>
      </c>
      <c r="R118" s="117">
        <f>SUM(R119:R120)</f>
        <v>0</v>
      </c>
      <c r="T118" s="118">
        <f>SUM(T119:T120)</f>
        <v>0</v>
      </c>
      <c r="AR118" s="113" t="s">
        <v>157</v>
      </c>
      <c r="AT118" s="119" t="s">
        <v>69</v>
      </c>
      <c r="AU118" s="119" t="s">
        <v>78</v>
      </c>
      <c r="AY118" s="113" t="s">
        <v>126</v>
      </c>
      <c r="BK118" s="120">
        <f>SUM(BK119:BK120)</f>
        <v>0</v>
      </c>
    </row>
    <row r="119" spans="2:65" s="1" customFormat="1" ht="16.5" customHeight="1">
      <c r="B119" s="123"/>
      <c r="C119" s="124" t="s">
        <v>209</v>
      </c>
      <c r="D119" s="124" t="s">
        <v>128</v>
      </c>
      <c r="E119" s="125" t="s">
        <v>2574</v>
      </c>
      <c r="F119" s="126" t="s">
        <v>2575</v>
      </c>
      <c r="G119" s="127" t="s">
        <v>183</v>
      </c>
      <c r="H119" s="128">
        <v>1</v>
      </c>
      <c r="I119" s="129"/>
      <c r="J119" s="129">
        <f>ROUND(I119*H119,2)</f>
        <v>0</v>
      </c>
      <c r="K119" s="126" t="s">
        <v>132</v>
      </c>
      <c r="L119" s="29"/>
      <c r="M119" s="130" t="s">
        <v>3</v>
      </c>
      <c r="N119" s="131" t="s">
        <v>41</v>
      </c>
      <c r="O119" s="132">
        <v>0</v>
      </c>
      <c r="P119" s="132">
        <f>O119*H119</f>
        <v>0</v>
      </c>
      <c r="Q119" s="132">
        <v>0</v>
      </c>
      <c r="R119" s="132">
        <f>Q119*H119</f>
        <v>0</v>
      </c>
      <c r="S119" s="132">
        <v>0</v>
      </c>
      <c r="T119" s="133">
        <f>S119*H119</f>
        <v>0</v>
      </c>
      <c r="AR119" s="134" t="s">
        <v>612</v>
      </c>
      <c r="AT119" s="134" t="s">
        <v>128</v>
      </c>
      <c r="AU119" s="134" t="s">
        <v>80</v>
      </c>
      <c r="AY119" s="17" t="s">
        <v>126</v>
      </c>
      <c r="BE119" s="135">
        <f>IF(N119="základní",J119,0)</f>
        <v>0</v>
      </c>
      <c r="BF119" s="135">
        <f>IF(N119="snížená",J119,0)</f>
        <v>0</v>
      </c>
      <c r="BG119" s="135">
        <f>IF(N119="zákl. přenesená",J119,0)</f>
        <v>0</v>
      </c>
      <c r="BH119" s="135">
        <f>IF(N119="sníž. přenesená",J119,0)</f>
        <v>0</v>
      </c>
      <c r="BI119" s="135">
        <f>IF(N119="nulová",J119,0)</f>
        <v>0</v>
      </c>
      <c r="BJ119" s="17" t="s">
        <v>78</v>
      </c>
      <c r="BK119" s="135">
        <f>ROUND(I119*H119,2)</f>
        <v>0</v>
      </c>
      <c r="BL119" s="17" t="s">
        <v>612</v>
      </c>
      <c r="BM119" s="134" t="s">
        <v>2576</v>
      </c>
    </row>
    <row r="120" spans="2:47" s="1" customFormat="1" ht="12">
      <c r="B120" s="29"/>
      <c r="D120" s="136" t="s">
        <v>135</v>
      </c>
      <c r="F120" s="137" t="s">
        <v>2577</v>
      </c>
      <c r="L120" s="29"/>
      <c r="M120" s="138"/>
      <c r="T120" s="49"/>
      <c r="AT120" s="17" t="s">
        <v>135</v>
      </c>
      <c r="AU120" s="17" t="s">
        <v>80</v>
      </c>
    </row>
    <row r="121" spans="2:63" s="11" customFormat="1" ht="22.7" customHeight="1">
      <c r="B121" s="112"/>
      <c r="D121" s="113" t="s">
        <v>69</v>
      </c>
      <c r="E121" s="121" t="s">
        <v>2578</v>
      </c>
      <c r="F121" s="121" t="s">
        <v>2579</v>
      </c>
      <c r="J121" s="122">
        <f>BK121</f>
        <v>0</v>
      </c>
      <c r="L121" s="112"/>
      <c r="M121" s="116"/>
      <c r="P121" s="117">
        <f>SUM(P122:P125)</f>
        <v>0</v>
      </c>
      <c r="R121" s="117">
        <f>SUM(R122:R125)</f>
        <v>0</v>
      </c>
      <c r="T121" s="118">
        <f>SUM(T122:T125)</f>
        <v>0</v>
      </c>
      <c r="AR121" s="113" t="s">
        <v>157</v>
      </c>
      <c r="AT121" s="119" t="s">
        <v>69</v>
      </c>
      <c r="AU121" s="119" t="s">
        <v>78</v>
      </c>
      <c r="AY121" s="113" t="s">
        <v>126</v>
      </c>
      <c r="BK121" s="120">
        <f>SUM(BK122:BK125)</f>
        <v>0</v>
      </c>
    </row>
    <row r="122" spans="2:65" s="1" customFormat="1" ht="16.5" customHeight="1">
      <c r="B122" s="123"/>
      <c r="C122" s="124" t="s">
        <v>9</v>
      </c>
      <c r="D122" s="124" t="s">
        <v>128</v>
      </c>
      <c r="E122" s="125" t="s">
        <v>2580</v>
      </c>
      <c r="F122" s="126" t="s">
        <v>2581</v>
      </c>
      <c r="G122" s="127" t="s">
        <v>183</v>
      </c>
      <c r="H122" s="128">
        <v>1</v>
      </c>
      <c r="I122" s="129"/>
      <c r="J122" s="129">
        <f>ROUND(I122*H122,2)</f>
        <v>0</v>
      </c>
      <c r="K122" s="126" t="s">
        <v>132</v>
      </c>
      <c r="L122" s="29"/>
      <c r="M122" s="130" t="s">
        <v>3</v>
      </c>
      <c r="N122" s="131" t="s">
        <v>41</v>
      </c>
      <c r="O122" s="132">
        <v>0</v>
      </c>
      <c r="P122" s="132">
        <f>O122*H122</f>
        <v>0</v>
      </c>
      <c r="Q122" s="132">
        <v>0</v>
      </c>
      <c r="R122" s="132">
        <f>Q122*H122</f>
        <v>0</v>
      </c>
      <c r="S122" s="132">
        <v>0</v>
      </c>
      <c r="T122" s="133">
        <f>S122*H122</f>
        <v>0</v>
      </c>
      <c r="AR122" s="134" t="s">
        <v>612</v>
      </c>
      <c r="AT122" s="134" t="s">
        <v>128</v>
      </c>
      <c r="AU122" s="134" t="s">
        <v>80</v>
      </c>
      <c r="AY122" s="17" t="s">
        <v>126</v>
      </c>
      <c r="BE122" s="135">
        <f>IF(N122="základní",J122,0)</f>
        <v>0</v>
      </c>
      <c r="BF122" s="135">
        <f>IF(N122="snížená",J122,0)</f>
        <v>0</v>
      </c>
      <c r="BG122" s="135">
        <f>IF(N122="zákl. přenesená",J122,0)</f>
        <v>0</v>
      </c>
      <c r="BH122" s="135">
        <f>IF(N122="sníž. přenesená",J122,0)</f>
        <v>0</v>
      </c>
      <c r="BI122" s="135">
        <f>IF(N122="nulová",J122,0)</f>
        <v>0</v>
      </c>
      <c r="BJ122" s="17" t="s">
        <v>78</v>
      </c>
      <c r="BK122" s="135">
        <f>ROUND(I122*H122,2)</f>
        <v>0</v>
      </c>
      <c r="BL122" s="17" t="s">
        <v>612</v>
      </c>
      <c r="BM122" s="134" t="s">
        <v>2582</v>
      </c>
    </row>
    <row r="123" spans="2:47" s="1" customFormat="1" ht="12">
      <c r="B123" s="29"/>
      <c r="D123" s="136" t="s">
        <v>135</v>
      </c>
      <c r="F123" s="137" t="s">
        <v>2583</v>
      </c>
      <c r="L123" s="29"/>
      <c r="M123" s="138"/>
      <c r="T123" s="49"/>
      <c r="AT123" s="17" t="s">
        <v>135</v>
      </c>
      <c r="AU123" s="17" t="s">
        <v>80</v>
      </c>
    </row>
    <row r="124" spans="2:65" s="1" customFormat="1" ht="16.5" customHeight="1">
      <c r="B124" s="123"/>
      <c r="C124" s="124" t="s">
        <v>221</v>
      </c>
      <c r="D124" s="124" t="s">
        <v>128</v>
      </c>
      <c r="E124" s="125" t="s">
        <v>2584</v>
      </c>
      <c r="F124" s="126" t="s">
        <v>2585</v>
      </c>
      <c r="G124" s="127" t="s">
        <v>183</v>
      </c>
      <c r="H124" s="128">
        <v>1</v>
      </c>
      <c r="I124" s="129"/>
      <c r="J124" s="129">
        <f>ROUND(I124*H124,2)</f>
        <v>0</v>
      </c>
      <c r="K124" s="126" t="s">
        <v>132</v>
      </c>
      <c r="L124" s="29"/>
      <c r="M124" s="130" t="s">
        <v>3</v>
      </c>
      <c r="N124" s="131" t="s">
        <v>41</v>
      </c>
      <c r="O124" s="132">
        <v>0</v>
      </c>
      <c r="P124" s="132">
        <f>O124*H124</f>
        <v>0</v>
      </c>
      <c r="Q124" s="132">
        <v>0</v>
      </c>
      <c r="R124" s="132">
        <f>Q124*H124</f>
        <v>0</v>
      </c>
      <c r="S124" s="132">
        <v>0</v>
      </c>
      <c r="T124" s="133">
        <f>S124*H124</f>
        <v>0</v>
      </c>
      <c r="AR124" s="134" t="s">
        <v>612</v>
      </c>
      <c r="AT124" s="134" t="s">
        <v>128</v>
      </c>
      <c r="AU124" s="134" t="s">
        <v>80</v>
      </c>
      <c r="AY124" s="17" t="s">
        <v>126</v>
      </c>
      <c r="BE124" s="135">
        <f>IF(N124="základní",J124,0)</f>
        <v>0</v>
      </c>
      <c r="BF124" s="135">
        <f>IF(N124="snížená",J124,0)</f>
        <v>0</v>
      </c>
      <c r="BG124" s="135">
        <f>IF(N124="zákl. přenesená",J124,0)</f>
        <v>0</v>
      </c>
      <c r="BH124" s="135">
        <f>IF(N124="sníž. přenesená",J124,0)</f>
        <v>0</v>
      </c>
      <c r="BI124" s="135">
        <f>IF(N124="nulová",J124,0)</f>
        <v>0</v>
      </c>
      <c r="BJ124" s="17" t="s">
        <v>78</v>
      </c>
      <c r="BK124" s="135">
        <f>ROUND(I124*H124,2)</f>
        <v>0</v>
      </c>
      <c r="BL124" s="17" t="s">
        <v>612</v>
      </c>
      <c r="BM124" s="134" t="s">
        <v>2586</v>
      </c>
    </row>
    <row r="125" spans="2:47" s="1" customFormat="1" ht="12">
      <c r="B125" s="29"/>
      <c r="D125" s="136" t="s">
        <v>135</v>
      </c>
      <c r="F125" s="137" t="s">
        <v>2587</v>
      </c>
      <c r="L125" s="29"/>
      <c r="M125" s="138"/>
      <c r="T125" s="49"/>
      <c r="AT125" s="17" t="s">
        <v>135</v>
      </c>
      <c r="AU125" s="17" t="s">
        <v>80</v>
      </c>
    </row>
    <row r="126" spans="2:63" s="11" customFormat="1" ht="22.7" customHeight="1">
      <c r="B126" s="112"/>
      <c r="D126" s="113" t="s">
        <v>69</v>
      </c>
      <c r="E126" s="121" t="s">
        <v>2588</v>
      </c>
      <c r="F126" s="121" t="s">
        <v>2589</v>
      </c>
      <c r="J126" s="122">
        <f>BK126</f>
        <v>0</v>
      </c>
      <c r="L126" s="112"/>
      <c r="M126" s="116"/>
      <c r="P126" s="117">
        <f>SUM(P127:P128)</f>
        <v>0</v>
      </c>
      <c r="R126" s="117">
        <f>SUM(R127:R128)</f>
        <v>0</v>
      </c>
      <c r="T126" s="118">
        <f>SUM(T127:T128)</f>
        <v>0</v>
      </c>
      <c r="AR126" s="113" t="s">
        <v>157</v>
      </c>
      <c r="AT126" s="119" t="s">
        <v>69</v>
      </c>
      <c r="AU126" s="119" t="s">
        <v>78</v>
      </c>
      <c r="AY126" s="113" t="s">
        <v>126</v>
      </c>
      <c r="BK126" s="120">
        <f>SUM(BK127:BK128)</f>
        <v>0</v>
      </c>
    </row>
    <row r="127" spans="2:65" s="1" customFormat="1" ht="16.5" customHeight="1">
      <c r="B127" s="123"/>
      <c r="C127" s="124" t="s">
        <v>227</v>
      </c>
      <c r="D127" s="124" t="s">
        <v>128</v>
      </c>
      <c r="E127" s="125" t="s">
        <v>2590</v>
      </c>
      <c r="F127" s="126" t="s">
        <v>2591</v>
      </c>
      <c r="G127" s="127" t="s">
        <v>183</v>
      </c>
      <c r="H127" s="128">
        <v>1</v>
      </c>
      <c r="I127" s="129"/>
      <c r="J127" s="129">
        <f>ROUND(I127*H127,2)</f>
        <v>0</v>
      </c>
      <c r="K127" s="126" t="s">
        <v>132</v>
      </c>
      <c r="L127" s="29"/>
      <c r="M127" s="130" t="s">
        <v>3</v>
      </c>
      <c r="N127" s="131" t="s">
        <v>41</v>
      </c>
      <c r="O127" s="132">
        <v>0</v>
      </c>
      <c r="P127" s="132">
        <f>O127*H127</f>
        <v>0</v>
      </c>
      <c r="Q127" s="132">
        <v>0</v>
      </c>
      <c r="R127" s="132">
        <f>Q127*H127</f>
        <v>0</v>
      </c>
      <c r="S127" s="132">
        <v>0</v>
      </c>
      <c r="T127" s="133">
        <f>S127*H127</f>
        <v>0</v>
      </c>
      <c r="AR127" s="134" t="s">
        <v>612</v>
      </c>
      <c r="AT127" s="134" t="s">
        <v>128</v>
      </c>
      <c r="AU127" s="134" t="s">
        <v>80</v>
      </c>
      <c r="AY127" s="17" t="s">
        <v>126</v>
      </c>
      <c r="BE127" s="135">
        <f>IF(N127="základní",J127,0)</f>
        <v>0</v>
      </c>
      <c r="BF127" s="135">
        <f>IF(N127="snížená",J127,0)</f>
        <v>0</v>
      </c>
      <c r="BG127" s="135">
        <f>IF(N127="zákl. přenesená",J127,0)</f>
        <v>0</v>
      </c>
      <c r="BH127" s="135">
        <f>IF(N127="sníž. přenesená",J127,0)</f>
        <v>0</v>
      </c>
      <c r="BI127" s="135">
        <f>IF(N127="nulová",J127,0)</f>
        <v>0</v>
      </c>
      <c r="BJ127" s="17" t="s">
        <v>78</v>
      </c>
      <c r="BK127" s="135">
        <f>ROUND(I127*H127,2)</f>
        <v>0</v>
      </c>
      <c r="BL127" s="17" t="s">
        <v>612</v>
      </c>
      <c r="BM127" s="134" t="s">
        <v>2592</v>
      </c>
    </row>
    <row r="128" spans="2:47" s="1" customFormat="1" ht="12">
      <c r="B128" s="29"/>
      <c r="D128" s="136" t="s">
        <v>135</v>
      </c>
      <c r="F128" s="137" t="s">
        <v>2593</v>
      </c>
      <c r="L128" s="29"/>
      <c r="M128" s="138"/>
      <c r="T128" s="49"/>
      <c r="AT128" s="17" t="s">
        <v>135</v>
      </c>
      <c r="AU128" s="17" t="s">
        <v>80</v>
      </c>
    </row>
    <row r="129" spans="2:63" s="11" customFormat="1" ht="22.7" customHeight="1">
      <c r="B129" s="112"/>
      <c r="D129" s="113" t="s">
        <v>69</v>
      </c>
      <c r="E129" s="121" t="s">
        <v>607</v>
      </c>
      <c r="F129" s="121" t="s">
        <v>608</v>
      </c>
      <c r="J129" s="122">
        <f>BK129</f>
        <v>0</v>
      </c>
      <c r="L129" s="112"/>
      <c r="M129" s="116"/>
      <c r="P129" s="117">
        <f>SUM(P130:P131)</f>
        <v>0</v>
      </c>
      <c r="R129" s="117">
        <f>SUM(R130:R131)</f>
        <v>0</v>
      </c>
      <c r="T129" s="118">
        <f>SUM(T130:T131)</f>
        <v>0</v>
      </c>
      <c r="AR129" s="113" t="s">
        <v>157</v>
      </c>
      <c r="AT129" s="119" t="s">
        <v>69</v>
      </c>
      <c r="AU129" s="119" t="s">
        <v>78</v>
      </c>
      <c r="AY129" s="113" t="s">
        <v>126</v>
      </c>
      <c r="BK129" s="120">
        <f>SUM(BK130:BK131)</f>
        <v>0</v>
      </c>
    </row>
    <row r="130" spans="2:65" s="1" customFormat="1" ht="16.5" customHeight="1">
      <c r="B130" s="123"/>
      <c r="C130" s="124" t="s">
        <v>233</v>
      </c>
      <c r="D130" s="124" t="s">
        <v>128</v>
      </c>
      <c r="E130" s="125" t="s">
        <v>2594</v>
      </c>
      <c r="F130" s="126" t="s">
        <v>2595</v>
      </c>
      <c r="G130" s="127" t="s">
        <v>183</v>
      </c>
      <c r="H130" s="128">
        <v>1</v>
      </c>
      <c r="I130" s="129"/>
      <c r="J130" s="129">
        <f>ROUND(I130*H130,2)</f>
        <v>0</v>
      </c>
      <c r="K130" s="126" t="s">
        <v>132</v>
      </c>
      <c r="L130" s="29"/>
      <c r="M130" s="130" t="s">
        <v>3</v>
      </c>
      <c r="N130" s="131" t="s">
        <v>41</v>
      </c>
      <c r="O130" s="132">
        <v>0</v>
      </c>
      <c r="P130" s="132">
        <f>O130*H130</f>
        <v>0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612</v>
      </c>
      <c r="AT130" s="134" t="s">
        <v>128</v>
      </c>
      <c r="AU130" s="134" t="s">
        <v>80</v>
      </c>
      <c r="AY130" s="17" t="s">
        <v>126</v>
      </c>
      <c r="BE130" s="135">
        <f>IF(N130="základní",J130,0)</f>
        <v>0</v>
      </c>
      <c r="BF130" s="135">
        <f>IF(N130="snížená",J130,0)</f>
        <v>0</v>
      </c>
      <c r="BG130" s="135">
        <f>IF(N130="zákl. přenesená",J130,0)</f>
        <v>0</v>
      </c>
      <c r="BH130" s="135">
        <f>IF(N130="sníž. přenesená",J130,0)</f>
        <v>0</v>
      </c>
      <c r="BI130" s="135">
        <f>IF(N130="nulová",J130,0)</f>
        <v>0</v>
      </c>
      <c r="BJ130" s="17" t="s">
        <v>78</v>
      </c>
      <c r="BK130" s="135">
        <f>ROUND(I130*H130,2)</f>
        <v>0</v>
      </c>
      <c r="BL130" s="17" t="s">
        <v>612</v>
      </c>
      <c r="BM130" s="134" t="s">
        <v>2596</v>
      </c>
    </row>
    <row r="131" spans="2:47" s="1" customFormat="1" ht="12">
      <c r="B131" s="29"/>
      <c r="D131" s="136" t="s">
        <v>135</v>
      </c>
      <c r="F131" s="137" t="s">
        <v>2597</v>
      </c>
      <c r="L131" s="29"/>
      <c r="M131" s="161"/>
      <c r="N131" s="162"/>
      <c r="O131" s="162"/>
      <c r="P131" s="162"/>
      <c r="Q131" s="162"/>
      <c r="R131" s="162"/>
      <c r="S131" s="162"/>
      <c r="T131" s="163"/>
      <c r="AT131" s="17" t="s">
        <v>135</v>
      </c>
      <c r="AU131" s="17" t="s">
        <v>80</v>
      </c>
    </row>
    <row r="132" spans="2:12" s="1" customFormat="1" ht="6.95" customHeight="1"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29"/>
    </row>
  </sheetData>
  <autoFilter ref="C85:K13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0" r:id="rId1" display="https://podminky.urs.cz/item/CS_URS_2022_02/011434000"/>
    <hyperlink ref="F93" r:id="rId2" display="https://podminky.urs.cz/item/CS_URS_2022_02/011503000"/>
    <hyperlink ref="F95" r:id="rId3" display="https://podminky.urs.cz/item/CS_URS_2022_02/013124000"/>
    <hyperlink ref="F97" r:id="rId4" display="https://podminky.urs.cz/item/CS_URS_2022_02/013194000"/>
    <hyperlink ref="F99" r:id="rId5" display="https://podminky.urs.cz/item/CS_URS_2022_02/013244000"/>
    <hyperlink ref="F102" r:id="rId6" display="https://podminky.urs.cz/item/CS_URS_2022_02/013254000"/>
    <hyperlink ref="F105" r:id="rId7" display="https://podminky.urs.cz/item/CS_URS_2022_02/013274000"/>
    <hyperlink ref="F107" r:id="rId8" display="https://podminky.urs.cz/item/CS_URS_2022_02/013284000"/>
    <hyperlink ref="F109" r:id="rId9" display="https://podminky.urs.cz/item/CS_URS_2022_02/013294000"/>
    <hyperlink ref="F113" r:id="rId10" display="https://podminky.urs.cz/item/CS_URS_2022_02/030001000"/>
    <hyperlink ref="F115" r:id="rId11" display="https://podminky.urs.cz/item/CS_URS_2022_02/033002000"/>
    <hyperlink ref="F117" r:id="rId12" display="https://podminky.urs.cz/item/CS_URS_2022_02/035002000"/>
    <hyperlink ref="F120" r:id="rId13" display="https://podminky.urs.cz/item/CS_URS_2022_02/041403000"/>
    <hyperlink ref="F123" r:id="rId14" display="https://podminky.urs.cz/item/CS_URS_2022_02/052103000"/>
    <hyperlink ref="F125" r:id="rId15" display="https://podminky.urs.cz/item/CS_URS_2022_02/052203000"/>
    <hyperlink ref="F128" r:id="rId16" display="https://podminky.urs.cz/item/CS_URS_2022_02/065002000"/>
    <hyperlink ref="F131" r:id="rId17" display="https://podminky.urs.cz/item/CS_URS_2022_02/0941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69404-7EFD-4830-8B16-EA04257FD65C}">
  <dimension ref="A1:F113"/>
  <sheetViews>
    <sheetView workbookViewId="0" topLeftCell="A1"/>
  </sheetViews>
  <sheetFormatPr defaultColWidth="8.8515625" defaultRowHeight="12"/>
  <cols>
    <col min="1" max="1" width="71.421875" style="258" customWidth="1"/>
    <col min="2" max="2" width="5.421875" style="258" customWidth="1"/>
    <col min="3" max="3" width="8.28125" style="258" customWidth="1"/>
    <col min="4" max="4" width="14.28125" style="286" customWidth="1"/>
    <col min="5" max="5" width="15.00390625" style="286" customWidth="1"/>
    <col min="6" max="6" width="22.8515625" style="286" customWidth="1"/>
    <col min="7" max="9" width="8.8515625" style="258" customWidth="1"/>
    <col min="10" max="10" width="9.8515625" style="258" bestFit="1" customWidth="1"/>
    <col min="11" max="16384" width="8.8515625" style="258" customWidth="1"/>
  </cols>
  <sheetData>
    <row r="1" ht="12">
      <c r="A1" s="257" t="s">
        <v>2781</v>
      </c>
    </row>
    <row r="3" spans="1:2" ht="12">
      <c r="A3" s="259" t="s">
        <v>2782</v>
      </c>
      <c r="B3" s="259"/>
    </row>
    <row r="4" spans="1:2" ht="12">
      <c r="A4" s="259" t="s">
        <v>2783</v>
      </c>
      <c r="B4" s="259"/>
    </row>
    <row r="5" spans="1:2" ht="12">
      <c r="A5" s="259" t="s">
        <v>2784</v>
      </c>
      <c r="B5" s="259"/>
    </row>
    <row r="6" spans="1:2" ht="12">
      <c r="A6" s="259" t="s">
        <v>2785</v>
      </c>
      <c r="B6" s="259"/>
    </row>
    <row r="7" spans="1:2" ht="12">
      <c r="A7" s="259" t="s">
        <v>2786</v>
      </c>
      <c r="B7" s="259"/>
    </row>
    <row r="9" spans="1:6" ht="12">
      <c r="A9" s="260"/>
      <c r="B9" s="261"/>
      <c r="C9" s="261"/>
      <c r="D9" s="304" t="s">
        <v>2787</v>
      </c>
      <c r="E9" s="304" t="s">
        <v>2788</v>
      </c>
      <c r="F9" s="305" t="s">
        <v>2789</v>
      </c>
    </row>
    <row r="10" ht="12">
      <c r="A10" s="257" t="s">
        <v>78</v>
      </c>
    </row>
    <row r="11" spans="1:6" ht="12">
      <c r="A11" s="262" t="s">
        <v>2790</v>
      </c>
      <c r="B11" s="272"/>
      <c r="C11" s="273"/>
      <c r="D11" s="307"/>
      <c r="E11" s="306"/>
      <c r="F11" s="264">
        <f>SUM(F12:F17)</f>
        <v>0</v>
      </c>
    </row>
    <row r="12" spans="1:6" ht="12">
      <c r="A12" s="265" t="s">
        <v>2791</v>
      </c>
      <c r="C12" s="255" t="s">
        <v>2792</v>
      </c>
      <c r="D12" s="266">
        <v>19</v>
      </c>
      <c r="E12" s="294"/>
      <c r="F12" s="267">
        <f>D12*E12</f>
        <v>0</v>
      </c>
    </row>
    <row r="13" spans="1:6" ht="12">
      <c r="A13" s="265" t="s">
        <v>2793</v>
      </c>
      <c r="C13" s="255" t="s">
        <v>2792</v>
      </c>
      <c r="D13" s="266">
        <v>9</v>
      </c>
      <c r="E13" s="294"/>
      <c r="F13" s="267">
        <f aca="true" t="shared" si="0" ref="F13:F17">D13*E13</f>
        <v>0</v>
      </c>
    </row>
    <row r="14" spans="1:6" ht="12">
      <c r="A14" s="265" t="s">
        <v>2794</v>
      </c>
      <c r="C14" s="255" t="s">
        <v>2792</v>
      </c>
      <c r="D14" s="266">
        <v>3</v>
      </c>
      <c r="E14" s="294"/>
      <c r="F14" s="267">
        <f t="shared" si="0"/>
        <v>0</v>
      </c>
    </row>
    <row r="15" spans="1:6" ht="12">
      <c r="A15" s="265" t="s">
        <v>2795</v>
      </c>
      <c r="C15" s="255" t="s">
        <v>2792</v>
      </c>
      <c r="D15" s="266">
        <v>14</v>
      </c>
      <c r="E15" s="294"/>
      <c r="F15" s="267">
        <f t="shared" si="0"/>
        <v>0</v>
      </c>
    </row>
    <row r="16" spans="1:6" ht="12">
      <c r="A16" s="265" t="s">
        <v>2796</v>
      </c>
      <c r="C16" s="255" t="s">
        <v>2792</v>
      </c>
      <c r="D16" s="266" t="s">
        <v>2797</v>
      </c>
      <c r="E16" s="294"/>
      <c r="F16" s="267">
        <f t="shared" si="0"/>
        <v>0</v>
      </c>
    </row>
    <row r="17" spans="1:6" ht="12">
      <c r="A17" s="256" t="s">
        <v>2798</v>
      </c>
      <c r="B17" s="268"/>
      <c r="C17" s="269" t="s">
        <v>2792</v>
      </c>
      <c r="D17" s="270" t="s">
        <v>2799</v>
      </c>
      <c r="E17" s="312"/>
      <c r="F17" s="271">
        <f t="shared" si="0"/>
        <v>0</v>
      </c>
    </row>
    <row r="18" spans="4:6" ht="12">
      <c r="D18" s="285"/>
      <c r="F18" s="294"/>
    </row>
    <row r="19" spans="1:4" ht="12">
      <c r="A19" s="257" t="s">
        <v>80</v>
      </c>
      <c r="D19" s="285"/>
    </row>
    <row r="20" spans="1:6" ht="12">
      <c r="A20" s="262" t="s">
        <v>2800</v>
      </c>
      <c r="B20" s="272"/>
      <c r="C20" s="273"/>
      <c r="D20" s="307"/>
      <c r="E20" s="306"/>
      <c r="F20" s="264">
        <f>SUM(F21:F25)</f>
        <v>0</v>
      </c>
    </row>
    <row r="21" spans="1:6" ht="12.75">
      <c r="A21" s="274" t="s">
        <v>2890</v>
      </c>
      <c r="B21" s="275" t="s">
        <v>249</v>
      </c>
      <c r="C21" s="255" t="s">
        <v>249</v>
      </c>
      <c r="D21" s="266">
        <v>70</v>
      </c>
      <c r="E21" s="294"/>
      <c r="F21" s="276">
        <f>D21*E21</f>
        <v>0</v>
      </c>
    </row>
    <row r="22" spans="1:6" ht="12.75">
      <c r="A22" s="253" t="s">
        <v>2891</v>
      </c>
      <c r="B22" s="275" t="s">
        <v>249</v>
      </c>
      <c r="C22" s="255" t="s">
        <v>249</v>
      </c>
      <c r="D22" s="266">
        <v>720</v>
      </c>
      <c r="E22" s="294"/>
      <c r="F22" s="276">
        <f aca="true" t="shared" si="1" ref="F22:F25">D22*E22</f>
        <v>0</v>
      </c>
    </row>
    <row r="23" spans="1:6" ht="12.75">
      <c r="A23" s="253" t="s">
        <v>2892</v>
      </c>
      <c r="B23" s="275" t="s">
        <v>249</v>
      </c>
      <c r="C23" s="255" t="s">
        <v>249</v>
      </c>
      <c r="D23" s="266">
        <v>930</v>
      </c>
      <c r="E23" s="294"/>
      <c r="F23" s="276">
        <f t="shared" si="1"/>
        <v>0</v>
      </c>
    </row>
    <row r="24" spans="1:6" ht="12.75">
      <c r="A24" s="253" t="s">
        <v>2893</v>
      </c>
      <c r="B24" s="275" t="s">
        <v>249</v>
      </c>
      <c r="C24" s="255" t="s">
        <v>249</v>
      </c>
      <c r="D24" s="266">
        <v>90</v>
      </c>
      <c r="E24" s="294"/>
      <c r="F24" s="276">
        <f t="shared" si="1"/>
        <v>0</v>
      </c>
    </row>
    <row r="25" spans="1:6" ht="12.75">
      <c r="A25" s="254" t="s">
        <v>2894</v>
      </c>
      <c r="B25" s="277"/>
      <c r="C25" s="269" t="s">
        <v>249</v>
      </c>
      <c r="D25" s="270" t="s">
        <v>2801</v>
      </c>
      <c r="E25" s="312"/>
      <c r="F25" s="278">
        <f t="shared" si="1"/>
        <v>0</v>
      </c>
    </row>
    <row r="26" spans="1:5" ht="12">
      <c r="A26" s="255"/>
      <c r="B26" s="275"/>
      <c r="C26" s="279"/>
      <c r="D26" s="266"/>
      <c r="E26" s="294"/>
    </row>
    <row r="27" spans="1:5" ht="12">
      <c r="A27" s="257" t="s">
        <v>143</v>
      </c>
      <c r="B27" s="275"/>
      <c r="C27" s="279"/>
      <c r="D27" s="266"/>
      <c r="E27" s="294"/>
    </row>
    <row r="28" spans="1:6" ht="12">
      <c r="A28" s="280" t="s">
        <v>2802</v>
      </c>
      <c r="B28" s="272"/>
      <c r="C28" s="281"/>
      <c r="D28" s="308"/>
      <c r="E28" s="295"/>
      <c r="F28" s="264">
        <f>SUM(F29:F52)</f>
        <v>0</v>
      </c>
    </row>
    <row r="29" spans="1:6" ht="12">
      <c r="A29" s="274" t="s">
        <v>2803</v>
      </c>
      <c r="B29" s="282" t="s">
        <v>2792</v>
      </c>
      <c r="C29" s="255" t="s">
        <v>2792</v>
      </c>
      <c r="D29" s="266" t="s">
        <v>2804</v>
      </c>
      <c r="E29" s="294"/>
      <c r="F29" s="276">
        <f>D29*E29</f>
        <v>0</v>
      </c>
    </row>
    <row r="30" spans="1:6" ht="12">
      <c r="A30" s="253" t="s">
        <v>2805</v>
      </c>
      <c r="C30" s="255" t="s">
        <v>2792</v>
      </c>
      <c r="D30" s="309">
        <v>5</v>
      </c>
      <c r="E30" s="294"/>
      <c r="F30" s="267">
        <f>D30*E30</f>
        <v>0</v>
      </c>
    </row>
    <row r="31" spans="1:6" ht="12">
      <c r="A31" s="265" t="s">
        <v>2806</v>
      </c>
      <c r="C31" s="283" t="s">
        <v>2792</v>
      </c>
      <c r="D31" s="266" t="s">
        <v>2807</v>
      </c>
      <c r="E31" s="294"/>
      <c r="F31" s="267">
        <f aca="true" t="shared" si="2" ref="F31:F50">D31*E31</f>
        <v>0</v>
      </c>
    </row>
    <row r="32" spans="1:6" ht="12">
      <c r="A32" s="265" t="s">
        <v>2808</v>
      </c>
      <c r="C32" s="255" t="s">
        <v>2792</v>
      </c>
      <c r="D32" s="266" t="s">
        <v>2809</v>
      </c>
      <c r="E32" s="294"/>
      <c r="F32" s="267">
        <f t="shared" si="2"/>
        <v>0</v>
      </c>
    </row>
    <row r="33" spans="1:6" ht="12">
      <c r="A33" s="265" t="s">
        <v>2810</v>
      </c>
      <c r="C33" s="255" t="s">
        <v>2792</v>
      </c>
      <c r="D33" s="266" t="s">
        <v>2811</v>
      </c>
      <c r="E33" s="294"/>
      <c r="F33" s="267">
        <f t="shared" si="2"/>
        <v>0</v>
      </c>
    </row>
    <row r="34" spans="1:6" ht="12">
      <c r="A34" s="265" t="s">
        <v>2812</v>
      </c>
      <c r="C34" s="255" t="s">
        <v>2792</v>
      </c>
      <c r="D34" s="266" t="s">
        <v>2813</v>
      </c>
      <c r="E34" s="294"/>
      <c r="F34" s="267">
        <f t="shared" si="2"/>
        <v>0</v>
      </c>
    </row>
    <row r="35" spans="1:6" ht="12">
      <c r="A35" s="265" t="s">
        <v>2814</v>
      </c>
      <c r="C35" s="255" t="s">
        <v>2792</v>
      </c>
      <c r="D35" s="266" t="s">
        <v>2815</v>
      </c>
      <c r="E35" s="294"/>
      <c r="F35" s="267">
        <f t="shared" si="2"/>
        <v>0</v>
      </c>
    </row>
    <row r="36" spans="1:6" ht="12">
      <c r="A36" s="265" t="s">
        <v>2816</v>
      </c>
      <c r="C36" s="255" t="s">
        <v>2792</v>
      </c>
      <c r="D36" s="266" t="s">
        <v>2817</v>
      </c>
      <c r="E36" s="294"/>
      <c r="F36" s="267">
        <f t="shared" si="2"/>
        <v>0</v>
      </c>
    </row>
    <row r="37" spans="1:6" ht="12">
      <c r="A37" s="265" t="s">
        <v>2818</v>
      </c>
      <c r="C37" s="255" t="s">
        <v>2792</v>
      </c>
      <c r="D37" s="266" t="s">
        <v>2819</v>
      </c>
      <c r="E37" s="294"/>
      <c r="F37" s="267">
        <f t="shared" si="2"/>
        <v>0</v>
      </c>
    </row>
    <row r="38" spans="1:6" ht="12">
      <c r="A38" s="265" t="s">
        <v>2820</v>
      </c>
      <c r="C38" s="255" t="s">
        <v>2792</v>
      </c>
      <c r="D38" s="266" t="s">
        <v>2821</v>
      </c>
      <c r="E38" s="294"/>
      <c r="F38" s="267">
        <f t="shared" si="2"/>
        <v>0</v>
      </c>
    </row>
    <row r="39" spans="1:6" ht="12">
      <c r="A39" s="265" t="s">
        <v>2822</v>
      </c>
      <c r="C39" s="255" t="s">
        <v>2792</v>
      </c>
      <c r="D39" s="266" t="s">
        <v>2809</v>
      </c>
      <c r="E39" s="294"/>
      <c r="F39" s="267">
        <f t="shared" si="2"/>
        <v>0</v>
      </c>
    </row>
    <row r="40" spans="1:6" ht="12">
      <c r="A40" s="265" t="s">
        <v>2823</v>
      </c>
      <c r="C40" s="255" t="s">
        <v>2792</v>
      </c>
      <c r="D40" s="266" t="s">
        <v>2824</v>
      </c>
      <c r="E40" s="294"/>
      <c r="F40" s="267">
        <f t="shared" si="2"/>
        <v>0</v>
      </c>
    </row>
    <row r="41" spans="1:6" ht="12">
      <c r="A41" s="265" t="s">
        <v>2825</v>
      </c>
      <c r="C41" s="258" t="s">
        <v>2792</v>
      </c>
      <c r="D41" s="266" t="s">
        <v>2826</v>
      </c>
      <c r="E41" s="294"/>
      <c r="F41" s="267">
        <f t="shared" si="2"/>
        <v>0</v>
      </c>
    </row>
    <row r="42" spans="1:6" ht="12">
      <c r="A42" s="265" t="s">
        <v>2827</v>
      </c>
      <c r="C42" s="258" t="s">
        <v>2792</v>
      </c>
      <c r="D42" s="266" t="s">
        <v>2809</v>
      </c>
      <c r="E42" s="294"/>
      <c r="F42" s="267">
        <f t="shared" si="2"/>
        <v>0</v>
      </c>
    </row>
    <row r="43" spans="1:6" ht="12">
      <c r="A43" s="265" t="s">
        <v>2828</v>
      </c>
      <c r="C43" s="258" t="s">
        <v>2792</v>
      </c>
      <c r="D43" s="266" t="s">
        <v>2829</v>
      </c>
      <c r="E43" s="294"/>
      <c r="F43" s="267">
        <f t="shared" si="2"/>
        <v>0</v>
      </c>
    </row>
    <row r="44" spans="1:6" ht="12">
      <c r="A44" s="265" t="s">
        <v>2830</v>
      </c>
      <c r="C44" s="258" t="s">
        <v>2792</v>
      </c>
      <c r="D44" s="266" t="s">
        <v>2811</v>
      </c>
      <c r="E44" s="294"/>
      <c r="F44" s="267">
        <f t="shared" si="2"/>
        <v>0</v>
      </c>
    </row>
    <row r="45" spans="1:6" ht="12">
      <c r="A45" s="265" t="s">
        <v>2831</v>
      </c>
      <c r="C45" s="258" t="s">
        <v>2792</v>
      </c>
      <c r="D45" s="266" t="s">
        <v>2832</v>
      </c>
      <c r="E45" s="294"/>
      <c r="F45" s="267">
        <f t="shared" si="2"/>
        <v>0</v>
      </c>
    </row>
    <row r="46" spans="1:6" ht="12">
      <c r="A46" s="265" t="s">
        <v>2833</v>
      </c>
      <c r="C46" s="258" t="s">
        <v>2792</v>
      </c>
      <c r="D46" s="266" t="s">
        <v>2811</v>
      </c>
      <c r="E46" s="294"/>
      <c r="F46" s="267">
        <f t="shared" si="2"/>
        <v>0</v>
      </c>
    </row>
    <row r="47" spans="1:6" ht="12">
      <c r="A47" s="265" t="s">
        <v>2834</v>
      </c>
      <c r="C47" s="258" t="s">
        <v>2792</v>
      </c>
      <c r="D47" s="266" t="s">
        <v>2829</v>
      </c>
      <c r="E47" s="294"/>
      <c r="F47" s="267">
        <f t="shared" si="2"/>
        <v>0</v>
      </c>
    </row>
    <row r="48" spans="1:6" ht="12">
      <c r="A48" s="265" t="s">
        <v>2835</v>
      </c>
      <c r="C48" s="258" t="s">
        <v>2792</v>
      </c>
      <c r="D48" s="266" t="s">
        <v>2811</v>
      </c>
      <c r="E48" s="294"/>
      <c r="F48" s="267">
        <f t="shared" si="2"/>
        <v>0</v>
      </c>
    </row>
    <row r="49" spans="1:6" ht="12">
      <c r="A49" s="265" t="s">
        <v>2836</v>
      </c>
      <c r="C49" s="258" t="s">
        <v>2792</v>
      </c>
      <c r="D49" s="266" t="s">
        <v>2815</v>
      </c>
      <c r="E49" s="294"/>
      <c r="F49" s="267">
        <f t="shared" si="2"/>
        <v>0</v>
      </c>
    </row>
    <row r="50" spans="1:6" ht="12">
      <c r="A50" s="265" t="s">
        <v>2837</v>
      </c>
      <c r="C50" s="258" t="s">
        <v>2792</v>
      </c>
      <c r="D50" s="266" t="s">
        <v>2838</v>
      </c>
      <c r="E50" s="294"/>
      <c r="F50" s="267">
        <f t="shared" si="2"/>
        <v>0</v>
      </c>
    </row>
    <row r="51" spans="1:6" ht="12">
      <c r="A51" s="265" t="s">
        <v>2839</v>
      </c>
      <c r="C51" s="258" t="s">
        <v>2792</v>
      </c>
      <c r="D51" s="266">
        <v>1</v>
      </c>
      <c r="E51" s="294"/>
      <c r="F51" s="267">
        <f>E51*D51</f>
        <v>0</v>
      </c>
    </row>
    <row r="52" spans="1:6" ht="12">
      <c r="A52" s="256" t="s">
        <v>2840</v>
      </c>
      <c r="B52" s="268"/>
      <c r="C52" s="268" t="s">
        <v>2792</v>
      </c>
      <c r="D52" s="284">
        <v>1</v>
      </c>
      <c r="E52" s="312"/>
      <c r="F52" s="271">
        <f>E52*D52</f>
        <v>0</v>
      </c>
    </row>
    <row r="53" ht="12">
      <c r="D53" s="285"/>
    </row>
    <row r="54" ht="12">
      <c r="A54" s="287">
        <v>4</v>
      </c>
    </row>
    <row r="55" spans="1:6" ht="14.25" customHeight="1">
      <c r="A55" s="280" t="s">
        <v>2841</v>
      </c>
      <c r="B55" s="272"/>
      <c r="C55" s="288"/>
      <c r="D55" s="306"/>
      <c r="E55" s="306"/>
      <c r="F55" s="264">
        <f>F56</f>
        <v>0</v>
      </c>
    </row>
    <row r="56" spans="1:6" ht="12">
      <c r="A56" s="254" t="s">
        <v>2842</v>
      </c>
      <c r="B56" s="289"/>
      <c r="C56" s="268" t="s">
        <v>2843</v>
      </c>
      <c r="D56" s="270">
        <v>1</v>
      </c>
      <c r="E56" s="312"/>
      <c r="F56" s="271">
        <f>D56*E56</f>
        <v>0</v>
      </c>
    </row>
    <row r="57" spans="1:5" ht="12">
      <c r="A57" s="255"/>
      <c r="B57" s="290"/>
      <c r="C57" s="291"/>
      <c r="D57" s="266"/>
      <c r="E57" s="294"/>
    </row>
    <row r="58" spans="1:5" ht="12">
      <c r="A58" s="287">
        <v>5</v>
      </c>
      <c r="B58" s="290"/>
      <c r="C58" s="291"/>
      <c r="D58" s="266"/>
      <c r="E58" s="294"/>
    </row>
    <row r="59" spans="1:6" ht="12">
      <c r="A59" s="280" t="s">
        <v>2844</v>
      </c>
      <c r="B59" s="292"/>
      <c r="C59" s="293"/>
      <c r="D59" s="308"/>
      <c r="E59" s="295"/>
      <c r="F59" s="264">
        <f>SUM(F60:F64)</f>
        <v>0</v>
      </c>
    </row>
    <row r="60" spans="1:6" ht="12">
      <c r="A60" s="253" t="s">
        <v>2845</v>
      </c>
      <c r="B60" s="290"/>
      <c r="C60" s="258" t="s">
        <v>2792</v>
      </c>
      <c r="D60" s="266">
        <v>3</v>
      </c>
      <c r="E60" s="294"/>
      <c r="F60" s="267">
        <f>E60*D60</f>
        <v>0</v>
      </c>
    </row>
    <row r="61" spans="1:6" ht="12">
      <c r="A61" s="253" t="s">
        <v>2846</v>
      </c>
      <c r="B61" s="290"/>
      <c r="C61" s="258" t="s">
        <v>2792</v>
      </c>
      <c r="D61" s="266">
        <v>1</v>
      </c>
      <c r="E61" s="294"/>
      <c r="F61" s="267">
        <f aca="true" t="shared" si="3" ref="F61:F64">E61*D61</f>
        <v>0</v>
      </c>
    </row>
    <row r="62" spans="1:6" ht="12">
      <c r="A62" s="253" t="s">
        <v>2847</v>
      </c>
      <c r="B62" s="290"/>
      <c r="C62" s="258" t="s">
        <v>2792</v>
      </c>
      <c r="D62" s="266">
        <v>1</v>
      </c>
      <c r="E62" s="294"/>
      <c r="F62" s="267">
        <f t="shared" si="3"/>
        <v>0</v>
      </c>
    </row>
    <row r="63" spans="1:6" ht="12">
      <c r="A63" s="253" t="s">
        <v>2848</v>
      </c>
      <c r="B63" s="290"/>
      <c r="C63" s="258" t="s">
        <v>2792</v>
      </c>
      <c r="D63" s="266">
        <v>1</v>
      </c>
      <c r="E63" s="294"/>
      <c r="F63" s="267">
        <f t="shared" si="3"/>
        <v>0</v>
      </c>
    </row>
    <row r="64" spans="1:6" ht="12">
      <c r="A64" s="254" t="s">
        <v>2849</v>
      </c>
      <c r="B64" s="289"/>
      <c r="C64" s="268" t="s">
        <v>2792</v>
      </c>
      <c r="D64" s="270">
        <v>1</v>
      </c>
      <c r="E64" s="312"/>
      <c r="F64" s="271">
        <f t="shared" si="3"/>
        <v>0</v>
      </c>
    </row>
    <row r="65" spans="1:5" ht="12">
      <c r="A65" s="255"/>
      <c r="B65" s="290"/>
      <c r="D65" s="266"/>
      <c r="E65" s="294"/>
    </row>
    <row r="66" spans="1:5" ht="12">
      <c r="A66" s="287">
        <v>6</v>
      </c>
      <c r="B66" s="290"/>
      <c r="D66" s="266"/>
      <c r="E66" s="294"/>
    </row>
    <row r="67" spans="1:6" ht="12">
      <c r="A67" s="280" t="s">
        <v>2850</v>
      </c>
      <c r="B67" s="292"/>
      <c r="C67" s="263"/>
      <c r="D67" s="308"/>
      <c r="E67" s="295"/>
      <c r="F67" s="264">
        <f>SUM(F69:F92)</f>
        <v>0</v>
      </c>
    </row>
    <row r="68" spans="1:6" ht="12">
      <c r="A68" s="323" t="s">
        <v>2851</v>
      </c>
      <c r="C68" s="324"/>
      <c r="D68" s="325"/>
      <c r="E68" s="326"/>
      <c r="F68" s="267"/>
    </row>
    <row r="69" spans="1:6" ht="12">
      <c r="A69" s="327" t="s">
        <v>2852</v>
      </c>
      <c r="B69" s="290"/>
      <c r="C69" s="328" t="s">
        <v>249</v>
      </c>
      <c r="D69" s="329">
        <v>700</v>
      </c>
      <c r="E69" s="294"/>
      <c r="F69" s="267">
        <f>E69*D69</f>
        <v>0</v>
      </c>
    </row>
    <row r="70" spans="1:6" ht="12">
      <c r="A70" s="323" t="s">
        <v>2853</v>
      </c>
      <c r="C70" s="324"/>
      <c r="D70" s="325"/>
      <c r="E70" s="326"/>
      <c r="F70" s="267"/>
    </row>
    <row r="71" spans="1:6" ht="12">
      <c r="A71" s="327" t="s">
        <v>2854</v>
      </c>
      <c r="B71" s="290"/>
      <c r="C71" s="328" t="s">
        <v>249</v>
      </c>
      <c r="D71" s="329">
        <v>175</v>
      </c>
      <c r="E71" s="294"/>
      <c r="F71" s="267">
        <f>E71*D71</f>
        <v>0</v>
      </c>
    </row>
    <row r="72" spans="1:6" ht="12">
      <c r="A72" s="323" t="s">
        <v>2855</v>
      </c>
      <c r="C72" s="324"/>
      <c r="D72" s="325"/>
      <c r="E72" s="326"/>
      <c r="F72" s="267"/>
    </row>
    <row r="73" spans="1:6" ht="12">
      <c r="A73" s="327" t="s">
        <v>2856</v>
      </c>
      <c r="C73" s="328" t="s">
        <v>2792</v>
      </c>
      <c r="D73" s="329">
        <v>8</v>
      </c>
      <c r="E73" s="294"/>
      <c r="F73" s="267">
        <f>E73*D73</f>
        <v>0</v>
      </c>
    </row>
    <row r="74" spans="1:6" ht="12">
      <c r="A74" s="323" t="s">
        <v>2857</v>
      </c>
      <c r="C74" s="324"/>
      <c r="D74" s="325"/>
      <c r="E74" s="326"/>
      <c r="F74" s="267"/>
    </row>
    <row r="75" spans="1:6" ht="12">
      <c r="A75" s="327" t="s">
        <v>2858</v>
      </c>
      <c r="C75" s="328" t="s">
        <v>2792</v>
      </c>
      <c r="D75" s="329">
        <v>14</v>
      </c>
      <c r="E75" s="294"/>
      <c r="F75" s="267">
        <f>E75*D75</f>
        <v>0</v>
      </c>
    </row>
    <row r="76" spans="1:6" ht="12">
      <c r="A76" s="323" t="s">
        <v>2859</v>
      </c>
      <c r="C76" s="324"/>
      <c r="D76" s="325"/>
      <c r="E76" s="326"/>
      <c r="F76" s="267"/>
    </row>
    <row r="77" spans="1:6" ht="12">
      <c r="A77" s="327" t="s">
        <v>2860</v>
      </c>
      <c r="C77" s="328" t="s">
        <v>2792</v>
      </c>
      <c r="D77" s="329">
        <v>118</v>
      </c>
      <c r="E77" s="294"/>
      <c r="F77" s="267">
        <f>E77*D77</f>
        <v>0</v>
      </c>
    </row>
    <row r="78" spans="1:6" ht="12">
      <c r="A78" s="323" t="s">
        <v>2859</v>
      </c>
      <c r="C78" s="324"/>
      <c r="D78" s="325"/>
      <c r="E78" s="326"/>
      <c r="F78" s="267"/>
    </row>
    <row r="79" spans="1:6" ht="12">
      <c r="A79" s="327" t="s">
        <v>2861</v>
      </c>
      <c r="C79" s="328" t="s">
        <v>2792</v>
      </c>
      <c r="D79" s="329">
        <v>110</v>
      </c>
      <c r="E79" s="294"/>
      <c r="F79" s="267">
        <f>E79*D79</f>
        <v>0</v>
      </c>
    </row>
    <row r="80" spans="1:6" ht="12">
      <c r="A80" s="323" t="s">
        <v>2859</v>
      </c>
      <c r="C80" s="324"/>
      <c r="D80" s="325"/>
      <c r="E80" s="326"/>
      <c r="F80" s="267"/>
    </row>
    <row r="81" spans="1:6" ht="12">
      <c r="A81" s="327" t="s">
        <v>2862</v>
      </c>
      <c r="C81" s="328" t="s">
        <v>2792</v>
      </c>
      <c r="D81" s="329">
        <v>30</v>
      </c>
      <c r="E81" s="294"/>
      <c r="F81" s="267">
        <f>E81*D81</f>
        <v>0</v>
      </c>
    </row>
    <row r="82" spans="1:6" ht="12">
      <c r="A82" s="323" t="s">
        <v>2863</v>
      </c>
      <c r="C82" s="324"/>
      <c r="D82" s="325"/>
      <c r="E82" s="326"/>
      <c r="F82" s="267"/>
    </row>
    <row r="83" spans="1:6" ht="12">
      <c r="A83" s="327" t="s">
        <v>2864</v>
      </c>
      <c r="C83" s="328" t="s">
        <v>2792</v>
      </c>
      <c r="D83" s="329">
        <v>4</v>
      </c>
      <c r="E83" s="294"/>
      <c r="F83" s="267">
        <f aca="true" t="shared" si="4" ref="F83:F87">E83*D83</f>
        <v>0</v>
      </c>
    </row>
    <row r="84" spans="1:6" ht="12">
      <c r="A84" s="327" t="s">
        <v>2865</v>
      </c>
      <c r="C84" s="328" t="s">
        <v>2792</v>
      </c>
      <c r="D84" s="329">
        <v>77</v>
      </c>
      <c r="E84" s="294"/>
      <c r="F84" s="267">
        <f t="shared" si="4"/>
        <v>0</v>
      </c>
    </row>
    <row r="85" spans="1:6" ht="12">
      <c r="A85" s="327" t="s">
        <v>2866</v>
      </c>
      <c r="C85" s="328" t="s">
        <v>2792</v>
      </c>
      <c r="D85" s="329">
        <v>28</v>
      </c>
      <c r="E85" s="294"/>
      <c r="F85" s="267">
        <f t="shared" si="4"/>
        <v>0</v>
      </c>
    </row>
    <row r="86" spans="1:6" ht="12">
      <c r="A86" s="327" t="s">
        <v>2867</v>
      </c>
      <c r="C86" s="328" t="s">
        <v>2792</v>
      </c>
      <c r="D86" s="329">
        <v>13</v>
      </c>
      <c r="E86" s="294"/>
      <c r="F86" s="267">
        <f t="shared" si="4"/>
        <v>0</v>
      </c>
    </row>
    <row r="87" spans="1:6" ht="12">
      <c r="A87" s="327" t="s">
        <v>2868</v>
      </c>
      <c r="C87" s="328" t="s">
        <v>2792</v>
      </c>
      <c r="D87" s="329">
        <v>30</v>
      </c>
      <c r="E87" s="294"/>
      <c r="F87" s="267">
        <f t="shared" si="4"/>
        <v>0</v>
      </c>
    </row>
    <row r="88" spans="1:6" ht="12">
      <c r="A88" s="323" t="s">
        <v>2869</v>
      </c>
      <c r="C88" s="324"/>
      <c r="D88" s="325"/>
      <c r="E88" s="326"/>
      <c r="F88" s="267"/>
    </row>
    <row r="89" spans="1:6" ht="12">
      <c r="A89" s="327" t="s">
        <v>2870</v>
      </c>
      <c r="C89" s="328" t="s">
        <v>2792</v>
      </c>
      <c r="D89" s="329">
        <v>5</v>
      </c>
      <c r="E89" s="294"/>
      <c r="F89" s="267">
        <f>E89*D89</f>
        <v>0</v>
      </c>
    </row>
    <row r="90" spans="1:6" ht="12">
      <c r="A90" s="323" t="s">
        <v>2871</v>
      </c>
      <c r="C90" s="324"/>
      <c r="D90" s="325"/>
      <c r="E90" s="326"/>
      <c r="F90" s="267"/>
    </row>
    <row r="91" spans="1:6" ht="12">
      <c r="A91" s="327" t="s">
        <v>2872</v>
      </c>
      <c r="C91" s="328" t="s">
        <v>2792</v>
      </c>
      <c r="D91" s="329">
        <v>11</v>
      </c>
      <c r="E91" s="294"/>
      <c r="F91" s="267">
        <f>E91*D91</f>
        <v>0</v>
      </c>
    </row>
    <row r="92" spans="1:6" ht="12">
      <c r="A92" s="315" t="s">
        <v>2873</v>
      </c>
      <c r="B92" s="268"/>
      <c r="C92" s="316" t="s">
        <v>2792</v>
      </c>
      <c r="D92" s="317">
        <v>22</v>
      </c>
      <c r="E92" s="312"/>
      <c r="F92" s="271">
        <f>E92*D92</f>
        <v>0</v>
      </c>
    </row>
    <row r="93" spans="1:5" ht="12">
      <c r="A93" s="297"/>
      <c r="C93" s="297"/>
      <c r="D93" s="314"/>
      <c r="E93" s="296"/>
    </row>
    <row r="94" spans="1:6" ht="12">
      <c r="A94" s="319" t="s">
        <v>2874</v>
      </c>
      <c r="B94" s="261"/>
      <c r="C94" s="320" t="s">
        <v>183</v>
      </c>
      <c r="D94" s="321">
        <v>1</v>
      </c>
      <c r="E94" s="318"/>
      <c r="F94" s="322">
        <f>E94*D94</f>
        <v>0</v>
      </c>
    </row>
    <row r="95" spans="1:5" ht="12">
      <c r="A95" s="297"/>
      <c r="C95" s="297"/>
      <c r="D95" s="314"/>
      <c r="E95" s="296"/>
    </row>
    <row r="96" spans="1:6" ht="12">
      <c r="A96" s="330" t="s">
        <v>2875</v>
      </c>
      <c r="B96" s="263"/>
      <c r="C96" s="331"/>
      <c r="D96" s="332"/>
      <c r="E96" s="306"/>
      <c r="F96" s="264">
        <f>SUM(F97:F102)</f>
        <v>0</v>
      </c>
    </row>
    <row r="97" spans="1:6" ht="12">
      <c r="A97" s="313" t="s">
        <v>2876</v>
      </c>
      <c r="C97" s="297" t="s">
        <v>1021</v>
      </c>
      <c r="D97" s="296">
        <v>9</v>
      </c>
      <c r="E97" s="294"/>
      <c r="F97" s="267">
        <f>E97*D97</f>
        <v>0</v>
      </c>
    </row>
    <row r="98" spans="1:6" ht="12">
      <c r="A98" s="323" t="s">
        <v>2877</v>
      </c>
      <c r="C98" s="324"/>
      <c r="D98" s="333"/>
      <c r="F98" s="267"/>
    </row>
    <row r="99" spans="1:6" ht="12">
      <c r="A99" s="323" t="s">
        <v>2878</v>
      </c>
      <c r="C99" s="324"/>
      <c r="D99" s="333"/>
      <c r="F99" s="267"/>
    </row>
    <row r="100" spans="1:6" ht="12">
      <c r="A100" s="313" t="s">
        <v>2879</v>
      </c>
      <c r="C100" s="297" t="s">
        <v>1021</v>
      </c>
      <c r="D100" s="296">
        <v>20</v>
      </c>
      <c r="E100" s="294"/>
      <c r="F100" s="267">
        <f aca="true" t="shared" si="5" ref="F100:F102">E100*D100</f>
        <v>0</v>
      </c>
    </row>
    <row r="101" spans="1:6" ht="12">
      <c r="A101" s="313" t="s">
        <v>2880</v>
      </c>
      <c r="C101" s="297" t="s">
        <v>1021</v>
      </c>
      <c r="D101" s="296">
        <v>5</v>
      </c>
      <c r="E101" s="294"/>
      <c r="F101" s="267">
        <f t="shared" si="5"/>
        <v>0</v>
      </c>
    </row>
    <row r="102" spans="1:6" ht="12">
      <c r="A102" s="315" t="s">
        <v>2881</v>
      </c>
      <c r="B102" s="268"/>
      <c r="C102" s="316" t="s">
        <v>183</v>
      </c>
      <c r="D102" s="334">
        <v>1</v>
      </c>
      <c r="E102" s="312"/>
      <c r="F102" s="271">
        <f t="shared" si="5"/>
        <v>0</v>
      </c>
    </row>
    <row r="103" spans="1:5" ht="12">
      <c r="A103" s="297"/>
      <c r="C103" s="297"/>
      <c r="D103" s="314"/>
      <c r="E103" s="296"/>
    </row>
    <row r="104" spans="1:6" ht="12" thickBot="1">
      <c r="A104" s="298" t="s">
        <v>2882</v>
      </c>
      <c r="B104" s="299"/>
      <c r="C104" s="299"/>
      <c r="D104" s="310"/>
      <c r="E104" s="310"/>
      <c r="F104" s="300">
        <f>F96+F94+F67+F59+F55+F28+F20+F11</f>
        <v>0</v>
      </c>
    </row>
    <row r="105" spans="1:5" ht="12">
      <c r="A105" s="297"/>
      <c r="C105" s="297"/>
      <c r="D105" s="314"/>
      <c r="E105" s="296"/>
    </row>
    <row r="106" spans="1:6" ht="12">
      <c r="A106" s="330" t="s">
        <v>2883</v>
      </c>
      <c r="B106" s="263"/>
      <c r="C106" s="335"/>
      <c r="D106" s="336"/>
      <c r="E106" s="337"/>
      <c r="F106" s="264">
        <f>SUM(F108:F111)</f>
        <v>0</v>
      </c>
    </row>
    <row r="107" spans="1:6" ht="12">
      <c r="A107" s="323" t="s">
        <v>2884</v>
      </c>
      <c r="C107" s="324"/>
      <c r="D107" s="333"/>
      <c r="E107" s="326"/>
      <c r="F107" s="267"/>
    </row>
    <row r="108" spans="1:6" ht="12">
      <c r="A108" s="327" t="s">
        <v>2885</v>
      </c>
      <c r="C108" s="328" t="s">
        <v>249</v>
      </c>
      <c r="D108" s="326">
        <v>150</v>
      </c>
      <c r="E108" s="294"/>
      <c r="F108" s="267">
        <f>E108*D108</f>
        <v>0</v>
      </c>
    </row>
    <row r="109" spans="1:6" ht="12">
      <c r="A109" s="323" t="s">
        <v>2886</v>
      </c>
      <c r="C109" s="324"/>
      <c r="D109" s="333"/>
      <c r="E109" s="326"/>
      <c r="F109" s="267"/>
    </row>
    <row r="110" spans="1:6" ht="12">
      <c r="A110" s="327" t="s">
        <v>2887</v>
      </c>
      <c r="C110" s="328" t="s">
        <v>249</v>
      </c>
      <c r="D110" s="326">
        <v>150</v>
      </c>
      <c r="E110" s="294"/>
      <c r="F110" s="267">
        <f>E110*D110</f>
        <v>0</v>
      </c>
    </row>
    <row r="111" spans="1:6" ht="12">
      <c r="A111" s="256" t="s">
        <v>2888</v>
      </c>
      <c r="B111" s="268"/>
      <c r="C111" s="338" t="s">
        <v>131</v>
      </c>
      <c r="D111" s="339">
        <v>45</v>
      </c>
      <c r="E111" s="312"/>
      <c r="F111" s="271">
        <f>E111*D111</f>
        <v>0</v>
      </c>
    </row>
    <row r="112" spans="1:5" ht="12" thickBot="1">
      <c r="A112" s="297"/>
      <c r="C112" s="297"/>
      <c r="D112" s="314"/>
      <c r="E112" s="296"/>
    </row>
    <row r="113" spans="1:6" ht="23.25" customHeight="1" thickBot="1">
      <c r="A113" s="301" t="s">
        <v>2889</v>
      </c>
      <c r="B113" s="302"/>
      <c r="C113" s="302"/>
      <c r="D113" s="311"/>
      <c r="E113" s="311"/>
      <c r="F113" s="303">
        <f>F104+F106</f>
        <v>0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2472D-C98D-43CD-8FCB-730C05B67625}">
  <dimension ref="A2:H40"/>
  <sheetViews>
    <sheetView zoomScale="130" zoomScaleNormal="130" workbookViewId="0" topLeftCell="A1"/>
  </sheetViews>
  <sheetFormatPr defaultColWidth="8.8515625" defaultRowHeight="12"/>
  <cols>
    <col min="1" max="1" width="9.421875" style="340" customWidth="1"/>
    <col min="2" max="2" width="8.28125" style="341" customWidth="1"/>
    <col min="3" max="3" width="20.140625" style="341" customWidth="1"/>
    <col min="4" max="4" width="88.421875" style="341" customWidth="1"/>
    <col min="5" max="5" width="8.8515625" style="341" customWidth="1"/>
    <col min="6" max="6" width="8.8515625" style="342" customWidth="1"/>
    <col min="7" max="7" width="23.8515625" style="342" customWidth="1"/>
    <col min="8" max="8" width="24.8515625" style="342" customWidth="1"/>
    <col min="9" max="16384" width="8.8515625" style="341" customWidth="1"/>
  </cols>
  <sheetData>
    <row r="2" ht="12">
      <c r="A2" s="340" t="s">
        <v>111</v>
      </c>
    </row>
    <row r="4" ht="12">
      <c r="A4" s="340" t="s">
        <v>15</v>
      </c>
    </row>
    <row r="6" ht="12">
      <c r="A6" s="340" t="s">
        <v>88</v>
      </c>
    </row>
    <row r="7" ht="12">
      <c r="C7" s="341" t="s">
        <v>2895</v>
      </c>
    </row>
    <row r="9" spans="1:7" ht="12">
      <c r="A9" s="340" t="s">
        <v>19</v>
      </c>
      <c r="D9" s="341" t="s">
        <v>2896</v>
      </c>
      <c r="G9" s="342" t="s">
        <v>21</v>
      </c>
    </row>
    <row r="11" spans="1:7" ht="12">
      <c r="A11" s="340" t="s">
        <v>23</v>
      </c>
      <c r="D11" s="507"/>
      <c r="E11" s="507"/>
      <c r="F11" s="507"/>
      <c r="G11" s="507"/>
    </row>
    <row r="12" spans="1:7" ht="12">
      <c r="A12" s="340" t="s">
        <v>2897</v>
      </c>
      <c r="G12" s="342" t="s">
        <v>33</v>
      </c>
    </row>
    <row r="14" spans="1:8" ht="12">
      <c r="A14" s="340" t="s">
        <v>112</v>
      </c>
      <c r="B14" s="341" t="s">
        <v>55</v>
      </c>
      <c r="C14" s="341" t="s">
        <v>51</v>
      </c>
      <c r="D14" s="341" t="s">
        <v>52</v>
      </c>
      <c r="E14" s="341" t="s">
        <v>113</v>
      </c>
      <c r="F14" s="342" t="s">
        <v>114</v>
      </c>
      <c r="G14" s="342" t="s">
        <v>115</v>
      </c>
      <c r="H14" s="342" t="s">
        <v>92</v>
      </c>
    </row>
    <row r="15" spans="1:8" ht="12">
      <c r="A15" s="343" t="s">
        <v>123</v>
      </c>
      <c r="B15" s="344"/>
      <c r="C15" s="344"/>
      <c r="D15" s="344"/>
      <c r="E15" s="344"/>
      <c r="F15" s="345"/>
      <c r="G15" s="345"/>
      <c r="H15" s="346">
        <f>SUM(H18:H32)</f>
        <v>0</v>
      </c>
    </row>
    <row r="17" spans="2:8" ht="12">
      <c r="B17" s="347" t="s">
        <v>69</v>
      </c>
      <c r="C17" s="347" t="s">
        <v>2898</v>
      </c>
      <c r="D17" s="347" t="s">
        <v>2899</v>
      </c>
      <c r="E17" s="347"/>
      <c r="F17" s="348"/>
      <c r="G17" s="348"/>
      <c r="H17" s="348"/>
    </row>
    <row r="18" spans="1:8" ht="12">
      <c r="A18" s="340" t="s">
        <v>78</v>
      </c>
      <c r="B18" s="341" t="s">
        <v>128</v>
      </c>
      <c r="C18" s="341" t="s">
        <v>2900</v>
      </c>
      <c r="D18" s="341" t="s">
        <v>2901</v>
      </c>
      <c r="E18" s="341" t="s">
        <v>249</v>
      </c>
      <c r="F18" s="342">
        <v>38</v>
      </c>
      <c r="H18" s="342">
        <f aca="true" t="shared" si="0" ref="H18:H19">G18*F18</f>
        <v>0</v>
      </c>
    </row>
    <row r="19" spans="1:8" ht="12">
      <c r="A19" s="340" t="s">
        <v>80</v>
      </c>
      <c r="B19" s="341" t="s">
        <v>128</v>
      </c>
      <c r="C19" s="341" t="s">
        <v>2902</v>
      </c>
      <c r="D19" s="341" t="s">
        <v>2903</v>
      </c>
      <c r="E19" s="341" t="s">
        <v>249</v>
      </c>
      <c r="F19" s="342">
        <v>4</v>
      </c>
      <c r="H19" s="342">
        <f t="shared" si="0"/>
        <v>0</v>
      </c>
    </row>
    <row r="20" spans="1:8" ht="14.25" customHeight="1">
      <c r="A20" s="340">
        <v>3</v>
      </c>
      <c r="B20" s="341" t="s">
        <v>128</v>
      </c>
      <c r="C20" s="341" t="s">
        <v>2904</v>
      </c>
      <c r="D20" s="341" t="s">
        <v>2905</v>
      </c>
      <c r="E20" s="341" t="s">
        <v>249</v>
      </c>
      <c r="F20" s="342">
        <v>1.5</v>
      </c>
      <c r="H20" s="342">
        <f>G20*F20</f>
        <v>0</v>
      </c>
    </row>
    <row r="21" spans="1:8" ht="12">
      <c r="A21" s="340">
        <v>4</v>
      </c>
      <c r="B21" s="341" t="s">
        <v>128</v>
      </c>
      <c r="C21" s="341" t="s">
        <v>2906</v>
      </c>
      <c r="D21" s="341" t="s">
        <v>2907</v>
      </c>
      <c r="E21" s="341" t="s">
        <v>296</v>
      </c>
      <c r="F21" s="342">
        <v>5</v>
      </c>
      <c r="H21" s="342">
        <f>G21*F21</f>
        <v>0</v>
      </c>
    </row>
    <row r="22" spans="1:8" ht="12">
      <c r="A22" s="340">
        <v>5</v>
      </c>
      <c r="B22" s="341" t="s">
        <v>128</v>
      </c>
      <c r="C22" s="341" t="s">
        <v>2908</v>
      </c>
      <c r="D22" s="341" t="s">
        <v>2909</v>
      </c>
      <c r="E22" s="341" t="s">
        <v>2843</v>
      </c>
      <c r="F22" s="342">
        <v>1</v>
      </c>
      <c r="H22" s="342">
        <f>G22*F22</f>
        <v>0</v>
      </c>
    </row>
    <row r="23" spans="4:8" ht="12">
      <c r="D23" s="341" t="s">
        <v>2910</v>
      </c>
      <c r="E23" s="341" t="s">
        <v>2843</v>
      </c>
      <c r="F23" s="342">
        <v>4</v>
      </c>
      <c r="H23" s="342">
        <f>G23*F23</f>
        <v>0</v>
      </c>
    </row>
    <row r="24" spans="1:8" ht="12">
      <c r="A24" s="340">
        <v>6</v>
      </c>
      <c r="B24" s="341" t="s">
        <v>128</v>
      </c>
      <c r="C24" s="341" t="s">
        <v>2911</v>
      </c>
      <c r="D24" s="341" t="s">
        <v>2912</v>
      </c>
      <c r="E24" s="341" t="s">
        <v>413</v>
      </c>
      <c r="F24" s="342">
        <v>5</v>
      </c>
      <c r="H24" s="342">
        <f>G24*F24%</f>
        <v>0</v>
      </c>
    </row>
    <row r="25" spans="2:4" ht="12">
      <c r="B25" s="347" t="s">
        <v>69</v>
      </c>
      <c r="C25" s="347" t="s">
        <v>2404</v>
      </c>
      <c r="D25" s="347" t="s">
        <v>2405</v>
      </c>
    </row>
    <row r="26" spans="1:8" ht="12">
      <c r="A26" s="340">
        <v>7</v>
      </c>
      <c r="B26" s="341" t="s">
        <v>128</v>
      </c>
      <c r="C26" s="341" t="s">
        <v>2913</v>
      </c>
      <c r="D26" s="341" t="s">
        <v>2914</v>
      </c>
      <c r="E26" s="341" t="s">
        <v>249</v>
      </c>
      <c r="F26" s="342">
        <v>42</v>
      </c>
      <c r="H26" s="342">
        <f aca="true" t="shared" si="1" ref="H26:H32">G26*F26</f>
        <v>0</v>
      </c>
    </row>
    <row r="27" spans="1:8" ht="12">
      <c r="A27" s="340">
        <v>8</v>
      </c>
      <c r="B27" s="341" t="s">
        <v>128</v>
      </c>
      <c r="C27" s="341" t="s">
        <v>2915</v>
      </c>
      <c r="D27" s="341" t="s">
        <v>2916</v>
      </c>
      <c r="E27" s="341" t="s">
        <v>249</v>
      </c>
      <c r="F27" s="342">
        <v>42</v>
      </c>
      <c r="H27" s="342">
        <f t="shared" si="1"/>
        <v>0</v>
      </c>
    </row>
    <row r="28" spans="1:4" ht="12">
      <c r="A28" s="349"/>
      <c r="B28" s="347" t="s">
        <v>69</v>
      </c>
      <c r="C28" s="347" t="s">
        <v>2481</v>
      </c>
      <c r="D28" s="347" t="s">
        <v>2482</v>
      </c>
    </row>
    <row r="29" spans="1:8" ht="12">
      <c r="A29" s="340">
        <v>9</v>
      </c>
      <c r="B29" s="341" t="s">
        <v>128</v>
      </c>
      <c r="C29" s="341" t="s">
        <v>2917</v>
      </c>
      <c r="D29" s="341" t="s">
        <v>2918</v>
      </c>
      <c r="E29" s="341" t="s">
        <v>1021</v>
      </c>
      <c r="F29" s="342">
        <v>25</v>
      </c>
      <c r="H29" s="342">
        <f t="shared" si="1"/>
        <v>0</v>
      </c>
    </row>
    <row r="30" spans="1:8" ht="12">
      <c r="A30" s="340">
        <v>10</v>
      </c>
      <c r="B30" s="341" t="s">
        <v>69</v>
      </c>
      <c r="C30" s="341" t="s">
        <v>606</v>
      </c>
      <c r="D30" s="341" t="s">
        <v>85</v>
      </c>
      <c r="H30" s="342">
        <f t="shared" si="1"/>
        <v>0</v>
      </c>
    </row>
    <row r="31" spans="1:8" ht="12">
      <c r="A31" s="340">
        <v>11</v>
      </c>
      <c r="B31" s="341" t="s">
        <v>69</v>
      </c>
      <c r="C31" s="341" t="s">
        <v>2572</v>
      </c>
      <c r="D31" s="341" t="s">
        <v>2573</v>
      </c>
      <c r="H31" s="342">
        <f t="shared" si="1"/>
        <v>0</v>
      </c>
    </row>
    <row r="32" spans="1:8" ht="12">
      <c r="A32" s="340">
        <v>12</v>
      </c>
      <c r="B32" s="341" t="s">
        <v>128</v>
      </c>
      <c r="C32" s="341" t="s">
        <v>2919</v>
      </c>
      <c r="D32" s="341" t="s">
        <v>2920</v>
      </c>
      <c r="E32" s="341" t="s">
        <v>2921</v>
      </c>
      <c r="F32" s="342">
        <v>1</v>
      </c>
      <c r="H32" s="342">
        <f t="shared" si="1"/>
        <v>0</v>
      </c>
    </row>
    <row r="40" ht="12">
      <c r="D40" s="341" t="s">
        <v>28</v>
      </c>
    </row>
  </sheetData>
  <mergeCells count="1">
    <mergeCell ref="D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67BDC-D166-4CFA-A649-BC60BF9093BC}">
  <dimension ref="A1:AK150"/>
  <sheetViews>
    <sheetView zoomScaleSheetLayoutView="100" workbookViewId="0" topLeftCell="A1">
      <selection activeCell="A1" sqref="A1:L1"/>
    </sheetView>
  </sheetViews>
  <sheetFormatPr defaultColWidth="14.00390625" defaultRowHeight="12"/>
  <cols>
    <col min="1" max="1" width="3.28125" style="350" customWidth="1"/>
    <col min="2" max="2" width="1.421875" style="350" customWidth="1"/>
    <col min="3" max="3" width="17.28125" style="350" customWidth="1"/>
    <col min="4" max="4" width="69.28125" style="350" customWidth="1"/>
    <col min="5" max="5" width="10.7109375" style="350" customWidth="1"/>
    <col min="6" max="6" width="12.421875" style="350" customWidth="1"/>
    <col min="7" max="7" width="17.28125" style="350" customWidth="1"/>
    <col min="8" max="8" width="14.8515625" style="350" customWidth="1"/>
    <col min="9" max="9" width="13.421875" style="350" customWidth="1"/>
    <col min="10" max="10" width="16.140625" style="350" customWidth="1"/>
    <col min="11" max="12" width="14.28125" style="350" customWidth="1"/>
    <col min="13" max="13" width="14.00390625" style="350" customWidth="1"/>
    <col min="14" max="37" width="14.8515625" style="350" hidden="1" customWidth="1"/>
    <col min="38" max="256" width="14.00390625" style="350" customWidth="1"/>
    <col min="257" max="257" width="3.28125" style="350" customWidth="1"/>
    <col min="258" max="258" width="1.421875" style="350" customWidth="1"/>
    <col min="259" max="259" width="17.28125" style="350" customWidth="1"/>
    <col min="260" max="260" width="69.28125" style="350" customWidth="1"/>
    <col min="261" max="261" width="10.7109375" style="350" customWidth="1"/>
    <col min="262" max="262" width="12.421875" style="350" customWidth="1"/>
    <col min="263" max="263" width="17.28125" style="350" customWidth="1"/>
    <col min="264" max="264" width="14.8515625" style="350" customWidth="1"/>
    <col min="265" max="265" width="13.421875" style="350" customWidth="1"/>
    <col min="266" max="266" width="16.140625" style="350" customWidth="1"/>
    <col min="267" max="268" width="14.28125" style="350" customWidth="1"/>
    <col min="269" max="269" width="14.00390625" style="350" customWidth="1"/>
    <col min="270" max="293" width="14.00390625" style="350" hidden="1" customWidth="1"/>
    <col min="294" max="512" width="14.00390625" style="350" customWidth="1"/>
    <col min="513" max="513" width="3.28125" style="350" customWidth="1"/>
    <col min="514" max="514" width="1.421875" style="350" customWidth="1"/>
    <col min="515" max="515" width="17.28125" style="350" customWidth="1"/>
    <col min="516" max="516" width="69.28125" style="350" customWidth="1"/>
    <col min="517" max="517" width="10.7109375" style="350" customWidth="1"/>
    <col min="518" max="518" width="12.421875" style="350" customWidth="1"/>
    <col min="519" max="519" width="17.28125" style="350" customWidth="1"/>
    <col min="520" max="520" width="14.8515625" style="350" customWidth="1"/>
    <col min="521" max="521" width="13.421875" style="350" customWidth="1"/>
    <col min="522" max="522" width="16.140625" style="350" customWidth="1"/>
    <col min="523" max="524" width="14.28125" style="350" customWidth="1"/>
    <col min="525" max="525" width="14.00390625" style="350" customWidth="1"/>
    <col min="526" max="549" width="14.00390625" style="350" hidden="1" customWidth="1"/>
    <col min="550" max="768" width="14.00390625" style="350" customWidth="1"/>
    <col min="769" max="769" width="3.28125" style="350" customWidth="1"/>
    <col min="770" max="770" width="1.421875" style="350" customWidth="1"/>
    <col min="771" max="771" width="17.28125" style="350" customWidth="1"/>
    <col min="772" max="772" width="69.28125" style="350" customWidth="1"/>
    <col min="773" max="773" width="10.7109375" style="350" customWidth="1"/>
    <col min="774" max="774" width="12.421875" style="350" customWidth="1"/>
    <col min="775" max="775" width="17.28125" style="350" customWidth="1"/>
    <col min="776" max="776" width="14.8515625" style="350" customWidth="1"/>
    <col min="777" max="777" width="13.421875" style="350" customWidth="1"/>
    <col min="778" max="778" width="16.140625" style="350" customWidth="1"/>
    <col min="779" max="780" width="14.28125" style="350" customWidth="1"/>
    <col min="781" max="781" width="14.00390625" style="350" customWidth="1"/>
    <col min="782" max="805" width="14.00390625" style="350" hidden="1" customWidth="1"/>
    <col min="806" max="1024" width="14.00390625" style="350" customWidth="1"/>
    <col min="1025" max="1025" width="3.28125" style="350" customWidth="1"/>
    <col min="1026" max="1026" width="1.421875" style="350" customWidth="1"/>
    <col min="1027" max="1027" width="17.28125" style="350" customWidth="1"/>
    <col min="1028" max="1028" width="69.28125" style="350" customWidth="1"/>
    <col min="1029" max="1029" width="10.7109375" style="350" customWidth="1"/>
    <col min="1030" max="1030" width="12.421875" style="350" customWidth="1"/>
    <col min="1031" max="1031" width="17.28125" style="350" customWidth="1"/>
    <col min="1032" max="1032" width="14.8515625" style="350" customWidth="1"/>
    <col min="1033" max="1033" width="13.421875" style="350" customWidth="1"/>
    <col min="1034" max="1034" width="16.140625" style="350" customWidth="1"/>
    <col min="1035" max="1036" width="14.28125" style="350" customWidth="1"/>
    <col min="1037" max="1037" width="14.00390625" style="350" customWidth="1"/>
    <col min="1038" max="1061" width="14.00390625" style="350" hidden="1" customWidth="1"/>
    <col min="1062" max="1280" width="14.00390625" style="350" customWidth="1"/>
    <col min="1281" max="1281" width="3.28125" style="350" customWidth="1"/>
    <col min="1282" max="1282" width="1.421875" style="350" customWidth="1"/>
    <col min="1283" max="1283" width="17.28125" style="350" customWidth="1"/>
    <col min="1284" max="1284" width="69.28125" style="350" customWidth="1"/>
    <col min="1285" max="1285" width="10.7109375" style="350" customWidth="1"/>
    <col min="1286" max="1286" width="12.421875" style="350" customWidth="1"/>
    <col min="1287" max="1287" width="17.28125" style="350" customWidth="1"/>
    <col min="1288" max="1288" width="14.8515625" style="350" customWidth="1"/>
    <col min="1289" max="1289" width="13.421875" style="350" customWidth="1"/>
    <col min="1290" max="1290" width="16.140625" style="350" customWidth="1"/>
    <col min="1291" max="1292" width="14.28125" style="350" customWidth="1"/>
    <col min="1293" max="1293" width="14.00390625" style="350" customWidth="1"/>
    <col min="1294" max="1317" width="14.00390625" style="350" hidden="1" customWidth="1"/>
    <col min="1318" max="1536" width="14.00390625" style="350" customWidth="1"/>
    <col min="1537" max="1537" width="3.28125" style="350" customWidth="1"/>
    <col min="1538" max="1538" width="1.421875" style="350" customWidth="1"/>
    <col min="1539" max="1539" width="17.28125" style="350" customWidth="1"/>
    <col min="1540" max="1540" width="69.28125" style="350" customWidth="1"/>
    <col min="1541" max="1541" width="10.7109375" style="350" customWidth="1"/>
    <col min="1542" max="1542" width="12.421875" style="350" customWidth="1"/>
    <col min="1543" max="1543" width="17.28125" style="350" customWidth="1"/>
    <col min="1544" max="1544" width="14.8515625" style="350" customWidth="1"/>
    <col min="1545" max="1545" width="13.421875" style="350" customWidth="1"/>
    <col min="1546" max="1546" width="16.140625" style="350" customWidth="1"/>
    <col min="1547" max="1548" width="14.28125" style="350" customWidth="1"/>
    <col min="1549" max="1549" width="14.00390625" style="350" customWidth="1"/>
    <col min="1550" max="1573" width="14.00390625" style="350" hidden="1" customWidth="1"/>
    <col min="1574" max="1792" width="14.00390625" style="350" customWidth="1"/>
    <col min="1793" max="1793" width="3.28125" style="350" customWidth="1"/>
    <col min="1794" max="1794" width="1.421875" style="350" customWidth="1"/>
    <col min="1795" max="1795" width="17.28125" style="350" customWidth="1"/>
    <col min="1796" max="1796" width="69.28125" style="350" customWidth="1"/>
    <col min="1797" max="1797" width="10.7109375" style="350" customWidth="1"/>
    <col min="1798" max="1798" width="12.421875" style="350" customWidth="1"/>
    <col min="1799" max="1799" width="17.28125" style="350" customWidth="1"/>
    <col min="1800" max="1800" width="14.8515625" style="350" customWidth="1"/>
    <col min="1801" max="1801" width="13.421875" style="350" customWidth="1"/>
    <col min="1802" max="1802" width="16.140625" style="350" customWidth="1"/>
    <col min="1803" max="1804" width="14.28125" style="350" customWidth="1"/>
    <col min="1805" max="1805" width="14.00390625" style="350" customWidth="1"/>
    <col min="1806" max="1829" width="14.00390625" style="350" hidden="1" customWidth="1"/>
    <col min="1830" max="2048" width="14.00390625" style="350" customWidth="1"/>
    <col min="2049" max="2049" width="3.28125" style="350" customWidth="1"/>
    <col min="2050" max="2050" width="1.421875" style="350" customWidth="1"/>
    <col min="2051" max="2051" width="17.28125" style="350" customWidth="1"/>
    <col min="2052" max="2052" width="69.28125" style="350" customWidth="1"/>
    <col min="2053" max="2053" width="10.7109375" style="350" customWidth="1"/>
    <col min="2054" max="2054" width="12.421875" style="350" customWidth="1"/>
    <col min="2055" max="2055" width="17.28125" style="350" customWidth="1"/>
    <col min="2056" max="2056" width="14.8515625" style="350" customWidth="1"/>
    <col min="2057" max="2057" width="13.421875" style="350" customWidth="1"/>
    <col min="2058" max="2058" width="16.140625" style="350" customWidth="1"/>
    <col min="2059" max="2060" width="14.28125" style="350" customWidth="1"/>
    <col min="2061" max="2061" width="14.00390625" style="350" customWidth="1"/>
    <col min="2062" max="2085" width="14.00390625" style="350" hidden="1" customWidth="1"/>
    <col min="2086" max="2304" width="14.00390625" style="350" customWidth="1"/>
    <col min="2305" max="2305" width="3.28125" style="350" customWidth="1"/>
    <col min="2306" max="2306" width="1.421875" style="350" customWidth="1"/>
    <col min="2307" max="2307" width="17.28125" style="350" customWidth="1"/>
    <col min="2308" max="2308" width="69.28125" style="350" customWidth="1"/>
    <col min="2309" max="2309" width="10.7109375" style="350" customWidth="1"/>
    <col min="2310" max="2310" width="12.421875" style="350" customWidth="1"/>
    <col min="2311" max="2311" width="17.28125" style="350" customWidth="1"/>
    <col min="2312" max="2312" width="14.8515625" style="350" customWidth="1"/>
    <col min="2313" max="2313" width="13.421875" style="350" customWidth="1"/>
    <col min="2314" max="2314" width="16.140625" style="350" customWidth="1"/>
    <col min="2315" max="2316" width="14.28125" style="350" customWidth="1"/>
    <col min="2317" max="2317" width="14.00390625" style="350" customWidth="1"/>
    <col min="2318" max="2341" width="14.00390625" style="350" hidden="1" customWidth="1"/>
    <col min="2342" max="2560" width="14.00390625" style="350" customWidth="1"/>
    <col min="2561" max="2561" width="3.28125" style="350" customWidth="1"/>
    <col min="2562" max="2562" width="1.421875" style="350" customWidth="1"/>
    <col min="2563" max="2563" width="17.28125" style="350" customWidth="1"/>
    <col min="2564" max="2564" width="69.28125" style="350" customWidth="1"/>
    <col min="2565" max="2565" width="10.7109375" style="350" customWidth="1"/>
    <col min="2566" max="2566" width="12.421875" style="350" customWidth="1"/>
    <col min="2567" max="2567" width="17.28125" style="350" customWidth="1"/>
    <col min="2568" max="2568" width="14.8515625" style="350" customWidth="1"/>
    <col min="2569" max="2569" width="13.421875" style="350" customWidth="1"/>
    <col min="2570" max="2570" width="16.140625" style="350" customWidth="1"/>
    <col min="2571" max="2572" width="14.28125" style="350" customWidth="1"/>
    <col min="2573" max="2573" width="14.00390625" style="350" customWidth="1"/>
    <col min="2574" max="2597" width="14.00390625" style="350" hidden="1" customWidth="1"/>
    <col min="2598" max="2816" width="14.00390625" style="350" customWidth="1"/>
    <col min="2817" max="2817" width="3.28125" style="350" customWidth="1"/>
    <col min="2818" max="2818" width="1.421875" style="350" customWidth="1"/>
    <col min="2819" max="2819" width="17.28125" style="350" customWidth="1"/>
    <col min="2820" max="2820" width="69.28125" style="350" customWidth="1"/>
    <col min="2821" max="2821" width="10.7109375" style="350" customWidth="1"/>
    <col min="2822" max="2822" width="12.421875" style="350" customWidth="1"/>
    <col min="2823" max="2823" width="17.28125" style="350" customWidth="1"/>
    <col min="2824" max="2824" width="14.8515625" style="350" customWidth="1"/>
    <col min="2825" max="2825" width="13.421875" style="350" customWidth="1"/>
    <col min="2826" max="2826" width="16.140625" style="350" customWidth="1"/>
    <col min="2827" max="2828" width="14.28125" style="350" customWidth="1"/>
    <col min="2829" max="2829" width="14.00390625" style="350" customWidth="1"/>
    <col min="2830" max="2853" width="14.00390625" style="350" hidden="1" customWidth="1"/>
    <col min="2854" max="3072" width="14.00390625" style="350" customWidth="1"/>
    <col min="3073" max="3073" width="3.28125" style="350" customWidth="1"/>
    <col min="3074" max="3074" width="1.421875" style="350" customWidth="1"/>
    <col min="3075" max="3075" width="17.28125" style="350" customWidth="1"/>
    <col min="3076" max="3076" width="69.28125" style="350" customWidth="1"/>
    <col min="3077" max="3077" width="10.7109375" style="350" customWidth="1"/>
    <col min="3078" max="3078" width="12.421875" style="350" customWidth="1"/>
    <col min="3079" max="3079" width="17.28125" style="350" customWidth="1"/>
    <col min="3080" max="3080" width="14.8515625" style="350" customWidth="1"/>
    <col min="3081" max="3081" width="13.421875" style="350" customWidth="1"/>
    <col min="3082" max="3082" width="16.140625" style="350" customWidth="1"/>
    <col min="3083" max="3084" width="14.28125" style="350" customWidth="1"/>
    <col min="3085" max="3085" width="14.00390625" style="350" customWidth="1"/>
    <col min="3086" max="3109" width="14.00390625" style="350" hidden="1" customWidth="1"/>
    <col min="3110" max="3328" width="14.00390625" style="350" customWidth="1"/>
    <col min="3329" max="3329" width="3.28125" style="350" customWidth="1"/>
    <col min="3330" max="3330" width="1.421875" style="350" customWidth="1"/>
    <col min="3331" max="3331" width="17.28125" style="350" customWidth="1"/>
    <col min="3332" max="3332" width="69.28125" style="350" customWidth="1"/>
    <col min="3333" max="3333" width="10.7109375" style="350" customWidth="1"/>
    <col min="3334" max="3334" width="12.421875" style="350" customWidth="1"/>
    <col min="3335" max="3335" width="17.28125" style="350" customWidth="1"/>
    <col min="3336" max="3336" width="14.8515625" style="350" customWidth="1"/>
    <col min="3337" max="3337" width="13.421875" style="350" customWidth="1"/>
    <col min="3338" max="3338" width="16.140625" style="350" customWidth="1"/>
    <col min="3339" max="3340" width="14.28125" style="350" customWidth="1"/>
    <col min="3341" max="3341" width="14.00390625" style="350" customWidth="1"/>
    <col min="3342" max="3365" width="14.00390625" style="350" hidden="1" customWidth="1"/>
    <col min="3366" max="3584" width="14.00390625" style="350" customWidth="1"/>
    <col min="3585" max="3585" width="3.28125" style="350" customWidth="1"/>
    <col min="3586" max="3586" width="1.421875" style="350" customWidth="1"/>
    <col min="3587" max="3587" width="17.28125" style="350" customWidth="1"/>
    <col min="3588" max="3588" width="69.28125" style="350" customWidth="1"/>
    <col min="3589" max="3589" width="10.7109375" style="350" customWidth="1"/>
    <col min="3590" max="3590" width="12.421875" style="350" customWidth="1"/>
    <col min="3591" max="3591" width="17.28125" style="350" customWidth="1"/>
    <col min="3592" max="3592" width="14.8515625" style="350" customWidth="1"/>
    <col min="3593" max="3593" width="13.421875" style="350" customWidth="1"/>
    <col min="3594" max="3594" width="16.140625" style="350" customWidth="1"/>
    <col min="3595" max="3596" width="14.28125" style="350" customWidth="1"/>
    <col min="3597" max="3597" width="14.00390625" style="350" customWidth="1"/>
    <col min="3598" max="3621" width="14.00390625" style="350" hidden="1" customWidth="1"/>
    <col min="3622" max="3840" width="14.00390625" style="350" customWidth="1"/>
    <col min="3841" max="3841" width="3.28125" style="350" customWidth="1"/>
    <col min="3842" max="3842" width="1.421875" style="350" customWidth="1"/>
    <col min="3843" max="3843" width="17.28125" style="350" customWidth="1"/>
    <col min="3844" max="3844" width="69.28125" style="350" customWidth="1"/>
    <col min="3845" max="3845" width="10.7109375" style="350" customWidth="1"/>
    <col min="3846" max="3846" width="12.421875" style="350" customWidth="1"/>
    <col min="3847" max="3847" width="17.28125" style="350" customWidth="1"/>
    <col min="3848" max="3848" width="14.8515625" style="350" customWidth="1"/>
    <col min="3849" max="3849" width="13.421875" style="350" customWidth="1"/>
    <col min="3850" max="3850" width="16.140625" style="350" customWidth="1"/>
    <col min="3851" max="3852" width="14.28125" style="350" customWidth="1"/>
    <col min="3853" max="3853" width="14.00390625" style="350" customWidth="1"/>
    <col min="3854" max="3877" width="14.00390625" style="350" hidden="1" customWidth="1"/>
    <col min="3878" max="4096" width="14.00390625" style="350" customWidth="1"/>
    <col min="4097" max="4097" width="3.28125" style="350" customWidth="1"/>
    <col min="4098" max="4098" width="1.421875" style="350" customWidth="1"/>
    <col min="4099" max="4099" width="17.28125" style="350" customWidth="1"/>
    <col min="4100" max="4100" width="69.28125" style="350" customWidth="1"/>
    <col min="4101" max="4101" width="10.7109375" style="350" customWidth="1"/>
    <col min="4102" max="4102" width="12.421875" style="350" customWidth="1"/>
    <col min="4103" max="4103" width="17.28125" style="350" customWidth="1"/>
    <col min="4104" max="4104" width="14.8515625" style="350" customWidth="1"/>
    <col min="4105" max="4105" width="13.421875" style="350" customWidth="1"/>
    <col min="4106" max="4106" width="16.140625" style="350" customWidth="1"/>
    <col min="4107" max="4108" width="14.28125" style="350" customWidth="1"/>
    <col min="4109" max="4109" width="14.00390625" style="350" customWidth="1"/>
    <col min="4110" max="4133" width="14.00390625" style="350" hidden="1" customWidth="1"/>
    <col min="4134" max="4352" width="14.00390625" style="350" customWidth="1"/>
    <col min="4353" max="4353" width="3.28125" style="350" customWidth="1"/>
    <col min="4354" max="4354" width="1.421875" style="350" customWidth="1"/>
    <col min="4355" max="4355" width="17.28125" style="350" customWidth="1"/>
    <col min="4356" max="4356" width="69.28125" style="350" customWidth="1"/>
    <col min="4357" max="4357" width="10.7109375" style="350" customWidth="1"/>
    <col min="4358" max="4358" width="12.421875" style="350" customWidth="1"/>
    <col min="4359" max="4359" width="17.28125" style="350" customWidth="1"/>
    <col min="4360" max="4360" width="14.8515625" style="350" customWidth="1"/>
    <col min="4361" max="4361" width="13.421875" style="350" customWidth="1"/>
    <col min="4362" max="4362" width="16.140625" style="350" customWidth="1"/>
    <col min="4363" max="4364" width="14.28125" style="350" customWidth="1"/>
    <col min="4365" max="4365" width="14.00390625" style="350" customWidth="1"/>
    <col min="4366" max="4389" width="14.00390625" style="350" hidden="1" customWidth="1"/>
    <col min="4390" max="4608" width="14.00390625" style="350" customWidth="1"/>
    <col min="4609" max="4609" width="3.28125" style="350" customWidth="1"/>
    <col min="4610" max="4610" width="1.421875" style="350" customWidth="1"/>
    <col min="4611" max="4611" width="17.28125" style="350" customWidth="1"/>
    <col min="4612" max="4612" width="69.28125" style="350" customWidth="1"/>
    <col min="4613" max="4613" width="10.7109375" style="350" customWidth="1"/>
    <col min="4614" max="4614" width="12.421875" style="350" customWidth="1"/>
    <col min="4615" max="4615" width="17.28125" style="350" customWidth="1"/>
    <col min="4616" max="4616" width="14.8515625" style="350" customWidth="1"/>
    <col min="4617" max="4617" width="13.421875" style="350" customWidth="1"/>
    <col min="4618" max="4618" width="16.140625" style="350" customWidth="1"/>
    <col min="4619" max="4620" width="14.28125" style="350" customWidth="1"/>
    <col min="4621" max="4621" width="14.00390625" style="350" customWidth="1"/>
    <col min="4622" max="4645" width="14.00390625" style="350" hidden="1" customWidth="1"/>
    <col min="4646" max="4864" width="14.00390625" style="350" customWidth="1"/>
    <col min="4865" max="4865" width="3.28125" style="350" customWidth="1"/>
    <col min="4866" max="4866" width="1.421875" style="350" customWidth="1"/>
    <col min="4867" max="4867" width="17.28125" style="350" customWidth="1"/>
    <col min="4868" max="4868" width="69.28125" style="350" customWidth="1"/>
    <col min="4869" max="4869" width="10.7109375" style="350" customWidth="1"/>
    <col min="4870" max="4870" width="12.421875" style="350" customWidth="1"/>
    <col min="4871" max="4871" width="17.28125" style="350" customWidth="1"/>
    <col min="4872" max="4872" width="14.8515625" style="350" customWidth="1"/>
    <col min="4873" max="4873" width="13.421875" style="350" customWidth="1"/>
    <col min="4874" max="4874" width="16.140625" style="350" customWidth="1"/>
    <col min="4875" max="4876" width="14.28125" style="350" customWidth="1"/>
    <col min="4877" max="4877" width="14.00390625" style="350" customWidth="1"/>
    <col min="4878" max="4901" width="14.00390625" style="350" hidden="1" customWidth="1"/>
    <col min="4902" max="5120" width="14.00390625" style="350" customWidth="1"/>
    <col min="5121" max="5121" width="3.28125" style="350" customWidth="1"/>
    <col min="5122" max="5122" width="1.421875" style="350" customWidth="1"/>
    <col min="5123" max="5123" width="17.28125" style="350" customWidth="1"/>
    <col min="5124" max="5124" width="69.28125" style="350" customWidth="1"/>
    <col min="5125" max="5125" width="10.7109375" style="350" customWidth="1"/>
    <col min="5126" max="5126" width="12.421875" style="350" customWidth="1"/>
    <col min="5127" max="5127" width="17.28125" style="350" customWidth="1"/>
    <col min="5128" max="5128" width="14.8515625" style="350" customWidth="1"/>
    <col min="5129" max="5129" width="13.421875" style="350" customWidth="1"/>
    <col min="5130" max="5130" width="16.140625" style="350" customWidth="1"/>
    <col min="5131" max="5132" width="14.28125" style="350" customWidth="1"/>
    <col min="5133" max="5133" width="14.00390625" style="350" customWidth="1"/>
    <col min="5134" max="5157" width="14.00390625" style="350" hidden="1" customWidth="1"/>
    <col min="5158" max="5376" width="14.00390625" style="350" customWidth="1"/>
    <col min="5377" max="5377" width="3.28125" style="350" customWidth="1"/>
    <col min="5378" max="5378" width="1.421875" style="350" customWidth="1"/>
    <col min="5379" max="5379" width="17.28125" style="350" customWidth="1"/>
    <col min="5380" max="5380" width="69.28125" style="350" customWidth="1"/>
    <col min="5381" max="5381" width="10.7109375" style="350" customWidth="1"/>
    <col min="5382" max="5382" width="12.421875" style="350" customWidth="1"/>
    <col min="5383" max="5383" width="17.28125" style="350" customWidth="1"/>
    <col min="5384" max="5384" width="14.8515625" style="350" customWidth="1"/>
    <col min="5385" max="5385" width="13.421875" style="350" customWidth="1"/>
    <col min="5386" max="5386" width="16.140625" style="350" customWidth="1"/>
    <col min="5387" max="5388" width="14.28125" style="350" customWidth="1"/>
    <col min="5389" max="5389" width="14.00390625" style="350" customWidth="1"/>
    <col min="5390" max="5413" width="14.00390625" style="350" hidden="1" customWidth="1"/>
    <col min="5414" max="5632" width="14.00390625" style="350" customWidth="1"/>
    <col min="5633" max="5633" width="3.28125" style="350" customWidth="1"/>
    <col min="5634" max="5634" width="1.421875" style="350" customWidth="1"/>
    <col min="5635" max="5635" width="17.28125" style="350" customWidth="1"/>
    <col min="5636" max="5636" width="69.28125" style="350" customWidth="1"/>
    <col min="5637" max="5637" width="10.7109375" style="350" customWidth="1"/>
    <col min="5638" max="5638" width="12.421875" style="350" customWidth="1"/>
    <col min="5639" max="5639" width="17.28125" style="350" customWidth="1"/>
    <col min="5640" max="5640" width="14.8515625" style="350" customWidth="1"/>
    <col min="5641" max="5641" width="13.421875" style="350" customWidth="1"/>
    <col min="5642" max="5642" width="16.140625" style="350" customWidth="1"/>
    <col min="5643" max="5644" width="14.28125" style="350" customWidth="1"/>
    <col min="5645" max="5645" width="14.00390625" style="350" customWidth="1"/>
    <col min="5646" max="5669" width="14.00390625" style="350" hidden="1" customWidth="1"/>
    <col min="5670" max="5888" width="14.00390625" style="350" customWidth="1"/>
    <col min="5889" max="5889" width="3.28125" style="350" customWidth="1"/>
    <col min="5890" max="5890" width="1.421875" style="350" customWidth="1"/>
    <col min="5891" max="5891" width="17.28125" style="350" customWidth="1"/>
    <col min="5892" max="5892" width="69.28125" style="350" customWidth="1"/>
    <col min="5893" max="5893" width="10.7109375" style="350" customWidth="1"/>
    <col min="5894" max="5894" width="12.421875" style="350" customWidth="1"/>
    <col min="5895" max="5895" width="17.28125" style="350" customWidth="1"/>
    <col min="5896" max="5896" width="14.8515625" style="350" customWidth="1"/>
    <col min="5897" max="5897" width="13.421875" style="350" customWidth="1"/>
    <col min="5898" max="5898" width="16.140625" style="350" customWidth="1"/>
    <col min="5899" max="5900" width="14.28125" style="350" customWidth="1"/>
    <col min="5901" max="5901" width="14.00390625" style="350" customWidth="1"/>
    <col min="5902" max="5925" width="14.00390625" style="350" hidden="1" customWidth="1"/>
    <col min="5926" max="6144" width="14.00390625" style="350" customWidth="1"/>
    <col min="6145" max="6145" width="3.28125" style="350" customWidth="1"/>
    <col min="6146" max="6146" width="1.421875" style="350" customWidth="1"/>
    <col min="6147" max="6147" width="17.28125" style="350" customWidth="1"/>
    <col min="6148" max="6148" width="69.28125" style="350" customWidth="1"/>
    <col min="6149" max="6149" width="10.7109375" style="350" customWidth="1"/>
    <col min="6150" max="6150" width="12.421875" style="350" customWidth="1"/>
    <col min="6151" max="6151" width="17.28125" style="350" customWidth="1"/>
    <col min="6152" max="6152" width="14.8515625" style="350" customWidth="1"/>
    <col min="6153" max="6153" width="13.421875" style="350" customWidth="1"/>
    <col min="6154" max="6154" width="16.140625" style="350" customWidth="1"/>
    <col min="6155" max="6156" width="14.28125" style="350" customWidth="1"/>
    <col min="6157" max="6157" width="14.00390625" style="350" customWidth="1"/>
    <col min="6158" max="6181" width="14.00390625" style="350" hidden="1" customWidth="1"/>
    <col min="6182" max="6400" width="14.00390625" style="350" customWidth="1"/>
    <col min="6401" max="6401" width="3.28125" style="350" customWidth="1"/>
    <col min="6402" max="6402" width="1.421875" style="350" customWidth="1"/>
    <col min="6403" max="6403" width="17.28125" style="350" customWidth="1"/>
    <col min="6404" max="6404" width="69.28125" style="350" customWidth="1"/>
    <col min="6405" max="6405" width="10.7109375" style="350" customWidth="1"/>
    <col min="6406" max="6406" width="12.421875" style="350" customWidth="1"/>
    <col min="6407" max="6407" width="17.28125" style="350" customWidth="1"/>
    <col min="6408" max="6408" width="14.8515625" style="350" customWidth="1"/>
    <col min="6409" max="6409" width="13.421875" style="350" customWidth="1"/>
    <col min="6410" max="6410" width="16.140625" style="350" customWidth="1"/>
    <col min="6411" max="6412" width="14.28125" style="350" customWidth="1"/>
    <col min="6413" max="6413" width="14.00390625" style="350" customWidth="1"/>
    <col min="6414" max="6437" width="14.00390625" style="350" hidden="1" customWidth="1"/>
    <col min="6438" max="6656" width="14.00390625" style="350" customWidth="1"/>
    <col min="6657" max="6657" width="3.28125" style="350" customWidth="1"/>
    <col min="6658" max="6658" width="1.421875" style="350" customWidth="1"/>
    <col min="6659" max="6659" width="17.28125" style="350" customWidth="1"/>
    <col min="6660" max="6660" width="69.28125" style="350" customWidth="1"/>
    <col min="6661" max="6661" width="10.7109375" style="350" customWidth="1"/>
    <col min="6662" max="6662" width="12.421875" style="350" customWidth="1"/>
    <col min="6663" max="6663" width="17.28125" style="350" customWidth="1"/>
    <col min="6664" max="6664" width="14.8515625" style="350" customWidth="1"/>
    <col min="6665" max="6665" width="13.421875" style="350" customWidth="1"/>
    <col min="6666" max="6666" width="16.140625" style="350" customWidth="1"/>
    <col min="6667" max="6668" width="14.28125" style="350" customWidth="1"/>
    <col min="6669" max="6669" width="14.00390625" style="350" customWidth="1"/>
    <col min="6670" max="6693" width="14.00390625" style="350" hidden="1" customWidth="1"/>
    <col min="6694" max="6912" width="14.00390625" style="350" customWidth="1"/>
    <col min="6913" max="6913" width="3.28125" style="350" customWidth="1"/>
    <col min="6914" max="6914" width="1.421875" style="350" customWidth="1"/>
    <col min="6915" max="6915" width="17.28125" style="350" customWidth="1"/>
    <col min="6916" max="6916" width="69.28125" style="350" customWidth="1"/>
    <col min="6917" max="6917" width="10.7109375" style="350" customWidth="1"/>
    <col min="6918" max="6918" width="12.421875" style="350" customWidth="1"/>
    <col min="6919" max="6919" width="17.28125" style="350" customWidth="1"/>
    <col min="6920" max="6920" width="14.8515625" style="350" customWidth="1"/>
    <col min="6921" max="6921" width="13.421875" style="350" customWidth="1"/>
    <col min="6922" max="6922" width="16.140625" style="350" customWidth="1"/>
    <col min="6923" max="6924" width="14.28125" style="350" customWidth="1"/>
    <col min="6925" max="6925" width="14.00390625" style="350" customWidth="1"/>
    <col min="6926" max="6949" width="14.00390625" style="350" hidden="1" customWidth="1"/>
    <col min="6950" max="7168" width="14.00390625" style="350" customWidth="1"/>
    <col min="7169" max="7169" width="3.28125" style="350" customWidth="1"/>
    <col min="7170" max="7170" width="1.421875" style="350" customWidth="1"/>
    <col min="7171" max="7171" width="17.28125" style="350" customWidth="1"/>
    <col min="7172" max="7172" width="69.28125" style="350" customWidth="1"/>
    <col min="7173" max="7173" width="10.7109375" style="350" customWidth="1"/>
    <col min="7174" max="7174" width="12.421875" style="350" customWidth="1"/>
    <col min="7175" max="7175" width="17.28125" style="350" customWidth="1"/>
    <col min="7176" max="7176" width="14.8515625" style="350" customWidth="1"/>
    <col min="7177" max="7177" width="13.421875" style="350" customWidth="1"/>
    <col min="7178" max="7178" width="16.140625" style="350" customWidth="1"/>
    <col min="7179" max="7180" width="14.28125" style="350" customWidth="1"/>
    <col min="7181" max="7181" width="14.00390625" style="350" customWidth="1"/>
    <col min="7182" max="7205" width="14.00390625" style="350" hidden="1" customWidth="1"/>
    <col min="7206" max="7424" width="14.00390625" style="350" customWidth="1"/>
    <col min="7425" max="7425" width="3.28125" style="350" customWidth="1"/>
    <col min="7426" max="7426" width="1.421875" style="350" customWidth="1"/>
    <col min="7427" max="7427" width="17.28125" style="350" customWidth="1"/>
    <col min="7428" max="7428" width="69.28125" style="350" customWidth="1"/>
    <col min="7429" max="7429" width="10.7109375" style="350" customWidth="1"/>
    <col min="7430" max="7430" width="12.421875" style="350" customWidth="1"/>
    <col min="7431" max="7431" width="17.28125" style="350" customWidth="1"/>
    <col min="7432" max="7432" width="14.8515625" style="350" customWidth="1"/>
    <col min="7433" max="7433" width="13.421875" style="350" customWidth="1"/>
    <col min="7434" max="7434" width="16.140625" style="350" customWidth="1"/>
    <col min="7435" max="7436" width="14.28125" style="350" customWidth="1"/>
    <col min="7437" max="7437" width="14.00390625" style="350" customWidth="1"/>
    <col min="7438" max="7461" width="14.00390625" style="350" hidden="1" customWidth="1"/>
    <col min="7462" max="7680" width="14.00390625" style="350" customWidth="1"/>
    <col min="7681" max="7681" width="3.28125" style="350" customWidth="1"/>
    <col min="7682" max="7682" width="1.421875" style="350" customWidth="1"/>
    <col min="7683" max="7683" width="17.28125" style="350" customWidth="1"/>
    <col min="7684" max="7684" width="69.28125" style="350" customWidth="1"/>
    <col min="7685" max="7685" width="10.7109375" style="350" customWidth="1"/>
    <col min="7686" max="7686" width="12.421875" style="350" customWidth="1"/>
    <col min="7687" max="7687" width="17.28125" style="350" customWidth="1"/>
    <col min="7688" max="7688" width="14.8515625" style="350" customWidth="1"/>
    <col min="7689" max="7689" width="13.421875" style="350" customWidth="1"/>
    <col min="7690" max="7690" width="16.140625" style="350" customWidth="1"/>
    <col min="7691" max="7692" width="14.28125" style="350" customWidth="1"/>
    <col min="7693" max="7693" width="14.00390625" style="350" customWidth="1"/>
    <col min="7694" max="7717" width="14.00390625" style="350" hidden="1" customWidth="1"/>
    <col min="7718" max="7936" width="14.00390625" style="350" customWidth="1"/>
    <col min="7937" max="7937" width="3.28125" style="350" customWidth="1"/>
    <col min="7938" max="7938" width="1.421875" style="350" customWidth="1"/>
    <col min="7939" max="7939" width="17.28125" style="350" customWidth="1"/>
    <col min="7940" max="7940" width="69.28125" style="350" customWidth="1"/>
    <col min="7941" max="7941" width="10.7109375" style="350" customWidth="1"/>
    <col min="7942" max="7942" width="12.421875" style="350" customWidth="1"/>
    <col min="7943" max="7943" width="17.28125" style="350" customWidth="1"/>
    <col min="7944" max="7944" width="14.8515625" style="350" customWidth="1"/>
    <col min="7945" max="7945" width="13.421875" style="350" customWidth="1"/>
    <col min="7946" max="7946" width="16.140625" style="350" customWidth="1"/>
    <col min="7947" max="7948" width="14.28125" style="350" customWidth="1"/>
    <col min="7949" max="7949" width="14.00390625" style="350" customWidth="1"/>
    <col min="7950" max="7973" width="14.00390625" style="350" hidden="1" customWidth="1"/>
    <col min="7974" max="8192" width="14.00390625" style="350" customWidth="1"/>
    <col min="8193" max="8193" width="3.28125" style="350" customWidth="1"/>
    <col min="8194" max="8194" width="1.421875" style="350" customWidth="1"/>
    <col min="8195" max="8195" width="17.28125" style="350" customWidth="1"/>
    <col min="8196" max="8196" width="69.28125" style="350" customWidth="1"/>
    <col min="8197" max="8197" width="10.7109375" style="350" customWidth="1"/>
    <col min="8198" max="8198" width="12.421875" style="350" customWidth="1"/>
    <col min="8199" max="8199" width="17.28125" style="350" customWidth="1"/>
    <col min="8200" max="8200" width="14.8515625" style="350" customWidth="1"/>
    <col min="8201" max="8201" width="13.421875" style="350" customWidth="1"/>
    <col min="8202" max="8202" width="16.140625" style="350" customWidth="1"/>
    <col min="8203" max="8204" width="14.28125" style="350" customWidth="1"/>
    <col min="8205" max="8205" width="14.00390625" style="350" customWidth="1"/>
    <col min="8206" max="8229" width="14.00390625" style="350" hidden="1" customWidth="1"/>
    <col min="8230" max="8448" width="14.00390625" style="350" customWidth="1"/>
    <col min="8449" max="8449" width="3.28125" style="350" customWidth="1"/>
    <col min="8450" max="8450" width="1.421875" style="350" customWidth="1"/>
    <col min="8451" max="8451" width="17.28125" style="350" customWidth="1"/>
    <col min="8452" max="8452" width="69.28125" style="350" customWidth="1"/>
    <col min="8453" max="8453" width="10.7109375" style="350" customWidth="1"/>
    <col min="8454" max="8454" width="12.421875" style="350" customWidth="1"/>
    <col min="8455" max="8455" width="17.28125" style="350" customWidth="1"/>
    <col min="8456" max="8456" width="14.8515625" style="350" customWidth="1"/>
    <col min="8457" max="8457" width="13.421875" style="350" customWidth="1"/>
    <col min="8458" max="8458" width="16.140625" style="350" customWidth="1"/>
    <col min="8459" max="8460" width="14.28125" style="350" customWidth="1"/>
    <col min="8461" max="8461" width="14.00390625" style="350" customWidth="1"/>
    <col min="8462" max="8485" width="14.00390625" style="350" hidden="1" customWidth="1"/>
    <col min="8486" max="8704" width="14.00390625" style="350" customWidth="1"/>
    <col min="8705" max="8705" width="3.28125" style="350" customWidth="1"/>
    <col min="8706" max="8706" width="1.421875" style="350" customWidth="1"/>
    <col min="8707" max="8707" width="17.28125" style="350" customWidth="1"/>
    <col min="8708" max="8708" width="69.28125" style="350" customWidth="1"/>
    <col min="8709" max="8709" width="10.7109375" style="350" customWidth="1"/>
    <col min="8710" max="8710" width="12.421875" style="350" customWidth="1"/>
    <col min="8711" max="8711" width="17.28125" style="350" customWidth="1"/>
    <col min="8712" max="8712" width="14.8515625" style="350" customWidth="1"/>
    <col min="8713" max="8713" width="13.421875" style="350" customWidth="1"/>
    <col min="8714" max="8714" width="16.140625" style="350" customWidth="1"/>
    <col min="8715" max="8716" width="14.28125" style="350" customWidth="1"/>
    <col min="8717" max="8717" width="14.00390625" style="350" customWidth="1"/>
    <col min="8718" max="8741" width="14.00390625" style="350" hidden="1" customWidth="1"/>
    <col min="8742" max="8960" width="14.00390625" style="350" customWidth="1"/>
    <col min="8961" max="8961" width="3.28125" style="350" customWidth="1"/>
    <col min="8962" max="8962" width="1.421875" style="350" customWidth="1"/>
    <col min="8963" max="8963" width="17.28125" style="350" customWidth="1"/>
    <col min="8964" max="8964" width="69.28125" style="350" customWidth="1"/>
    <col min="8965" max="8965" width="10.7109375" style="350" customWidth="1"/>
    <col min="8966" max="8966" width="12.421875" style="350" customWidth="1"/>
    <col min="8967" max="8967" width="17.28125" style="350" customWidth="1"/>
    <col min="8968" max="8968" width="14.8515625" style="350" customWidth="1"/>
    <col min="8969" max="8969" width="13.421875" style="350" customWidth="1"/>
    <col min="8970" max="8970" width="16.140625" style="350" customWidth="1"/>
    <col min="8971" max="8972" width="14.28125" style="350" customWidth="1"/>
    <col min="8973" max="8973" width="14.00390625" style="350" customWidth="1"/>
    <col min="8974" max="8997" width="14.00390625" style="350" hidden="1" customWidth="1"/>
    <col min="8998" max="9216" width="14.00390625" style="350" customWidth="1"/>
    <col min="9217" max="9217" width="3.28125" style="350" customWidth="1"/>
    <col min="9218" max="9218" width="1.421875" style="350" customWidth="1"/>
    <col min="9219" max="9219" width="17.28125" style="350" customWidth="1"/>
    <col min="9220" max="9220" width="69.28125" style="350" customWidth="1"/>
    <col min="9221" max="9221" width="10.7109375" style="350" customWidth="1"/>
    <col min="9222" max="9222" width="12.421875" style="350" customWidth="1"/>
    <col min="9223" max="9223" width="17.28125" style="350" customWidth="1"/>
    <col min="9224" max="9224" width="14.8515625" style="350" customWidth="1"/>
    <col min="9225" max="9225" width="13.421875" style="350" customWidth="1"/>
    <col min="9226" max="9226" width="16.140625" style="350" customWidth="1"/>
    <col min="9227" max="9228" width="14.28125" style="350" customWidth="1"/>
    <col min="9229" max="9229" width="14.00390625" style="350" customWidth="1"/>
    <col min="9230" max="9253" width="14.00390625" style="350" hidden="1" customWidth="1"/>
    <col min="9254" max="9472" width="14.00390625" style="350" customWidth="1"/>
    <col min="9473" max="9473" width="3.28125" style="350" customWidth="1"/>
    <col min="9474" max="9474" width="1.421875" style="350" customWidth="1"/>
    <col min="9475" max="9475" width="17.28125" style="350" customWidth="1"/>
    <col min="9476" max="9476" width="69.28125" style="350" customWidth="1"/>
    <col min="9477" max="9477" width="10.7109375" style="350" customWidth="1"/>
    <col min="9478" max="9478" width="12.421875" style="350" customWidth="1"/>
    <col min="9479" max="9479" width="17.28125" style="350" customWidth="1"/>
    <col min="9480" max="9480" width="14.8515625" style="350" customWidth="1"/>
    <col min="9481" max="9481" width="13.421875" style="350" customWidth="1"/>
    <col min="9482" max="9482" width="16.140625" style="350" customWidth="1"/>
    <col min="9483" max="9484" width="14.28125" style="350" customWidth="1"/>
    <col min="9485" max="9485" width="14.00390625" style="350" customWidth="1"/>
    <col min="9486" max="9509" width="14.00390625" style="350" hidden="1" customWidth="1"/>
    <col min="9510" max="9728" width="14.00390625" style="350" customWidth="1"/>
    <col min="9729" max="9729" width="3.28125" style="350" customWidth="1"/>
    <col min="9730" max="9730" width="1.421875" style="350" customWidth="1"/>
    <col min="9731" max="9731" width="17.28125" style="350" customWidth="1"/>
    <col min="9732" max="9732" width="69.28125" style="350" customWidth="1"/>
    <col min="9733" max="9733" width="10.7109375" style="350" customWidth="1"/>
    <col min="9734" max="9734" width="12.421875" style="350" customWidth="1"/>
    <col min="9735" max="9735" width="17.28125" style="350" customWidth="1"/>
    <col min="9736" max="9736" width="14.8515625" style="350" customWidth="1"/>
    <col min="9737" max="9737" width="13.421875" style="350" customWidth="1"/>
    <col min="9738" max="9738" width="16.140625" style="350" customWidth="1"/>
    <col min="9739" max="9740" width="14.28125" style="350" customWidth="1"/>
    <col min="9741" max="9741" width="14.00390625" style="350" customWidth="1"/>
    <col min="9742" max="9765" width="14.00390625" style="350" hidden="1" customWidth="1"/>
    <col min="9766" max="9984" width="14.00390625" style="350" customWidth="1"/>
    <col min="9985" max="9985" width="3.28125" style="350" customWidth="1"/>
    <col min="9986" max="9986" width="1.421875" style="350" customWidth="1"/>
    <col min="9987" max="9987" width="17.28125" style="350" customWidth="1"/>
    <col min="9988" max="9988" width="69.28125" style="350" customWidth="1"/>
    <col min="9989" max="9989" width="10.7109375" style="350" customWidth="1"/>
    <col min="9990" max="9990" width="12.421875" style="350" customWidth="1"/>
    <col min="9991" max="9991" width="17.28125" style="350" customWidth="1"/>
    <col min="9992" max="9992" width="14.8515625" style="350" customWidth="1"/>
    <col min="9993" max="9993" width="13.421875" style="350" customWidth="1"/>
    <col min="9994" max="9994" width="16.140625" style="350" customWidth="1"/>
    <col min="9995" max="9996" width="14.28125" style="350" customWidth="1"/>
    <col min="9997" max="9997" width="14.00390625" style="350" customWidth="1"/>
    <col min="9998" max="10021" width="14.00390625" style="350" hidden="1" customWidth="1"/>
    <col min="10022" max="10240" width="14.00390625" style="350" customWidth="1"/>
    <col min="10241" max="10241" width="3.28125" style="350" customWidth="1"/>
    <col min="10242" max="10242" width="1.421875" style="350" customWidth="1"/>
    <col min="10243" max="10243" width="17.28125" style="350" customWidth="1"/>
    <col min="10244" max="10244" width="69.28125" style="350" customWidth="1"/>
    <col min="10245" max="10245" width="10.7109375" style="350" customWidth="1"/>
    <col min="10246" max="10246" width="12.421875" style="350" customWidth="1"/>
    <col min="10247" max="10247" width="17.28125" style="350" customWidth="1"/>
    <col min="10248" max="10248" width="14.8515625" style="350" customWidth="1"/>
    <col min="10249" max="10249" width="13.421875" style="350" customWidth="1"/>
    <col min="10250" max="10250" width="16.140625" style="350" customWidth="1"/>
    <col min="10251" max="10252" width="14.28125" style="350" customWidth="1"/>
    <col min="10253" max="10253" width="14.00390625" style="350" customWidth="1"/>
    <col min="10254" max="10277" width="14.00390625" style="350" hidden="1" customWidth="1"/>
    <col min="10278" max="10496" width="14.00390625" style="350" customWidth="1"/>
    <col min="10497" max="10497" width="3.28125" style="350" customWidth="1"/>
    <col min="10498" max="10498" width="1.421875" style="350" customWidth="1"/>
    <col min="10499" max="10499" width="17.28125" style="350" customWidth="1"/>
    <col min="10500" max="10500" width="69.28125" style="350" customWidth="1"/>
    <col min="10501" max="10501" width="10.7109375" style="350" customWidth="1"/>
    <col min="10502" max="10502" width="12.421875" style="350" customWidth="1"/>
    <col min="10503" max="10503" width="17.28125" style="350" customWidth="1"/>
    <col min="10504" max="10504" width="14.8515625" style="350" customWidth="1"/>
    <col min="10505" max="10505" width="13.421875" style="350" customWidth="1"/>
    <col min="10506" max="10506" width="16.140625" style="350" customWidth="1"/>
    <col min="10507" max="10508" width="14.28125" style="350" customWidth="1"/>
    <col min="10509" max="10509" width="14.00390625" style="350" customWidth="1"/>
    <col min="10510" max="10533" width="14.00390625" style="350" hidden="1" customWidth="1"/>
    <col min="10534" max="10752" width="14.00390625" style="350" customWidth="1"/>
    <col min="10753" max="10753" width="3.28125" style="350" customWidth="1"/>
    <col min="10754" max="10754" width="1.421875" style="350" customWidth="1"/>
    <col min="10755" max="10755" width="17.28125" style="350" customWidth="1"/>
    <col min="10756" max="10756" width="69.28125" style="350" customWidth="1"/>
    <col min="10757" max="10757" width="10.7109375" style="350" customWidth="1"/>
    <col min="10758" max="10758" width="12.421875" style="350" customWidth="1"/>
    <col min="10759" max="10759" width="17.28125" style="350" customWidth="1"/>
    <col min="10760" max="10760" width="14.8515625" style="350" customWidth="1"/>
    <col min="10761" max="10761" width="13.421875" style="350" customWidth="1"/>
    <col min="10762" max="10762" width="16.140625" style="350" customWidth="1"/>
    <col min="10763" max="10764" width="14.28125" style="350" customWidth="1"/>
    <col min="10765" max="10765" width="14.00390625" style="350" customWidth="1"/>
    <col min="10766" max="10789" width="14.00390625" style="350" hidden="1" customWidth="1"/>
    <col min="10790" max="11008" width="14.00390625" style="350" customWidth="1"/>
    <col min="11009" max="11009" width="3.28125" style="350" customWidth="1"/>
    <col min="11010" max="11010" width="1.421875" style="350" customWidth="1"/>
    <col min="11011" max="11011" width="17.28125" style="350" customWidth="1"/>
    <col min="11012" max="11012" width="69.28125" style="350" customWidth="1"/>
    <col min="11013" max="11013" width="10.7109375" style="350" customWidth="1"/>
    <col min="11014" max="11014" width="12.421875" style="350" customWidth="1"/>
    <col min="11015" max="11015" width="17.28125" style="350" customWidth="1"/>
    <col min="11016" max="11016" width="14.8515625" style="350" customWidth="1"/>
    <col min="11017" max="11017" width="13.421875" style="350" customWidth="1"/>
    <col min="11018" max="11018" width="16.140625" style="350" customWidth="1"/>
    <col min="11019" max="11020" width="14.28125" style="350" customWidth="1"/>
    <col min="11021" max="11021" width="14.00390625" style="350" customWidth="1"/>
    <col min="11022" max="11045" width="14.00390625" style="350" hidden="1" customWidth="1"/>
    <col min="11046" max="11264" width="14.00390625" style="350" customWidth="1"/>
    <col min="11265" max="11265" width="3.28125" style="350" customWidth="1"/>
    <col min="11266" max="11266" width="1.421875" style="350" customWidth="1"/>
    <col min="11267" max="11267" width="17.28125" style="350" customWidth="1"/>
    <col min="11268" max="11268" width="69.28125" style="350" customWidth="1"/>
    <col min="11269" max="11269" width="10.7109375" style="350" customWidth="1"/>
    <col min="11270" max="11270" width="12.421875" style="350" customWidth="1"/>
    <col min="11271" max="11271" width="17.28125" style="350" customWidth="1"/>
    <col min="11272" max="11272" width="14.8515625" style="350" customWidth="1"/>
    <col min="11273" max="11273" width="13.421875" style="350" customWidth="1"/>
    <col min="11274" max="11274" width="16.140625" style="350" customWidth="1"/>
    <col min="11275" max="11276" width="14.28125" style="350" customWidth="1"/>
    <col min="11277" max="11277" width="14.00390625" style="350" customWidth="1"/>
    <col min="11278" max="11301" width="14.00390625" style="350" hidden="1" customWidth="1"/>
    <col min="11302" max="11520" width="14.00390625" style="350" customWidth="1"/>
    <col min="11521" max="11521" width="3.28125" style="350" customWidth="1"/>
    <col min="11522" max="11522" width="1.421875" style="350" customWidth="1"/>
    <col min="11523" max="11523" width="17.28125" style="350" customWidth="1"/>
    <col min="11524" max="11524" width="69.28125" style="350" customWidth="1"/>
    <col min="11525" max="11525" width="10.7109375" style="350" customWidth="1"/>
    <col min="11526" max="11526" width="12.421875" style="350" customWidth="1"/>
    <col min="11527" max="11527" width="17.28125" style="350" customWidth="1"/>
    <col min="11528" max="11528" width="14.8515625" style="350" customWidth="1"/>
    <col min="11529" max="11529" width="13.421875" style="350" customWidth="1"/>
    <col min="11530" max="11530" width="16.140625" style="350" customWidth="1"/>
    <col min="11531" max="11532" width="14.28125" style="350" customWidth="1"/>
    <col min="11533" max="11533" width="14.00390625" style="350" customWidth="1"/>
    <col min="11534" max="11557" width="14.00390625" style="350" hidden="1" customWidth="1"/>
    <col min="11558" max="11776" width="14.00390625" style="350" customWidth="1"/>
    <col min="11777" max="11777" width="3.28125" style="350" customWidth="1"/>
    <col min="11778" max="11778" width="1.421875" style="350" customWidth="1"/>
    <col min="11779" max="11779" width="17.28125" style="350" customWidth="1"/>
    <col min="11780" max="11780" width="69.28125" style="350" customWidth="1"/>
    <col min="11781" max="11781" width="10.7109375" style="350" customWidth="1"/>
    <col min="11782" max="11782" width="12.421875" style="350" customWidth="1"/>
    <col min="11783" max="11783" width="17.28125" style="350" customWidth="1"/>
    <col min="11784" max="11784" width="14.8515625" style="350" customWidth="1"/>
    <col min="11785" max="11785" width="13.421875" style="350" customWidth="1"/>
    <col min="11786" max="11786" width="16.140625" style="350" customWidth="1"/>
    <col min="11787" max="11788" width="14.28125" style="350" customWidth="1"/>
    <col min="11789" max="11789" width="14.00390625" style="350" customWidth="1"/>
    <col min="11790" max="11813" width="14.00390625" style="350" hidden="1" customWidth="1"/>
    <col min="11814" max="12032" width="14.00390625" style="350" customWidth="1"/>
    <col min="12033" max="12033" width="3.28125" style="350" customWidth="1"/>
    <col min="12034" max="12034" width="1.421875" style="350" customWidth="1"/>
    <col min="12035" max="12035" width="17.28125" style="350" customWidth="1"/>
    <col min="12036" max="12036" width="69.28125" style="350" customWidth="1"/>
    <col min="12037" max="12037" width="10.7109375" style="350" customWidth="1"/>
    <col min="12038" max="12038" width="12.421875" style="350" customWidth="1"/>
    <col min="12039" max="12039" width="17.28125" style="350" customWidth="1"/>
    <col min="12040" max="12040" width="14.8515625" style="350" customWidth="1"/>
    <col min="12041" max="12041" width="13.421875" style="350" customWidth="1"/>
    <col min="12042" max="12042" width="16.140625" style="350" customWidth="1"/>
    <col min="12043" max="12044" width="14.28125" style="350" customWidth="1"/>
    <col min="12045" max="12045" width="14.00390625" style="350" customWidth="1"/>
    <col min="12046" max="12069" width="14.00390625" style="350" hidden="1" customWidth="1"/>
    <col min="12070" max="12288" width="14.00390625" style="350" customWidth="1"/>
    <col min="12289" max="12289" width="3.28125" style="350" customWidth="1"/>
    <col min="12290" max="12290" width="1.421875" style="350" customWidth="1"/>
    <col min="12291" max="12291" width="17.28125" style="350" customWidth="1"/>
    <col min="12292" max="12292" width="69.28125" style="350" customWidth="1"/>
    <col min="12293" max="12293" width="10.7109375" style="350" customWidth="1"/>
    <col min="12294" max="12294" width="12.421875" style="350" customWidth="1"/>
    <col min="12295" max="12295" width="17.28125" style="350" customWidth="1"/>
    <col min="12296" max="12296" width="14.8515625" style="350" customWidth="1"/>
    <col min="12297" max="12297" width="13.421875" style="350" customWidth="1"/>
    <col min="12298" max="12298" width="16.140625" style="350" customWidth="1"/>
    <col min="12299" max="12300" width="14.28125" style="350" customWidth="1"/>
    <col min="12301" max="12301" width="14.00390625" style="350" customWidth="1"/>
    <col min="12302" max="12325" width="14.00390625" style="350" hidden="1" customWidth="1"/>
    <col min="12326" max="12544" width="14.00390625" style="350" customWidth="1"/>
    <col min="12545" max="12545" width="3.28125" style="350" customWidth="1"/>
    <col min="12546" max="12546" width="1.421875" style="350" customWidth="1"/>
    <col min="12547" max="12547" width="17.28125" style="350" customWidth="1"/>
    <col min="12548" max="12548" width="69.28125" style="350" customWidth="1"/>
    <col min="12549" max="12549" width="10.7109375" style="350" customWidth="1"/>
    <col min="12550" max="12550" width="12.421875" style="350" customWidth="1"/>
    <col min="12551" max="12551" width="17.28125" style="350" customWidth="1"/>
    <col min="12552" max="12552" width="14.8515625" style="350" customWidth="1"/>
    <col min="12553" max="12553" width="13.421875" style="350" customWidth="1"/>
    <col min="12554" max="12554" width="16.140625" style="350" customWidth="1"/>
    <col min="12555" max="12556" width="14.28125" style="350" customWidth="1"/>
    <col min="12557" max="12557" width="14.00390625" style="350" customWidth="1"/>
    <col min="12558" max="12581" width="14.00390625" style="350" hidden="1" customWidth="1"/>
    <col min="12582" max="12800" width="14.00390625" style="350" customWidth="1"/>
    <col min="12801" max="12801" width="3.28125" style="350" customWidth="1"/>
    <col min="12802" max="12802" width="1.421875" style="350" customWidth="1"/>
    <col min="12803" max="12803" width="17.28125" style="350" customWidth="1"/>
    <col min="12804" max="12804" width="69.28125" style="350" customWidth="1"/>
    <col min="12805" max="12805" width="10.7109375" style="350" customWidth="1"/>
    <col min="12806" max="12806" width="12.421875" style="350" customWidth="1"/>
    <col min="12807" max="12807" width="17.28125" style="350" customWidth="1"/>
    <col min="12808" max="12808" width="14.8515625" style="350" customWidth="1"/>
    <col min="12809" max="12809" width="13.421875" style="350" customWidth="1"/>
    <col min="12810" max="12810" width="16.140625" style="350" customWidth="1"/>
    <col min="12811" max="12812" width="14.28125" style="350" customWidth="1"/>
    <col min="12813" max="12813" width="14.00390625" style="350" customWidth="1"/>
    <col min="12814" max="12837" width="14.00390625" style="350" hidden="1" customWidth="1"/>
    <col min="12838" max="13056" width="14.00390625" style="350" customWidth="1"/>
    <col min="13057" max="13057" width="3.28125" style="350" customWidth="1"/>
    <col min="13058" max="13058" width="1.421875" style="350" customWidth="1"/>
    <col min="13059" max="13059" width="17.28125" style="350" customWidth="1"/>
    <col min="13060" max="13060" width="69.28125" style="350" customWidth="1"/>
    <col min="13061" max="13061" width="10.7109375" style="350" customWidth="1"/>
    <col min="13062" max="13062" width="12.421875" style="350" customWidth="1"/>
    <col min="13063" max="13063" width="17.28125" style="350" customWidth="1"/>
    <col min="13064" max="13064" width="14.8515625" style="350" customWidth="1"/>
    <col min="13065" max="13065" width="13.421875" style="350" customWidth="1"/>
    <col min="13066" max="13066" width="16.140625" style="350" customWidth="1"/>
    <col min="13067" max="13068" width="14.28125" style="350" customWidth="1"/>
    <col min="13069" max="13069" width="14.00390625" style="350" customWidth="1"/>
    <col min="13070" max="13093" width="14.00390625" style="350" hidden="1" customWidth="1"/>
    <col min="13094" max="13312" width="14.00390625" style="350" customWidth="1"/>
    <col min="13313" max="13313" width="3.28125" style="350" customWidth="1"/>
    <col min="13314" max="13314" width="1.421875" style="350" customWidth="1"/>
    <col min="13315" max="13315" width="17.28125" style="350" customWidth="1"/>
    <col min="13316" max="13316" width="69.28125" style="350" customWidth="1"/>
    <col min="13317" max="13317" width="10.7109375" style="350" customWidth="1"/>
    <col min="13318" max="13318" width="12.421875" style="350" customWidth="1"/>
    <col min="13319" max="13319" width="17.28125" style="350" customWidth="1"/>
    <col min="13320" max="13320" width="14.8515625" style="350" customWidth="1"/>
    <col min="13321" max="13321" width="13.421875" style="350" customWidth="1"/>
    <col min="13322" max="13322" width="16.140625" style="350" customWidth="1"/>
    <col min="13323" max="13324" width="14.28125" style="350" customWidth="1"/>
    <col min="13325" max="13325" width="14.00390625" style="350" customWidth="1"/>
    <col min="13326" max="13349" width="14.00390625" style="350" hidden="1" customWidth="1"/>
    <col min="13350" max="13568" width="14.00390625" style="350" customWidth="1"/>
    <col min="13569" max="13569" width="3.28125" style="350" customWidth="1"/>
    <col min="13570" max="13570" width="1.421875" style="350" customWidth="1"/>
    <col min="13571" max="13571" width="17.28125" style="350" customWidth="1"/>
    <col min="13572" max="13572" width="69.28125" style="350" customWidth="1"/>
    <col min="13573" max="13573" width="10.7109375" style="350" customWidth="1"/>
    <col min="13574" max="13574" width="12.421875" style="350" customWidth="1"/>
    <col min="13575" max="13575" width="17.28125" style="350" customWidth="1"/>
    <col min="13576" max="13576" width="14.8515625" style="350" customWidth="1"/>
    <col min="13577" max="13577" width="13.421875" style="350" customWidth="1"/>
    <col min="13578" max="13578" width="16.140625" style="350" customWidth="1"/>
    <col min="13579" max="13580" width="14.28125" style="350" customWidth="1"/>
    <col min="13581" max="13581" width="14.00390625" style="350" customWidth="1"/>
    <col min="13582" max="13605" width="14.00390625" style="350" hidden="1" customWidth="1"/>
    <col min="13606" max="13824" width="14.00390625" style="350" customWidth="1"/>
    <col min="13825" max="13825" width="3.28125" style="350" customWidth="1"/>
    <col min="13826" max="13826" width="1.421875" style="350" customWidth="1"/>
    <col min="13827" max="13827" width="17.28125" style="350" customWidth="1"/>
    <col min="13828" max="13828" width="69.28125" style="350" customWidth="1"/>
    <col min="13829" max="13829" width="10.7109375" style="350" customWidth="1"/>
    <col min="13830" max="13830" width="12.421875" style="350" customWidth="1"/>
    <col min="13831" max="13831" width="17.28125" style="350" customWidth="1"/>
    <col min="13832" max="13832" width="14.8515625" style="350" customWidth="1"/>
    <col min="13833" max="13833" width="13.421875" style="350" customWidth="1"/>
    <col min="13834" max="13834" width="16.140625" style="350" customWidth="1"/>
    <col min="13835" max="13836" width="14.28125" style="350" customWidth="1"/>
    <col min="13837" max="13837" width="14.00390625" style="350" customWidth="1"/>
    <col min="13838" max="13861" width="14.00390625" style="350" hidden="1" customWidth="1"/>
    <col min="13862" max="14080" width="14.00390625" style="350" customWidth="1"/>
    <col min="14081" max="14081" width="3.28125" style="350" customWidth="1"/>
    <col min="14082" max="14082" width="1.421875" style="350" customWidth="1"/>
    <col min="14083" max="14083" width="17.28125" style="350" customWidth="1"/>
    <col min="14084" max="14084" width="69.28125" style="350" customWidth="1"/>
    <col min="14085" max="14085" width="10.7109375" style="350" customWidth="1"/>
    <col min="14086" max="14086" width="12.421875" style="350" customWidth="1"/>
    <col min="14087" max="14087" width="17.28125" style="350" customWidth="1"/>
    <col min="14088" max="14088" width="14.8515625" style="350" customWidth="1"/>
    <col min="14089" max="14089" width="13.421875" style="350" customWidth="1"/>
    <col min="14090" max="14090" width="16.140625" style="350" customWidth="1"/>
    <col min="14091" max="14092" width="14.28125" style="350" customWidth="1"/>
    <col min="14093" max="14093" width="14.00390625" style="350" customWidth="1"/>
    <col min="14094" max="14117" width="14.00390625" style="350" hidden="1" customWidth="1"/>
    <col min="14118" max="14336" width="14.00390625" style="350" customWidth="1"/>
    <col min="14337" max="14337" width="3.28125" style="350" customWidth="1"/>
    <col min="14338" max="14338" width="1.421875" style="350" customWidth="1"/>
    <col min="14339" max="14339" width="17.28125" style="350" customWidth="1"/>
    <col min="14340" max="14340" width="69.28125" style="350" customWidth="1"/>
    <col min="14341" max="14341" width="10.7109375" style="350" customWidth="1"/>
    <col min="14342" max="14342" width="12.421875" style="350" customWidth="1"/>
    <col min="14343" max="14343" width="17.28125" style="350" customWidth="1"/>
    <col min="14344" max="14344" width="14.8515625" style="350" customWidth="1"/>
    <col min="14345" max="14345" width="13.421875" style="350" customWidth="1"/>
    <col min="14346" max="14346" width="16.140625" style="350" customWidth="1"/>
    <col min="14347" max="14348" width="14.28125" style="350" customWidth="1"/>
    <col min="14349" max="14349" width="14.00390625" style="350" customWidth="1"/>
    <col min="14350" max="14373" width="14.00390625" style="350" hidden="1" customWidth="1"/>
    <col min="14374" max="14592" width="14.00390625" style="350" customWidth="1"/>
    <col min="14593" max="14593" width="3.28125" style="350" customWidth="1"/>
    <col min="14594" max="14594" width="1.421875" style="350" customWidth="1"/>
    <col min="14595" max="14595" width="17.28125" style="350" customWidth="1"/>
    <col min="14596" max="14596" width="69.28125" style="350" customWidth="1"/>
    <col min="14597" max="14597" width="10.7109375" style="350" customWidth="1"/>
    <col min="14598" max="14598" width="12.421875" style="350" customWidth="1"/>
    <col min="14599" max="14599" width="17.28125" style="350" customWidth="1"/>
    <col min="14600" max="14600" width="14.8515625" style="350" customWidth="1"/>
    <col min="14601" max="14601" width="13.421875" style="350" customWidth="1"/>
    <col min="14602" max="14602" width="16.140625" style="350" customWidth="1"/>
    <col min="14603" max="14604" width="14.28125" style="350" customWidth="1"/>
    <col min="14605" max="14605" width="14.00390625" style="350" customWidth="1"/>
    <col min="14606" max="14629" width="14.00390625" style="350" hidden="1" customWidth="1"/>
    <col min="14630" max="14848" width="14.00390625" style="350" customWidth="1"/>
    <col min="14849" max="14849" width="3.28125" style="350" customWidth="1"/>
    <col min="14850" max="14850" width="1.421875" style="350" customWidth="1"/>
    <col min="14851" max="14851" width="17.28125" style="350" customWidth="1"/>
    <col min="14852" max="14852" width="69.28125" style="350" customWidth="1"/>
    <col min="14853" max="14853" width="10.7109375" style="350" customWidth="1"/>
    <col min="14854" max="14854" width="12.421875" style="350" customWidth="1"/>
    <col min="14855" max="14855" width="17.28125" style="350" customWidth="1"/>
    <col min="14856" max="14856" width="14.8515625" style="350" customWidth="1"/>
    <col min="14857" max="14857" width="13.421875" style="350" customWidth="1"/>
    <col min="14858" max="14858" width="16.140625" style="350" customWidth="1"/>
    <col min="14859" max="14860" width="14.28125" style="350" customWidth="1"/>
    <col min="14861" max="14861" width="14.00390625" style="350" customWidth="1"/>
    <col min="14862" max="14885" width="14.00390625" style="350" hidden="1" customWidth="1"/>
    <col min="14886" max="15104" width="14.00390625" style="350" customWidth="1"/>
    <col min="15105" max="15105" width="3.28125" style="350" customWidth="1"/>
    <col min="15106" max="15106" width="1.421875" style="350" customWidth="1"/>
    <col min="15107" max="15107" width="17.28125" style="350" customWidth="1"/>
    <col min="15108" max="15108" width="69.28125" style="350" customWidth="1"/>
    <col min="15109" max="15109" width="10.7109375" style="350" customWidth="1"/>
    <col min="15110" max="15110" width="12.421875" style="350" customWidth="1"/>
    <col min="15111" max="15111" width="17.28125" style="350" customWidth="1"/>
    <col min="15112" max="15112" width="14.8515625" style="350" customWidth="1"/>
    <col min="15113" max="15113" width="13.421875" style="350" customWidth="1"/>
    <col min="15114" max="15114" width="16.140625" style="350" customWidth="1"/>
    <col min="15115" max="15116" width="14.28125" style="350" customWidth="1"/>
    <col min="15117" max="15117" width="14.00390625" style="350" customWidth="1"/>
    <col min="15118" max="15141" width="14.00390625" style="350" hidden="1" customWidth="1"/>
    <col min="15142" max="15360" width="14.00390625" style="350" customWidth="1"/>
    <col min="15361" max="15361" width="3.28125" style="350" customWidth="1"/>
    <col min="15362" max="15362" width="1.421875" style="350" customWidth="1"/>
    <col min="15363" max="15363" width="17.28125" style="350" customWidth="1"/>
    <col min="15364" max="15364" width="69.28125" style="350" customWidth="1"/>
    <col min="15365" max="15365" width="10.7109375" style="350" customWidth="1"/>
    <col min="15366" max="15366" width="12.421875" style="350" customWidth="1"/>
    <col min="15367" max="15367" width="17.28125" style="350" customWidth="1"/>
    <col min="15368" max="15368" width="14.8515625" style="350" customWidth="1"/>
    <col min="15369" max="15369" width="13.421875" style="350" customWidth="1"/>
    <col min="15370" max="15370" width="16.140625" style="350" customWidth="1"/>
    <col min="15371" max="15372" width="14.28125" style="350" customWidth="1"/>
    <col min="15373" max="15373" width="14.00390625" style="350" customWidth="1"/>
    <col min="15374" max="15397" width="14.00390625" style="350" hidden="1" customWidth="1"/>
    <col min="15398" max="15616" width="14.00390625" style="350" customWidth="1"/>
    <col min="15617" max="15617" width="3.28125" style="350" customWidth="1"/>
    <col min="15618" max="15618" width="1.421875" style="350" customWidth="1"/>
    <col min="15619" max="15619" width="17.28125" style="350" customWidth="1"/>
    <col min="15620" max="15620" width="69.28125" style="350" customWidth="1"/>
    <col min="15621" max="15621" width="10.7109375" style="350" customWidth="1"/>
    <col min="15622" max="15622" width="12.421875" style="350" customWidth="1"/>
    <col min="15623" max="15623" width="17.28125" style="350" customWidth="1"/>
    <col min="15624" max="15624" width="14.8515625" style="350" customWidth="1"/>
    <col min="15625" max="15625" width="13.421875" style="350" customWidth="1"/>
    <col min="15626" max="15626" width="16.140625" style="350" customWidth="1"/>
    <col min="15627" max="15628" width="14.28125" style="350" customWidth="1"/>
    <col min="15629" max="15629" width="14.00390625" style="350" customWidth="1"/>
    <col min="15630" max="15653" width="14.00390625" style="350" hidden="1" customWidth="1"/>
    <col min="15654" max="15872" width="14.00390625" style="350" customWidth="1"/>
    <col min="15873" max="15873" width="3.28125" style="350" customWidth="1"/>
    <col min="15874" max="15874" width="1.421875" style="350" customWidth="1"/>
    <col min="15875" max="15875" width="17.28125" style="350" customWidth="1"/>
    <col min="15876" max="15876" width="69.28125" style="350" customWidth="1"/>
    <col min="15877" max="15877" width="10.7109375" style="350" customWidth="1"/>
    <col min="15878" max="15878" width="12.421875" style="350" customWidth="1"/>
    <col min="15879" max="15879" width="17.28125" style="350" customWidth="1"/>
    <col min="15880" max="15880" width="14.8515625" style="350" customWidth="1"/>
    <col min="15881" max="15881" width="13.421875" style="350" customWidth="1"/>
    <col min="15882" max="15882" width="16.140625" style="350" customWidth="1"/>
    <col min="15883" max="15884" width="14.28125" style="350" customWidth="1"/>
    <col min="15885" max="15885" width="14.00390625" style="350" customWidth="1"/>
    <col min="15886" max="15909" width="14.00390625" style="350" hidden="1" customWidth="1"/>
    <col min="15910" max="16128" width="14.00390625" style="350" customWidth="1"/>
    <col min="16129" max="16129" width="3.28125" style="350" customWidth="1"/>
    <col min="16130" max="16130" width="1.421875" style="350" customWidth="1"/>
    <col min="16131" max="16131" width="17.28125" style="350" customWidth="1"/>
    <col min="16132" max="16132" width="69.28125" style="350" customWidth="1"/>
    <col min="16133" max="16133" width="10.7109375" style="350" customWidth="1"/>
    <col min="16134" max="16134" width="12.421875" style="350" customWidth="1"/>
    <col min="16135" max="16135" width="17.28125" style="350" customWidth="1"/>
    <col min="16136" max="16136" width="14.8515625" style="350" customWidth="1"/>
    <col min="16137" max="16137" width="13.421875" style="350" customWidth="1"/>
    <col min="16138" max="16138" width="16.140625" style="350" customWidth="1"/>
    <col min="16139" max="16140" width="14.28125" style="350" customWidth="1"/>
    <col min="16141" max="16141" width="14.00390625" style="350" customWidth="1"/>
    <col min="16142" max="16165" width="14.00390625" style="350" hidden="1" customWidth="1"/>
    <col min="16166" max="16384" width="14.00390625" style="350" customWidth="1"/>
  </cols>
  <sheetData>
    <row r="1" spans="1:12" ht="21.95" customHeight="1">
      <c r="A1" s="511" t="s">
        <v>2922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3" ht="12">
      <c r="A2" s="513" t="s">
        <v>2923</v>
      </c>
      <c r="B2" s="514"/>
      <c r="C2" s="514"/>
      <c r="D2" s="516" t="s">
        <v>2924</v>
      </c>
      <c r="E2" s="518" t="s">
        <v>2925</v>
      </c>
      <c r="F2" s="514"/>
      <c r="G2" s="518"/>
      <c r="H2" s="514"/>
      <c r="I2" s="518" t="s">
        <v>2926</v>
      </c>
      <c r="J2" s="518"/>
      <c r="K2" s="514"/>
      <c r="L2" s="519"/>
      <c r="M2" s="351"/>
    </row>
    <row r="3" spans="1:13" ht="12">
      <c r="A3" s="515"/>
      <c r="B3" s="509"/>
      <c r="C3" s="509"/>
      <c r="D3" s="517"/>
      <c r="E3" s="509"/>
      <c r="F3" s="509"/>
      <c r="G3" s="509"/>
      <c r="H3" s="509"/>
      <c r="I3" s="509"/>
      <c r="J3" s="509"/>
      <c r="K3" s="509"/>
      <c r="L3" s="510"/>
      <c r="M3" s="351"/>
    </row>
    <row r="4" spans="1:13" ht="12">
      <c r="A4" s="520" t="s">
        <v>2927</v>
      </c>
      <c r="B4" s="509"/>
      <c r="C4" s="509"/>
      <c r="D4" s="508" t="s">
        <v>2928</v>
      </c>
      <c r="E4" s="508" t="s">
        <v>2929</v>
      </c>
      <c r="F4" s="509"/>
      <c r="G4" s="521"/>
      <c r="H4" s="509"/>
      <c r="I4" s="508" t="s">
        <v>29</v>
      </c>
      <c r="J4" s="508"/>
      <c r="K4" s="509"/>
      <c r="L4" s="510"/>
      <c r="M4" s="351"/>
    </row>
    <row r="5" spans="1:13" ht="12">
      <c r="A5" s="515"/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10"/>
      <c r="M5" s="351"/>
    </row>
    <row r="6" spans="1:13" ht="12">
      <c r="A6" s="520" t="s">
        <v>2930</v>
      </c>
      <c r="B6" s="509"/>
      <c r="C6" s="509"/>
      <c r="D6" s="508"/>
      <c r="E6" s="508" t="s">
        <v>2931</v>
      </c>
      <c r="F6" s="509"/>
      <c r="G6" s="509"/>
      <c r="H6" s="509"/>
      <c r="I6" s="508" t="s">
        <v>27</v>
      </c>
      <c r="J6" s="508"/>
      <c r="K6" s="509"/>
      <c r="L6" s="510"/>
      <c r="M6" s="351"/>
    </row>
    <row r="7" spans="1:13" ht="12">
      <c r="A7" s="515"/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10"/>
      <c r="M7" s="351"/>
    </row>
    <row r="8" spans="1:13" ht="12">
      <c r="A8" s="520" t="s">
        <v>2932</v>
      </c>
      <c r="B8" s="509"/>
      <c r="C8" s="509"/>
      <c r="D8" s="508"/>
      <c r="E8" s="508" t="s">
        <v>2933</v>
      </c>
      <c r="F8" s="509"/>
      <c r="G8" s="521"/>
      <c r="H8" s="509"/>
      <c r="I8" s="508" t="s">
        <v>2934</v>
      </c>
      <c r="J8" s="508"/>
      <c r="K8" s="509"/>
      <c r="L8" s="510"/>
      <c r="M8" s="351"/>
    </row>
    <row r="9" spans="1:13" ht="13.5" thickBot="1">
      <c r="A9" s="525"/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3"/>
      <c r="M9" s="351"/>
    </row>
    <row r="10" spans="1:13" ht="12">
      <c r="A10" s="352" t="s">
        <v>28</v>
      </c>
      <c r="B10" s="353" t="s">
        <v>28</v>
      </c>
      <c r="C10" s="353" t="s">
        <v>28</v>
      </c>
      <c r="D10" s="353" t="s">
        <v>28</v>
      </c>
      <c r="E10" s="353" t="s">
        <v>28</v>
      </c>
      <c r="F10" s="353" t="s">
        <v>28</v>
      </c>
      <c r="G10" s="354" t="s">
        <v>2935</v>
      </c>
      <c r="H10" s="526" t="s">
        <v>2936</v>
      </c>
      <c r="I10" s="527"/>
      <c r="J10" s="528"/>
      <c r="K10" s="526" t="s">
        <v>2937</v>
      </c>
      <c r="L10" s="528"/>
      <c r="M10" s="355"/>
    </row>
    <row r="11" spans="1:24" ht="13.5" thickBot="1">
      <c r="A11" s="356" t="s">
        <v>2938</v>
      </c>
      <c r="B11" s="357" t="s">
        <v>2717</v>
      </c>
      <c r="C11" s="357" t="s">
        <v>51</v>
      </c>
      <c r="D11" s="357" t="s">
        <v>2939</v>
      </c>
      <c r="E11" s="357" t="s">
        <v>2940</v>
      </c>
      <c r="F11" s="358" t="s">
        <v>114</v>
      </c>
      <c r="G11" s="359" t="s">
        <v>2941</v>
      </c>
      <c r="H11" s="360" t="s">
        <v>2942</v>
      </c>
      <c r="I11" s="361" t="s">
        <v>2943</v>
      </c>
      <c r="J11" s="362" t="s">
        <v>2944</v>
      </c>
      <c r="K11" s="360" t="s">
        <v>2935</v>
      </c>
      <c r="L11" s="362" t="s">
        <v>2944</v>
      </c>
      <c r="M11" s="355"/>
      <c r="P11" s="363" t="s">
        <v>2945</v>
      </c>
      <c r="Q11" s="363" t="s">
        <v>2946</v>
      </c>
      <c r="R11" s="363" t="s">
        <v>2947</v>
      </c>
      <c r="S11" s="363" t="s">
        <v>2948</v>
      </c>
      <c r="T11" s="363" t="s">
        <v>2949</v>
      </c>
      <c r="U11" s="363" t="s">
        <v>2950</v>
      </c>
      <c r="V11" s="363" t="s">
        <v>2951</v>
      </c>
      <c r="W11" s="363" t="s">
        <v>2952</v>
      </c>
      <c r="X11" s="363" t="s">
        <v>2953</v>
      </c>
    </row>
    <row r="12" spans="1:37" ht="12">
      <c r="A12" s="364"/>
      <c r="B12" s="364"/>
      <c r="C12" s="365" t="s">
        <v>2954</v>
      </c>
      <c r="D12" s="529" t="s">
        <v>2955</v>
      </c>
      <c r="E12" s="530"/>
      <c r="F12" s="530"/>
      <c r="G12" s="530"/>
      <c r="H12" s="366"/>
      <c r="I12" s="367"/>
      <c r="J12" s="368">
        <f>SUM(J13:J79)</f>
        <v>0</v>
      </c>
      <c r="K12" s="367"/>
      <c r="L12" s="369">
        <f>SUM(L13:L79)</f>
        <v>0</v>
      </c>
      <c r="P12" s="369">
        <f>IF(Q12="PR",J12,SUM(O13:O79))</f>
        <v>0</v>
      </c>
      <c r="Q12" s="363" t="s">
        <v>2956</v>
      </c>
      <c r="R12" s="369">
        <f>IF(Q12="HS",H12,0)</f>
        <v>0</v>
      </c>
      <c r="S12" s="369">
        <f>IF(Q12="HS",I12-P12,0)</f>
        <v>0</v>
      </c>
      <c r="T12" s="369">
        <f>IF(Q12="PS",H12,0)</f>
        <v>0</v>
      </c>
      <c r="U12" s="369">
        <f>IF(Q12="PS",I12-P12,0)</f>
        <v>0</v>
      </c>
      <c r="V12" s="369">
        <f>IF(Q12="MP",H12,0)</f>
        <v>0</v>
      </c>
      <c r="W12" s="369">
        <f>IF(Q12="MP",I12-P12,0)</f>
        <v>0</v>
      </c>
      <c r="X12" s="369">
        <f>IF(Q12="OM",H12,0)</f>
        <v>0</v>
      </c>
      <c r="Y12" s="363" t="s">
        <v>2957</v>
      </c>
      <c r="AI12" s="369">
        <f>SUM(Z13:Z79)</f>
        <v>0</v>
      </c>
      <c r="AJ12" s="369">
        <f>SUM(AA13:AA79)</f>
        <v>0</v>
      </c>
      <c r="AK12" s="369">
        <f>SUM(AB13:AB79)</f>
        <v>0</v>
      </c>
    </row>
    <row r="13" spans="1:32" ht="12">
      <c r="A13" s="370"/>
      <c r="B13" s="370"/>
      <c r="C13" s="370" t="s">
        <v>2958</v>
      </c>
      <c r="D13" s="370" t="s">
        <v>2959</v>
      </c>
      <c r="E13" s="371" t="s">
        <v>249</v>
      </c>
      <c r="F13" s="372">
        <f>(2+5+1+2+1+3)*1.25</f>
        <v>17.5</v>
      </c>
      <c r="G13" s="372">
        <f>H13+I13</f>
        <v>0</v>
      </c>
      <c r="H13" s="372"/>
      <c r="I13" s="372"/>
      <c r="J13" s="372">
        <f>ROUND(F13*G13,2)</f>
        <v>0</v>
      </c>
      <c r="K13" s="372"/>
      <c r="L13" s="372"/>
      <c r="N13" s="373" t="s">
        <v>78</v>
      </c>
      <c r="O13" s="372">
        <f>IF(N13="5",I13,0)</f>
        <v>0</v>
      </c>
      <c r="Z13" s="372">
        <f>IF(AD13=0,J13,0)</f>
        <v>0</v>
      </c>
      <c r="AA13" s="372">
        <f>IF(AD13=10,J13,0)</f>
        <v>0</v>
      </c>
      <c r="AB13" s="372">
        <f>IF(AD13=20,J13,0)</f>
        <v>0</v>
      </c>
      <c r="AD13" s="372">
        <v>20</v>
      </c>
      <c r="AE13" s="372">
        <f>G13*0.261294932395295</f>
        <v>0</v>
      </c>
      <c r="AF13" s="372">
        <f>G13*(1-0.261294932395295)</f>
        <v>0</v>
      </c>
    </row>
    <row r="14" spans="1:32" ht="12">
      <c r="A14" s="370"/>
      <c r="B14" s="370"/>
      <c r="C14" s="370" t="s">
        <v>2960</v>
      </c>
      <c r="D14" s="370" t="s">
        <v>2961</v>
      </c>
      <c r="E14" s="371" t="s">
        <v>249</v>
      </c>
      <c r="F14" s="372">
        <v>35.4</v>
      </c>
      <c r="G14" s="372">
        <f aca="true" t="shared" si="0" ref="G14:G21">H14+I14</f>
        <v>0</v>
      </c>
      <c r="H14" s="372"/>
      <c r="I14" s="372"/>
      <c r="J14" s="372">
        <f aca="true" t="shared" si="1" ref="J14:J21">ROUND(F14*G14,2)</f>
        <v>0</v>
      </c>
      <c r="K14" s="372"/>
      <c r="L14" s="372"/>
      <c r="N14" s="373"/>
      <c r="O14" s="372"/>
      <c r="Z14" s="372"/>
      <c r="AA14" s="372"/>
      <c r="AB14" s="372"/>
      <c r="AD14" s="372"/>
      <c r="AE14" s="372"/>
      <c r="AF14" s="372"/>
    </row>
    <row r="15" spans="1:32" ht="12">
      <c r="A15" s="370"/>
      <c r="B15" s="370"/>
      <c r="C15" s="370" t="s">
        <v>2962</v>
      </c>
      <c r="D15" s="370" t="s">
        <v>2963</v>
      </c>
      <c r="E15" s="371" t="s">
        <v>249</v>
      </c>
      <c r="F15" s="372">
        <f>(4+3+2)*1.25</f>
        <v>11.25</v>
      </c>
      <c r="G15" s="372">
        <f t="shared" si="0"/>
        <v>0</v>
      </c>
      <c r="H15" s="372"/>
      <c r="I15" s="372"/>
      <c r="J15" s="372">
        <f t="shared" si="1"/>
        <v>0</v>
      </c>
      <c r="K15" s="372"/>
      <c r="L15" s="372"/>
      <c r="N15" s="373" t="s">
        <v>78</v>
      </c>
      <c r="O15" s="372">
        <f>IF(N15="5",I15,0)</f>
        <v>0</v>
      </c>
      <c r="Z15" s="372">
        <f>IF(AD15=0,J15,0)</f>
        <v>0</v>
      </c>
      <c r="AA15" s="372">
        <f>IF(AD15=10,J15,0)</f>
        <v>0</v>
      </c>
      <c r="AB15" s="372">
        <f>IF(AD15=20,J15,0)</f>
        <v>0</v>
      </c>
      <c r="AD15" s="372">
        <v>20</v>
      </c>
      <c r="AE15" s="372">
        <f>G15*0.260217685885387</f>
        <v>0</v>
      </c>
      <c r="AF15" s="372">
        <f>G15*(1-0.260217685885387)</f>
        <v>0</v>
      </c>
    </row>
    <row r="16" spans="1:32" ht="12">
      <c r="A16" s="370"/>
      <c r="B16" s="370"/>
      <c r="C16" s="370" t="s">
        <v>2964</v>
      </c>
      <c r="D16" s="370" t="s">
        <v>2965</v>
      </c>
      <c r="E16" s="371" t="s">
        <v>249</v>
      </c>
      <c r="F16" s="372">
        <f>(2+1+5+2+3)*1.25</f>
        <v>16.25</v>
      </c>
      <c r="G16" s="372">
        <f t="shared" si="0"/>
        <v>0</v>
      </c>
      <c r="H16" s="372"/>
      <c r="I16" s="372"/>
      <c r="J16" s="372">
        <f t="shared" si="1"/>
        <v>0</v>
      </c>
      <c r="K16" s="372"/>
      <c r="L16" s="372"/>
      <c r="N16" s="373" t="s">
        <v>78</v>
      </c>
      <c r="O16" s="372">
        <f>IF(N16="5",I16,0)</f>
        <v>0</v>
      </c>
      <c r="Z16" s="372">
        <f>IF(AD16=0,J16,0)</f>
        <v>0</v>
      </c>
      <c r="AA16" s="372">
        <f>IF(AD16=10,J16,0)</f>
        <v>0</v>
      </c>
      <c r="AB16" s="372">
        <f>IF(AD16=20,J16,0)</f>
        <v>0</v>
      </c>
      <c r="AD16" s="372">
        <v>20</v>
      </c>
      <c r="AE16" s="372">
        <f>G16*0.219328806569732</f>
        <v>0</v>
      </c>
      <c r="AF16" s="372">
        <f>G16*(1-0.219328806569732)</f>
        <v>0</v>
      </c>
    </row>
    <row r="17" spans="1:32" ht="12">
      <c r="A17" s="370"/>
      <c r="B17" s="370"/>
      <c r="C17" s="370" t="s">
        <v>2966</v>
      </c>
      <c r="D17" s="370" t="s">
        <v>2967</v>
      </c>
      <c r="E17" s="371" t="s">
        <v>249</v>
      </c>
      <c r="F17" s="372">
        <f>6*3.8</f>
        <v>22.799999999999997</v>
      </c>
      <c r="G17" s="372">
        <f t="shared" si="0"/>
        <v>0</v>
      </c>
      <c r="H17" s="372"/>
      <c r="I17" s="372"/>
      <c r="J17" s="372">
        <f t="shared" si="1"/>
        <v>0</v>
      </c>
      <c r="K17" s="372"/>
      <c r="L17" s="372"/>
      <c r="N17" s="373" t="s">
        <v>78</v>
      </c>
      <c r="O17" s="372">
        <f>IF(N17="5",I17,0)</f>
        <v>0</v>
      </c>
      <c r="Z17" s="372">
        <f>IF(AD17=0,J17,0)</f>
        <v>0</v>
      </c>
      <c r="AA17" s="372">
        <f>IF(AD17=10,J17,0)</f>
        <v>0</v>
      </c>
      <c r="AB17" s="372">
        <f>IF(AD17=20,J17,0)</f>
        <v>0</v>
      </c>
      <c r="AD17" s="372">
        <v>20</v>
      </c>
      <c r="AE17" s="372">
        <f>G17*0.360559692684078</f>
        <v>0</v>
      </c>
      <c r="AF17" s="372">
        <f>G17*(1-0.360559692684078)</f>
        <v>0</v>
      </c>
    </row>
    <row r="18" spans="1:32" ht="12">
      <c r="A18" s="370"/>
      <c r="B18" s="370"/>
      <c r="C18" s="370" t="s">
        <v>2968</v>
      </c>
      <c r="D18" s="370" t="s">
        <v>2969</v>
      </c>
      <c r="E18" s="371" t="s">
        <v>249</v>
      </c>
      <c r="F18" s="372">
        <f>12*3.8</f>
        <v>45.599999999999994</v>
      </c>
      <c r="G18" s="372">
        <f t="shared" si="0"/>
        <v>0</v>
      </c>
      <c r="H18" s="372"/>
      <c r="I18" s="372"/>
      <c r="J18" s="372">
        <f t="shared" si="1"/>
        <v>0</v>
      </c>
      <c r="K18" s="372"/>
      <c r="L18" s="372"/>
      <c r="N18" s="373" t="s">
        <v>78</v>
      </c>
      <c r="O18" s="372">
        <f>IF(N18="5",I18,0)</f>
        <v>0</v>
      </c>
      <c r="Z18" s="372">
        <f>IF(AD18=0,J18,0)</f>
        <v>0</v>
      </c>
      <c r="AA18" s="372">
        <f>IF(AD18=10,J18,0)</f>
        <v>0</v>
      </c>
      <c r="AB18" s="372">
        <f>IF(AD18=20,J18,0)</f>
        <v>0</v>
      </c>
      <c r="AD18" s="372">
        <v>20</v>
      </c>
      <c r="AE18" s="372">
        <f>G18*0.554492968649206</f>
        <v>0</v>
      </c>
      <c r="AF18" s="372">
        <f>G18*(1-0.554492968649206)</f>
        <v>0</v>
      </c>
    </row>
    <row r="19" spans="1:32" ht="12">
      <c r="A19" s="370"/>
      <c r="B19" s="370"/>
      <c r="C19" s="374" t="s">
        <v>2970</v>
      </c>
      <c r="D19" s="375" t="s">
        <v>2971</v>
      </c>
      <c r="E19" s="376" t="s">
        <v>2792</v>
      </c>
      <c r="F19" s="374">
        <v>2</v>
      </c>
      <c r="G19" s="372">
        <f t="shared" si="0"/>
        <v>0</v>
      </c>
      <c r="H19" s="372"/>
      <c r="I19" s="372"/>
      <c r="J19" s="372">
        <f t="shared" si="1"/>
        <v>0</v>
      </c>
      <c r="K19" s="372"/>
      <c r="L19" s="372"/>
      <c r="N19" s="373"/>
      <c r="O19" s="372"/>
      <c r="Z19" s="372"/>
      <c r="AA19" s="372"/>
      <c r="AB19" s="372"/>
      <c r="AD19" s="372"/>
      <c r="AE19" s="372"/>
      <c r="AF19" s="372"/>
    </row>
    <row r="20" spans="1:32" ht="12">
      <c r="A20" s="370"/>
      <c r="B20" s="370"/>
      <c r="C20" s="374" t="s">
        <v>2972</v>
      </c>
      <c r="D20" s="375" t="s">
        <v>2973</v>
      </c>
      <c r="E20" s="376" t="s">
        <v>2792</v>
      </c>
      <c r="F20" s="374">
        <v>11</v>
      </c>
      <c r="G20" s="372">
        <f t="shared" si="0"/>
        <v>0</v>
      </c>
      <c r="H20" s="372"/>
      <c r="I20" s="372"/>
      <c r="J20" s="372">
        <f t="shared" si="1"/>
        <v>0</v>
      </c>
      <c r="K20" s="372"/>
      <c r="L20" s="372"/>
      <c r="N20" s="373"/>
      <c r="O20" s="372"/>
      <c r="Z20" s="372"/>
      <c r="AA20" s="372"/>
      <c r="AB20" s="372"/>
      <c r="AD20" s="372"/>
      <c r="AE20" s="372"/>
      <c r="AF20" s="372"/>
    </row>
    <row r="21" spans="1:32" ht="12">
      <c r="A21" s="370"/>
      <c r="B21" s="370"/>
      <c r="C21" s="374" t="s">
        <v>2974</v>
      </c>
      <c r="D21" s="375" t="s">
        <v>2975</v>
      </c>
      <c r="E21" s="376" t="s">
        <v>2792</v>
      </c>
      <c r="F21" s="374">
        <v>2</v>
      </c>
      <c r="G21" s="372">
        <f t="shared" si="0"/>
        <v>0</v>
      </c>
      <c r="H21" s="372"/>
      <c r="I21" s="372"/>
      <c r="J21" s="372">
        <f t="shared" si="1"/>
        <v>0</v>
      </c>
      <c r="K21" s="372"/>
      <c r="L21" s="372"/>
      <c r="N21" s="373"/>
      <c r="O21" s="372"/>
      <c r="Z21" s="372"/>
      <c r="AA21" s="372"/>
      <c r="AB21" s="372"/>
      <c r="AD21" s="372"/>
      <c r="AE21" s="372"/>
      <c r="AF21" s="372"/>
    </row>
    <row r="22" spans="1:32" ht="12">
      <c r="A22" s="370"/>
      <c r="B22" s="370"/>
      <c r="C22" s="374"/>
      <c r="D22" s="377" t="s">
        <v>2976</v>
      </c>
      <c r="E22" s="376"/>
      <c r="F22" s="378"/>
      <c r="G22" s="372"/>
      <c r="H22" s="372"/>
      <c r="I22" s="372"/>
      <c r="J22" s="372"/>
      <c r="K22" s="372"/>
      <c r="L22" s="372"/>
      <c r="N22" s="373"/>
      <c r="O22" s="372"/>
      <c r="Z22" s="372"/>
      <c r="AA22" s="372"/>
      <c r="AB22" s="372"/>
      <c r="AD22" s="372"/>
      <c r="AE22" s="372"/>
      <c r="AF22" s="372"/>
    </row>
    <row r="23" spans="1:32" ht="12">
      <c r="A23" s="370"/>
      <c r="B23" s="370"/>
      <c r="C23" s="374"/>
      <c r="D23" s="377" t="s">
        <v>2977</v>
      </c>
      <c r="E23" s="376"/>
      <c r="F23" s="378"/>
      <c r="G23" s="372"/>
      <c r="H23" s="372"/>
      <c r="I23" s="372"/>
      <c r="J23" s="372"/>
      <c r="K23" s="372"/>
      <c r="L23" s="372"/>
      <c r="N23" s="373"/>
      <c r="O23" s="372"/>
      <c r="Z23" s="372"/>
      <c r="AA23" s="372"/>
      <c r="AB23" s="372"/>
      <c r="AD23" s="372"/>
      <c r="AE23" s="372"/>
      <c r="AF23" s="372"/>
    </row>
    <row r="24" spans="1:32" ht="12">
      <c r="A24" s="370"/>
      <c r="B24" s="370"/>
      <c r="C24" s="374" t="s">
        <v>2978</v>
      </c>
      <c r="D24" s="375" t="s">
        <v>2979</v>
      </c>
      <c r="E24" s="376" t="s">
        <v>28</v>
      </c>
      <c r="F24" s="378"/>
      <c r="G24" s="372"/>
      <c r="H24" s="372"/>
      <c r="I24" s="372"/>
      <c r="J24" s="372"/>
      <c r="K24" s="372"/>
      <c r="L24" s="372"/>
      <c r="N24" s="373"/>
      <c r="O24" s="372"/>
      <c r="Z24" s="372"/>
      <c r="AA24" s="372"/>
      <c r="AB24" s="372"/>
      <c r="AD24" s="372"/>
      <c r="AE24" s="372"/>
      <c r="AF24" s="372"/>
    </row>
    <row r="25" spans="1:32" ht="15" customHeight="1">
      <c r="A25" s="370"/>
      <c r="B25" s="370"/>
      <c r="C25" s="374"/>
      <c r="D25" s="375" t="s">
        <v>2980</v>
      </c>
      <c r="E25" s="376" t="s">
        <v>413</v>
      </c>
      <c r="F25" s="374">
        <v>35</v>
      </c>
      <c r="G25" s="372">
        <f>H25+I25</f>
        <v>0</v>
      </c>
      <c r="H25" s="372"/>
      <c r="I25" s="372"/>
      <c r="J25" s="372">
        <f>ROUND(F25*G25,2)</f>
        <v>0</v>
      </c>
      <c r="K25" s="372"/>
      <c r="L25" s="372"/>
      <c r="N25" s="373"/>
      <c r="O25" s="372"/>
      <c r="Z25" s="372"/>
      <c r="AA25" s="372"/>
      <c r="AB25" s="372"/>
      <c r="AD25" s="372"/>
      <c r="AE25" s="372"/>
      <c r="AF25" s="372"/>
    </row>
    <row r="26" spans="1:32" ht="15" customHeight="1">
      <c r="A26" s="370"/>
      <c r="B26" s="370"/>
      <c r="C26" s="374"/>
      <c r="D26" s="377" t="s">
        <v>2981</v>
      </c>
      <c r="E26" s="376"/>
      <c r="F26" s="374"/>
      <c r="G26" s="372"/>
      <c r="H26" s="372"/>
      <c r="I26" s="372"/>
      <c r="J26" s="372"/>
      <c r="K26" s="372"/>
      <c r="L26" s="372"/>
      <c r="N26" s="373"/>
      <c r="O26" s="372"/>
      <c r="Z26" s="372"/>
      <c r="AA26" s="372"/>
      <c r="AB26" s="372"/>
      <c r="AD26" s="372"/>
      <c r="AE26" s="372"/>
      <c r="AF26" s="372"/>
    </row>
    <row r="27" spans="1:32" ht="15" customHeight="1">
      <c r="A27" s="370"/>
      <c r="B27" s="370"/>
      <c r="C27" s="374" t="s">
        <v>2982</v>
      </c>
      <c r="D27" s="379" t="s">
        <v>2983</v>
      </c>
      <c r="E27" s="376" t="s">
        <v>2792</v>
      </c>
      <c r="F27" s="374">
        <v>2</v>
      </c>
      <c r="G27" s="372">
        <f aca="true" t="shared" si="2" ref="G27:G32">H27+I27</f>
        <v>0</v>
      </c>
      <c r="H27" s="372"/>
      <c r="I27" s="372"/>
      <c r="J27" s="372">
        <f aca="true" t="shared" si="3" ref="J27:J32">ROUND(F27*G27,2)</f>
        <v>0</v>
      </c>
      <c r="K27" s="372"/>
      <c r="L27" s="372"/>
      <c r="N27" s="373"/>
      <c r="O27" s="372"/>
      <c r="Z27" s="372"/>
      <c r="AA27" s="372"/>
      <c r="AB27" s="372"/>
      <c r="AD27" s="372"/>
      <c r="AE27" s="372"/>
      <c r="AF27" s="372"/>
    </row>
    <row r="28" spans="1:32" ht="15" customHeight="1">
      <c r="A28" s="370"/>
      <c r="B28" s="370"/>
      <c r="C28" s="374" t="s">
        <v>2984</v>
      </c>
      <c r="D28" s="379" t="s">
        <v>2985</v>
      </c>
      <c r="E28" s="376" t="s">
        <v>2792</v>
      </c>
      <c r="F28" s="374">
        <v>11</v>
      </c>
      <c r="G28" s="372">
        <f t="shared" si="2"/>
        <v>0</v>
      </c>
      <c r="H28" s="372"/>
      <c r="I28" s="372"/>
      <c r="J28" s="372">
        <f t="shared" si="3"/>
        <v>0</v>
      </c>
      <c r="K28" s="372"/>
      <c r="L28" s="372"/>
      <c r="N28" s="373"/>
      <c r="O28" s="372"/>
      <c r="Z28" s="372"/>
      <c r="AA28" s="372"/>
      <c r="AB28" s="372"/>
      <c r="AD28" s="372"/>
      <c r="AE28" s="372"/>
      <c r="AF28" s="372"/>
    </row>
    <row r="29" spans="1:32" ht="15" customHeight="1">
      <c r="A29" s="370"/>
      <c r="B29" s="370"/>
      <c r="C29" s="374" t="s">
        <v>2986</v>
      </c>
      <c r="D29" s="379" t="s">
        <v>2987</v>
      </c>
      <c r="E29" s="376" t="s">
        <v>2792</v>
      </c>
      <c r="F29" s="374">
        <v>2</v>
      </c>
      <c r="G29" s="372">
        <f t="shared" si="2"/>
        <v>0</v>
      </c>
      <c r="H29" s="372"/>
      <c r="I29" s="372"/>
      <c r="J29" s="372">
        <f t="shared" si="3"/>
        <v>0</v>
      </c>
      <c r="K29" s="372"/>
      <c r="L29" s="372"/>
      <c r="N29" s="373"/>
      <c r="O29" s="372"/>
      <c r="Z29" s="372"/>
      <c r="AA29" s="372"/>
      <c r="AB29" s="372"/>
      <c r="AD29" s="372"/>
      <c r="AE29" s="372"/>
      <c r="AF29" s="372"/>
    </row>
    <row r="30" spans="1:32" ht="15" customHeight="1">
      <c r="A30" s="370"/>
      <c r="B30" s="370"/>
      <c r="C30" s="374" t="s">
        <v>2988</v>
      </c>
      <c r="D30" s="379" t="s">
        <v>2989</v>
      </c>
      <c r="E30" s="376" t="s">
        <v>2792</v>
      </c>
      <c r="F30" s="374">
        <v>5</v>
      </c>
      <c r="G30" s="372">
        <f t="shared" si="2"/>
        <v>0</v>
      </c>
      <c r="H30" s="372"/>
      <c r="I30" s="372"/>
      <c r="J30" s="372">
        <f t="shared" si="3"/>
        <v>0</v>
      </c>
      <c r="K30" s="372"/>
      <c r="L30" s="372"/>
      <c r="N30" s="373"/>
      <c r="O30" s="372"/>
      <c r="Z30" s="372"/>
      <c r="AA30" s="372"/>
      <c r="AB30" s="372"/>
      <c r="AD30" s="372"/>
      <c r="AE30" s="372"/>
      <c r="AF30" s="372"/>
    </row>
    <row r="31" spans="1:32" ht="15" customHeight="1">
      <c r="A31" s="370"/>
      <c r="B31" s="370"/>
      <c r="C31" s="374" t="s">
        <v>2990</v>
      </c>
      <c r="D31" s="379" t="s">
        <v>2991</v>
      </c>
      <c r="E31" s="376" t="s">
        <v>2792</v>
      </c>
      <c r="F31" s="374">
        <v>2</v>
      </c>
      <c r="G31" s="372">
        <f t="shared" si="2"/>
        <v>0</v>
      </c>
      <c r="H31" s="372"/>
      <c r="I31" s="372"/>
      <c r="J31" s="372">
        <f t="shared" si="3"/>
        <v>0</v>
      </c>
      <c r="K31" s="372"/>
      <c r="L31" s="372"/>
      <c r="N31" s="373"/>
      <c r="O31" s="372"/>
      <c r="Z31" s="372"/>
      <c r="AA31" s="372"/>
      <c r="AB31" s="372"/>
      <c r="AD31" s="372"/>
      <c r="AE31" s="372"/>
      <c r="AF31" s="372"/>
    </row>
    <row r="32" spans="1:32" ht="15" customHeight="1">
      <c r="A32" s="370"/>
      <c r="B32" s="370"/>
      <c r="C32" s="374" t="s">
        <v>2992</v>
      </c>
      <c r="D32" s="379" t="s">
        <v>2993</v>
      </c>
      <c r="E32" s="376" t="s">
        <v>2792</v>
      </c>
      <c r="F32" s="374">
        <v>1</v>
      </c>
      <c r="G32" s="372">
        <f t="shared" si="2"/>
        <v>0</v>
      </c>
      <c r="H32" s="372"/>
      <c r="I32" s="372"/>
      <c r="J32" s="372">
        <f t="shared" si="3"/>
        <v>0</v>
      </c>
      <c r="K32" s="372"/>
      <c r="L32" s="372"/>
      <c r="N32" s="373"/>
      <c r="O32" s="372"/>
      <c r="Z32" s="372"/>
      <c r="AA32" s="372"/>
      <c r="AB32" s="372"/>
      <c r="AD32" s="372"/>
      <c r="AE32" s="372"/>
      <c r="AF32" s="372"/>
    </row>
    <row r="33" spans="1:32" ht="15" customHeight="1">
      <c r="A33" s="370"/>
      <c r="B33" s="370"/>
      <c r="C33" s="374"/>
      <c r="D33" s="380" t="s">
        <v>2994</v>
      </c>
      <c r="E33" s="376"/>
      <c r="F33" s="378"/>
      <c r="G33" s="381"/>
      <c r="H33" s="372"/>
      <c r="I33" s="372"/>
      <c r="J33" s="372"/>
      <c r="K33" s="372"/>
      <c r="L33" s="372"/>
      <c r="N33" s="373"/>
      <c r="O33" s="372"/>
      <c r="Z33" s="372"/>
      <c r="AA33" s="372"/>
      <c r="AB33" s="372"/>
      <c r="AD33" s="372"/>
      <c r="AE33" s="372"/>
      <c r="AF33" s="372"/>
    </row>
    <row r="34" spans="1:32" ht="15" customHeight="1">
      <c r="A34" s="370"/>
      <c r="B34" s="370"/>
      <c r="C34" s="374"/>
      <c r="D34" s="375" t="s">
        <v>2979</v>
      </c>
      <c r="E34" s="376"/>
      <c r="F34" s="378"/>
      <c r="G34" s="381"/>
      <c r="H34" s="372"/>
      <c r="I34" s="372"/>
      <c r="J34" s="372"/>
      <c r="K34" s="372"/>
      <c r="L34" s="372"/>
      <c r="N34" s="373"/>
      <c r="O34" s="372"/>
      <c r="Z34" s="372"/>
      <c r="AA34" s="372"/>
      <c r="AB34" s="372"/>
      <c r="AD34" s="372"/>
      <c r="AE34" s="372"/>
      <c r="AF34" s="372"/>
    </row>
    <row r="35" spans="1:32" ht="15" customHeight="1">
      <c r="A35" s="370"/>
      <c r="B35" s="370"/>
      <c r="C35" s="374"/>
      <c r="D35" s="375" t="s">
        <v>2995</v>
      </c>
      <c r="E35" s="376"/>
      <c r="F35" s="378"/>
      <c r="G35" s="381"/>
      <c r="H35" s="372"/>
      <c r="I35" s="372"/>
      <c r="J35" s="372"/>
      <c r="K35" s="372"/>
      <c r="L35" s="372"/>
      <c r="N35" s="373"/>
      <c r="O35" s="372"/>
      <c r="Z35" s="372"/>
      <c r="AA35" s="372"/>
      <c r="AB35" s="372"/>
      <c r="AD35" s="372"/>
      <c r="AE35" s="372"/>
      <c r="AF35" s="372"/>
    </row>
    <row r="36" spans="1:32" ht="15" customHeight="1">
      <c r="A36" s="370"/>
      <c r="B36" s="370"/>
      <c r="C36" s="374" t="s">
        <v>2996</v>
      </c>
      <c r="D36" s="375" t="s">
        <v>2997</v>
      </c>
      <c r="E36" s="376" t="s">
        <v>413</v>
      </c>
      <c r="F36" s="374">
        <v>15</v>
      </c>
      <c r="G36" s="372">
        <f>H36+I36</f>
        <v>0</v>
      </c>
      <c r="H36" s="372"/>
      <c r="I36" s="372"/>
      <c r="J36" s="372">
        <f>ROUND(F36*G36,2)</f>
        <v>0</v>
      </c>
      <c r="K36" s="372"/>
      <c r="L36" s="372"/>
      <c r="N36" s="373"/>
      <c r="O36" s="372"/>
      <c r="Z36" s="372"/>
      <c r="AA36" s="372"/>
      <c r="AB36" s="372"/>
      <c r="AD36" s="372"/>
      <c r="AE36" s="372"/>
      <c r="AF36" s="372"/>
    </row>
    <row r="37" spans="1:32" ht="15" customHeight="1">
      <c r="A37" s="370"/>
      <c r="B37" s="370"/>
      <c r="C37" s="374"/>
      <c r="D37" s="380" t="s">
        <v>2998</v>
      </c>
      <c r="E37" s="376"/>
      <c r="F37" s="378"/>
      <c r="G37" s="381"/>
      <c r="H37" s="372"/>
      <c r="I37" s="372"/>
      <c r="J37" s="372"/>
      <c r="K37" s="372"/>
      <c r="L37" s="372"/>
      <c r="N37" s="373"/>
      <c r="O37" s="372"/>
      <c r="Z37" s="372"/>
      <c r="AA37" s="372"/>
      <c r="AB37" s="372"/>
      <c r="AD37" s="372"/>
      <c r="AE37" s="372"/>
      <c r="AF37" s="372"/>
    </row>
    <row r="38" spans="1:32" ht="15" customHeight="1">
      <c r="A38" s="370"/>
      <c r="B38" s="370"/>
      <c r="C38" s="374"/>
      <c r="D38" s="377" t="s">
        <v>2999</v>
      </c>
      <c r="E38" s="376"/>
      <c r="F38" s="378"/>
      <c r="G38" s="381"/>
      <c r="H38" s="372"/>
      <c r="I38" s="372"/>
      <c r="J38" s="372"/>
      <c r="K38" s="372"/>
      <c r="L38" s="372"/>
      <c r="N38" s="373"/>
      <c r="O38" s="372"/>
      <c r="Z38" s="372"/>
      <c r="AA38" s="372"/>
      <c r="AB38" s="372"/>
      <c r="AD38" s="372"/>
      <c r="AE38" s="372"/>
      <c r="AF38" s="372"/>
    </row>
    <row r="39" spans="1:32" ht="15" customHeight="1">
      <c r="A39" s="370"/>
      <c r="B39" s="370"/>
      <c r="C39" s="374"/>
      <c r="D39" s="377" t="s">
        <v>3000</v>
      </c>
      <c r="E39" s="376"/>
      <c r="F39" s="378"/>
      <c r="G39" s="381"/>
      <c r="H39" s="372"/>
      <c r="I39" s="372"/>
      <c r="J39" s="372"/>
      <c r="K39" s="372"/>
      <c r="L39" s="372"/>
      <c r="N39" s="373"/>
      <c r="O39" s="372"/>
      <c r="Z39" s="372"/>
      <c r="AA39" s="372"/>
      <c r="AB39" s="372"/>
      <c r="AD39" s="372"/>
      <c r="AE39" s="372"/>
      <c r="AF39" s="372"/>
    </row>
    <row r="40" spans="1:32" ht="15" customHeight="1">
      <c r="A40" s="370"/>
      <c r="B40" s="370"/>
      <c r="C40" s="374"/>
      <c r="D40" s="377" t="s">
        <v>3001</v>
      </c>
      <c r="E40" s="376"/>
      <c r="F40" s="378"/>
      <c r="G40" s="381"/>
      <c r="H40" s="372"/>
      <c r="I40" s="372"/>
      <c r="J40" s="372"/>
      <c r="K40" s="372"/>
      <c r="L40" s="372"/>
      <c r="N40" s="373"/>
      <c r="O40" s="372"/>
      <c r="Z40" s="372"/>
      <c r="AA40" s="372"/>
      <c r="AB40" s="372"/>
      <c r="AD40" s="372"/>
      <c r="AE40" s="372"/>
      <c r="AF40" s="372"/>
    </row>
    <row r="41" spans="1:32" ht="15" customHeight="1">
      <c r="A41" s="370"/>
      <c r="B41" s="370"/>
      <c r="C41" s="374" t="s">
        <v>3002</v>
      </c>
      <c r="D41" s="375" t="s">
        <v>3003</v>
      </c>
      <c r="E41" s="376" t="s">
        <v>2792</v>
      </c>
      <c r="F41" s="374">
        <v>12</v>
      </c>
      <c r="G41" s="372">
        <f>H41+I41</f>
        <v>0</v>
      </c>
      <c r="H41" s="372"/>
      <c r="I41" s="372"/>
      <c r="J41" s="372">
        <f>ROUND(F41*G41,2)</f>
        <v>0</v>
      </c>
      <c r="K41" s="372"/>
      <c r="L41" s="372"/>
      <c r="N41" s="373"/>
      <c r="O41" s="372"/>
      <c r="Z41" s="372"/>
      <c r="AA41" s="372"/>
      <c r="AB41" s="372"/>
      <c r="AD41" s="372"/>
      <c r="AE41" s="372"/>
      <c r="AF41" s="372"/>
    </row>
    <row r="42" spans="1:32" ht="15" customHeight="1">
      <c r="A42" s="370"/>
      <c r="B42" s="370"/>
      <c r="C42" s="374" t="s">
        <v>3004</v>
      </c>
      <c r="D42" s="375" t="s">
        <v>3005</v>
      </c>
      <c r="E42" s="376" t="s">
        <v>2792</v>
      </c>
      <c r="F42" s="374">
        <v>1</v>
      </c>
      <c r="G42" s="372">
        <f>H42+I42</f>
        <v>0</v>
      </c>
      <c r="H42" s="372"/>
      <c r="I42" s="372"/>
      <c r="J42" s="372">
        <f>ROUND(F42*G42,2)</f>
        <v>0</v>
      </c>
      <c r="K42" s="372"/>
      <c r="L42" s="372"/>
      <c r="N42" s="373"/>
      <c r="O42" s="372"/>
      <c r="Z42" s="372"/>
      <c r="AA42" s="372"/>
      <c r="AB42" s="372"/>
      <c r="AD42" s="372"/>
      <c r="AE42" s="372"/>
      <c r="AF42" s="372"/>
    </row>
    <row r="43" spans="1:32" ht="15" customHeight="1">
      <c r="A43" s="370"/>
      <c r="B43" s="370"/>
      <c r="C43" s="374"/>
      <c r="D43" s="382" t="s">
        <v>3006</v>
      </c>
      <c r="E43" s="376"/>
      <c r="F43" s="378"/>
      <c r="G43" s="374"/>
      <c r="H43" s="374"/>
      <c r="I43" s="383"/>
      <c r="J43" s="372"/>
      <c r="K43" s="372"/>
      <c r="L43" s="372"/>
      <c r="N43" s="373"/>
      <c r="O43" s="372"/>
      <c r="Z43" s="372"/>
      <c r="AA43" s="372"/>
      <c r="AB43" s="372"/>
      <c r="AD43" s="372"/>
      <c r="AE43" s="372"/>
      <c r="AF43" s="372"/>
    </row>
    <row r="44" spans="1:32" ht="15" customHeight="1">
      <c r="A44" s="370"/>
      <c r="B44" s="370"/>
      <c r="C44" s="374" t="s">
        <v>3007</v>
      </c>
      <c r="D44" s="375" t="s">
        <v>3008</v>
      </c>
      <c r="E44" s="376" t="s">
        <v>249</v>
      </c>
      <c r="F44" s="374">
        <v>20</v>
      </c>
      <c r="G44" s="372">
        <f>H44+I44</f>
        <v>0</v>
      </c>
      <c r="H44" s="372"/>
      <c r="I44" s="372"/>
      <c r="J44" s="372">
        <f>ROUND(F44*G44,2)</f>
        <v>0</v>
      </c>
      <c r="K44" s="372"/>
      <c r="L44" s="372"/>
      <c r="N44" s="373"/>
      <c r="O44" s="372"/>
      <c r="Z44" s="372"/>
      <c r="AA44" s="372"/>
      <c r="AB44" s="372"/>
      <c r="AD44" s="372"/>
      <c r="AE44" s="372"/>
      <c r="AF44" s="372"/>
    </row>
    <row r="45" spans="1:32" ht="15" customHeight="1">
      <c r="A45" s="370"/>
      <c r="B45" s="370"/>
      <c r="C45" s="374" t="s">
        <v>3009</v>
      </c>
      <c r="D45" s="375" t="s">
        <v>3010</v>
      </c>
      <c r="E45" s="376" t="s">
        <v>249</v>
      </c>
      <c r="F45" s="374">
        <v>20</v>
      </c>
      <c r="G45" s="372">
        <f>H45+I45</f>
        <v>0</v>
      </c>
      <c r="H45" s="372"/>
      <c r="I45" s="372"/>
      <c r="J45" s="372">
        <f>ROUND(F45*G45,2)</f>
        <v>0</v>
      </c>
      <c r="K45" s="372"/>
      <c r="L45" s="372"/>
      <c r="N45" s="373"/>
      <c r="O45" s="372"/>
      <c r="Z45" s="372"/>
      <c r="AA45" s="372"/>
      <c r="AB45" s="372"/>
      <c r="AD45" s="372"/>
      <c r="AE45" s="372"/>
      <c r="AF45" s="372"/>
    </row>
    <row r="46" spans="1:32" ht="15" customHeight="1">
      <c r="A46" s="370"/>
      <c r="B46" s="370"/>
      <c r="C46" s="374" t="s">
        <v>3011</v>
      </c>
      <c r="D46" s="375" t="s">
        <v>3012</v>
      </c>
      <c r="E46" s="376" t="s">
        <v>249</v>
      </c>
      <c r="F46" s="374">
        <v>20</v>
      </c>
      <c r="G46" s="372">
        <f>H46+I46</f>
        <v>0</v>
      </c>
      <c r="H46" s="372"/>
      <c r="I46" s="372"/>
      <c r="J46" s="372">
        <f>ROUND(F46*G46,2)</f>
        <v>0</v>
      </c>
      <c r="K46" s="372"/>
      <c r="L46" s="372"/>
      <c r="N46" s="373"/>
      <c r="O46" s="372"/>
      <c r="Z46" s="372"/>
      <c r="AA46" s="372"/>
      <c r="AB46" s="372"/>
      <c r="AD46" s="372"/>
      <c r="AE46" s="372"/>
      <c r="AF46" s="372"/>
    </row>
    <row r="47" spans="1:32" ht="15" customHeight="1">
      <c r="A47" s="370"/>
      <c r="B47" s="370"/>
      <c r="C47" s="374" t="s">
        <v>3013</v>
      </c>
      <c r="D47" s="375" t="s">
        <v>3014</v>
      </c>
      <c r="E47" s="376" t="s">
        <v>249</v>
      </c>
      <c r="F47" s="374">
        <v>70</v>
      </c>
      <c r="G47" s="372">
        <f>H47+I47</f>
        <v>0</v>
      </c>
      <c r="H47" s="372"/>
      <c r="I47" s="372"/>
      <c r="J47" s="372">
        <f>ROUND(F47*G47,2)</f>
        <v>0</v>
      </c>
      <c r="K47" s="372"/>
      <c r="L47" s="372"/>
      <c r="N47" s="373"/>
      <c r="O47" s="372"/>
      <c r="Z47" s="372"/>
      <c r="AA47" s="372"/>
      <c r="AB47" s="372"/>
      <c r="AD47" s="372"/>
      <c r="AE47" s="372"/>
      <c r="AF47" s="372"/>
    </row>
    <row r="48" spans="1:32" ht="15" customHeight="1">
      <c r="A48" s="370"/>
      <c r="B48" s="370"/>
      <c r="C48" s="384"/>
      <c r="D48" s="382" t="s">
        <v>3015</v>
      </c>
      <c r="E48" s="376"/>
      <c r="F48" s="378"/>
      <c r="G48" s="374"/>
      <c r="H48" s="374"/>
      <c r="I48" s="383"/>
      <c r="J48" s="372"/>
      <c r="K48" s="372"/>
      <c r="L48" s="372"/>
      <c r="N48" s="373"/>
      <c r="O48" s="372"/>
      <c r="Z48" s="372"/>
      <c r="AA48" s="372"/>
      <c r="AB48" s="372"/>
      <c r="AD48" s="372"/>
      <c r="AE48" s="372"/>
      <c r="AF48" s="372"/>
    </row>
    <row r="49" spans="1:32" ht="15" customHeight="1">
      <c r="A49" s="370"/>
      <c r="B49" s="370"/>
      <c r="C49" s="384" t="s">
        <v>3016</v>
      </c>
      <c r="D49" s="375" t="s">
        <v>3017</v>
      </c>
      <c r="E49" s="376" t="s">
        <v>2792</v>
      </c>
      <c r="F49" s="374">
        <v>12</v>
      </c>
      <c r="G49" s="372">
        <f>H49+I49</f>
        <v>0</v>
      </c>
      <c r="H49" s="372"/>
      <c r="I49" s="372"/>
      <c r="J49" s="372">
        <f>ROUND(F49*G49,2)</f>
        <v>0</v>
      </c>
      <c r="K49" s="372"/>
      <c r="L49" s="372"/>
      <c r="N49" s="373"/>
      <c r="O49" s="372"/>
      <c r="Z49" s="372"/>
      <c r="AA49" s="372"/>
      <c r="AB49" s="372"/>
      <c r="AD49" s="372"/>
      <c r="AE49" s="372"/>
      <c r="AF49" s="372"/>
    </row>
    <row r="50" spans="1:32" ht="15" customHeight="1">
      <c r="A50" s="370"/>
      <c r="B50" s="370"/>
      <c r="C50" s="384"/>
      <c r="D50" s="382" t="s">
        <v>3018</v>
      </c>
      <c r="E50" s="376"/>
      <c r="F50" s="374"/>
      <c r="G50" s="372"/>
      <c r="H50" s="372"/>
      <c r="I50" s="372"/>
      <c r="J50" s="372"/>
      <c r="K50" s="372"/>
      <c r="L50" s="372"/>
      <c r="N50" s="373"/>
      <c r="O50" s="372"/>
      <c r="Z50" s="372"/>
      <c r="AA50" s="372"/>
      <c r="AB50" s="372"/>
      <c r="AD50" s="372"/>
      <c r="AE50" s="372"/>
      <c r="AF50" s="372"/>
    </row>
    <row r="51" spans="1:32" ht="15" customHeight="1">
      <c r="A51" s="370"/>
      <c r="B51" s="370"/>
      <c r="C51" s="384" t="s">
        <v>3019</v>
      </c>
      <c r="D51" s="375" t="s">
        <v>3020</v>
      </c>
      <c r="E51" s="376" t="s">
        <v>2792</v>
      </c>
      <c r="F51" s="374">
        <v>9</v>
      </c>
      <c r="G51" s="372">
        <f>H51+I51</f>
        <v>0</v>
      </c>
      <c r="H51" s="372"/>
      <c r="I51" s="372"/>
      <c r="J51" s="372">
        <f>ROUND(F51*G51,2)</f>
        <v>0</v>
      </c>
      <c r="K51" s="372"/>
      <c r="L51" s="372"/>
      <c r="N51" s="373"/>
      <c r="O51" s="372"/>
      <c r="Z51" s="372"/>
      <c r="AA51" s="372"/>
      <c r="AB51" s="372"/>
      <c r="AD51" s="372"/>
      <c r="AE51" s="372"/>
      <c r="AF51" s="372"/>
    </row>
    <row r="52" spans="1:32" ht="15" customHeight="1">
      <c r="A52" s="370"/>
      <c r="B52" s="370"/>
      <c r="C52" s="384"/>
      <c r="D52" s="380" t="s">
        <v>3021</v>
      </c>
      <c r="E52" s="376"/>
      <c r="F52" s="378"/>
      <c r="G52" s="372"/>
      <c r="H52" s="372"/>
      <c r="I52" s="372"/>
      <c r="J52" s="372"/>
      <c r="K52" s="372"/>
      <c r="L52" s="372"/>
      <c r="N52" s="373"/>
      <c r="O52" s="372"/>
      <c r="Z52" s="372"/>
      <c r="AA52" s="372"/>
      <c r="AB52" s="372"/>
      <c r="AD52" s="372"/>
      <c r="AE52" s="372"/>
      <c r="AF52" s="372"/>
    </row>
    <row r="53" spans="1:32" ht="15" customHeight="1">
      <c r="A53" s="370"/>
      <c r="B53" s="370"/>
      <c r="C53" s="384" t="s">
        <v>3022</v>
      </c>
      <c r="D53" s="375" t="s">
        <v>3023</v>
      </c>
      <c r="E53" s="376" t="s">
        <v>2792</v>
      </c>
      <c r="F53" s="374">
        <v>1</v>
      </c>
      <c r="G53" s="372">
        <f>H53+I53</f>
        <v>0</v>
      </c>
      <c r="H53" s="372"/>
      <c r="I53" s="372"/>
      <c r="J53" s="372">
        <f>ROUND(F53*G53,2)</f>
        <v>0</v>
      </c>
      <c r="K53" s="372"/>
      <c r="L53" s="372"/>
      <c r="N53" s="373"/>
      <c r="O53" s="372"/>
      <c r="Z53" s="372"/>
      <c r="AA53" s="372"/>
      <c r="AB53" s="372"/>
      <c r="AD53" s="372"/>
      <c r="AE53" s="372"/>
      <c r="AF53" s="372"/>
    </row>
    <row r="54" spans="1:32" ht="15" customHeight="1">
      <c r="A54" s="370"/>
      <c r="B54" s="370"/>
      <c r="C54" s="384" t="s">
        <v>3024</v>
      </c>
      <c r="D54" s="379" t="s">
        <v>3025</v>
      </c>
      <c r="E54" s="376" t="s">
        <v>2792</v>
      </c>
      <c r="F54" s="374">
        <v>6</v>
      </c>
      <c r="G54" s="372">
        <f>H54+I54</f>
        <v>0</v>
      </c>
      <c r="H54" s="372"/>
      <c r="I54" s="372"/>
      <c r="J54" s="372">
        <f>ROUND(F54*G54,2)</f>
        <v>0</v>
      </c>
      <c r="K54" s="372"/>
      <c r="L54" s="372"/>
      <c r="N54" s="373"/>
      <c r="O54" s="372"/>
      <c r="Z54" s="372"/>
      <c r="AA54" s="372"/>
      <c r="AB54" s="372"/>
      <c r="AD54" s="372"/>
      <c r="AE54" s="372"/>
      <c r="AF54" s="372"/>
    </row>
    <row r="55" spans="1:32" ht="15" customHeight="1">
      <c r="A55" s="370"/>
      <c r="B55" s="370"/>
      <c r="C55" s="384" t="s">
        <v>3026</v>
      </c>
      <c r="D55" s="379" t="s">
        <v>3027</v>
      </c>
      <c r="E55" s="376" t="s">
        <v>2792</v>
      </c>
      <c r="F55" s="374">
        <v>1</v>
      </c>
      <c r="G55" s="372">
        <f>H55+I55</f>
        <v>0</v>
      </c>
      <c r="H55" s="372"/>
      <c r="I55" s="372"/>
      <c r="J55" s="372">
        <f>ROUND(F55*G55,2)</f>
        <v>0</v>
      </c>
      <c r="K55" s="372"/>
      <c r="L55" s="372"/>
      <c r="N55" s="373"/>
      <c r="O55" s="372"/>
      <c r="Z55" s="372"/>
      <c r="AA55" s="372"/>
      <c r="AB55" s="372"/>
      <c r="AD55" s="372"/>
      <c r="AE55" s="372"/>
      <c r="AF55" s="372"/>
    </row>
    <row r="56" spans="1:32" ht="15" customHeight="1">
      <c r="A56" s="370"/>
      <c r="B56" s="370"/>
      <c r="C56" s="384" t="s">
        <v>3028</v>
      </c>
      <c r="D56" s="379" t="s">
        <v>3029</v>
      </c>
      <c r="E56" s="376" t="s">
        <v>2792</v>
      </c>
      <c r="F56" s="374">
        <v>1</v>
      </c>
      <c r="G56" s="372">
        <f>H56+I56</f>
        <v>0</v>
      </c>
      <c r="H56" s="372"/>
      <c r="I56" s="372"/>
      <c r="J56" s="372">
        <f>ROUND(F56*G56,2)</f>
        <v>0</v>
      </c>
      <c r="K56" s="372"/>
      <c r="L56" s="372"/>
      <c r="N56" s="373"/>
      <c r="O56" s="372"/>
      <c r="Z56" s="372"/>
      <c r="AA56" s="372"/>
      <c r="AB56" s="372"/>
      <c r="AD56" s="372"/>
      <c r="AE56" s="372"/>
      <c r="AF56" s="372"/>
    </row>
    <row r="57" spans="1:32" ht="15" customHeight="1">
      <c r="A57" s="370"/>
      <c r="B57" s="370"/>
      <c r="C57" s="384"/>
      <c r="D57" s="382" t="s">
        <v>3030</v>
      </c>
      <c r="E57" s="376"/>
      <c r="F57" s="374"/>
      <c r="G57" s="372"/>
      <c r="H57" s="372"/>
      <c r="I57" s="372"/>
      <c r="J57" s="372"/>
      <c r="K57" s="372"/>
      <c r="L57" s="372"/>
      <c r="N57" s="373"/>
      <c r="O57" s="372"/>
      <c r="Z57" s="372"/>
      <c r="AA57" s="372"/>
      <c r="AB57" s="372"/>
      <c r="AD57" s="372"/>
      <c r="AE57" s="372"/>
      <c r="AF57" s="372"/>
    </row>
    <row r="58" spans="1:32" ht="15" customHeight="1">
      <c r="A58" s="370"/>
      <c r="B58" s="370"/>
      <c r="C58" s="384" t="s">
        <v>3031</v>
      </c>
      <c r="D58" s="375" t="s">
        <v>3032</v>
      </c>
      <c r="E58" s="376" t="s">
        <v>2792</v>
      </c>
      <c r="F58" s="385">
        <v>2</v>
      </c>
      <c r="G58" s="372">
        <f>H58+I58</f>
        <v>0</v>
      </c>
      <c r="H58" s="372"/>
      <c r="I58" s="372"/>
      <c r="J58" s="372">
        <f>ROUND(F58*G58,2)</f>
        <v>0</v>
      </c>
      <c r="K58" s="372"/>
      <c r="L58" s="372"/>
      <c r="N58" s="373"/>
      <c r="O58" s="372"/>
      <c r="Z58" s="372"/>
      <c r="AA58" s="372"/>
      <c r="AB58" s="372"/>
      <c r="AD58" s="372"/>
      <c r="AE58" s="372"/>
      <c r="AF58" s="372"/>
    </row>
    <row r="59" spans="1:32" ht="15" customHeight="1">
      <c r="A59" s="370"/>
      <c r="B59" s="370"/>
      <c r="C59" s="384"/>
      <c r="D59" s="382" t="s">
        <v>3033</v>
      </c>
      <c r="E59" s="376"/>
      <c r="F59" s="378"/>
      <c r="G59" s="372"/>
      <c r="H59" s="372"/>
      <c r="I59" s="372"/>
      <c r="J59" s="372"/>
      <c r="K59" s="372"/>
      <c r="L59" s="372"/>
      <c r="N59" s="373"/>
      <c r="O59" s="372"/>
      <c r="Z59" s="372"/>
      <c r="AA59" s="372"/>
      <c r="AB59" s="372"/>
      <c r="AD59" s="372"/>
      <c r="AE59" s="372"/>
      <c r="AF59" s="372"/>
    </row>
    <row r="60" spans="1:32" ht="15" customHeight="1">
      <c r="A60" s="370"/>
      <c r="B60" s="370"/>
      <c r="C60" s="384" t="s">
        <v>3034</v>
      </c>
      <c r="D60" s="375" t="s">
        <v>3035</v>
      </c>
      <c r="E60" s="376" t="s">
        <v>2792</v>
      </c>
      <c r="F60" s="374">
        <v>1</v>
      </c>
      <c r="G60" s="372">
        <f>H60+I60</f>
        <v>0</v>
      </c>
      <c r="H60" s="372"/>
      <c r="I60" s="372"/>
      <c r="J60" s="372">
        <f>ROUND(F60*G60,2)</f>
        <v>0</v>
      </c>
      <c r="K60" s="372"/>
      <c r="L60" s="372"/>
      <c r="N60" s="373"/>
      <c r="O60" s="372"/>
      <c r="Z60" s="372"/>
      <c r="AA60" s="372"/>
      <c r="AB60" s="372"/>
      <c r="AD60" s="372"/>
      <c r="AE60" s="372"/>
      <c r="AF60" s="372"/>
    </row>
    <row r="61" spans="1:32" ht="15" customHeight="1">
      <c r="A61" s="370"/>
      <c r="B61" s="370"/>
      <c r="C61" s="384"/>
      <c r="D61" s="382" t="s">
        <v>3036</v>
      </c>
      <c r="E61" s="376"/>
      <c r="F61" s="378"/>
      <c r="G61" s="372"/>
      <c r="H61" s="372"/>
      <c r="I61" s="372"/>
      <c r="J61" s="372"/>
      <c r="K61" s="372"/>
      <c r="L61" s="372"/>
      <c r="N61" s="373"/>
      <c r="O61" s="372"/>
      <c r="Z61" s="372"/>
      <c r="AA61" s="372"/>
      <c r="AB61" s="372"/>
      <c r="AD61" s="372"/>
      <c r="AE61" s="372"/>
      <c r="AF61" s="372"/>
    </row>
    <row r="62" spans="1:32" ht="15" customHeight="1">
      <c r="A62" s="370"/>
      <c r="B62" s="370"/>
      <c r="C62" s="384"/>
      <c r="D62" s="382" t="s">
        <v>3037</v>
      </c>
      <c r="E62" s="376"/>
      <c r="F62" s="378"/>
      <c r="G62" s="372"/>
      <c r="H62" s="372"/>
      <c r="I62" s="372"/>
      <c r="J62" s="372"/>
      <c r="K62" s="372"/>
      <c r="L62" s="372"/>
      <c r="N62" s="373"/>
      <c r="O62" s="372"/>
      <c r="Z62" s="372"/>
      <c r="AA62" s="372"/>
      <c r="AB62" s="372"/>
      <c r="AD62" s="372"/>
      <c r="AE62" s="372"/>
      <c r="AF62" s="372"/>
    </row>
    <row r="63" spans="1:32" ht="15" customHeight="1">
      <c r="A63" s="370"/>
      <c r="B63" s="370"/>
      <c r="C63" s="384"/>
      <c r="D63" s="382" t="s">
        <v>3038</v>
      </c>
      <c r="E63" s="376"/>
      <c r="F63" s="378"/>
      <c r="G63" s="372"/>
      <c r="H63" s="372"/>
      <c r="I63" s="372"/>
      <c r="J63" s="372"/>
      <c r="K63" s="372"/>
      <c r="L63" s="372"/>
      <c r="N63" s="373"/>
      <c r="O63" s="372"/>
      <c r="Z63" s="372"/>
      <c r="AA63" s="372"/>
      <c r="AB63" s="372"/>
      <c r="AD63" s="372"/>
      <c r="AE63" s="372"/>
      <c r="AF63" s="372"/>
    </row>
    <row r="64" spans="1:32" ht="15" customHeight="1">
      <c r="A64" s="370"/>
      <c r="B64" s="370"/>
      <c r="C64" s="384" t="s">
        <v>3039</v>
      </c>
      <c r="D64" s="375" t="s">
        <v>3040</v>
      </c>
      <c r="E64" s="376" t="s">
        <v>3041</v>
      </c>
      <c r="F64" s="374">
        <v>35</v>
      </c>
      <c r="G64" s="372">
        <f>H64+I64</f>
        <v>0</v>
      </c>
      <c r="H64" s="372"/>
      <c r="I64" s="372"/>
      <c r="J64" s="372">
        <f>ROUND(F64*G64,2)</f>
        <v>0</v>
      </c>
      <c r="K64" s="372"/>
      <c r="L64" s="372"/>
      <c r="N64" s="373"/>
      <c r="O64" s="372"/>
      <c r="Z64" s="372"/>
      <c r="AA64" s="372"/>
      <c r="AB64" s="372"/>
      <c r="AD64" s="372"/>
      <c r="AE64" s="372"/>
      <c r="AF64" s="372"/>
    </row>
    <row r="65" spans="1:32" ht="15" customHeight="1">
      <c r="A65" s="370"/>
      <c r="B65" s="370"/>
      <c r="C65" s="384"/>
      <c r="D65" s="382" t="s">
        <v>3042</v>
      </c>
      <c r="E65" s="376"/>
      <c r="F65" s="378"/>
      <c r="G65" s="372"/>
      <c r="H65" s="372"/>
      <c r="I65" s="372"/>
      <c r="J65" s="372"/>
      <c r="K65" s="372"/>
      <c r="L65" s="372"/>
      <c r="N65" s="373"/>
      <c r="O65" s="372"/>
      <c r="Z65" s="372"/>
      <c r="AA65" s="372"/>
      <c r="AB65" s="372"/>
      <c r="AD65" s="372"/>
      <c r="AE65" s="372"/>
      <c r="AF65" s="372"/>
    </row>
    <row r="66" spans="1:32" ht="15" customHeight="1">
      <c r="A66" s="370"/>
      <c r="B66" s="370"/>
      <c r="C66" s="384" t="s">
        <v>3043</v>
      </c>
      <c r="D66" s="375" t="s">
        <v>3044</v>
      </c>
      <c r="E66" s="376" t="s">
        <v>249</v>
      </c>
      <c r="F66" s="374">
        <v>33</v>
      </c>
      <c r="G66" s="372">
        <f>H66+I66</f>
        <v>0</v>
      </c>
      <c r="H66" s="372"/>
      <c r="I66" s="372"/>
      <c r="J66" s="372">
        <f>ROUND(F66*G66,2)</f>
        <v>0</v>
      </c>
      <c r="K66" s="372"/>
      <c r="L66" s="372"/>
      <c r="N66" s="373"/>
      <c r="O66" s="372"/>
      <c r="Z66" s="372"/>
      <c r="AA66" s="372"/>
      <c r="AB66" s="372"/>
      <c r="AD66" s="372"/>
      <c r="AE66" s="372"/>
      <c r="AF66" s="372"/>
    </row>
    <row r="67" spans="1:32" ht="15" customHeight="1">
      <c r="A67" s="370"/>
      <c r="B67" s="370"/>
      <c r="C67" s="384"/>
      <c r="D67" s="382" t="s">
        <v>3045</v>
      </c>
      <c r="E67" s="376"/>
      <c r="F67" s="378"/>
      <c r="G67" s="372"/>
      <c r="H67" s="372"/>
      <c r="I67" s="372"/>
      <c r="K67" s="372"/>
      <c r="L67" s="372"/>
      <c r="N67" s="373"/>
      <c r="O67" s="372"/>
      <c r="Z67" s="372"/>
      <c r="AA67" s="372"/>
      <c r="AB67" s="372"/>
      <c r="AD67" s="372"/>
      <c r="AE67" s="372"/>
      <c r="AF67" s="372"/>
    </row>
    <row r="68" spans="1:32" ht="15" customHeight="1">
      <c r="A68" s="370"/>
      <c r="B68" s="370"/>
      <c r="C68" s="384"/>
      <c r="D68" s="375" t="s">
        <v>3046</v>
      </c>
      <c r="E68" s="376" t="s">
        <v>249</v>
      </c>
      <c r="F68" s="374"/>
      <c r="G68" s="372"/>
      <c r="H68" s="372"/>
      <c r="I68" s="372"/>
      <c r="J68" s="372"/>
      <c r="K68" s="372"/>
      <c r="L68" s="372"/>
      <c r="N68" s="373"/>
      <c r="O68" s="372"/>
      <c r="Z68" s="372"/>
      <c r="AA68" s="372"/>
      <c r="AB68" s="372"/>
      <c r="AD68" s="372"/>
      <c r="AE68" s="372"/>
      <c r="AF68" s="372"/>
    </row>
    <row r="69" spans="1:32" ht="15" customHeight="1">
      <c r="A69" s="370"/>
      <c r="B69" s="370"/>
      <c r="C69" s="384" t="s">
        <v>3013</v>
      </c>
      <c r="D69" s="375" t="s">
        <v>3047</v>
      </c>
      <c r="E69" s="376" t="s">
        <v>249</v>
      </c>
      <c r="F69" s="374">
        <v>33</v>
      </c>
      <c r="G69" s="372">
        <f>H69+I69</f>
        <v>0</v>
      </c>
      <c r="H69" s="372"/>
      <c r="I69" s="372"/>
      <c r="J69" s="372">
        <f>ROUND(F69*G69,2)</f>
        <v>0</v>
      </c>
      <c r="K69" s="372"/>
      <c r="L69" s="372"/>
      <c r="N69" s="373"/>
      <c r="O69" s="372"/>
      <c r="Z69" s="372"/>
      <c r="AA69" s="372"/>
      <c r="AB69" s="372"/>
      <c r="AD69" s="372"/>
      <c r="AE69" s="372"/>
      <c r="AF69" s="372"/>
    </row>
    <row r="70" spans="1:32" ht="15" customHeight="1">
      <c r="A70" s="370"/>
      <c r="B70" s="370"/>
      <c r="C70" s="384"/>
      <c r="D70" s="380" t="s">
        <v>3048</v>
      </c>
      <c r="E70" s="376"/>
      <c r="F70" s="378"/>
      <c r="G70" s="372"/>
      <c r="H70" s="372"/>
      <c r="I70" s="372"/>
      <c r="J70" s="372"/>
      <c r="K70" s="372"/>
      <c r="L70" s="372"/>
      <c r="N70" s="373"/>
      <c r="O70" s="372"/>
      <c r="Z70" s="372"/>
      <c r="AA70" s="372"/>
      <c r="AB70" s="372"/>
      <c r="AD70" s="372"/>
      <c r="AE70" s="372"/>
      <c r="AF70" s="372"/>
    </row>
    <row r="71" spans="1:32" ht="15" customHeight="1">
      <c r="A71" s="370"/>
      <c r="B71" s="370"/>
      <c r="C71" s="384"/>
      <c r="D71" s="375" t="s">
        <v>3049</v>
      </c>
      <c r="E71" s="386"/>
      <c r="F71" s="378"/>
      <c r="G71" s="372"/>
      <c r="H71" s="372"/>
      <c r="I71" s="372"/>
      <c r="J71" s="372"/>
      <c r="K71" s="372"/>
      <c r="L71" s="372"/>
      <c r="N71" s="373"/>
      <c r="O71" s="372"/>
      <c r="Z71" s="372"/>
      <c r="AA71" s="372"/>
      <c r="AB71" s="372"/>
      <c r="AD71" s="372"/>
      <c r="AE71" s="372"/>
      <c r="AF71" s="372"/>
    </row>
    <row r="72" spans="1:32" ht="15" customHeight="1">
      <c r="A72" s="370"/>
      <c r="B72" s="370"/>
      <c r="C72" s="384" t="s">
        <v>3050</v>
      </c>
      <c r="D72" s="375" t="s">
        <v>3051</v>
      </c>
      <c r="E72" s="376" t="s">
        <v>249</v>
      </c>
      <c r="F72" s="374">
        <v>40</v>
      </c>
      <c r="G72" s="372">
        <f>H72+I72</f>
        <v>0</v>
      </c>
      <c r="H72" s="372"/>
      <c r="I72" s="372"/>
      <c r="J72" s="372">
        <f>ROUND(F72*G72,2)</f>
        <v>0</v>
      </c>
      <c r="K72" s="372"/>
      <c r="L72" s="372"/>
      <c r="N72" s="373"/>
      <c r="O72" s="372"/>
      <c r="Z72" s="372"/>
      <c r="AA72" s="372"/>
      <c r="AB72" s="372"/>
      <c r="AD72" s="372"/>
      <c r="AE72" s="372"/>
      <c r="AF72" s="372"/>
    </row>
    <row r="73" spans="1:32" ht="15" customHeight="1">
      <c r="A73" s="370"/>
      <c r="B73" s="370"/>
      <c r="C73" s="384"/>
      <c r="D73" s="382" t="s">
        <v>3052</v>
      </c>
      <c r="E73" s="376"/>
      <c r="F73" s="378"/>
      <c r="G73" s="372"/>
      <c r="H73" s="372"/>
      <c r="I73" s="372"/>
      <c r="J73" s="372"/>
      <c r="K73" s="372"/>
      <c r="L73" s="372"/>
      <c r="N73" s="373"/>
      <c r="O73" s="372"/>
      <c r="Z73" s="372"/>
      <c r="AA73" s="372"/>
      <c r="AB73" s="372"/>
      <c r="AD73" s="372"/>
      <c r="AE73" s="372"/>
      <c r="AF73" s="372"/>
    </row>
    <row r="74" spans="1:32" ht="12">
      <c r="A74" s="370"/>
      <c r="B74" s="370"/>
      <c r="C74" s="370" t="s">
        <v>3053</v>
      </c>
      <c r="D74" s="370" t="s">
        <v>3054</v>
      </c>
      <c r="E74" s="371" t="s">
        <v>249</v>
      </c>
      <c r="F74" s="372">
        <f>F13+F15+F16</f>
        <v>45</v>
      </c>
      <c r="G74" s="372">
        <f>H74+I74</f>
        <v>0</v>
      </c>
      <c r="H74" s="372"/>
      <c r="I74" s="372"/>
      <c r="J74" s="372">
        <f>ROUND(F74*G74,2)</f>
        <v>0</v>
      </c>
      <c r="K74" s="372"/>
      <c r="L74" s="372"/>
      <c r="N74" s="373" t="s">
        <v>78</v>
      </c>
      <c r="O74" s="372">
        <f>IF(N74="5",I74,0)</f>
        <v>0</v>
      </c>
      <c r="Z74" s="372">
        <f>IF(AD74=0,J74,0)</f>
        <v>0</v>
      </c>
      <c r="AA74" s="372">
        <f>IF(AD74=10,J74,0)</f>
        <v>0</v>
      </c>
      <c r="AB74" s="372">
        <f>IF(AD74=20,J74,0)</f>
        <v>0</v>
      </c>
      <c r="AD74" s="372">
        <v>20</v>
      </c>
      <c r="AE74" s="372">
        <f>G74*0.0928512736236647</f>
        <v>0</v>
      </c>
      <c r="AF74" s="372">
        <f>G74*(1-0.0928512736236647)</f>
        <v>0</v>
      </c>
    </row>
    <row r="75" spans="1:32" ht="12">
      <c r="A75" s="370"/>
      <c r="B75" s="370"/>
      <c r="C75" s="370" t="s">
        <v>3055</v>
      </c>
      <c r="D75" s="370" t="s">
        <v>3056</v>
      </c>
      <c r="E75" s="371" t="s">
        <v>2792</v>
      </c>
      <c r="F75" s="372">
        <v>4</v>
      </c>
      <c r="G75" s="372">
        <f>H75+I75</f>
        <v>0</v>
      </c>
      <c r="H75" s="372"/>
      <c r="I75" s="372"/>
      <c r="J75" s="372">
        <f>ROUND(F75*G75,2)</f>
        <v>0</v>
      </c>
      <c r="K75" s="372"/>
      <c r="L75" s="372"/>
      <c r="N75" s="373" t="s">
        <v>78</v>
      </c>
      <c r="O75" s="372">
        <f>IF(N75="5",I75,0)</f>
        <v>0</v>
      </c>
      <c r="Z75" s="372">
        <f>IF(AD75=0,J75,0)</f>
        <v>0</v>
      </c>
      <c r="AA75" s="372">
        <f>IF(AD75=10,J75,0)</f>
        <v>0</v>
      </c>
      <c r="AB75" s="372">
        <f>IF(AD75=20,J75,0)</f>
        <v>0</v>
      </c>
      <c r="AD75" s="372">
        <v>20</v>
      </c>
      <c r="AE75" s="372">
        <f>G75*0</f>
        <v>0</v>
      </c>
      <c r="AF75" s="372">
        <f>G75*(1-0)</f>
        <v>0</v>
      </c>
    </row>
    <row r="76" spans="1:32" ht="12">
      <c r="A76" s="370"/>
      <c r="B76" s="370"/>
      <c r="C76" s="384" t="s">
        <v>3057</v>
      </c>
      <c r="D76" s="375" t="s">
        <v>3058</v>
      </c>
      <c r="E76" s="376" t="s">
        <v>249</v>
      </c>
      <c r="F76" s="374">
        <v>150</v>
      </c>
      <c r="G76" s="372">
        <f>H76+I76</f>
        <v>0</v>
      </c>
      <c r="H76" s="372"/>
      <c r="I76" s="372"/>
      <c r="J76" s="372">
        <f>ROUND(F76*G76,2)</f>
        <v>0</v>
      </c>
      <c r="K76" s="372"/>
      <c r="L76" s="372"/>
      <c r="N76" s="373"/>
      <c r="O76" s="372"/>
      <c r="Z76" s="372"/>
      <c r="AA76" s="372"/>
      <c r="AB76" s="372"/>
      <c r="AD76" s="372"/>
      <c r="AE76" s="372"/>
      <c r="AF76" s="372"/>
    </row>
    <row r="77" spans="1:32" ht="12">
      <c r="A77" s="370"/>
      <c r="B77" s="370"/>
      <c r="C77" s="384"/>
      <c r="D77" s="375" t="s">
        <v>3059</v>
      </c>
      <c r="E77" s="376"/>
      <c r="F77" s="374"/>
      <c r="G77" s="372"/>
      <c r="H77" s="372"/>
      <c r="I77" s="372"/>
      <c r="J77" s="372"/>
      <c r="K77" s="372"/>
      <c r="L77" s="372"/>
      <c r="N77" s="373"/>
      <c r="O77" s="372"/>
      <c r="Z77" s="372"/>
      <c r="AA77" s="372"/>
      <c r="AB77" s="372"/>
      <c r="AD77" s="372"/>
      <c r="AE77" s="372"/>
      <c r="AF77" s="372"/>
    </row>
    <row r="78" spans="1:32" ht="12">
      <c r="A78" s="370"/>
      <c r="B78" s="370"/>
      <c r="C78" s="384"/>
      <c r="D78" s="375" t="s">
        <v>3060</v>
      </c>
      <c r="E78" s="376"/>
      <c r="F78" s="374"/>
      <c r="G78" s="372"/>
      <c r="H78" s="372"/>
      <c r="I78" s="372"/>
      <c r="J78" s="372"/>
      <c r="K78" s="372"/>
      <c r="L78" s="372"/>
      <c r="N78" s="373"/>
      <c r="O78" s="372"/>
      <c r="Z78" s="372"/>
      <c r="AA78" s="372"/>
      <c r="AB78" s="372"/>
      <c r="AD78" s="372"/>
      <c r="AE78" s="372"/>
      <c r="AF78" s="372"/>
    </row>
    <row r="79" spans="1:32" ht="12">
      <c r="A79" s="370"/>
      <c r="B79" s="370"/>
      <c r="C79" s="370" t="s">
        <v>3061</v>
      </c>
      <c r="D79" s="370" t="s">
        <v>3062</v>
      </c>
      <c r="E79" s="371" t="s">
        <v>413</v>
      </c>
      <c r="F79" s="372">
        <v>15</v>
      </c>
      <c r="G79" s="372">
        <f>H79+I79</f>
        <v>0</v>
      </c>
      <c r="H79" s="372"/>
      <c r="I79" s="372"/>
      <c r="J79" s="372">
        <f>ROUND(F79*G79,2)</f>
        <v>0</v>
      </c>
      <c r="K79" s="372"/>
      <c r="L79" s="372"/>
      <c r="N79" s="373" t="s">
        <v>157</v>
      </c>
      <c r="O79" s="372">
        <f>IF(N79="5",I79,0)</f>
        <v>0</v>
      </c>
      <c r="Z79" s="372">
        <f>IF(AD79=0,J79,0)</f>
        <v>0</v>
      </c>
      <c r="AA79" s="372">
        <f>IF(AD79=10,J79,0)</f>
        <v>0</v>
      </c>
      <c r="AB79" s="372">
        <f>IF(AD79=20,J79,0)</f>
        <v>0</v>
      </c>
      <c r="AD79" s="372">
        <v>20</v>
      </c>
      <c r="AE79" s="372">
        <f>G79*0</f>
        <v>0</v>
      </c>
      <c r="AF79" s="372">
        <f>G79*(1-0)</f>
        <v>0</v>
      </c>
    </row>
    <row r="80" spans="1:37" ht="12">
      <c r="A80" s="364"/>
      <c r="B80" s="364"/>
      <c r="C80" s="365" t="s">
        <v>3063</v>
      </c>
      <c r="D80" s="529" t="s">
        <v>3064</v>
      </c>
      <c r="E80" s="529"/>
      <c r="F80" s="529"/>
      <c r="G80" s="529"/>
      <c r="H80" s="363"/>
      <c r="I80" s="369"/>
      <c r="J80" s="369">
        <f>SUM(J82:J121)</f>
        <v>0</v>
      </c>
      <c r="K80" s="363"/>
      <c r="L80" s="369"/>
      <c r="P80" s="369">
        <f>IF(Q80="PR",J80,SUM(O81:O121))</f>
        <v>0</v>
      </c>
      <c r="Q80" s="363" t="s">
        <v>2956</v>
      </c>
      <c r="R80" s="369">
        <f>IF(Q80="HS",H80,0)</f>
        <v>0</v>
      </c>
      <c r="S80" s="369">
        <f>IF(Q80="HS",I80-P80,0)</f>
        <v>0</v>
      </c>
      <c r="T80" s="369">
        <f>IF(Q80="PS",H80,0)</f>
        <v>0</v>
      </c>
      <c r="U80" s="369">
        <f>IF(Q80="PS",I80-P80,0)</f>
        <v>0</v>
      </c>
      <c r="V80" s="369">
        <f>IF(Q80="MP",H80,0)</f>
        <v>0</v>
      </c>
      <c r="W80" s="369">
        <f>IF(Q80="MP",I80-P80,0)</f>
        <v>0</v>
      </c>
      <c r="X80" s="369">
        <f>IF(Q80="OM",H80,0)</f>
        <v>0</v>
      </c>
      <c r="Y80" s="363" t="s">
        <v>2957</v>
      </c>
      <c r="AI80" s="369">
        <f>SUM(Z81:Z121)</f>
        <v>0</v>
      </c>
      <c r="AJ80" s="369">
        <f>SUM(AA81:AA121)</f>
        <v>0</v>
      </c>
      <c r="AK80" s="369">
        <f>SUM(AB81:AB121)</f>
        <v>0</v>
      </c>
    </row>
    <row r="81" spans="1:32" ht="12">
      <c r="A81" s="370"/>
      <c r="B81" s="370"/>
      <c r="C81" s="370"/>
      <c r="D81" s="370"/>
      <c r="E81" s="370"/>
      <c r="F81" s="372"/>
      <c r="G81" s="372"/>
      <c r="H81" s="372"/>
      <c r="I81" s="372"/>
      <c r="J81" s="372"/>
      <c r="K81" s="372"/>
      <c r="L81" s="372"/>
      <c r="N81" s="373" t="s">
        <v>78</v>
      </c>
      <c r="O81" s="372">
        <f>IF(N81="5",I81,0)</f>
        <v>0</v>
      </c>
      <c r="Z81" s="372">
        <f>IF(AD81=0,J81,0)</f>
        <v>0</v>
      </c>
      <c r="AA81" s="372">
        <f>IF(AD81=10,J81,0)</f>
        <v>0</v>
      </c>
      <c r="AB81" s="372">
        <f>IF(AD81=20,J81,0)</f>
        <v>0</v>
      </c>
      <c r="AD81" s="372">
        <v>20</v>
      </c>
      <c r="AE81" s="372">
        <f>G81*0.228161456851348</f>
        <v>0</v>
      </c>
      <c r="AF81" s="372">
        <f>G81*(1-0.228161456851348)</f>
        <v>0</v>
      </c>
    </row>
    <row r="82" spans="1:32" ht="12">
      <c r="A82" s="370"/>
      <c r="B82" s="370"/>
      <c r="C82" s="370" t="s">
        <v>3065</v>
      </c>
      <c r="D82" s="370" t="s">
        <v>3066</v>
      </c>
      <c r="E82" s="370" t="s">
        <v>249</v>
      </c>
      <c r="F82" s="372">
        <v>51.66</v>
      </c>
      <c r="G82" s="372">
        <f aca="true" t="shared" si="4" ref="G82:G87">H82+I82</f>
        <v>0</v>
      </c>
      <c r="H82" s="372"/>
      <c r="I82" s="372"/>
      <c r="J82" s="372">
        <f aca="true" t="shared" si="5" ref="J82:J87">ROUND(F82*G82,2)</f>
        <v>0</v>
      </c>
      <c r="K82" s="372"/>
      <c r="L82" s="372"/>
      <c r="N82" s="373" t="s">
        <v>78</v>
      </c>
      <c r="O82" s="372">
        <f>IF(N82="5",I82,0)</f>
        <v>0</v>
      </c>
      <c r="Z82" s="372">
        <f>IF(AD82=0,J82,0)</f>
        <v>0</v>
      </c>
      <c r="AA82" s="372">
        <f>IF(AD82=10,J82,0)</f>
        <v>0</v>
      </c>
      <c r="AB82" s="372">
        <f>IF(AD82=20,J82,0)</f>
        <v>0</v>
      </c>
      <c r="AD82" s="372">
        <v>20</v>
      </c>
      <c r="AE82" s="372">
        <f>G82*0.207372904972332</f>
        <v>0</v>
      </c>
      <c r="AF82" s="372">
        <f>G82*(1-0.207372904972332)</f>
        <v>0</v>
      </c>
    </row>
    <row r="83" spans="1:32" ht="12" hidden="1">
      <c r="A83" s="370"/>
      <c r="B83" s="370"/>
      <c r="C83" s="370" t="s">
        <v>3067</v>
      </c>
      <c r="D83" s="370" t="s">
        <v>3068</v>
      </c>
      <c r="E83" s="370" t="s">
        <v>249</v>
      </c>
      <c r="F83" s="372">
        <v>20</v>
      </c>
      <c r="G83" s="372">
        <f t="shared" si="4"/>
        <v>0</v>
      </c>
      <c r="H83" s="372"/>
      <c r="I83" s="372"/>
      <c r="J83" s="372">
        <f t="shared" si="5"/>
        <v>0</v>
      </c>
      <c r="K83" s="372"/>
      <c r="L83" s="372"/>
      <c r="N83" s="373" t="s">
        <v>78</v>
      </c>
      <c r="O83" s="372">
        <f>IF(N83="5",I83,0)</f>
        <v>0</v>
      </c>
      <c r="Z83" s="372">
        <f>IF(AD83=0,J83,0)</f>
        <v>0</v>
      </c>
      <c r="AA83" s="372">
        <f>IF(AD83=10,J83,0)</f>
        <v>0</v>
      </c>
      <c r="AB83" s="372">
        <f>IF(AD83=20,J83,0)</f>
        <v>0</v>
      </c>
      <c r="AD83" s="372">
        <v>20</v>
      </c>
      <c r="AE83" s="372">
        <f>G83*0.24360678053998</f>
        <v>0</v>
      </c>
      <c r="AF83" s="372">
        <f>G83*(1-0.24360678053998)</f>
        <v>0</v>
      </c>
    </row>
    <row r="84" spans="1:32" ht="12" hidden="1">
      <c r="A84" s="370"/>
      <c r="B84" s="370"/>
      <c r="C84" s="370" t="s">
        <v>3069</v>
      </c>
      <c r="D84" s="370" t="s">
        <v>3070</v>
      </c>
      <c r="E84" s="370" t="s">
        <v>249</v>
      </c>
      <c r="F84" s="372">
        <v>12</v>
      </c>
      <c r="G84" s="372">
        <f t="shared" si="4"/>
        <v>0</v>
      </c>
      <c r="H84" s="372"/>
      <c r="I84" s="372"/>
      <c r="J84" s="372">
        <f t="shared" si="5"/>
        <v>0</v>
      </c>
      <c r="K84" s="372"/>
      <c r="L84" s="372"/>
      <c r="N84" s="373" t="s">
        <v>78</v>
      </c>
      <c r="O84" s="372">
        <f>IF(N84="5",I84,0)</f>
        <v>0</v>
      </c>
      <c r="Z84" s="372">
        <f>IF(AD84=0,J84,0)</f>
        <v>0</v>
      </c>
      <c r="AA84" s="372">
        <f>IF(AD84=10,J84,0)</f>
        <v>0</v>
      </c>
      <c r="AB84" s="372">
        <f>IF(AD84=20,J84,0)</f>
        <v>0</v>
      </c>
      <c r="AD84" s="372">
        <v>20</v>
      </c>
      <c r="AE84" s="372">
        <f>G84*0.318081320103538</f>
        <v>0</v>
      </c>
      <c r="AF84" s="372">
        <f>G84*(1-0.318081320103538)</f>
        <v>0</v>
      </c>
    </row>
    <row r="85" spans="1:32" ht="12" hidden="1">
      <c r="A85" s="370"/>
      <c r="B85" s="370"/>
      <c r="C85" s="370" t="s">
        <v>3071</v>
      </c>
      <c r="D85" s="370" t="s">
        <v>3072</v>
      </c>
      <c r="E85" s="370" t="s">
        <v>249</v>
      </c>
      <c r="F85" s="372">
        <v>12</v>
      </c>
      <c r="G85" s="372">
        <f t="shared" si="4"/>
        <v>0</v>
      </c>
      <c r="H85" s="372"/>
      <c r="I85" s="372"/>
      <c r="J85" s="372">
        <f t="shared" si="5"/>
        <v>0</v>
      </c>
      <c r="K85" s="372"/>
      <c r="L85" s="372"/>
      <c r="N85" s="373" t="s">
        <v>78</v>
      </c>
      <c r="O85" s="372">
        <f>IF(N85="5",I85,0)</f>
        <v>0</v>
      </c>
      <c r="Z85" s="372">
        <f>IF(AD85=0,J85,0)</f>
        <v>0</v>
      </c>
      <c r="AA85" s="372">
        <f>IF(AD85=10,J85,0)</f>
        <v>0</v>
      </c>
      <c r="AB85" s="372">
        <f>IF(AD85=20,J85,0)</f>
        <v>0</v>
      </c>
      <c r="AD85" s="372">
        <v>20</v>
      </c>
      <c r="AE85" s="372">
        <f>G85*0.43046265050618</f>
        <v>0</v>
      </c>
      <c r="AF85" s="372">
        <f>G85*(1-0.43046265050618)</f>
        <v>0</v>
      </c>
    </row>
    <row r="86" spans="1:32" ht="12">
      <c r="A86" s="370"/>
      <c r="B86" s="370"/>
      <c r="C86" s="370" t="s">
        <v>3069</v>
      </c>
      <c r="D86" s="370" t="s">
        <v>3073</v>
      </c>
      <c r="E86" s="370" t="s">
        <v>249</v>
      </c>
      <c r="F86" s="372">
        <v>11</v>
      </c>
      <c r="G86" s="372">
        <f t="shared" si="4"/>
        <v>0</v>
      </c>
      <c r="H86" s="372"/>
      <c r="I86" s="372"/>
      <c r="J86" s="372">
        <f t="shared" si="5"/>
        <v>0</v>
      </c>
      <c r="K86" s="372"/>
      <c r="L86" s="372"/>
      <c r="N86" s="373"/>
      <c r="O86" s="372"/>
      <c r="Z86" s="372"/>
      <c r="AA86" s="372"/>
      <c r="AB86" s="372"/>
      <c r="AD86" s="372"/>
      <c r="AE86" s="372"/>
      <c r="AF86" s="372"/>
    </row>
    <row r="87" spans="1:32" ht="12">
      <c r="A87" s="370"/>
      <c r="B87" s="370"/>
      <c r="C87" s="370" t="s">
        <v>3071</v>
      </c>
      <c r="D87" s="370" t="s">
        <v>3074</v>
      </c>
      <c r="E87" s="370" t="s">
        <v>249</v>
      </c>
      <c r="F87" s="372">
        <v>22.5</v>
      </c>
      <c r="G87" s="372">
        <f t="shared" si="4"/>
        <v>0</v>
      </c>
      <c r="H87" s="372"/>
      <c r="I87" s="372"/>
      <c r="J87" s="372">
        <f t="shared" si="5"/>
        <v>0</v>
      </c>
      <c r="K87" s="372"/>
      <c r="L87" s="372"/>
      <c r="N87" s="373"/>
      <c r="O87" s="372"/>
      <c r="Z87" s="372"/>
      <c r="AA87" s="372"/>
      <c r="AB87" s="372"/>
      <c r="AD87" s="372"/>
      <c r="AE87" s="372"/>
      <c r="AF87" s="372"/>
    </row>
    <row r="88" spans="1:32" ht="12">
      <c r="A88" s="370"/>
      <c r="B88" s="370"/>
      <c r="C88" s="370"/>
      <c r="D88" s="370" t="s">
        <v>203</v>
      </c>
      <c r="E88" s="370" t="s">
        <v>249</v>
      </c>
      <c r="F88" s="372"/>
      <c r="G88" s="372"/>
      <c r="H88" s="372"/>
      <c r="I88" s="372"/>
      <c r="J88" s="372"/>
      <c r="K88" s="372"/>
      <c r="L88" s="372"/>
      <c r="N88" s="373"/>
      <c r="O88" s="372"/>
      <c r="Z88" s="372"/>
      <c r="AA88" s="372"/>
      <c r="AB88" s="372"/>
      <c r="AD88" s="372"/>
      <c r="AE88" s="372"/>
      <c r="AF88" s="372"/>
    </row>
    <row r="89" spans="1:32" ht="12">
      <c r="A89" s="370"/>
      <c r="B89" s="370"/>
      <c r="C89" s="370" t="s">
        <v>3075</v>
      </c>
      <c r="D89" s="370" t="s">
        <v>3076</v>
      </c>
      <c r="E89" s="370" t="s">
        <v>249</v>
      </c>
      <c r="F89" s="372">
        <v>11.4</v>
      </c>
      <c r="G89" s="372">
        <f aca="true" t="shared" si="6" ref="G89:G96">H89+I89</f>
        <v>0</v>
      </c>
      <c r="H89" s="372"/>
      <c r="I89" s="372"/>
      <c r="J89" s="372">
        <f aca="true" t="shared" si="7" ref="J89:J96">ROUND(F89*G89,2)</f>
        <v>0</v>
      </c>
      <c r="K89" s="372"/>
      <c r="L89" s="372"/>
      <c r="N89" s="373" t="s">
        <v>78</v>
      </c>
      <c r="O89" s="372">
        <f>IF(N89="5",I89,0)</f>
        <v>0</v>
      </c>
      <c r="Z89" s="372">
        <f>IF(AD89=0,J89,0)</f>
        <v>0</v>
      </c>
      <c r="AA89" s="372">
        <f>IF(AD89=10,J89,0)</f>
        <v>0</v>
      </c>
      <c r="AB89" s="372">
        <f>IF(AD89=20,J89,0)</f>
        <v>0</v>
      </c>
      <c r="AD89" s="372">
        <v>20</v>
      </c>
      <c r="AE89" s="372">
        <f>G89*0.228067322546549</f>
        <v>0</v>
      </c>
      <c r="AF89" s="372">
        <f>G89*(1-0.228067322546549)</f>
        <v>0</v>
      </c>
    </row>
    <row r="90" spans="1:32" ht="12" hidden="1">
      <c r="A90" s="370"/>
      <c r="B90" s="370"/>
      <c r="C90" s="370" t="s">
        <v>3077</v>
      </c>
      <c r="D90" s="370" t="s">
        <v>3078</v>
      </c>
      <c r="E90" s="370" t="s">
        <v>249</v>
      </c>
      <c r="F90" s="372">
        <v>36.6</v>
      </c>
      <c r="G90" s="372">
        <f t="shared" si="6"/>
        <v>0</v>
      </c>
      <c r="H90" s="372"/>
      <c r="I90" s="372"/>
      <c r="J90" s="372">
        <f t="shared" si="7"/>
        <v>0</v>
      </c>
      <c r="K90" s="372"/>
      <c r="L90" s="372"/>
      <c r="N90" s="373" t="s">
        <v>78</v>
      </c>
      <c r="O90" s="372">
        <f>IF(N90="5",I90,0)</f>
        <v>0</v>
      </c>
      <c r="Z90" s="372">
        <f>IF(AD90=0,J90,0)</f>
        <v>0</v>
      </c>
      <c r="AA90" s="372">
        <f>IF(AD90=10,J90,0)</f>
        <v>0</v>
      </c>
      <c r="AB90" s="372">
        <f>IF(AD90=20,J90,0)</f>
        <v>0</v>
      </c>
      <c r="AD90" s="372">
        <v>20</v>
      </c>
      <c r="AE90" s="372">
        <f>G90*0.231481838885243</f>
        <v>0</v>
      </c>
      <c r="AF90" s="372">
        <f>G90*(1-0.231481838885243)</f>
        <v>0</v>
      </c>
    </row>
    <row r="91" spans="1:32" ht="12" hidden="1">
      <c r="A91" s="370"/>
      <c r="B91" s="370"/>
      <c r="C91" s="370" t="s">
        <v>3079</v>
      </c>
      <c r="D91" s="370" t="s">
        <v>3080</v>
      </c>
      <c r="E91" s="370" t="s">
        <v>249</v>
      </c>
      <c r="F91" s="372">
        <v>12</v>
      </c>
      <c r="G91" s="372">
        <f t="shared" si="6"/>
        <v>0</v>
      </c>
      <c r="H91" s="372"/>
      <c r="I91" s="372"/>
      <c r="J91" s="372">
        <f t="shared" si="7"/>
        <v>0</v>
      </c>
      <c r="K91" s="372"/>
      <c r="L91" s="372"/>
      <c r="N91" s="373" t="s">
        <v>78</v>
      </c>
      <c r="O91" s="372">
        <f>IF(N91="5",I91,0)</f>
        <v>0</v>
      </c>
      <c r="Z91" s="372">
        <f>IF(AD91=0,J91,0)</f>
        <v>0</v>
      </c>
      <c r="AA91" s="372">
        <f>IF(AD91=10,J91,0)</f>
        <v>0</v>
      </c>
      <c r="AB91" s="372">
        <f>IF(AD91=20,J91,0)</f>
        <v>0</v>
      </c>
      <c r="AD91" s="372">
        <v>20</v>
      </c>
      <c r="AE91" s="372">
        <f>G91*0.258342337761393</f>
        <v>0</v>
      </c>
      <c r="AF91" s="372">
        <f>G91*(1-0.258342337761393)</f>
        <v>0</v>
      </c>
    </row>
    <row r="92" spans="1:32" ht="12" hidden="1">
      <c r="A92" s="370"/>
      <c r="B92" s="370"/>
      <c r="C92" s="370" t="s">
        <v>3081</v>
      </c>
      <c r="D92" s="370" t="s">
        <v>3082</v>
      </c>
      <c r="E92" s="370" t="s">
        <v>249</v>
      </c>
      <c r="F92" s="372">
        <v>24</v>
      </c>
      <c r="G92" s="372">
        <f t="shared" si="6"/>
        <v>0</v>
      </c>
      <c r="H92" s="372"/>
      <c r="I92" s="372"/>
      <c r="J92" s="372">
        <f t="shared" si="7"/>
        <v>0</v>
      </c>
      <c r="K92" s="372"/>
      <c r="L92" s="372"/>
      <c r="N92" s="373" t="s">
        <v>78</v>
      </c>
      <c r="O92" s="372">
        <f>IF(N92="5",I92,0)</f>
        <v>0</v>
      </c>
      <c r="Z92" s="372">
        <f>IF(AD92=0,J92,0)</f>
        <v>0</v>
      </c>
      <c r="AA92" s="372">
        <f>IF(AD92=10,J92,0)</f>
        <v>0</v>
      </c>
      <c r="AB92" s="372">
        <f>IF(AD92=20,J92,0)</f>
        <v>0</v>
      </c>
      <c r="AD92" s="372">
        <v>20</v>
      </c>
      <c r="AE92" s="372">
        <f>G92*0.333465106472697</f>
        <v>0</v>
      </c>
      <c r="AF92" s="372">
        <f>G92*(1-0.333465106472697)</f>
        <v>0</v>
      </c>
    </row>
    <row r="93" spans="1:32" ht="12">
      <c r="A93" s="370"/>
      <c r="B93" s="370"/>
      <c r="C93" s="370" t="s">
        <v>3065</v>
      </c>
      <c r="D93" s="370" t="s">
        <v>3083</v>
      </c>
      <c r="E93" s="370" t="s">
        <v>249</v>
      </c>
      <c r="F93" s="372">
        <v>5.88</v>
      </c>
      <c r="G93" s="372">
        <f t="shared" si="6"/>
        <v>0</v>
      </c>
      <c r="H93" s="372"/>
      <c r="I93" s="372"/>
      <c r="J93" s="372">
        <f t="shared" si="7"/>
        <v>0</v>
      </c>
      <c r="K93" s="372"/>
      <c r="L93" s="372"/>
      <c r="N93" s="373"/>
      <c r="O93" s="372"/>
      <c r="Z93" s="372"/>
      <c r="AA93" s="372"/>
      <c r="AB93" s="372"/>
      <c r="AD93" s="372"/>
      <c r="AE93" s="372"/>
      <c r="AF93" s="372"/>
    </row>
    <row r="94" spans="1:32" ht="12">
      <c r="A94" s="370"/>
      <c r="B94" s="370"/>
      <c r="C94" s="370"/>
      <c r="D94" s="370" t="s">
        <v>3084</v>
      </c>
      <c r="E94" s="370" t="s">
        <v>249</v>
      </c>
      <c r="F94" s="372">
        <v>21.84</v>
      </c>
      <c r="G94" s="372">
        <f t="shared" si="6"/>
        <v>0</v>
      </c>
      <c r="H94" s="372"/>
      <c r="I94" s="372"/>
      <c r="J94" s="372">
        <f t="shared" si="7"/>
        <v>0</v>
      </c>
      <c r="K94" s="372"/>
      <c r="L94" s="372"/>
      <c r="N94" s="373"/>
      <c r="O94" s="372"/>
      <c r="Z94" s="372"/>
      <c r="AA94" s="372"/>
      <c r="AB94" s="372"/>
      <c r="AD94" s="372"/>
      <c r="AE94" s="372"/>
      <c r="AF94" s="372"/>
    </row>
    <row r="95" spans="1:32" ht="12">
      <c r="A95" s="370"/>
      <c r="B95" s="370"/>
      <c r="C95" s="370" t="s">
        <v>3065</v>
      </c>
      <c r="D95" s="370" t="s">
        <v>3085</v>
      </c>
      <c r="E95" s="370" t="s">
        <v>249</v>
      </c>
      <c r="F95" s="372">
        <v>5.88</v>
      </c>
      <c r="G95" s="372">
        <f t="shared" si="6"/>
        <v>0</v>
      </c>
      <c r="H95" s="372"/>
      <c r="I95" s="372"/>
      <c r="J95" s="372">
        <f t="shared" si="7"/>
        <v>0</v>
      </c>
      <c r="K95" s="372"/>
      <c r="L95" s="372"/>
      <c r="N95" s="373"/>
      <c r="O95" s="372"/>
      <c r="Z95" s="372"/>
      <c r="AA95" s="372"/>
      <c r="AB95" s="372"/>
      <c r="AD95" s="372"/>
      <c r="AE95" s="372"/>
      <c r="AF95" s="372"/>
    </row>
    <row r="96" spans="1:32" ht="12">
      <c r="A96" s="370"/>
      <c r="B96" s="370"/>
      <c r="C96" s="370" t="s">
        <v>3065</v>
      </c>
      <c r="D96" s="370" t="s">
        <v>3086</v>
      </c>
      <c r="E96" s="370" t="s">
        <v>249</v>
      </c>
      <c r="F96" s="372">
        <v>21.84</v>
      </c>
      <c r="G96" s="372">
        <f t="shared" si="6"/>
        <v>0</v>
      </c>
      <c r="H96" s="372"/>
      <c r="I96" s="372"/>
      <c r="J96" s="372">
        <f t="shared" si="7"/>
        <v>0</v>
      </c>
      <c r="K96" s="372"/>
      <c r="L96" s="372"/>
      <c r="N96" s="373"/>
      <c r="O96" s="372"/>
      <c r="Z96" s="372"/>
      <c r="AA96" s="372"/>
      <c r="AB96" s="372"/>
      <c r="AD96" s="372"/>
      <c r="AE96" s="372"/>
      <c r="AF96" s="372"/>
    </row>
    <row r="97" spans="1:32" ht="12">
      <c r="A97" s="370"/>
      <c r="B97" s="370"/>
      <c r="C97" s="370"/>
      <c r="D97" s="370"/>
      <c r="E97" s="370"/>
      <c r="F97" s="372"/>
      <c r="G97" s="372"/>
      <c r="H97" s="372"/>
      <c r="I97" s="372"/>
      <c r="J97" s="372"/>
      <c r="K97" s="372"/>
      <c r="L97" s="372"/>
      <c r="N97" s="373"/>
      <c r="O97" s="372"/>
      <c r="Z97" s="372"/>
      <c r="AA97" s="372"/>
      <c r="AB97" s="372"/>
      <c r="AD97" s="372"/>
      <c r="AE97" s="372"/>
      <c r="AF97" s="372"/>
    </row>
    <row r="98" spans="1:32" ht="12">
      <c r="A98" s="370"/>
      <c r="B98" s="370"/>
      <c r="C98" s="370" t="s">
        <v>3087</v>
      </c>
      <c r="D98" s="370" t="s">
        <v>3088</v>
      </c>
      <c r="E98" s="370" t="s">
        <v>2792</v>
      </c>
      <c r="F98" s="372">
        <v>37</v>
      </c>
      <c r="G98" s="372">
        <f aca="true" t="shared" si="8" ref="G98:G105">H98+I98</f>
        <v>0</v>
      </c>
      <c r="H98" s="372"/>
      <c r="I98" s="372"/>
      <c r="J98" s="372">
        <f aca="true" t="shared" si="9" ref="J98:J105">ROUND(F98*G98,2)</f>
        <v>0</v>
      </c>
      <c r="K98" s="372"/>
      <c r="L98" s="372"/>
      <c r="N98" s="373"/>
      <c r="O98" s="372"/>
      <c r="Z98" s="372"/>
      <c r="AA98" s="372"/>
      <c r="AB98" s="372"/>
      <c r="AD98" s="372"/>
      <c r="AE98" s="372"/>
      <c r="AF98" s="372"/>
    </row>
    <row r="99" spans="1:32" ht="12">
      <c r="A99" s="370"/>
      <c r="B99" s="370"/>
      <c r="C99" s="370"/>
      <c r="D99" s="370" t="s">
        <v>3089</v>
      </c>
      <c r="E99" s="370" t="s">
        <v>2792</v>
      </c>
      <c r="F99" s="372">
        <v>5</v>
      </c>
      <c r="G99" s="372">
        <f t="shared" si="8"/>
        <v>0</v>
      </c>
      <c r="H99" s="372"/>
      <c r="I99" s="372"/>
      <c r="J99" s="372">
        <f t="shared" si="9"/>
        <v>0</v>
      </c>
      <c r="K99" s="372"/>
      <c r="L99" s="372"/>
      <c r="N99" s="373"/>
      <c r="O99" s="372"/>
      <c r="Z99" s="372"/>
      <c r="AA99" s="372"/>
      <c r="AB99" s="372"/>
      <c r="AD99" s="372"/>
      <c r="AE99" s="372"/>
      <c r="AF99" s="372"/>
    </row>
    <row r="100" spans="1:32" ht="12">
      <c r="A100" s="370"/>
      <c r="B100" s="370"/>
      <c r="C100" s="370"/>
      <c r="D100" s="370" t="s">
        <v>3090</v>
      </c>
      <c r="E100" s="370" t="s">
        <v>2792</v>
      </c>
      <c r="F100" s="372">
        <v>8</v>
      </c>
      <c r="G100" s="372">
        <f t="shared" si="8"/>
        <v>0</v>
      </c>
      <c r="H100" s="372"/>
      <c r="I100" s="372"/>
      <c r="J100" s="372">
        <f t="shared" si="9"/>
        <v>0</v>
      </c>
      <c r="K100" s="372"/>
      <c r="L100" s="372"/>
      <c r="N100" s="373"/>
      <c r="O100" s="372"/>
      <c r="Z100" s="372"/>
      <c r="AA100" s="372"/>
      <c r="AB100" s="372"/>
      <c r="AD100" s="372"/>
      <c r="AE100" s="372"/>
      <c r="AF100" s="372"/>
    </row>
    <row r="101" spans="1:32" ht="12">
      <c r="A101" s="370"/>
      <c r="B101" s="370"/>
      <c r="C101" s="370"/>
      <c r="D101" s="370" t="s">
        <v>3091</v>
      </c>
      <c r="E101" s="370" t="s">
        <v>2792</v>
      </c>
      <c r="F101" s="372">
        <v>7</v>
      </c>
      <c r="G101" s="372">
        <f t="shared" si="8"/>
        <v>0</v>
      </c>
      <c r="H101" s="372"/>
      <c r="I101" s="372"/>
      <c r="J101" s="372">
        <f t="shared" si="9"/>
        <v>0</v>
      </c>
      <c r="K101" s="372"/>
      <c r="L101" s="372"/>
      <c r="N101" s="373"/>
      <c r="O101" s="372"/>
      <c r="Z101" s="372"/>
      <c r="AA101" s="372"/>
      <c r="AB101" s="372"/>
      <c r="AD101" s="372"/>
      <c r="AE101" s="372"/>
      <c r="AF101" s="372"/>
    </row>
    <row r="102" spans="1:32" ht="12">
      <c r="A102" s="370"/>
      <c r="B102" s="370"/>
      <c r="C102" s="370" t="s">
        <v>3092</v>
      </c>
      <c r="D102" s="370" t="s">
        <v>3093</v>
      </c>
      <c r="E102" s="370" t="s">
        <v>2792</v>
      </c>
      <c r="F102" s="372">
        <v>5</v>
      </c>
      <c r="G102" s="372">
        <f t="shared" si="8"/>
        <v>0</v>
      </c>
      <c r="H102" s="372"/>
      <c r="I102" s="372"/>
      <c r="J102" s="372">
        <f t="shared" si="9"/>
        <v>0</v>
      </c>
      <c r="K102" s="372"/>
      <c r="L102" s="372"/>
      <c r="N102" s="373"/>
      <c r="O102" s="372"/>
      <c r="Z102" s="372"/>
      <c r="AA102" s="372"/>
      <c r="AB102" s="372"/>
      <c r="AD102" s="372"/>
      <c r="AE102" s="372"/>
      <c r="AF102" s="372"/>
    </row>
    <row r="103" spans="1:32" ht="12">
      <c r="A103" s="370"/>
      <c r="B103" s="370"/>
      <c r="C103" s="370" t="s">
        <v>3092</v>
      </c>
      <c r="D103" s="370" t="s">
        <v>3094</v>
      </c>
      <c r="E103" s="370" t="s">
        <v>2792</v>
      </c>
      <c r="F103" s="372">
        <v>5</v>
      </c>
      <c r="G103" s="372">
        <f t="shared" si="8"/>
        <v>0</v>
      </c>
      <c r="H103" s="372"/>
      <c r="I103" s="372"/>
      <c r="J103" s="372">
        <f t="shared" si="9"/>
        <v>0</v>
      </c>
      <c r="K103" s="372"/>
      <c r="L103" s="372"/>
      <c r="N103" s="373"/>
      <c r="O103" s="372"/>
      <c r="Z103" s="372"/>
      <c r="AA103" s="372"/>
      <c r="AB103" s="372"/>
      <c r="AD103" s="372"/>
      <c r="AE103" s="372"/>
      <c r="AF103" s="372"/>
    </row>
    <row r="104" spans="1:32" ht="12">
      <c r="A104" s="370"/>
      <c r="B104" s="370"/>
      <c r="C104" s="370" t="s">
        <v>3092</v>
      </c>
      <c r="D104" s="370" t="s">
        <v>3095</v>
      </c>
      <c r="E104" s="370" t="s">
        <v>2792</v>
      </c>
      <c r="F104" s="372">
        <v>1</v>
      </c>
      <c r="G104" s="372">
        <f t="shared" si="8"/>
        <v>0</v>
      </c>
      <c r="H104" s="372"/>
      <c r="I104" s="372"/>
      <c r="J104" s="372">
        <f t="shared" si="9"/>
        <v>0</v>
      </c>
      <c r="K104" s="372"/>
      <c r="L104" s="372"/>
      <c r="N104" s="373"/>
      <c r="O104" s="372"/>
      <c r="Z104" s="372"/>
      <c r="AA104" s="372"/>
      <c r="AB104" s="372"/>
      <c r="AD104" s="372"/>
      <c r="AE104" s="372"/>
      <c r="AF104" s="372"/>
    </row>
    <row r="105" spans="1:32" ht="12">
      <c r="A105" s="370"/>
      <c r="B105" s="370"/>
      <c r="C105" s="370" t="s">
        <v>3096</v>
      </c>
      <c r="D105" s="370" t="s">
        <v>3097</v>
      </c>
      <c r="E105" s="370" t="s">
        <v>2792</v>
      </c>
      <c r="F105" s="372">
        <v>17</v>
      </c>
      <c r="G105" s="372">
        <f t="shared" si="8"/>
        <v>0</v>
      </c>
      <c r="H105" s="372"/>
      <c r="I105" s="372"/>
      <c r="J105" s="372">
        <f t="shared" si="9"/>
        <v>0</v>
      </c>
      <c r="K105" s="372"/>
      <c r="L105" s="372"/>
      <c r="N105" s="373"/>
      <c r="O105" s="372"/>
      <c r="Z105" s="372"/>
      <c r="AA105" s="372"/>
      <c r="AB105" s="372"/>
      <c r="AD105" s="372"/>
      <c r="AE105" s="372"/>
      <c r="AF105" s="372"/>
    </row>
    <row r="106" spans="1:32" ht="12">
      <c r="A106" s="370"/>
      <c r="B106" s="370"/>
      <c r="C106" s="384"/>
      <c r="D106" s="382" t="s">
        <v>3045</v>
      </c>
      <c r="E106" s="387"/>
      <c r="F106" s="374"/>
      <c r="G106" s="372"/>
      <c r="H106" s="372"/>
      <c r="I106" s="372"/>
      <c r="J106" s="372"/>
      <c r="K106" s="372"/>
      <c r="L106" s="372"/>
      <c r="N106" s="373"/>
      <c r="O106" s="372"/>
      <c r="Z106" s="372"/>
      <c r="AA106" s="372"/>
      <c r="AB106" s="372"/>
      <c r="AD106" s="372"/>
      <c r="AE106" s="372"/>
      <c r="AF106" s="372"/>
    </row>
    <row r="107" spans="1:32" ht="12">
      <c r="A107" s="370"/>
      <c r="B107" s="370"/>
      <c r="C107" s="384"/>
      <c r="D107" s="375" t="s">
        <v>3046</v>
      </c>
      <c r="E107" s="385"/>
      <c r="F107" s="374"/>
      <c r="G107" s="372"/>
      <c r="H107" s="372"/>
      <c r="I107" s="372"/>
      <c r="J107" s="372"/>
      <c r="K107" s="372"/>
      <c r="L107" s="372"/>
      <c r="N107" s="373"/>
      <c r="O107" s="372"/>
      <c r="Z107" s="372"/>
      <c r="AA107" s="372"/>
      <c r="AB107" s="372"/>
      <c r="AD107" s="372"/>
      <c r="AE107" s="372"/>
      <c r="AF107" s="372"/>
    </row>
    <row r="108" spans="1:32" ht="12">
      <c r="A108" s="370"/>
      <c r="B108" s="370"/>
      <c r="C108" s="384" t="s">
        <v>3013</v>
      </c>
      <c r="D108" s="375" t="s">
        <v>3047</v>
      </c>
      <c r="E108" s="387" t="s">
        <v>249</v>
      </c>
      <c r="F108" s="374">
        <v>76</v>
      </c>
      <c r="G108" s="372">
        <f>H108+I108</f>
        <v>0</v>
      </c>
      <c r="H108" s="372"/>
      <c r="I108" s="372"/>
      <c r="J108" s="372">
        <f>ROUND(F108*G108,2)</f>
        <v>0</v>
      </c>
      <c r="K108" s="372"/>
      <c r="L108" s="372"/>
      <c r="N108" s="373"/>
      <c r="O108" s="372"/>
      <c r="Z108" s="372"/>
      <c r="AA108" s="372"/>
      <c r="AB108" s="372"/>
      <c r="AD108" s="372"/>
      <c r="AE108" s="372"/>
      <c r="AF108" s="372"/>
    </row>
    <row r="109" spans="1:32" ht="12">
      <c r="A109" s="370"/>
      <c r="B109" s="370"/>
      <c r="C109" s="384" t="s">
        <v>3098</v>
      </c>
      <c r="D109" s="375" t="s">
        <v>3099</v>
      </c>
      <c r="E109" s="387" t="s">
        <v>249</v>
      </c>
      <c r="F109" s="374">
        <v>85</v>
      </c>
      <c r="G109" s="372">
        <f>H109+I109</f>
        <v>0</v>
      </c>
      <c r="H109" s="372"/>
      <c r="I109" s="372"/>
      <c r="J109" s="372">
        <f>ROUND(F109*G109,2)</f>
        <v>0</v>
      </c>
      <c r="K109" s="372"/>
      <c r="L109" s="372"/>
      <c r="N109" s="373"/>
      <c r="O109" s="372"/>
      <c r="Z109" s="372"/>
      <c r="AA109" s="372"/>
      <c r="AB109" s="372"/>
      <c r="AD109" s="372"/>
      <c r="AE109" s="372"/>
      <c r="AF109" s="372"/>
    </row>
    <row r="110" spans="1:32" ht="12">
      <c r="A110" s="370"/>
      <c r="B110" s="370"/>
      <c r="C110" s="384"/>
      <c r="D110" s="380" t="s">
        <v>3048</v>
      </c>
      <c r="E110" s="385"/>
      <c r="F110" s="374"/>
      <c r="G110" s="372"/>
      <c r="H110" s="372"/>
      <c r="I110" s="372"/>
      <c r="J110" s="372"/>
      <c r="K110" s="372"/>
      <c r="L110" s="372"/>
      <c r="N110" s="373"/>
      <c r="O110" s="372"/>
      <c r="Z110" s="372"/>
      <c r="AA110" s="372"/>
      <c r="AB110" s="372"/>
      <c r="AD110" s="372"/>
      <c r="AE110" s="372"/>
      <c r="AF110" s="372"/>
    </row>
    <row r="111" spans="1:32" ht="12">
      <c r="A111" s="370"/>
      <c r="B111" s="370"/>
      <c r="C111" s="384" t="s">
        <v>28</v>
      </c>
      <c r="D111" s="375" t="s">
        <v>3100</v>
      </c>
      <c r="E111" s="385"/>
      <c r="F111" s="374"/>
      <c r="G111" s="372"/>
      <c r="H111" s="372"/>
      <c r="I111" s="372"/>
      <c r="J111" s="372"/>
      <c r="K111" s="372"/>
      <c r="L111" s="372"/>
      <c r="N111" s="373"/>
      <c r="O111" s="372"/>
      <c r="Z111" s="372"/>
      <c r="AA111" s="372"/>
      <c r="AB111" s="372"/>
      <c r="AD111" s="372"/>
      <c r="AE111" s="372"/>
      <c r="AF111" s="372"/>
    </row>
    <row r="112" spans="1:32" ht="12">
      <c r="A112" s="370"/>
      <c r="B112" s="370"/>
      <c r="C112" s="384" t="s">
        <v>3101</v>
      </c>
      <c r="D112" s="375" t="s">
        <v>3102</v>
      </c>
      <c r="E112" s="387" t="s">
        <v>3041</v>
      </c>
      <c r="F112" s="374">
        <v>52</v>
      </c>
      <c r="G112" s="372">
        <f>H112+I112</f>
        <v>0</v>
      </c>
      <c r="H112" s="372"/>
      <c r="I112" s="372"/>
      <c r="J112" s="372">
        <f>ROUND(F112*G112,2)</f>
        <v>0</v>
      </c>
      <c r="K112" s="372"/>
      <c r="L112" s="372"/>
      <c r="N112" s="373"/>
      <c r="O112" s="372"/>
      <c r="Z112" s="372"/>
      <c r="AA112" s="372"/>
      <c r="AB112" s="372"/>
      <c r="AD112" s="372"/>
      <c r="AE112" s="372"/>
      <c r="AF112" s="372"/>
    </row>
    <row r="113" spans="1:32" ht="12">
      <c r="A113" s="370"/>
      <c r="B113" s="370"/>
      <c r="C113" s="370" t="s">
        <v>3103</v>
      </c>
      <c r="D113" s="375" t="s">
        <v>3104</v>
      </c>
      <c r="E113" s="387" t="s">
        <v>3041</v>
      </c>
      <c r="F113" s="374">
        <v>11</v>
      </c>
      <c r="G113" s="372">
        <f>H113+I113</f>
        <v>0</v>
      </c>
      <c r="H113" s="372"/>
      <c r="I113" s="372"/>
      <c r="J113" s="372">
        <f>ROUND(F113*G113,2)</f>
        <v>0</v>
      </c>
      <c r="K113" s="372"/>
      <c r="L113" s="372"/>
      <c r="N113" s="373"/>
      <c r="O113" s="372"/>
      <c r="Z113" s="372"/>
      <c r="AA113" s="372"/>
      <c r="AB113" s="372"/>
      <c r="AD113" s="372"/>
      <c r="AE113" s="372"/>
      <c r="AF113" s="372"/>
    </row>
    <row r="114" spans="1:32" ht="12">
      <c r="A114" s="370"/>
      <c r="B114" s="370"/>
      <c r="C114" s="370" t="s">
        <v>3105</v>
      </c>
      <c r="D114" s="375" t="s">
        <v>3106</v>
      </c>
      <c r="E114" s="387" t="s">
        <v>3041</v>
      </c>
      <c r="F114" s="374">
        <v>23</v>
      </c>
      <c r="G114" s="372">
        <f>H114+I114</f>
        <v>0</v>
      </c>
      <c r="H114" s="372"/>
      <c r="I114" s="372"/>
      <c r="J114" s="372">
        <f>ROUND(F114*G114,2)</f>
        <v>0</v>
      </c>
      <c r="K114" s="372"/>
      <c r="L114" s="372"/>
      <c r="N114" s="373"/>
      <c r="O114" s="372"/>
      <c r="Z114" s="372"/>
      <c r="AA114" s="372"/>
      <c r="AB114" s="372"/>
      <c r="AD114" s="372"/>
      <c r="AE114" s="372"/>
      <c r="AF114" s="372"/>
    </row>
    <row r="115" spans="1:32" ht="12">
      <c r="A115" s="370"/>
      <c r="B115" s="370"/>
      <c r="C115" s="384"/>
      <c r="D115" s="375" t="s">
        <v>3107</v>
      </c>
      <c r="E115" s="387"/>
      <c r="F115" s="374"/>
      <c r="G115" s="372"/>
      <c r="H115" s="372"/>
      <c r="I115" s="372"/>
      <c r="J115" s="372"/>
      <c r="K115" s="372"/>
      <c r="L115" s="372"/>
      <c r="N115" s="373"/>
      <c r="O115" s="372"/>
      <c r="Z115" s="372"/>
      <c r="AA115" s="372"/>
      <c r="AB115" s="372"/>
      <c r="AD115" s="372"/>
      <c r="AE115" s="372"/>
      <c r="AF115" s="372"/>
    </row>
    <row r="116" spans="1:32" ht="12">
      <c r="A116" s="370"/>
      <c r="B116" s="370"/>
      <c r="C116" s="384" t="s">
        <v>3108</v>
      </c>
      <c r="D116" s="375" t="s">
        <v>3109</v>
      </c>
      <c r="E116" s="387" t="s">
        <v>3041</v>
      </c>
      <c r="F116" s="374">
        <v>30</v>
      </c>
      <c r="G116" s="372">
        <f aca="true" t="shared" si="10" ref="G116:G121">H116+I116</f>
        <v>0</v>
      </c>
      <c r="H116" s="372"/>
      <c r="I116" s="372"/>
      <c r="J116" s="372">
        <f aca="true" t="shared" si="11" ref="J116:J121">ROUND(F116*G116,2)</f>
        <v>0</v>
      </c>
      <c r="K116" s="372"/>
      <c r="L116" s="372"/>
      <c r="N116" s="373"/>
      <c r="O116" s="372"/>
      <c r="Z116" s="372"/>
      <c r="AA116" s="372"/>
      <c r="AB116" s="372"/>
      <c r="AD116" s="372"/>
      <c r="AE116" s="372"/>
      <c r="AF116" s="372"/>
    </row>
    <row r="117" spans="1:32" ht="12">
      <c r="A117" s="370"/>
      <c r="B117" s="370"/>
      <c r="C117" s="384" t="s">
        <v>3110</v>
      </c>
      <c r="D117" s="375" t="s">
        <v>3111</v>
      </c>
      <c r="E117" s="387" t="s">
        <v>3041</v>
      </c>
      <c r="F117" s="374">
        <v>30</v>
      </c>
      <c r="G117" s="372">
        <f t="shared" si="10"/>
        <v>0</v>
      </c>
      <c r="H117" s="372"/>
      <c r="I117" s="372"/>
      <c r="J117" s="372">
        <f t="shared" si="11"/>
        <v>0</v>
      </c>
      <c r="K117" s="372"/>
      <c r="L117" s="372"/>
      <c r="N117" s="373"/>
      <c r="O117" s="372"/>
      <c r="Z117" s="372"/>
      <c r="AA117" s="372"/>
      <c r="AB117" s="372"/>
      <c r="AD117" s="372"/>
      <c r="AE117" s="372"/>
      <c r="AF117" s="372"/>
    </row>
    <row r="118" spans="1:32" ht="12">
      <c r="A118" s="370"/>
      <c r="B118" s="370"/>
      <c r="C118" s="384" t="s">
        <v>3112</v>
      </c>
      <c r="D118" s="375" t="s">
        <v>3113</v>
      </c>
      <c r="E118" s="387" t="s">
        <v>3041</v>
      </c>
      <c r="F118" s="374">
        <v>45</v>
      </c>
      <c r="G118" s="372">
        <f t="shared" si="10"/>
        <v>0</v>
      </c>
      <c r="H118" s="372"/>
      <c r="I118" s="372"/>
      <c r="J118" s="372">
        <f t="shared" si="11"/>
        <v>0</v>
      </c>
      <c r="K118" s="372"/>
      <c r="L118" s="372"/>
      <c r="N118" s="373"/>
      <c r="O118" s="372"/>
      <c r="Z118" s="372"/>
      <c r="AA118" s="372"/>
      <c r="AB118" s="372"/>
      <c r="AD118" s="372"/>
      <c r="AE118" s="372"/>
      <c r="AF118" s="372"/>
    </row>
    <row r="119" spans="1:32" ht="12">
      <c r="A119" s="370"/>
      <c r="B119" s="370"/>
      <c r="C119" s="384" t="s">
        <v>3057</v>
      </c>
      <c r="D119" s="375" t="s">
        <v>3114</v>
      </c>
      <c r="E119" s="387" t="s">
        <v>249</v>
      </c>
      <c r="F119" s="374">
        <v>152</v>
      </c>
      <c r="G119" s="372">
        <f t="shared" si="10"/>
        <v>0</v>
      </c>
      <c r="H119" s="372"/>
      <c r="I119" s="372"/>
      <c r="J119" s="372">
        <f t="shared" si="11"/>
        <v>0</v>
      </c>
      <c r="K119" s="372"/>
      <c r="L119" s="372"/>
      <c r="N119" s="373"/>
      <c r="O119" s="372"/>
      <c r="Z119" s="372"/>
      <c r="AA119" s="372"/>
      <c r="AB119" s="372"/>
      <c r="AD119" s="372"/>
      <c r="AE119" s="372"/>
      <c r="AF119" s="372"/>
    </row>
    <row r="120" spans="1:32" ht="12">
      <c r="A120" s="370"/>
      <c r="B120" s="370"/>
      <c r="C120" s="370" t="s">
        <v>3115</v>
      </c>
      <c r="D120" s="370" t="s">
        <v>3116</v>
      </c>
      <c r="E120" s="370" t="s">
        <v>249</v>
      </c>
      <c r="F120" s="372">
        <v>152</v>
      </c>
      <c r="G120" s="372">
        <f t="shared" si="10"/>
        <v>0</v>
      </c>
      <c r="H120" s="372"/>
      <c r="I120" s="372"/>
      <c r="J120" s="372">
        <f t="shared" si="11"/>
        <v>0</v>
      </c>
      <c r="K120" s="372"/>
      <c r="L120" s="372"/>
      <c r="N120" s="373" t="s">
        <v>78</v>
      </c>
      <c r="O120" s="372">
        <f>IF(N120="5",I120,0)</f>
        <v>0</v>
      </c>
      <c r="Z120" s="372">
        <f>IF(AD120=0,J120,0)</f>
        <v>0</v>
      </c>
      <c r="AA120" s="372">
        <f>IF(AD120=10,J120,0)</f>
        <v>0</v>
      </c>
      <c r="AB120" s="372">
        <f>IF(AD120=20,J120,0)</f>
        <v>0</v>
      </c>
      <c r="AD120" s="372">
        <v>20</v>
      </c>
      <c r="AE120" s="372">
        <f>G120*0.253854059609455</f>
        <v>0</v>
      </c>
      <c r="AF120" s="372">
        <f>G120*(1-0.253854059609455)</f>
        <v>0</v>
      </c>
    </row>
    <row r="121" spans="1:32" ht="12">
      <c r="A121" s="370"/>
      <c r="B121" s="370"/>
      <c r="C121" s="370" t="s">
        <v>3117</v>
      </c>
      <c r="D121" s="370" t="s">
        <v>3118</v>
      </c>
      <c r="E121" s="370" t="s">
        <v>413</v>
      </c>
      <c r="F121" s="372">
        <v>15</v>
      </c>
      <c r="G121" s="372">
        <f t="shared" si="10"/>
        <v>0</v>
      </c>
      <c r="H121" s="372"/>
      <c r="I121" s="372"/>
      <c r="J121" s="372">
        <f t="shared" si="11"/>
        <v>0</v>
      </c>
      <c r="K121" s="372"/>
      <c r="L121" s="372"/>
      <c r="M121" s="388"/>
      <c r="N121" s="373" t="s">
        <v>157</v>
      </c>
      <c r="O121" s="372">
        <f>IF(N121="5",I121,0)</f>
        <v>0</v>
      </c>
      <c r="Z121" s="372">
        <f>IF(AD121=0,J121,0)</f>
        <v>0</v>
      </c>
      <c r="AA121" s="372">
        <f>IF(AD121=10,J121,0)</f>
        <v>0</v>
      </c>
      <c r="AB121" s="372">
        <f>IF(AD121=20,J121,0)</f>
        <v>0</v>
      </c>
      <c r="AD121" s="372">
        <v>20</v>
      </c>
      <c r="AE121" s="372">
        <f>G121*0</f>
        <v>0</v>
      </c>
      <c r="AF121" s="372">
        <f>G121*(1-0)</f>
        <v>0</v>
      </c>
    </row>
    <row r="122" spans="1:37" ht="12">
      <c r="A122" s="364"/>
      <c r="B122" s="364"/>
      <c r="C122" s="365" t="s">
        <v>3119</v>
      </c>
      <c r="D122" s="529" t="s">
        <v>3120</v>
      </c>
      <c r="E122" s="530"/>
      <c r="F122" s="530"/>
      <c r="G122" s="530"/>
      <c r="H122" s="369"/>
      <c r="I122" s="369"/>
      <c r="J122" s="369">
        <f>SUM(J123:J149)</f>
        <v>0</v>
      </c>
      <c r="K122" s="363"/>
      <c r="L122" s="369"/>
      <c r="P122" s="369">
        <f>IF(Q122="PR",J122,SUM(O123:O149))</f>
        <v>0</v>
      </c>
      <c r="Q122" s="363" t="s">
        <v>2956</v>
      </c>
      <c r="R122" s="369">
        <f>IF(Q122="HS",H122,0)</f>
        <v>0</v>
      </c>
      <c r="S122" s="369">
        <f>IF(Q122="HS",I122-P122,0)</f>
        <v>0</v>
      </c>
      <c r="T122" s="369">
        <f>IF(Q122="PS",H122,0)</f>
        <v>0</v>
      </c>
      <c r="U122" s="369">
        <f>IF(Q122="PS",I122-P122,0)</f>
        <v>0</v>
      </c>
      <c r="V122" s="369">
        <f>IF(Q122="MP",H122,0)</f>
        <v>0</v>
      </c>
      <c r="W122" s="369">
        <f>IF(Q122="MP",I122-P122,0)</f>
        <v>0</v>
      </c>
      <c r="X122" s="369">
        <f>IF(Q122="OM",H122,0)</f>
        <v>0</v>
      </c>
      <c r="Y122" s="363" t="s">
        <v>2957</v>
      </c>
      <c r="AI122" s="369">
        <f>SUM(Z123:Z149)</f>
        <v>0</v>
      </c>
      <c r="AJ122" s="369">
        <f>SUM(AA123:AA149)</f>
        <v>0</v>
      </c>
      <c r="AK122" s="369">
        <f>SUM(AB123:AB149)</f>
        <v>0</v>
      </c>
    </row>
    <row r="123" spans="1:32" ht="12">
      <c r="A123" s="370"/>
      <c r="B123" s="370"/>
      <c r="C123" s="370" t="s">
        <v>3121</v>
      </c>
      <c r="D123" s="370" t="s">
        <v>3122</v>
      </c>
      <c r="E123" s="370" t="s">
        <v>2792</v>
      </c>
      <c r="F123" s="372">
        <v>5</v>
      </c>
      <c r="G123" s="372">
        <f aca="true" t="shared" si="12" ref="G123:G138">H123+I123</f>
        <v>0</v>
      </c>
      <c r="H123" s="372"/>
      <c r="I123" s="372"/>
      <c r="J123" s="372">
        <f aca="true" t="shared" si="13" ref="J123:J138">ROUND(F123*G123,2)</f>
        <v>0</v>
      </c>
      <c r="K123" s="372"/>
      <c r="L123" s="372"/>
      <c r="N123" s="373" t="s">
        <v>70</v>
      </c>
      <c r="O123" s="372">
        <f>IF(N123="5",I123,0)</f>
        <v>0</v>
      </c>
      <c r="Z123" s="372">
        <f>IF(AD123=0,J123,0)</f>
        <v>0</v>
      </c>
      <c r="AA123" s="372">
        <f>IF(AD123=10,J123,0)</f>
        <v>0</v>
      </c>
      <c r="AB123" s="372">
        <f>IF(AD123=20,J123,0)</f>
        <v>0</v>
      </c>
      <c r="AD123" s="372">
        <v>20</v>
      </c>
      <c r="AE123" s="372">
        <f>G123*1</f>
        <v>0</v>
      </c>
      <c r="AF123" s="372">
        <f>G123*(1-1)</f>
        <v>0</v>
      </c>
    </row>
    <row r="124" spans="1:32" ht="12">
      <c r="A124" s="370"/>
      <c r="B124" s="370"/>
      <c r="C124" s="370" t="s">
        <v>3123</v>
      </c>
      <c r="D124" s="370" t="s">
        <v>3124</v>
      </c>
      <c r="E124" s="370" t="s">
        <v>2792</v>
      </c>
      <c r="F124" s="372">
        <v>9</v>
      </c>
      <c r="G124" s="372">
        <f t="shared" si="12"/>
        <v>0</v>
      </c>
      <c r="H124" s="372"/>
      <c r="I124" s="372"/>
      <c r="J124" s="372">
        <f t="shared" si="13"/>
        <v>0</v>
      </c>
      <c r="K124" s="372"/>
      <c r="L124" s="372"/>
      <c r="N124" s="373"/>
      <c r="O124" s="372"/>
      <c r="Z124" s="372"/>
      <c r="AA124" s="372"/>
      <c r="AB124" s="372"/>
      <c r="AD124" s="372"/>
      <c r="AE124" s="372"/>
      <c r="AF124" s="372"/>
    </row>
    <row r="125" spans="1:32" ht="12">
      <c r="A125" s="370"/>
      <c r="B125" s="370"/>
      <c r="C125" s="370" t="s">
        <v>3125</v>
      </c>
      <c r="D125" s="370" t="s">
        <v>3126</v>
      </c>
      <c r="E125" s="370" t="s">
        <v>2921</v>
      </c>
      <c r="F125" s="372">
        <v>5</v>
      </c>
      <c r="G125" s="372">
        <f t="shared" si="12"/>
        <v>0</v>
      </c>
      <c r="H125" s="372"/>
      <c r="I125" s="372"/>
      <c r="J125" s="372">
        <f t="shared" si="13"/>
        <v>0</v>
      </c>
      <c r="K125" s="372"/>
      <c r="L125" s="372"/>
      <c r="N125" s="373" t="s">
        <v>78</v>
      </c>
      <c r="O125" s="372">
        <f>IF(N125="5",I125,0)</f>
        <v>0</v>
      </c>
      <c r="Z125" s="372">
        <f>IF(AD125=0,J125,0)</f>
        <v>0</v>
      </c>
      <c r="AA125" s="372">
        <f>IF(AD125=10,J125,0)</f>
        <v>0</v>
      </c>
      <c r="AB125" s="372">
        <f>IF(AD125=20,J125,0)</f>
        <v>0</v>
      </c>
      <c r="AD125" s="372">
        <v>20</v>
      </c>
      <c r="AE125" s="372">
        <f>G125*0.882049450402264</f>
        <v>0</v>
      </c>
      <c r="AF125" s="372">
        <f>G125*(1-0.882049450402264)</f>
        <v>0</v>
      </c>
    </row>
    <row r="126" spans="1:32" ht="12">
      <c r="A126" s="370"/>
      <c r="B126" s="370"/>
      <c r="C126" s="370" t="s">
        <v>3127</v>
      </c>
      <c r="D126" s="370" t="s">
        <v>3128</v>
      </c>
      <c r="E126" s="370" t="s">
        <v>2921</v>
      </c>
      <c r="F126" s="372">
        <v>1</v>
      </c>
      <c r="G126" s="372">
        <f t="shared" si="12"/>
        <v>0</v>
      </c>
      <c r="H126" s="372"/>
      <c r="I126" s="372"/>
      <c r="J126" s="372">
        <f t="shared" si="13"/>
        <v>0</v>
      </c>
      <c r="K126" s="372"/>
      <c r="L126" s="372"/>
      <c r="N126" s="373"/>
      <c r="O126" s="372"/>
      <c r="Z126" s="372"/>
      <c r="AA126" s="372"/>
      <c r="AB126" s="372"/>
      <c r="AD126" s="372"/>
      <c r="AE126" s="372"/>
      <c r="AF126" s="372"/>
    </row>
    <row r="127" spans="1:32" ht="12">
      <c r="A127" s="370"/>
      <c r="B127" s="370"/>
      <c r="C127" s="370" t="s">
        <v>3129</v>
      </c>
      <c r="D127" s="370" t="s">
        <v>3130</v>
      </c>
      <c r="E127" s="370" t="s">
        <v>2921</v>
      </c>
      <c r="F127" s="372">
        <v>1</v>
      </c>
      <c r="G127" s="372">
        <f t="shared" si="12"/>
        <v>0</v>
      </c>
      <c r="H127" s="372"/>
      <c r="I127" s="372"/>
      <c r="J127" s="372">
        <f t="shared" si="13"/>
        <v>0</v>
      </c>
      <c r="K127" s="372"/>
      <c r="L127" s="372"/>
      <c r="N127" s="373" t="s">
        <v>78</v>
      </c>
      <c r="O127" s="372">
        <f>IF(N127="5",I127,0)</f>
        <v>0</v>
      </c>
      <c r="Z127" s="372">
        <f>IF(AD127=0,J127,0)</f>
        <v>0</v>
      </c>
      <c r="AA127" s="372">
        <f>IF(AD127=10,J127,0)</f>
        <v>0</v>
      </c>
      <c r="AB127" s="372">
        <f>IF(AD127=20,J127,0)</f>
        <v>0</v>
      </c>
      <c r="AD127" s="372">
        <v>20</v>
      </c>
      <c r="AE127" s="372">
        <f>G127*0.792629077306375</f>
        <v>0</v>
      </c>
      <c r="AF127" s="372">
        <f>G127*(1-0.792629077306375)</f>
        <v>0</v>
      </c>
    </row>
    <row r="128" spans="1:32" ht="12">
      <c r="A128" s="370"/>
      <c r="B128" s="370"/>
      <c r="C128" s="370" t="s">
        <v>3131</v>
      </c>
      <c r="D128" s="370" t="s">
        <v>3132</v>
      </c>
      <c r="E128" s="370" t="s">
        <v>2792</v>
      </c>
      <c r="F128" s="372">
        <v>1</v>
      </c>
      <c r="G128" s="372">
        <f t="shared" si="12"/>
        <v>0</v>
      </c>
      <c r="H128" s="372"/>
      <c r="I128" s="372"/>
      <c r="J128" s="372">
        <f t="shared" si="13"/>
        <v>0</v>
      </c>
      <c r="K128" s="372"/>
      <c r="L128" s="372"/>
      <c r="N128" s="373"/>
      <c r="O128" s="372"/>
      <c r="Z128" s="372"/>
      <c r="AA128" s="372"/>
      <c r="AB128" s="372"/>
      <c r="AD128" s="372"/>
      <c r="AE128" s="372"/>
      <c r="AF128" s="372"/>
    </row>
    <row r="129" spans="1:32" ht="12">
      <c r="A129" s="370"/>
      <c r="B129" s="370"/>
      <c r="C129" s="370" t="s">
        <v>3133</v>
      </c>
      <c r="D129" s="370" t="s">
        <v>3134</v>
      </c>
      <c r="E129" s="370" t="s">
        <v>2792</v>
      </c>
      <c r="F129" s="372">
        <v>1</v>
      </c>
      <c r="G129" s="372">
        <f t="shared" si="12"/>
        <v>0</v>
      </c>
      <c r="H129" s="372"/>
      <c r="I129" s="372"/>
      <c r="J129" s="372">
        <f t="shared" si="13"/>
        <v>0</v>
      </c>
      <c r="K129" s="372"/>
      <c r="L129" s="372"/>
      <c r="N129" s="373" t="s">
        <v>78</v>
      </c>
      <c r="O129" s="372">
        <f aca="true" t="shared" si="14" ref="O129:O136">IF(N129="5",I129,0)</f>
        <v>0</v>
      </c>
      <c r="Z129" s="372">
        <f aca="true" t="shared" si="15" ref="Z129:Z136">IF(AD129=0,J129,0)</f>
        <v>0</v>
      </c>
      <c r="AA129" s="372">
        <f aca="true" t="shared" si="16" ref="AA129:AA136">IF(AD129=10,J129,0)</f>
        <v>0</v>
      </c>
      <c r="AB129" s="372">
        <f aca="true" t="shared" si="17" ref="AB129:AB136">IF(AD129=20,J129,0)</f>
        <v>0</v>
      </c>
      <c r="AD129" s="372">
        <v>20</v>
      </c>
      <c r="AE129" s="372">
        <f>G129*0.712217244317401</f>
        <v>0</v>
      </c>
      <c r="AF129" s="372">
        <f>G129*(1-0.712217244317401)</f>
        <v>0</v>
      </c>
    </row>
    <row r="130" spans="1:32" ht="12">
      <c r="A130" s="370"/>
      <c r="B130" s="370"/>
      <c r="C130" s="370" t="s">
        <v>3135</v>
      </c>
      <c r="D130" s="370" t="s">
        <v>3136</v>
      </c>
      <c r="E130" s="370" t="s">
        <v>2921</v>
      </c>
      <c r="F130" s="372">
        <f>F123</f>
        <v>5</v>
      </c>
      <c r="G130" s="372">
        <f t="shared" si="12"/>
        <v>0</v>
      </c>
      <c r="H130" s="372"/>
      <c r="I130" s="372"/>
      <c r="J130" s="372">
        <f t="shared" si="13"/>
        <v>0</v>
      </c>
      <c r="K130" s="372"/>
      <c r="L130" s="372"/>
      <c r="N130" s="373" t="s">
        <v>78</v>
      </c>
      <c r="O130" s="372">
        <f t="shared" si="14"/>
        <v>0</v>
      </c>
      <c r="Z130" s="372">
        <f t="shared" si="15"/>
        <v>0</v>
      </c>
      <c r="AA130" s="372">
        <f t="shared" si="16"/>
        <v>0</v>
      </c>
      <c r="AB130" s="372">
        <f t="shared" si="17"/>
        <v>0</v>
      </c>
      <c r="AD130" s="372">
        <v>20</v>
      </c>
      <c r="AE130" s="372">
        <f>G130*0.898950103436346</f>
        <v>0</v>
      </c>
      <c r="AF130" s="372">
        <f>G130*(1-0.898950103436346)</f>
        <v>0</v>
      </c>
    </row>
    <row r="131" spans="1:32" ht="12">
      <c r="A131" s="370"/>
      <c r="B131" s="370"/>
      <c r="C131" s="370" t="s">
        <v>3137</v>
      </c>
      <c r="D131" s="370" t="s">
        <v>3138</v>
      </c>
      <c r="E131" s="370" t="s">
        <v>2792</v>
      </c>
      <c r="F131" s="372">
        <v>1</v>
      </c>
      <c r="G131" s="372">
        <f t="shared" si="12"/>
        <v>0</v>
      </c>
      <c r="H131" s="372"/>
      <c r="I131" s="372"/>
      <c r="J131" s="372">
        <f t="shared" si="13"/>
        <v>0</v>
      </c>
      <c r="K131" s="372"/>
      <c r="L131" s="372"/>
      <c r="N131" s="373" t="s">
        <v>78</v>
      </c>
      <c r="O131" s="372">
        <f t="shared" si="14"/>
        <v>0</v>
      </c>
      <c r="Z131" s="372">
        <f t="shared" si="15"/>
        <v>0</v>
      </c>
      <c r="AA131" s="372">
        <f t="shared" si="16"/>
        <v>0</v>
      </c>
      <c r="AB131" s="372">
        <f t="shared" si="17"/>
        <v>0</v>
      </c>
      <c r="AD131" s="372">
        <v>20</v>
      </c>
      <c r="AE131" s="372">
        <f>G131*0</f>
        <v>0</v>
      </c>
      <c r="AF131" s="372">
        <f>G131*(1-0)</f>
        <v>0</v>
      </c>
    </row>
    <row r="132" spans="1:32" ht="12">
      <c r="A132" s="370"/>
      <c r="B132" s="370"/>
      <c r="C132" s="370" t="s">
        <v>3139</v>
      </c>
      <c r="D132" s="370" t="s">
        <v>3140</v>
      </c>
      <c r="E132" s="370" t="s">
        <v>2792</v>
      </c>
      <c r="F132" s="372">
        <v>1</v>
      </c>
      <c r="G132" s="372">
        <f t="shared" si="12"/>
        <v>0</v>
      </c>
      <c r="H132" s="372"/>
      <c r="I132" s="372"/>
      <c r="J132" s="372">
        <f t="shared" si="13"/>
        <v>0</v>
      </c>
      <c r="K132" s="372"/>
      <c r="L132" s="372"/>
      <c r="N132" s="373" t="s">
        <v>78</v>
      </c>
      <c r="O132" s="372">
        <f t="shared" si="14"/>
        <v>0</v>
      </c>
      <c r="Z132" s="372">
        <f t="shared" si="15"/>
        <v>0</v>
      </c>
      <c r="AA132" s="372">
        <f t="shared" si="16"/>
        <v>0</v>
      </c>
      <c r="AB132" s="372">
        <f t="shared" si="17"/>
        <v>0</v>
      </c>
      <c r="AD132" s="372">
        <v>20</v>
      </c>
      <c r="AE132" s="372">
        <f>G132*0</f>
        <v>0</v>
      </c>
      <c r="AF132" s="372">
        <f>G132*(1-0)</f>
        <v>0</v>
      </c>
    </row>
    <row r="133" spans="1:32" ht="12">
      <c r="A133" s="370"/>
      <c r="B133" s="370"/>
      <c r="C133" s="370" t="s">
        <v>3141</v>
      </c>
      <c r="D133" s="370" t="s">
        <v>3142</v>
      </c>
      <c r="E133" s="370" t="s">
        <v>2792</v>
      </c>
      <c r="F133" s="372">
        <v>24</v>
      </c>
      <c r="G133" s="372">
        <f t="shared" si="12"/>
        <v>0</v>
      </c>
      <c r="H133" s="372"/>
      <c r="I133" s="372"/>
      <c r="J133" s="372">
        <f t="shared" si="13"/>
        <v>0</v>
      </c>
      <c r="K133" s="372"/>
      <c r="L133" s="372"/>
      <c r="N133" s="373" t="s">
        <v>78</v>
      </c>
      <c r="O133" s="372">
        <f t="shared" si="14"/>
        <v>0</v>
      </c>
      <c r="Z133" s="372">
        <f t="shared" si="15"/>
        <v>0</v>
      </c>
      <c r="AA133" s="372">
        <f t="shared" si="16"/>
        <v>0</v>
      </c>
      <c r="AB133" s="372">
        <f t="shared" si="17"/>
        <v>0</v>
      </c>
      <c r="AD133" s="372">
        <v>20</v>
      </c>
      <c r="AE133" s="372">
        <f>G133*0.373490539127127</f>
        <v>0</v>
      </c>
      <c r="AF133" s="372">
        <f>G133*(1-0.373490539127127)</f>
        <v>0</v>
      </c>
    </row>
    <row r="134" spans="1:32" ht="12">
      <c r="A134" s="370"/>
      <c r="B134" s="370"/>
      <c r="C134" s="370" t="s">
        <v>3143</v>
      </c>
      <c r="D134" s="370" t="s">
        <v>3144</v>
      </c>
      <c r="E134" s="370" t="s">
        <v>2792</v>
      </c>
      <c r="F134" s="372">
        <v>1</v>
      </c>
      <c r="G134" s="372">
        <f t="shared" si="12"/>
        <v>0</v>
      </c>
      <c r="H134" s="372"/>
      <c r="I134" s="372"/>
      <c r="J134" s="372">
        <f t="shared" si="13"/>
        <v>0</v>
      </c>
      <c r="K134" s="372"/>
      <c r="L134" s="372"/>
      <c r="N134" s="373" t="s">
        <v>78</v>
      </c>
      <c r="O134" s="372">
        <f t="shared" si="14"/>
        <v>0</v>
      </c>
      <c r="Z134" s="372">
        <f t="shared" si="15"/>
        <v>0</v>
      </c>
      <c r="AA134" s="372">
        <f t="shared" si="16"/>
        <v>0</v>
      </c>
      <c r="AB134" s="372">
        <f t="shared" si="17"/>
        <v>0</v>
      </c>
      <c r="AD134" s="372">
        <v>20</v>
      </c>
      <c r="AE134" s="372">
        <f>G134*0</f>
        <v>0</v>
      </c>
      <c r="AF134" s="372">
        <f>G134*(1-0)</f>
        <v>0</v>
      </c>
    </row>
    <row r="135" spans="1:32" ht="12">
      <c r="A135" s="370"/>
      <c r="B135" s="370"/>
      <c r="C135" s="370" t="s">
        <v>3145</v>
      </c>
      <c r="D135" s="370" t="s">
        <v>3146</v>
      </c>
      <c r="E135" s="370" t="s">
        <v>2792</v>
      </c>
      <c r="F135" s="372">
        <v>5</v>
      </c>
      <c r="G135" s="372">
        <f t="shared" si="12"/>
        <v>0</v>
      </c>
      <c r="H135" s="372"/>
      <c r="I135" s="372"/>
      <c r="J135" s="372">
        <f t="shared" si="13"/>
        <v>0</v>
      </c>
      <c r="K135" s="372"/>
      <c r="L135" s="372"/>
      <c r="N135" s="373" t="s">
        <v>78</v>
      </c>
      <c r="O135" s="372">
        <f t="shared" si="14"/>
        <v>0</v>
      </c>
      <c r="Z135" s="372">
        <f t="shared" si="15"/>
        <v>0</v>
      </c>
      <c r="AA135" s="372">
        <f t="shared" si="16"/>
        <v>0</v>
      </c>
      <c r="AB135" s="372">
        <f t="shared" si="17"/>
        <v>0</v>
      </c>
      <c r="AD135" s="372">
        <v>20</v>
      </c>
      <c r="AE135" s="372">
        <f>G135*0.0325146606282297</f>
        <v>0</v>
      </c>
      <c r="AF135" s="372">
        <f>G135*(1-0.0325146606282297)</f>
        <v>0</v>
      </c>
    </row>
    <row r="136" spans="1:32" ht="12">
      <c r="A136" s="370"/>
      <c r="B136" s="370"/>
      <c r="C136" s="370" t="s">
        <v>3147</v>
      </c>
      <c r="D136" s="370" t="s">
        <v>3148</v>
      </c>
      <c r="E136" s="370" t="s">
        <v>2792</v>
      </c>
      <c r="F136" s="372">
        <v>17</v>
      </c>
      <c r="G136" s="372">
        <f t="shared" si="12"/>
        <v>0</v>
      </c>
      <c r="H136" s="372"/>
      <c r="I136" s="372"/>
      <c r="J136" s="372">
        <f t="shared" si="13"/>
        <v>0</v>
      </c>
      <c r="K136" s="372"/>
      <c r="L136" s="372"/>
      <c r="N136" s="373" t="s">
        <v>78</v>
      </c>
      <c r="O136" s="372">
        <f t="shared" si="14"/>
        <v>0</v>
      </c>
      <c r="Z136" s="372">
        <f t="shared" si="15"/>
        <v>0</v>
      </c>
      <c r="AA136" s="372">
        <f t="shared" si="16"/>
        <v>0</v>
      </c>
      <c r="AB136" s="372">
        <f t="shared" si="17"/>
        <v>0</v>
      </c>
      <c r="AD136" s="372">
        <v>20</v>
      </c>
      <c r="AE136" s="372">
        <f>G136*0.778024149815623</f>
        <v>0</v>
      </c>
      <c r="AF136" s="372">
        <f>G136*(1-0.778024149815623)</f>
        <v>0</v>
      </c>
    </row>
    <row r="137" spans="1:32" ht="12">
      <c r="A137" s="370"/>
      <c r="B137" s="370"/>
      <c r="C137" s="370" t="s">
        <v>3149</v>
      </c>
      <c r="D137" s="370" t="s">
        <v>3150</v>
      </c>
      <c r="E137" s="370" t="s">
        <v>2792</v>
      </c>
      <c r="F137" s="372">
        <v>1</v>
      </c>
      <c r="G137" s="372">
        <f t="shared" si="12"/>
        <v>0</v>
      </c>
      <c r="H137" s="372"/>
      <c r="I137" s="372"/>
      <c r="J137" s="372">
        <f t="shared" si="13"/>
        <v>0</v>
      </c>
      <c r="K137" s="372"/>
      <c r="L137" s="372"/>
      <c r="N137" s="373"/>
      <c r="O137" s="372"/>
      <c r="Z137" s="372"/>
      <c r="AA137" s="372"/>
      <c r="AB137" s="372"/>
      <c r="AD137" s="372"/>
      <c r="AE137" s="372"/>
      <c r="AF137" s="372"/>
    </row>
    <row r="138" spans="1:32" ht="12">
      <c r="A138" s="370"/>
      <c r="B138" s="370"/>
      <c r="C138" s="370" t="s">
        <v>3151</v>
      </c>
      <c r="D138" s="370" t="s">
        <v>3152</v>
      </c>
      <c r="E138" s="370" t="s">
        <v>2921</v>
      </c>
      <c r="F138" s="372">
        <v>1</v>
      </c>
      <c r="G138" s="372">
        <f t="shared" si="12"/>
        <v>0</v>
      </c>
      <c r="H138" s="372"/>
      <c r="I138" s="372"/>
      <c r="J138" s="372">
        <f t="shared" si="13"/>
        <v>0</v>
      </c>
      <c r="K138" s="372"/>
      <c r="L138" s="372"/>
      <c r="N138" s="373"/>
      <c r="O138" s="372"/>
      <c r="Z138" s="372"/>
      <c r="AA138" s="372"/>
      <c r="AB138" s="372"/>
      <c r="AD138" s="372"/>
      <c r="AE138" s="372"/>
      <c r="AF138" s="372"/>
    </row>
    <row r="139" spans="1:32" ht="12">
      <c r="A139" s="370"/>
      <c r="B139" s="370"/>
      <c r="C139" s="389" t="s">
        <v>3153</v>
      </c>
      <c r="D139" s="390" t="s">
        <v>3154</v>
      </c>
      <c r="E139" s="391" t="s">
        <v>2921</v>
      </c>
      <c r="F139" s="392">
        <v>3</v>
      </c>
      <c r="G139" s="372">
        <f>H139+I139</f>
        <v>0</v>
      </c>
      <c r="H139" s="372"/>
      <c r="I139" s="372"/>
      <c r="J139" s="372">
        <f>ROUND(F139*G139,2)</f>
        <v>0</v>
      </c>
      <c r="K139" s="372"/>
      <c r="L139" s="372"/>
      <c r="N139" s="373"/>
      <c r="O139" s="372"/>
      <c r="Z139" s="372"/>
      <c r="AA139" s="372"/>
      <c r="AB139" s="372"/>
      <c r="AD139" s="372"/>
      <c r="AE139" s="372"/>
      <c r="AF139" s="372"/>
    </row>
    <row r="140" spans="1:32" ht="12">
      <c r="A140" s="370"/>
      <c r="B140" s="370"/>
      <c r="C140" s="389" t="s">
        <v>3155</v>
      </c>
      <c r="D140" s="390" t="s">
        <v>3156</v>
      </c>
      <c r="E140" s="391" t="s">
        <v>2921</v>
      </c>
      <c r="F140" s="392">
        <v>2</v>
      </c>
      <c r="G140" s="372">
        <f>H140+I140</f>
        <v>0</v>
      </c>
      <c r="H140" s="372"/>
      <c r="I140" s="372"/>
      <c r="J140" s="372">
        <f>ROUND(F140*G140,2)</f>
        <v>0</v>
      </c>
      <c r="K140" s="372"/>
      <c r="L140" s="372"/>
      <c r="N140" s="373"/>
      <c r="O140" s="372"/>
      <c r="Z140" s="372"/>
      <c r="AA140" s="372"/>
      <c r="AB140" s="372"/>
      <c r="AD140" s="372"/>
      <c r="AE140" s="372"/>
      <c r="AF140" s="372"/>
    </row>
    <row r="141" spans="1:32" ht="12">
      <c r="A141" s="370"/>
      <c r="B141" s="370"/>
      <c r="C141" s="393" t="s">
        <v>3157</v>
      </c>
      <c r="D141" s="394" t="s">
        <v>3158</v>
      </c>
      <c r="F141" s="392"/>
      <c r="G141" s="383"/>
      <c r="I141" s="372"/>
      <c r="J141" s="372"/>
      <c r="K141" s="372"/>
      <c r="L141" s="372"/>
      <c r="N141" s="373"/>
      <c r="O141" s="372"/>
      <c r="Z141" s="372"/>
      <c r="AA141" s="372"/>
      <c r="AB141" s="372"/>
      <c r="AD141" s="372"/>
      <c r="AE141" s="372"/>
      <c r="AF141" s="372"/>
    </row>
    <row r="142" spans="1:32" ht="12">
      <c r="A142" s="370"/>
      <c r="B142" s="370"/>
      <c r="C142" s="384"/>
      <c r="D142" s="375" t="s">
        <v>3159</v>
      </c>
      <c r="E142" s="391" t="s">
        <v>2921</v>
      </c>
      <c r="F142" s="392">
        <v>1</v>
      </c>
      <c r="G142" s="372">
        <f>H142+I142</f>
        <v>0</v>
      </c>
      <c r="H142" s="372"/>
      <c r="I142" s="372"/>
      <c r="J142" s="372">
        <f>ROUND(F142*G142,2)</f>
        <v>0</v>
      </c>
      <c r="K142" s="372"/>
      <c r="L142" s="372"/>
      <c r="N142" s="373"/>
      <c r="O142" s="372"/>
      <c r="Z142" s="372"/>
      <c r="AA142" s="372"/>
      <c r="AB142" s="372"/>
      <c r="AD142" s="372"/>
      <c r="AE142" s="372"/>
      <c r="AF142" s="372"/>
    </row>
    <row r="143" spans="1:32" ht="12">
      <c r="A143" s="370"/>
      <c r="B143" s="370"/>
      <c r="C143" s="370"/>
      <c r="D143" s="370"/>
      <c r="E143" s="370"/>
      <c r="F143" s="372"/>
      <c r="G143" s="372"/>
      <c r="H143" s="372"/>
      <c r="I143" s="372"/>
      <c r="J143" s="372"/>
      <c r="K143" s="372"/>
      <c r="L143" s="372"/>
      <c r="N143" s="373"/>
      <c r="O143" s="372"/>
      <c r="Z143" s="372"/>
      <c r="AA143" s="372"/>
      <c r="AB143" s="372"/>
      <c r="AD143" s="372"/>
      <c r="AE143" s="372"/>
      <c r="AF143" s="372"/>
    </row>
    <row r="144" spans="1:32" ht="12">
      <c r="A144" s="370"/>
      <c r="B144" s="370"/>
      <c r="C144" s="384"/>
      <c r="D144" s="382" t="s">
        <v>3160</v>
      </c>
      <c r="E144" s="387"/>
      <c r="F144" s="374"/>
      <c r="G144" s="381"/>
      <c r="H144" s="372"/>
      <c r="I144" s="372"/>
      <c r="J144" s="372"/>
      <c r="K144" s="372"/>
      <c r="L144" s="372"/>
      <c r="N144" s="373"/>
      <c r="O144" s="372"/>
      <c r="Z144" s="372"/>
      <c r="AA144" s="372"/>
      <c r="AB144" s="372"/>
      <c r="AD144" s="372"/>
      <c r="AE144" s="372"/>
      <c r="AF144" s="372"/>
    </row>
    <row r="145" spans="1:32" ht="12">
      <c r="A145" s="370"/>
      <c r="B145" s="370"/>
      <c r="C145" s="384" t="s">
        <v>3161</v>
      </c>
      <c r="D145" s="375" t="s">
        <v>3162</v>
      </c>
      <c r="E145" s="391" t="s">
        <v>2792</v>
      </c>
      <c r="F145" s="372">
        <v>13</v>
      </c>
      <c r="G145" s="372">
        <f>H145+I145</f>
        <v>0</v>
      </c>
      <c r="H145" s="372"/>
      <c r="I145" s="372"/>
      <c r="J145" s="372">
        <f>ROUND(F145*G145,2)</f>
        <v>0</v>
      </c>
      <c r="K145" s="372"/>
      <c r="L145" s="372"/>
      <c r="N145" s="373"/>
      <c r="O145" s="372"/>
      <c r="Z145" s="372"/>
      <c r="AA145" s="372"/>
      <c r="AB145" s="372"/>
      <c r="AD145" s="372"/>
      <c r="AE145" s="372"/>
      <c r="AF145" s="372"/>
    </row>
    <row r="146" spans="1:32" ht="12">
      <c r="A146" s="370"/>
      <c r="B146" s="370"/>
      <c r="C146" s="384" t="s">
        <v>3161</v>
      </c>
      <c r="D146" s="375" t="s">
        <v>3163</v>
      </c>
      <c r="E146" s="391"/>
      <c r="F146" s="385"/>
      <c r="G146" s="374"/>
      <c r="H146" s="372"/>
      <c r="I146" s="372"/>
      <c r="J146" s="372"/>
      <c r="K146" s="372"/>
      <c r="L146" s="372"/>
      <c r="N146" s="373"/>
      <c r="O146" s="372"/>
      <c r="Z146" s="372"/>
      <c r="AA146" s="372"/>
      <c r="AB146" s="372"/>
      <c r="AD146" s="372"/>
      <c r="AE146" s="372"/>
      <c r="AF146" s="372"/>
    </row>
    <row r="147" spans="1:32" ht="12">
      <c r="A147" s="370"/>
      <c r="B147" s="370"/>
      <c r="C147" s="384"/>
      <c r="D147" s="375" t="s">
        <v>3164</v>
      </c>
      <c r="E147" s="391" t="s">
        <v>3165</v>
      </c>
      <c r="F147" s="392">
        <v>5</v>
      </c>
      <c r="G147" s="372">
        <f>H147+I147</f>
        <v>0</v>
      </c>
      <c r="H147" s="372"/>
      <c r="I147" s="372"/>
      <c r="J147" s="372">
        <f>ROUND(F147*G147,2)</f>
        <v>0</v>
      </c>
      <c r="K147" s="372"/>
      <c r="L147" s="372"/>
      <c r="N147" s="373"/>
      <c r="O147" s="372"/>
      <c r="Z147" s="372"/>
      <c r="AA147" s="372"/>
      <c r="AB147" s="372"/>
      <c r="AD147" s="372"/>
      <c r="AE147" s="372"/>
      <c r="AF147" s="372"/>
    </row>
    <row r="148" spans="1:32" ht="12">
      <c r="A148" s="370"/>
      <c r="B148" s="370"/>
      <c r="K148" s="372"/>
      <c r="L148" s="372"/>
      <c r="N148" s="373"/>
      <c r="O148" s="372"/>
      <c r="Z148" s="372"/>
      <c r="AA148" s="372"/>
      <c r="AB148" s="372"/>
      <c r="AD148" s="372"/>
      <c r="AE148" s="372"/>
      <c r="AF148" s="372"/>
    </row>
    <row r="149" spans="1:32" ht="12">
      <c r="A149" s="370"/>
      <c r="B149" s="370"/>
      <c r="C149" s="370" t="s">
        <v>3166</v>
      </c>
      <c r="D149" s="370" t="s">
        <v>3167</v>
      </c>
      <c r="E149" s="370" t="s">
        <v>413</v>
      </c>
      <c r="F149" s="372">
        <v>15</v>
      </c>
      <c r="G149" s="372">
        <f>H149+I149</f>
        <v>0</v>
      </c>
      <c r="H149" s="372"/>
      <c r="I149" s="372"/>
      <c r="J149" s="372">
        <f>ROUND(F149*G149,2)</f>
        <v>0</v>
      </c>
      <c r="K149" s="372"/>
      <c r="L149" s="372"/>
      <c r="N149" s="373" t="s">
        <v>157</v>
      </c>
      <c r="O149" s="372">
        <f>IF(N149="5",I149,0)</f>
        <v>0</v>
      </c>
      <c r="Z149" s="372">
        <f>IF(AD149=0,J149,0)</f>
        <v>0</v>
      </c>
      <c r="AA149" s="372">
        <f>IF(AD149=10,J149,0)</f>
        <v>0</v>
      </c>
      <c r="AB149" s="372">
        <f>IF(AD149=20,J149,0)</f>
        <v>0</v>
      </c>
      <c r="AD149" s="372">
        <v>20</v>
      </c>
      <c r="AE149" s="372">
        <f>G149*0</f>
        <v>0</v>
      </c>
      <c r="AF149" s="372">
        <f>G149*(1-0)</f>
        <v>0</v>
      </c>
    </row>
    <row r="150" spans="1:28" ht="12">
      <c r="A150" s="395"/>
      <c r="B150" s="395"/>
      <c r="C150" s="395"/>
      <c r="D150" s="395"/>
      <c r="E150" s="395"/>
      <c r="F150" s="395"/>
      <c r="G150" s="395"/>
      <c r="H150" s="516" t="s">
        <v>3168</v>
      </c>
      <c r="I150" s="524"/>
      <c r="J150" s="396">
        <f>J12+J80+J122</f>
        <v>0</v>
      </c>
      <c r="K150" s="395"/>
      <c r="L150" s="395"/>
      <c r="Z150" s="397">
        <f>SUM(Z12:Z149)</f>
        <v>0</v>
      </c>
      <c r="AA150" s="397">
        <f>SUM(AA12:AA149)</f>
        <v>0</v>
      </c>
      <c r="AB150" s="397">
        <f>SUM(AB12:AB149)</f>
        <v>0</v>
      </c>
    </row>
  </sheetData>
  <mergeCells count="31">
    <mergeCell ref="K10:L10"/>
    <mergeCell ref="D12:G12"/>
    <mergeCell ref="D80:G80"/>
    <mergeCell ref="D122:G122"/>
    <mergeCell ref="H150:I150"/>
    <mergeCell ref="A8:C9"/>
    <mergeCell ref="D8:D9"/>
    <mergeCell ref="E8:F9"/>
    <mergeCell ref="G8:H9"/>
    <mergeCell ref="I8:I9"/>
    <mergeCell ref="H10:J10"/>
    <mergeCell ref="J8:L9"/>
    <mergeCell ref="A6:C7"/>
    <mergeCell ref="D6:D7"/>
    <mergeCell ref="E6:F7"/>
    <mergeCell ref="G6:H7"/>
    <mergeCell ref="I6:I7"/>
    <mergeCell ref="J6:L7"/>
    <mergeCell ref="J4:L5"/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colBreaks count="1" manualBreakCount="1">
    <brk id="10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3CDD5-0461-4B79-AA49-8377F3BB6C74}">
  <dimension ref="A1:N113"/>
  <sheetViews>
    <sheetView workbookViewId="0" topLeftCell="A1"/>
  </sheetViews>
  <sheetFormatPr defaultColWidth="9.140625" defaultRowHeight="12"/>
  <cols>
    <col min="1" max="1" width="3.8515625" style="398" customWidth="1"/>
    <col min="2" max="2" width="3.7109375" style="402" customWidth="1"/>
    <col min="3" max="3" width="18.28125" style="402" customWidth="1"/>
    <col min="4" max="4" width="63.00390625" style="402" customWidth="1"/>
    <col min="5" max="5" width="7.421875" style="398" customWidth="1"/>
    <col min="6" max="6" width="7.8515625" style="402" customWidth="1"/>
    <col min="7" max="7" width="18.8515625" style="403" customWidth="1"/>
    <col min="8" max="8" width="17.421875" style="403" customWidth="1"/>
    <col min="9" max="9" width="21.7109375" style="402" customWidth="1"/>
    <col min="10" max="10" width="17.8515625" style="402" bestFit="1" customWidth="1"/>
    <col min="11" max="256" width="8.8515625" style="402" customWidth="1"/>
    <col min="257" max="257" width="3.8515625" style="402" customWidth="1"/>
    <col min="258" max="258" width="3.7109375" style="402" customWidth="1"/>
    <col min="259" max="259" width="15.7109375" style="402" customWidth="1"/>
    <col min="260" max="260" width="52.28125" style="402" customWidth="1"/>
    <col min="261" max="261" width="6.7109375" style="402" customWidth="1"/>
    <col min="262" max="262" width="7.421875" style="402" customWidth="1"/>
    <col min="263" max="263" width="13.7109375" style="402" customWidth="1"/>
    <col min="264" max="264" width="13.140625" style="402" customWidth="1"/>
    <col min="265" max="265" width="15.8515625" style="402" customWidth="1"/>
    <col min="266" max="512" width="8.8515625" style="402" customWidth="1"/>
    <col min="513" max="513" width="3.8515625" style="402" customWidth="1"/>
    <col min="514" max="514" width="3.7109375" style="402" customWidth="1"/>
    <col min="515" max="515" width="15.7109375" style="402" customWidth="1"/>
    <col min="516" max="516" width="52.28125" style="402" customWidth="1"/>
    <col min="517" max="517" width="6.7109375" style="402" customWidth="1"/>
    <col min="518" max="518" width="7.421875" style="402" customWidth="1"/>
    <col min="519" max="519" width="13.7109375" style="402" customWidth="1"/>
    <col min="520" max="520" width="13.140625" style="402" customWidth="1"/>
    <col min="521" max="521" width="15.8515625" style="402" customWidth="1"/>
    <col min="522" max="768" width="8.8515625" style="402" customWidth="1"/>
    <col min="769" max="769" width="3.8515625" style="402" customWidth="1"/>
    <col min="770" max="770" width="3.7109375" style="402" customWidth="1"/>
    <col min="771" max="771" width="15.7109375" style="402" customWidth="1"/>
    <col min="772" max="772" width="52.28125" style="402" customWidth="1"/>
    <col min="773" max="773" width="6.7109375" style="402" customWidth="1"/>
    <col min="774" max="774" width="7.421875" style="402" customWidth="1"/>
    <col min="775" max="775" width="13.7109375" style="402" customWidth="1"/>
    <col min="776" max="776" width="13.140625" style="402" customWidth="1"/>
    <col min="777" max="777" width="15.8515625" style="402" customWidth="1"/>
    <col min="778" max="1024" width="8.8515625" style="402" customWidth="1"/>
    <col min="1025" max="1025" width="3.8515625" style="402" customWidth="1"/>
    <col min="1026" max="1026" width="3.7109375" style="402" customWidth="1"/>
    <col min="1027" max="1027" width="15.7109375" style="402" customWidth="1"/>
    <col min="1028" max="1028" width="52.28125" style="402" customWidth="1"/>
    <col min="1029" max="1029" width="6.7109375" style="402" customWidth="1"/>
    <col min="1030" max="1030" width="7.421875" style="402" customWidth="1"/>
    <col min="1031" max="1031" width="13.7109375" style="402" customWidth="1"/>
    <col min="1032" max="1032" width="13.140625" style="402" customWidth="1"/>
    <col min="1033" max="1033" width="15.8515625" style="402" customWidth="1"/>
    <col min="1034" max="1280" width="8.8515625" style="402" customWidth="1"/>
    <col min="1281" max="1281" width="3.8515625" style="402" customWidth="1"/>
    <col min="1282" max="1282" width="3.7109375" style="402" customWidth="1"/>
    <col min="1283" max="1283" width="15.7109375" style="402" customWidth="1"/>
    <col min="1284" max="1284" width="52.28125" style="402" customWidth="1"/>
    <col min="1285" max="1285" width="6.7109375" style="402" customWidth="1"/>
    <col min="1286" max="1286" width="7.421875" style="402" customWidth="1"/>
    <col min="1287" max="1287" width="13.7109375" style="402" customWidth="1"/>
    <col min="1288" max="1288" width="13.140625" style="402" customWidth="1"/>
    <col min="1289" max="1289" width="15.8515625" style="402" customWidth="1"/>
    <col min="1290" max="1536" width="8.8515625" style="402" customWidth="1"/>
    <col min="1537" max="1537" width="3.8515625" style="402" customWidth="1"/>
    <col min="1538" max="1538" width="3.7109375" style="402" customWidth="1"/>
    <col min="1539" max="1539" width="15.7109375" style="402" customWidth="1"/>
    <col min="1540" max="1540" width="52.28125" style="402" customWidth="1"/>
    <col min="1541" max="1541" width="6.7109375" style="402" customWidth="1"/>
    <col min="1542" max="1542" width="7.421875" style="402" customWidth="1"/>
    <col min="1543" max="1543" width="13.7109375" style="402" customWidth="1"/>
    <col min="1544" max="1544" width="13.140625" style="402" customWidth="1"/>
    <col min="1545" max="1545" width="15.8515625" style="402" customWidth="1"/>
    <col min="1546" max="1792" width="8.8515625" style="402" customWidth="1"/>
    <col min="1793" max="1793" width="3.8515625" style="402" customWidth="1"/>
    <col min="1794" max="1794" width="3.7109375" style="402" customWidth="1"/>
    <col min="1795" max="1795" width="15.7109375" style="402" customWidth="1"/>
    <col min="1796" max="1796" width="52.28125" style="402" customWidth="1"/>
    <col min="1797" max="1797" width="6.7109375" style="402" customWidth="1"/>
    <col min="1798" max="1798" width="7.421875" style="402" customWidth="1"/>
    <col min="1799" max="1799" width="13.7109375" style="402" customWidth="1"/>
    <col min="1800" max="1800" width="13.140625" style="402" customWidth="1"/>
    <col min="1801" max="1801" width="15.8515625" style="402" customWidth="1"/>
    <col min="1802" max="2048" width="8.8515625" style="402" customWidth="1"/>
    <col min="2049" max="2049" width="3.8515625" style="402" customWidth="1"/>
    <col min="2050" max="2050" width="3.7109375" style="402" customWidth="1"/>
    <col min="2051" max="2051" width="15.7109375" style="402" customWidth="1"/>
    <col min="2052" max="2052" width="52.28125" style="402" customWidth="1"/>
    <col min="2053" max="2053" width="6.7109375" style="402" customWidth="1"/>
    <col min="2054" max="2054" width="7.421875" style="402" customWidth="1"/>
    <col min="2055" max="2055" width="13.7109375" style="402" customWidth="1"/>
    <col min="2056" max="2056" width="13.140625" style="402" customWidth="1"/>
    <col min="2057" max="2057" width="15.8515625" style="402" customWidth="1"/>
    <col min="2058" max="2304" width="8.8515625" style="402" customWidth="1"/>
    <col min="2305" max="2305" width="3.8515625" style="402" customWidth="1"/>
    <col min="2306" max="2306" width="3.7109375" style="402" customWidth="1"/>
    <col min="2307" max="2307" width="15.7109375" style="402" customWidth="1"/>
    <col min="2308" max="2308" width="52.28125" style="402" customWidth="1"/>
    <col min="2309" max="2309" width="6.7109375" style="402" customWidth="1"/>
    <col min="2310" max="2310" width="7.421875" style="402" customWidth="1"/>
    <col min="2311" max="2311" width="13.7109375" style="402" customWidth="1"/>
    <col min="2312" max="2312" width="13.140625" style="402" customWidth="1"/>
    <col min="2313" max="2313" width="15.8515625" style="402" customWidth="1"/>
    <col min="2314" max="2560" width="8.8515625" style="402" customWidth="1"/>
    <col min="2561" max="2561" width="3.8515625" style="402" customWidth="1"/>
    <col min="2562" max="2562" width="3.7109375" style="402" customWidth="1"/>
    <col min="2563" max="2563" width="15.7109375" style="402" customWidth="1"/>
    <col min="2564" max="2564" width="52.28125" style="402" customWidth="1"/>
    <col min="2565" max="2565" width="6.7109375" style="402" customWidth="1"/>
    <col min="2566" max="2566" width="7.421875" style="402" customWidth="1"/>
    <col min="2567" max="2567" width="13.7109375" style="402" customWidth="1"/>
    <col min="2568" max="2568" width="13.140625" style="402" customWidth="1"/>
    <col min="2569" max="2569" width="15.8515625" style="402" customWidth="1"/>
    <col min="2570" max="2816" width="8.8515625" style="402" customWidth="1"/>
    <col min="2817" max="2817" width="3.8515625" style="402" customWidth="1"/>
    <col min="2818" max="2818" width="3.7109375" style="402" customWidth="1"/>
    <col min="2819" max="2819" width="15.7109375" style="402" customWidth="1"/>
    <col min="2820" max="2820" width="52.28125" style="402" customWidth="1"/>
    <col min="2821" max="2821" width="6.7109375" style="402" customWidth="1"/>
    <col min="2822" max="2822" width="7.421875" style="402" customWidth="1"/>
    <col min="2823" max="2823" width="13.7109375" style="402" customWidth="1"/>
    <col min="2824" max="2824" width="13.140625" style="402" customWidth="1"/>
    <col min="2825" max="2825" width="15.8515625" style="402" customWidth="1"/>
    <col min="2826" max="3072" width="8.8515625" style="402" customWidth="1"/>
    <col min="3073" max="3073" width="3.8515625" style="402" customWidth="1"/>
    <col min="3074" max="3074" width="3.7109375" style="402" customWidth="1"/>
    <col min="3075" max="3075" width="15.7109375" style="402" customWidth="1"/>
    <col min="3076" max="3076" width="52.28125" style="402" customWidth="1"/>
    <col min="3077" max="3077" width="6.7109375" style="402" customWidth="1"/>
    <col min="3078" max="3078" width="7.421875" style="402" customWidth="1"/>
    <col min="3079" max="3079" width="13.7109375" style="402" customWidth="1"/>
    <col min="3080" max="3080" width="13.140625" style="402" customWidth="1"/>
    <col min="3081" max="3081" width="15.8515625" style="402" customWidth="1"/>
    <col min="3082" max="3328" width="8.8515625" style="402" customWidth="1"/>
    <col min="3329" max="3329" width="3.8515625" style="402" customWidth="1"/>
    <col min="3330" max="3330" width="3.7109375" style="402" customWidth="1"/>
    <col min="3331" max="3331" width="15.7109375" style="402" customWidth="1"/>
    <col min="3332" max="3332" width="52.28125" style="402" customWidth="1"/>
    <col min="3333" max="3333" width="6.7109375" style="402" customWidth="1"/>
    <col min="3334" max="3334" width="7.421875" style="402" customWidth="1"/>
    <col min="3335" max="3335" width="13.7109375" style="402" customWidth="1"/>
    <col min="3336" max="3336" width="13.140625" style="402" customWidth="1"/>
    <col min="3337" max="3337" width="15.8515625" style="402" customWidth="1"/>
    <col min="3338" max="3584" width="8.8515625" style="402" customWidth="1"/>
    <col min="3585" max="3585" width="3.8515625" style="402" customWidth="1"/>
    <col min="3586" max="3586" width="3.7109375" style="402" customWidth="1"/>
    <col min="3587" max="3587" width="15.7109375" style="402" customWidth="1"/>
    <col min="3588" max="3588" width="52.28125" style="402" customWidth="1"/>
    <col min="3589" max="3589" width="6.7109375" style="402" customWidth="1"/>
    <col min="3590" max="3590" width="7.421875" style="402" customWidth="1"/>
    <col min="3591" max="3591" width="13.7109375" style="402" customWidth="1"/>
    <col min="3592" max="3592" width="13.140625" style="402" customWidth="1"/>
    <col min="3593" max="3593" width="15.8515625" style="402" customWidth="1"/>
    <col min="3594" max="3840" width="8.8515625" style="402" customWidth="1"/>
    <col min="3841" max="3841" width="3.8515625" style="402" customWidth="1"/>
    <col min="3842" max="3842" width="3.7109375" style="402" customWidth="1"/>
    <col min="3843" max="3843" width="15.7109375" style="402" customWidth="1"/>
    <col min="3844" max="3844" width="52.28125" style="402" customWidth="1"/>
    <col min="3845" max="3845" width="6.7109375" style="402" customWidth="1"/>
    <col min="3846" max="3846" width="7.421875" style="402" customWidth="1"/>
    <col min="3847" max="3847" width="13.7109375" style="402" customWidth="1"/>
    <col min="3848" max="3848" width="13.140625" style="402" customWidth="1"/>
    <col min="3849" max="3849" width="15.8515625" style="402" customWidth="1"/>
    <col min="3850" max="4096" width="8.8515625" style="402" customWidth="1"/>
    <col min="4097" max="4097" width="3.8515625" style="402" customWidth="1"/>
    <col min="4098" max="4098" width="3.7109375" style="402" customWidth="1"/>
    <col min="4099" max="4099" width="15.7109375" style="402" customWidth="1"/>
    <col min="4100" max="4100" width="52.28125" style="402" customWidth="1"/>
    <col min="4101" max="4101" width="6.7109375" style="402" customWidth="1"/>
    <col min="4102" max="4102" width="7.421875" style="402" customWidth="1"/>
    <col min="4103" max="4103" width="13.7109375" style="402" customWidth="1"/>
    <col min="4104" max="4104" width="13.140625" style="402" customWidth="1"/>
    <col min="4105" max="4105" width="15.8515625" style="402" customWidth="1"/>
    <col min="4106" max="4352" width="8.8515625" style="402" customWidth="1"/>
    <col min="4353" max="4353" width="3.8515625" style="402" customWidth="1"/>
    <col min="4354" max="4354" width="3.7109375" style="402" customWidth="1"/>
    <col min="4355" max="4355" width="15.7109375" style="402" customWidth="1"/>
    <col min="4356" max="4356" width="52.28125" style="402" customWidth="1"/>
    <col min="4357" max="4357" width="6.7109375" style="402" customWidth="1"/>
    <col min="4358" max="4358" width="7.421875" style="402" customWidth="1"/>
    <col min="4359" max="4359" width="13.7109375" style="402" customWidth="1"/>
    <col min="4360" max="4360" width="13.140625" style="402" customWidth="1"/>
    <col min="4361" max="4361" width="15.8515625" style="402" customWidth="1"/>
    <col min="4362" max="4608" width="8.8515625" style="402" customWidth="1"/>
    <col min="4609" max="4609" width="3.8515625" style="402" customWidth="1"/>
    <col min="4610" max="4610" width="3.7109375" style="402" customWidth="1"/>
    <col min="4611" max="4611" width="15.7109375" style="402" customWidth="1"/>
    <col min="4612" max="4612" width="52.28125" style="402" customWidth="1"/>
    <col min="4613" max="4613" width="6.7109375" style="402" customWidth="1"/>
    <col min="4614" max="4614" width="7.421875" style="402" customWidth="1"/>
    <col min="4615" max="4615" width="13.7109375" style="402" customWidth="1"/>
    <col min="4616" max="4616" width="13.140625" style="402" customWidth="1"/>
    <col min="4617" max="4617" width="15.8515625" style="402" customWidth="1"/>
    <col min="4618" max="4864" width="8.8515625" style="402" customWidth="1"/>
    <col min="4865" max="4865" width="3.8515625" style="402" customWidth="1"/>
    <col min="4866" max="4866" width="3.7109375" style="402" customWidth="1"/>
    <col min="4867" max="4867" width="15.7109375" style="402" customWidth="1"/>
    <col min="4868" max="4868" width="52.28125" style="402" customWidth="1"/>
    <col min="4869" max="4869" width="6.7109375" style="402" customWidth="1"/>
    <col min="4870" max="4870" width="7.421875" style="402" customWidth="1"/>
    <col min="4871" max="4871" width="13.7109375" style="402" customWidth="1"/>
    <col min="4872" max="4872" width="13.140625" style="402" customWidth="1"/>
    <col min="4873" max="4873" width="15.8515625" style="402" customWidth="1"/>
    <col min="4874" max="5120" width="8.8515625" style="402" customWidth="1"/>
    <col min="5121" max="5121" width="3.8515625" style="402" customWidth="1"/>
    <col min="5122" max="5122" width="3.7109375" style="402" customWidth="1"/>
    <col min="5123" max="5123" width="15.7109375" style="402" customWidth="1"/>
    <col min="5124" max="5124" width="52.28125" style="402" customWidth="1"/>
    <col min="5125" max="5125" width="6.7109375" style="402" customWidth="1"/>
    <col min="5126" max="5126" width="7.421875" style="402" customWidth="1"/>
    <col min="5127" max="5127" width="13.7109375" style="402" customWidth="1"/>
    <col min="5128" max="5128" width="13.140625" style="402" customWidth="1"/>
    <col min="5129" max="5129" width="15.8515625" style="402" customWidth="1"/>
    <col min="5130" max="5376" width="8.8515625" style="402" customWidth="1"/>
    <col min="5377" max="5377" width="3.8515625" style="402" customWidth="1"/>
    <col min="5378" max="5378" width="3.7109375" style="402" customWidth="1"/>
    <col min="5379" max="5379" width="15.7109375" style="402" customWidth="1"/>
    <col min="5380" max="5380" width="52.28125" style="402" customWidth="1"/>
    <col min="5381" max="5381" width="6.7109375" style="402" customWidth="1"/>
    <col min="5382" max="5382" width="7.421875" style="402" customWidth="1"/>
    <col min="5383" max="5383" width="13.7109375" style="402" customWidth="1"/>
    <col min="5384" max="5384" width="13.140625" style="402" customWidth="1"/>
    <col min="5385" max="5385" width="15.8515625" style="402" customWidth="1"/>
    <col min="5386" max="5632" width="8.8515625" style="402" customWidth="1"/>
    <col min="5633" max="5633" width="3.8515625" style="402" customWidth="1"/>
    <col min="5634" max="5634" width="3.7109375" style="402" customWidth="1"/>
    <col min="5635" max="5635" width="15.7109375" style="402" customWidth="1"/>
    <col min="5636" max="5636" width="52.28125" style="402" customWidth="1"/>
    <col min="5637" max="5637" width="6.7109375" style="402" customWidth="1"/>
    <col min="5638" max="5638" width="7.421875" style="402" customWidth="1"/>
    <col min="5639" max="5639" width="13.7109375" style="402" customWidth="1"/>
    <col min="5640" max="5640" width="13.140625" style="402" customWidth="1"/>
    <col min="5641" max="5641" width="15.8515625" style="402" customWidth="1"/>
    <col min="5642" max="5888" width="8.8515625" style="402" customWidth="1"/>
    <col min="5889" max="5889" width="3.8515625" style="402" customWidth="1"/>
    <col min="5890" max="5890" width="3.7109375" style="402" customWidth="1"/>
    <col min="5891" max="5891" width="15.7109375" style="402" customWidth="1"/>
    <col min="5892" max="5892" width="52.28125" style="402" customWidth="1"/>
    <col min="5893" max="5893" width="6.7109375" style="402" customWidth="1"/>
    <col min="5894" max="5894" width="7.421875" style="402" customWidth="1"/>
    <col min="5895" max="5895" width="13.7109375" style="402" customWidth="1"/>
    <col min="5896" max="5896" width="13.140625" style="402" customWidth="1"/>
    <col min="5897" max="5897" width="15.8515625" style="402" customWidth="1"/>
    <col min="5898" max="6144" width="8.8515625" style="402" customWidth="1"/>
    <col min="6145" max="6145" width="3.8515625" style="402" customWidth="1"/>
    <col min="6146" max="6146" width="3.7109375" style="402" customWidth="1"/>
    <col min="6147" max="6147" width="15.7109375" style="402" customWidth="1"/>
    <col min="6148" max="6148" width="52.28125" style="402" customWidth="1"/>
    <col min="6149" max="6149" width="6.7109375" style="402" customWidth="1"/>
    <col min="6150" max="6150" width="7.421875" style="402" customWidth="1"/>
    <col min="6151" max="6151" width="13.7109375" style="402" customWidth="1"/>
    <col min="6152" max="6152" width="13.140625" style="402" customWidth="1"/>
    <col min="6153" max="6153" width="15.8515625" style="402" customWidth="1"/>
    <col min="6154" max="6400" width="8.8515625" style="402" customWidth="1"/>
    <col min="6401" max="6401" width="3.8515625" style="402" customWidth="1"/>
    <col min="6402" max="6402" width="3.7109375" style="402" customWidth="1"/>
    <col min="6403" max="6403" width="15.7109375" style="402" customWidth="1"/>
    <col min="6404" max="6404" width="52.28125" style="402" customWidth="1"/>
    <col min="6405" max="6405" width="6.7109375" style="402" customWidth="1"/>
    <col min="6406" max="6406" width="7.421875" style="402" customWidth="1"/>
    <col min="6407" max="6407" width="13.7109375" style="402" customWidth="1"/>
    <col min="6408" max="6408" width="13.140625" style="402" customWidth="1"/>
    <col min="6409" max="6409" width="15.8515625" style="402" customWidth="1"/>
    <col min="6410" max="6656" width="8.8515625" style="402" customWidth="1"/>
    <col min="6657" max="6657" width="3.8515625" style="402" customWidth="1"/>
    <col min="6658" max="6658" width="3.7109375" style="402" customWidth="1"/>
    <col min="6659" max="6659" width="15.7109375" style="402" customWidth="1"/>
    <col min="6660" max="6660" width="52.28125" style="402" customWidth="1"/>
    <col min="6661" max="6661" width="6.7109375" style="402" customWidth="1"/>
    <col min="6662" max="6662" width="7.421875" style="402" customWidth="1"/>
    <col min="6663" max="6663" width="13.7109375" style="402" customWidth="1"/>
    <col min="6664" max="6664" width="13.140625" style="402" customWidth="1"/>
    <col min="6665" max="6665" width="15.8515625" style="402" customWidth="1"/>
    <col min="6666" max="6912" width="8.8515625" style="402" customWidth="1"/>
    <col min="6913" max="6913" width="3.8515625" style="402" customWidth="1"/>
    <col min="6914" max="6914" width="3.7109375" style="402" customWidth="1"/>
    <col min="6915" max="6915" width="15.7109375" style="402" customWidth="1"/>
    <col min="6916" max="6916" width="52.28125" style="402" customWidth="1"/>
    <col min="6917" max="6917" width="6.7109375" style="402" customWidth="1"/>
    <col min="6918" max="6918" width="7.421875" style="402" customWidth="1"/>
    <col min="6919" max="6919" width="13.7109375" style="402" customWidth="1"/>
    <col min="6920" max="6920" width="13.140625" style="402" customWidth="1"/>
    <col min="6921" max="6921" width="15.8515625" style="402" customWidth="1"/>
    <col min="6922" max="7168" width="8.8515625" style="402" customWidth="1"/>
    <col min="7169" max="7169" width="3.8515625" style="402" customWidth="1"/>
    <col min="7170" max="7170" width="3.7109375" style="402" customWidth="1"/>
    <col min="7171" max="7171" width="15.7109375" style="402" customWidth="1"/>
    <col min="7172" max="7172" width="52.28125" style="402" customWidth="1"/>
    <col min="7173" max="7173" width="6.7109375" style="402" customWidth="1"/>
    <col min="7174" max="7174" width="7.421875" style="402" customWidth="1"/>
    <col min="7175" max="7175" width="13.7109375" style="402" customWidth="1"/>
    <col min="7176" max="7176" width="13.140625" style="402" customWidth="1"/>
    <col min="7177" max="7177" width="15.8515625" style="402" customWidth="1"/>
    <col min="7178" max="7424" width="8.8515625" style="402" customWidth="1"/>
    <col min="7425" max="7425" width="3.8515625" style="402" customWidth="1"/>
    <col min="7426" max="7426" width="3.7109375" style="402" customWidth="1"/>
    <col min="7427" max="7427" width="15.7109375" style="402" customWidth="1"/>
    <col min="7428" max="7428" width="52.28125" style="402" customWidth="1"/>
    <col min="7429" max="7429" width="6.7109375" style="402" customWidth="1"/>
    <col min="7430" max="7430" width="7.421875" style="402" customWidth="1"/>
    <col min="7431" max="7431" width="13.7109375" style="402" customWidth="1"/>
    <col min="7432" max="7432" width="13.140625" style="402" customWidth="1"/>
    <col min="7433" max="7433" width="15.8515625" style="402" customWidth="1"/>
    <col min="7434" max="7680" width="8.8515625" style="402" customWidth="1"/>
    <col min="7681" max="7681" width="3.8515625" style="402" customWidth="1"/>
    <col min="7682" max="7682" width="3.7109375" style="402" customWidth="1"/>
    <col min="7683" max="7683" width="15.7109375" style="402" customWidth="1"/>
    <col min="7684" max="7684" width="52.28125" style="402" customWidth="1"/>
    <col min="7685" max="7685" width="6.7109375" style="402" customWidth="1"/>
    <col min="7686" max="7686" width="7.421875" style="402" customWidth="1"/>
    <col min="7687" max="7687" width="13.7109375" style="402" customWidth="1"/>
    <col min="7688" max="7688" width="13.140625" style="402" customWidth="1"/>
    <col min="7689" max="7689" width="15.8515625" style="402" customWidth="1"/>
    <col min="7690" max="7936" width="8.8515625" style="402" customWidth="1"/>
    <col min="7937" max="7937" width="3.8515625" style="402" customWidth="1"/>
    <col min="7938" max="7938" width="3.7109375" style="402" customWidth="1"/>
    <col min="7939" max="7939" width="15.7109375" style="402" customWidth="1"/>
    <col min="7940" max="7940" width="52.28125" style="402" customWidth="1"/>
    <col min="7941" max="7941" width="6.7109375" style="402" customWidth="1"/>
    <col min="7942" max="7942" width="7.421875" style="402" customWidth="1"/>
    <col min="7943" max="7943" width="13.7109375" style="402" customWidth="1"/>
    <col min="7944" max="7944" width="13.140625" style="402" customWidth="1"/>
    <col min="7945" max="7945" width="15.8515625" style="402" customWidth="1"/>
    <col min="7946" max="8192" width="8.8515625" style="402" customWidth="1"/>
    <col min="8193" max="8193" width="3.8515625" style="402" customWidth="1"/>
    <col min="8194" max="8194" width="3.7109375" style="402" customWidth="1"/>
    <col min="8195" max="8195" width="15.7109375" style="402" customWidth="1"/>
    <col min="8196" max="8196" width="52.28125" style="402" customWidth="1"/>
    <col min="8197" max="8197" width="6.7109375" style="402" customWidth="1"/>
    <col min="8198" max="8198" width="7.421875" style="402" customWidth="1"/>
    <col min="8199" max="8199" width="13.7109375" style="402" customWidth="1"/>
    <col min="8200" max="8200" width="13.140625" style="402" customWidth="1"/>
    <col min="8201" max="8201" width="15.8515625" style="402" customWidth="1"/>
    <col min="8202" max="8448" width="8.8515625" style="402" customWidth="1"/>
    <col min="8449" max="8449" width="3.8515625" style="402" customWidth="1"/>
    <col min="8450" max="8450" width="3.7109375" style="402" customWidth="1"/>
    <col min="8451" max="8451" width="15.7109375" style="402" customWidth="1"/>
    <col min="8452" max="8452" width="52.28125" style="402" customWidth="1"/>
    <col min="8453" max="8453" width="6.7109375" style="402" customWidth="1"/>
    <col min="8454" max="8454" width="7.421875" style="402" customWidth="1"/>
    <col min="8455" max="8455" width="13.7109375" style="402" customWidth="1"/>
    <col min="8456" max="8456" width="13.140625" style="402" customWidth="1"/>
    <col min="8457" max="8457" width="15.8515625" style="402" customWidth="1"/>
    <col min="8458" max="8704" width="8.8515625" style="402" customWidth="1"/>
    <col min="8705" max="8705" width="3.8515625" style="402" customWidth="1"/>
    <col min="8706" max="8706" width="3.7109375" style="402" customWidth="1"/>
    <col min="8707" max="8707" width="15.7109375" style="402" customWidth="1"/>
    <col min="8708" max="8708" width="52.28125" style="402" customWidth="1"/>
    <col min="8709" max="8709" width="6.7109375" style="402" customWidth="1"/>
    <col min="8710" max="8710" width="7.421875" style="402" customWidth="1"/>
    <col min="8711" max="8711" width="13.7109375" style="402" customWidth="1"/>
    <col min="8712" max="8712" width="13.140625" style="402" customWidth="1"/>
    <col min="8713" max="8713" width="15.8515625" style="402" customWidth="1"/>
    <col min="8714" max="8960" width="8.8515625" style="402" customWidth="1"/>
    <col min="8961" max="8961" width="3.8515625" style="402" customWidth="1"/>
    <col min="8962" max="8962" width="3.7109375" style="402" customWidth="1"/>
    <col min="8963" max="8963" width="15.7109375" style="402" customWidth="1"/>
    <col min="8964" max="8964" width="52.28125" style="402" customWidth="1"/>
    <col min="8965" max="8965" width="6.7109375" style="402" customWidth="1"/>
    <col min="8966" max="8966" width="7.421875" style="402" customWidth="1"/>
    <col min="8967" max="8967" width="13.7109375" style="402" customWidth="1"/>
    <col min="8968" max="8968" width="13.140625" style="402" customWidth="1"/>
    <col min="8969" max="8969" width="15.8515625" style="402" customWidth="1"/>
    <col min="8970" max="9216" width="8.8515625" style="402" customWidth="1"/>
    <col min="9217" max="9217" width="3.8515625" style="402" customWidth="1"/>
    <col min="9218" max="9218" width="3.7109375" style="402" customWidth="1"/>
    <col min="9219" max="9219" width="15.7109375" style="402" customWidth="1"/>
    <col min="9220" max="9220" width="52.28125" style="402" customWidth="1"/>
    <col min="9221" max="9221" width="6.7109375" style="402" customWidth="1"/>
    <col min="9222" max="9222" width="7.421875" style="402" customWidth="1"/>
    <col min="9223" max="9223" width="13.7109375" style="402" customWidth="1"/>
    <col min="9224" max="9224" width="13.140625" style="402" customWidth="1"/>
    <col min="9225" max="9225" width="15.8515625" style="402" customWidth="1"/>
    <col min="9226" max="9472" width="8.8515625" style="402" customWidth="1"/>
    <col min="9473" max="9473" width="3.8515625" style="402" customWidth="1"/>
    <col min="9474" max="9474" width="3.7109375" style="402" customWidth="1"/>
    <col min="9475" max="9475" width="15.7109375" style="402" customWidth="1"/>
    <col min="9476" max="9476" width="52.28125" style="402" customWidth="1"/>
    <col min="9477" max="9477" width="6.7109375" style="402" customWidth="1"/>
    <col min="9478" max="9478" width="7.421875" style="402" customWidth="1"/>
    <col min="9479" max="9479" width="13.7109375" style="402" customWidth="1"/>
    <col min="9480" max="9480" width="13.140625" style="402" customWidth="1"/>
    <col min="9481" max="9481" width="15.8515625" style="402" customWidth="1"/>
    <col min="9482" max="9728" width="8.8515625" style="402" customWidth="1"/>
    <col min="9729" max="9729" width="3.8515625" style="402" customWidth="1"/>
    <col min="9730" max="9730" width="3.7109375" style="402" customWidth="1"/>
    <col min="9731" max="9731" width="15.7109375" style="402" customWidth="1"/>
    <col min="9732" max="9732" width="52.28125" style="402" customWidth="1"/>
    <col min="9733" max="9733" width="6.7109375" style="402" customWidth="1"/>
    <col min="9734" max="9734" width="7.421875" style="402" customWidth="1"/>
    <col min="9735" max="9735" width="13.7109375" style="402" customWidth="1"/>
    <col min="9736" max="9736" width="13.140625" style="402" customWidth="1"/>
    <col min="9737" max="9737" width="15.8515625" style="402" customWidth="1"/>
    <col min="9738" max="9984" width="8.8515625" style="402" customWidth="1"/>
    <col min="9985" max="9985" width="3.8515625" style="402" customWidth="1"/>
    <col min="9986" max="9986" width="3.7109375" style="402" customWidth="1"/>
    <col min="9987" max="9987" width="15.7109375" style="402" customWidth="1"/>
    <col min="9988" max="9988" width="52.28125" style="402" customWidth="1"/>
    <col min="9989" max="9989" width="6.7109375" style="402" customWidth="1"/>
    <col min="9990" max="9990" width="7.421875" style="402" customWidth="1"/>
    <col min="9991" max="9991" width="13.7109375" style="402" customWidth="1"/>
    <col min="9992" max="9992" width="13.140625" style="402" customWidth="1"/>
    <col min="9993" max="9993" width="15.8515625" style="402" customWidth="1"/>
    <col min="9994" max="10240" width="8.8515625" style="402" customWidth="1"/>
    <col min="10241" max="10241" width="3.8515625" style="402" customWidth="1"/>
    <col min="10242" max="10242" width="3.7109375" style="402" customWidth="1"/>
    <col min="10243" max="10243" width="15.7109375" style="402" customWidth="1"/>
    <col min="10244" max="10244" width="52.28125" style="402" customWidth="1"/>
    <col min="10245" max="10245" width="6.7109375" style="402" customWidth="1"/>
    <col min="10246" max="10246" width="7.421875" style="402" customWidth="1"/>
    <col min="10247" max="10247" width="13.7109375" style="402" customWidth="1"/>
    <col min="10248" max="10248" width="13.140625" style="402" customWidth="1"/>
    <col min="10249" max="10249" width="15.8515625" style="402" customWidth="1"/>
    <col min="10250" max="10496" width="8.8515625" style="402" customWidth="1"/>
    <col min="10497" max="10497" width="3.8515625" style="402" customWidth="1"/>
    <col min="10498" max="10498" width="3.7109375" style="402" customWidth="1"/>
    <col min="10499" max="10499" width="15.7109375" style="402" customWidth="1"/>
    <col min="10500" max="10500" width="52.28125" style="402" customWidth="1"/>
    <col min="10501" max="10501" width="6.7109375" style="402" customWidth="1"/>
    <col min="10502" max="10502" width="7.421875" style="402" customWidth="1"/>
    <col min="10503" max="10503" width="13.7109375" style="402" customWidth="1"/>
    <col min="10504" max="10504" width="13.140625" style="402" customWidth="1"/>
    <col min="10505" max="10505" width="15.8515625" style="402" customWidth="1"/>
    <col min="10506" max="10752" width="8.8515625" style="402" customWidth="1"/>
    <col min="10753" max="10753" width="3.8515625" style="402" customWidth="1"/>
    <col min="10754" max="10754" width="3.7109375" style="402" customWidth="1"/>
    <col min="10755" max="10755" width="15.7109375" style="402" customWidth="1"/>
    <col min="10756" max="10756" width="52.28125" style="402" customWidth="1"/>
    <col min="10757" max="10757" width="6.7109375" style="402" customWidth="1"/>
    <col min="10758" max="10758" width="7.421875" style="402" customWidth="1"/>
    <col min="10759" max="10759" width="13.7109375" style="402" customWidth="1"/>
    <col min="10760" max="10760" width="13.140625" style="402" customWidth="1"/>
    <col min="10761" max="10761" width="15.8515625" style="402" customWidth="1"/>
    <col min="10762" max="11008" width="8.8515625" style="402" customWidth="1"/>
    <col min="11009" max="11009" width="3.8515625" style="402" customWidth="1"/>
    <col min="11010" max="11010" width="3.7109375" style="402" customWidth="1"/>
    <col min="11011" max="11011" width="15.7109375" style="402" customWidth="1"/>
    <col min="11012" max="11012" width="52.28125" style="402" customWidth="1"/>
    <col min="11013" max="11013" width="6.7109375" style="402" customWidth="1"/>
    <col min="11014" max="11014" width="7.421875" style="402" customWidth="1"/>
    <col min="11015" max="11015" width="13.7109375" style="402" customWidth="1"/>
    <col min="11016" max="11016" width="13.140625" style="402" customWidth="1"/>
    <col min="11017" max="11017" width="15.8515625" style="402" customWidth="1"/>
    <col min="11018" max="11264" width="8.8515625" style="402" customWidth="1"/>
    <col min="11265" max="11265" width="3.8515625" style="402" customWidth="1"/>
    <col min="11266" max="11266" width="3.7109375" style="402" customWidth="1"/>
    <col min="11267" max="11267" width="15.7109375" style="402" customWidth="1"/>
    <col min="11268" max="11268" width="52.28125" style="402" customWidth="1"/>
    <col min="11269" max="11269" width="6.7109375" style="402" customWidth="1"/>
    <col min="11270" max="11270" width="7.421875" style="402" customWidth="1"/>
    <col min="11271" max="11271" width="13.7109375" style="402" customWidth="1"/>
    <col min="11272" max="11272" width="13.140625" style="402" customWidth="1"/>
    <col min="11273" max="11273" width="15.8515625" style="402" customWidth="1"/>
    <col min="11274" max="11520" width="8.8515625" style="402" customWidth="1"/>
    <col min="11521" max="11521" width="3.8515625" style="402" customWidth="1"/>
    <col min="11522" max="11522" width="3.7109375" style="402" customWidth="1"/>
    <col min="11523" max="11523" width="15.7109375" style="402" customWidth="1"/>
    <col min="11524" max="11524" width="52.28125" style="402" customWidth="1"/>
    <col min="11525" max="11525" width="6.7109375" style="402" customWidth="1"/>
    <col min="11526" max="11526" width="7.421875" style="402" customWidth="1"/>
    <col min="11527" max="11527" width="13.7109375" style="402" customWidth="1"/>
    <col min="11528" max="11528" width="13.140625" style="402" customWidth="1"/>
    <col min="11529" max="11529" width="15.8515625" style="402" customWidth="1"/>
    <col min="11530" max="11776" width="8.8515625" style="402" customWidth="1"/>
    <col min="11777" max="11777" width="3.8515625" style="402" customWidth="1"/>
    <col min="11778" max="11778" width="3.7109375" style="402" customWidth="1"/>
    <col min="11779" max="11779" width="15.7109375" style="402" customWidth="1"/>
    <col min="11780" max="11780" width="52.28125" style="402" customWidth="1"/>
    <col min="11781" max="11781" width="6.7109375" style="402" customWidth="1"/>
    <col min="11782" max="11782" width="7.421875" style="402" customWidth="1"/>
    <col min="11783" max="11783" width="13.7109375" style="402" customWidth="1"/>
    <col min="11784" max="11784" width="13.140625" style="402" customWidth="1"/>
    <col min="11785" max="11785" width="15.8515625" style="402" customWidth="1"/>
    <col min="11786" max="12032" width="8.8515625" style="402" customWidth="1"/>
    <col min="12033" max="12033" width="3.8515625" style="402" customWidth="1"/>
    <col min="12034" max="12034" width="3.7109375" style="402" customWidth="1"/>
    <col min="12035" max="12035" width="15.7109375" style="402" customWidth="1"/>
    <col min="12036" max="12036" width="52.28125" style="402" customWidth="1"/>
    <col min="12037" max="12037" width="6.7109375" style="402" customWidth="1"/>
    <col min="12038" max="12038" width="7.421875" style="402" customWidth="1"/>
    <col min="12039" max="12039" width="13.7109375" style="402" customWidth="1"/>
    <col min="12040" max="12040" width="13.140625" style="402" customWidth="1"/>
    <col min="12041" max="12041" width="15.8515625" style="402" customWidth="1"/>
    <col min="12042" max="12288" width="8.8515625" style="402" customWidth="1"/>
    <col min="12289" max="12289" width="3.8515625" style="402" customWidth="1"/>
    <col min="12290" max="12290" width="3.7109375" style="402" customWidth="1"/>
    <col min="12291" max="12291" width="15.7109375" style="402" customWidth="1"/>
    <col min="12292" max="12292" width="52.28125" style="402" customWidth="1"/>
    <col min="12293" max="12293" width="6.7109375" style="402" customWidth="1"/>
    <col min="12294" max="12294" width="7.421875" style="402" customWidth="1"/>
    <col min="12295" max="12295" width="13.7109375" style="402" customWidth="1"/>
    <col min="12296" max="12296" width="13.140625" style="402" customWidth="1"/>
    <col min="12297" max="12297" width="15.8515625" style="402" customWidth="1"/>
    <col min="12298" max="12544" width="8.8515625" style="402" customWidth="1"/>
    <col min="12545" max="12545" width="3.8515625" style="402" customWidth="1"/>
    <col min="12546" max="12546" width="3.7109375" style="402" customWidth="1"/>
    <col min="12547" max="12547" width="15.7109375" style="402" customWidth="1"/>
    <col min="12548" max="12548" width="52.28125" style="402" customWidth="1"/>
    <col min="12549" max="12549" width="6.7109375" style="402" customWidth="1"/>
    <col min="12550" max="12550" width="7.421875" style="402" customWidth="1"/>
    <col min="12551" max="12551" width="13.7109375" style="402" customWidth="1"/>
    <col min="12552" max="12552" width="13.140625" style="402" customWidth="1"/>
    <col min="12553" max="12553" width="15.8515625" style="402" customWidth="1"/>
    <col min="12554" max="12800" width="8.8515625" style="402" customWidth="1"/>
    <col min="12801" max="12801" width="3.8515625" style="402" customWidth="1"/>
    <col min="12802" max="12802" width="3.7109375" style="402" customWidth="1"/>
    <col min="12803" max="12803" width="15.7109375" style="402" customWidth="1"/>
    <col min="12804" max="12804" width="52.28125" style="402" customWidth="1"/>
    <col min="12805" max="12805" width="6.7109375" style="402" customWidth="1"/>
    <col min="12806" max="12806" width="7.421875" style="402" customWidth="1"/>
    <col min="12807" max="12807" width="13.7109375" style="402" customWidth="1"/>
    <col min="12808" max="12808" width="13.140625" style="402" customWidth="1"/>
    <col min="12809" max="12809" width="15.8515625" style="402" customWidth="1"/>
    <col min="12810" max="13056" width="8.8515625" style="402" customWidth="1"/>
    <col min="13057" max="13057" width="3.8515625" style="402" customWidth="1"/>
    <col min="13058" max="13058" width="3.7109375" style="402" customWidth="1"/>
    <col min="13059" max="13059" width="15.7109375" style="402" customWidth="1"/>
    <col min="13060" max="13060" width="52.28125" style="402" customWidth="1"/>
    <col min="13061" max="13061" width="6.7109375" style="402" customWidth="1"/>
    <col min="13062" max="13062" width="7.421875" style="402" customWidth="1"/>
    <col min="13063" max="13063" width="13.7109375" style="402" customWidth="1"/>
    <col min="13064" max="13064" width="13.140625" style="402" customWidth="1"/>
    <col min="13065" max="13065" width="15.8515625" style="402" customWidth="1"/>
    <col min="13066" max="13312" width="8.8515625" style="402" customWidth="1"/>
    <col min="13313" max="13313" width="3.8515625" style="402" customWidth="1"/>
    <col min="13314" max="13314" width="3.7109375" style="402" customWidth="1"/>
    <col min="13315" max="13315" width="15.7109375" style="402" customWidth="1"/>
    <col min="13316" max="13316" width="52.28125" style="402" customWidth="1"/>
    <col min="13317" max="13317" width="6.7109375" style="402" customWidth="1"/>
    <col min="13318" max="13318" width="7.421875" style="402" customWidth="1"/>
    <col min="13319" max="13319" width="13.7109375" style="402" customWidth="1"/>
    <col min="13320" max="13320" width="13.140625" style="402" customWidth="1"/>
    <col min="13321" max="13321" width="15.8515625" style="402" customWidth="1"/>
    <col min="13322" max="13568" width="8.8515625" style="402" customWidth="1"/>
    <col min="13569" max="13569" width="3.8515625" style="402" customWidth="1"/>
    <col min="13570" max="13570" width="3.7109375" style="402" customWidth="1"/>
    <col min="13571" max="13571" width="15.7109375" style="402" customWidth="1"/>
    <col min="13572" max="13572" width="52.28125" style="402" customWidth="1"/>
    <col min="13573" max="13573" width="6.7109375" style="402" customWidth="1"/>
    <col min="13574" max="13574" width="7.421875" style="402" customWidth="1"/>
    <col min="13575" max="13575" width="13.7109375" style="402" customWidth="1"/>
    <col min="13576" max="13576" width="13.140625" style="402" customWidth="1"/>
    <col min="13577" max="13577" width="15.8515625" style="402" customWidth="1"/>
    <col min="13578" max="13824" width="8.8515625" style="402" customWidth="1"/>
    <col min="13825" max="13825" width="3.8515625" style="402" customWidth="1"/>
    <col min="13826" max="13826" width="3.7109375" style="402" customWidth="1"/>
    <col min="13827" max="13827" width="15.7109375" style="402" customWidth="1"/>
    <col min="13828" max="13828" width="52.28125" style="402" customWidth="1"/>
    <col min="13829" max="13829" width="6.7109375" style="402" customWidth="1"/>
    <col min="13830" max="13830" width="7.421875" style="402" customWidth="1"/>
    <col min="13831" max="13831" width="13.7109375" style="402" customWidth="1"/>
    <col min="13832" max="13832" width="13.140625" style="402" customWidth="1"/>
    <col min="13833" max="13833" width="15.8515625" style="402" customWidth="1"/>
    <col min="13834" max="14080" width="8.8515625" style="402" customWidth="1"/>
    <col min="14081" max="14081" width="3.8515625" style="402" customWidth="1"/>
    <col min="14082" max="14082" width="3.7109375" style="402" customWidth="1"/>
    <col min="14083" max="14083" width="15.7109375" style="402" customWidth="1"/>
    <col min="14084" max="14084" width="52.28125" style="402" customWidth="1"/>
    <col min="14085" max="14085" width="6.7109375" style="402" customWidth="1"/>
    <col min="14086" max="14086" width="7.421875" style="402" customWidth="1"/>
    <col min="14087" max="14087" width="13.7109375" style="402" customWidth="1"/>
    <col min="14088" max="14088" width="13.140625" style="402" customWidth="1"/>
    <col min="14089" max="14089" width="15.8515625" style="402" customWidth="1"/>
    <col min="14090" max="14336" width="8.8515625" style="402" customWidth="1"/>
    <col min="14337" max="14337" width="3.8515625" style="402" customWidth="1"/>
    <col min="14338" max="14338" width="3.7109375" style="402" customWidth="1"/>
    <col min="14339" max="14339" width="15.7109375" style="402" customWidth="1"/>
    <col min="14340" max="14340" width="52.28125" style="402" customWidth="1"/>
    <col min="14341" max="14341" width="6.7109375" style="402" customWidth="1"/>
    <col min="14342" max="14342" width="7.421875" style="402" customWidth="1"/>
    <col min="14343" max="14343" width="13.7109375" style="402" customWidth="1"/>
    <col min="14344" max="14344" width="13.140625" style="402" customWidth="1"/>
    <col min="14345" max="14345" width="15.8515625" style="402" customWidth="1"/>
    <col min="14346" max="14592" width="8.8515625" style="402" customWidth="1"/>
    <col min="14593" max="14593" width="3.8515625" style="402" customWidth="1"/>
    <col min="14594" max="14594" width="3.7109375" style="402" customWidth="1"/>
    <col min="14595" max="14595" width="15.7109375" style="402" customWidth="1"/>
    <col min="14596" max="14596" width="52.28125" style="402" customWidth="1"/>
    <col min="14597" max="14597" width="6.7109375" style="402" customWidth="1"/>
    <col min="14598" max="14598" width="7.421875" style="402" customWidth="1"/>
    <col min="14599" max="14599" width="13.7109375" style="402" customWidth="1"/>
    <col min="14600" max="14600" width="13.140625" style="402" customWidth="1"/>
    <col min="14601" max="14601" width="15.8515625" style="402" customWidth="1"/>
    <col min="14602" max="14848" width="8.8515625" style="402" customWidth="1"/>
    <col min="14849" max="14849" width="3.8515625" style="402" customWidth="1"/>
    <col min="14850" max="14850" width="3.7109375" style="402" customWidth="1"/>
    <col min="14851" max="14851" width="15.7109375" style="402" customWidth="1"/>
    <col min="14852" max="14852" width="52.28125" style="402" customWidth="1"/>
    <col min="14853" max="14853" width="6.7109375" style="402" customWidth="1"/>
    <col min="14854" max="14854" width="7.421875" style="402" customWidth="1"/>
    <col min="14855" max="14855" width="13.7109375" style="402" customWidth="1"/>
    <col min="14856" max="14856" width="13.140625" style="402" customWidth="1"/>
    <col min="14857" max="14857" width="15.8515625" style="402" customWidth="1"/>
    <col min="14858" max="15104" width="8.8515625" style="402" customWidth="1"/>
    <col min="15105" max="15105" width="3.8515625" style="402" customWidth="1"/>
    <col min="15106" max="15106" width="3.7109375" style="402" customWidth="1"/>
    <col min="15107" max="15107" width="15.7109375" style="402" customWidth="1"/>
    <col min="15108" max="15108" width="52.28125" style="402" customWidth="1"/>
    <col min="15109" max="15109" width="6.7109375" style="402" customWidth="1"/>
    <col min="15110" max="15110" width="7.421875" style="402" customWidth="1"/>
    <col min="15111" max="15111" width="13.7109375" style="402" customWidth="1"/>
    <col min="15112" max="15112" width="13.140625" style="402" customWidth="1"/>
    <col min="15113" max="15113" width="15.8515625" style="402" customWidth="1"/>
    <col min="15114" max="15360" width="8.8515625" style="402" customWidth="1"/>
    <col min="15361" max="15361" width="3.8515625" style="402" customWidth="1"/>
    <col min="15362" max="15362" width="3.7109375" style="402" customWidth="1"/>
    <col min="15363" max="15363" width="15.7109375" style="402" customWidth="1"/>
    <col min="15364" max="15364" width="52.28125" style="402" customWidth="1"/>
    <col min="15365" max="15365" width="6.7109375" style="402" customWidth="1"/>
    <col min="15366" max="15366" width="7.421875" style="402" customWidth="1"/>
    <col min="15367" max="15367" width="13.7109375" style="402" customWidth="1"/>
    <col min="15368" max="15368" width="13.140625" style="402" customWidth="1"/>
    <col min="15369" max="15369" width="15.8515625" style="402" customWidth="1"/>
    <col min="15370" max="15616" width="8.8515625" style="402" customWidth="1"/>
    <col min="15617" max="15617" width="3.8515625" style="402" customWidth="1"/>
    <col min="15618" max="15618" width="3.7109375" style="402" customWidth="1"/>
    <col min="15619" max="15619" width="15.7109375" style="402" customWidth="1"/>
    <col min="15620" max="15620" width="52.28125" style="402" customWidth="1"/>
    <col min="15621" max="15621" width="6.7109375" style="402" customWidth="1"/>
    <col min="15622" max="15622" width="7.421875" style="402" customWidth="1"/>
    <col min="15623" max="15623" width="13.7109375" style="402" customWidth="1"/>
    <col min="15624" max="15624" width="13.140625" style="402" customWidth="1"/>
    <col min="15625" max="15625" width="15.8515625" style="402" customWidth="1"/>
    <col min="15626" max="15872" width="8.8515625" style="402" customWidth="1"/>
    <col min="15873" max="15873" width="3.8515625" style="402" customWidth="1"/>
    <col min="15874" max="15874" width="3.7109375" style="402" customWidth="1"/>
    <col min="15875" max="15875" width="15.7109375" style="402" customWidth="1"/>
    <col min="15876" max="15876" width="52.28125" style="402" customWidth="1"/>
    <col min="15877" max="15877" width="6.7109375" style="402" customWidth="1"/>
    <col min="15878" max="15878" width="7.421875" style="402" customWidth="1"/>
    <col min="15879" max="15879" width="13.7109375" style="402" customWidth="1"/>
    <col min="15880" max="15880" width="13.140625" style="402" customWidth="1"/>
    <col min="15881" max="15881" width="15.8515625" style="402" customWidth="1"/>
    <col min="15882" max="16128" width="8.8515625" style="402" customWidth="1"/>
    <col min="16129" max="16129" width="3.8515625" style="402" customWidth="1"/>
    <col min="16130" max="16130" width="3.7109375" style="402" customWidth="1"/>
    <col min="16131" max="16131" width="15.7109375" style="402" customWidth="1"/>
    <col min="16132" max="16132" width="52.28125" style="402" customWidth="1"/>
    <col min="16133" max="16133" width="6.7109375" style="402" customWidth="1"/>
    <col min="16134" max="16134" width="7.421875" style="402" customWidth="1"/>
    <col min="16135" max="16135" width="13.7109375" style="402" customWidth="1"/>
    <col min="16136" max="16136" width="13.140625" style="402" customWidth="1"/>
    <col min="16137" max="16137" width="15.8515625" style="402" customWidth="1"/>
    <col min="16138" max="16384" width="8.8515625" style="402" customWidth="1"/>
  </cols>
  <sheetData>
    <row r="1" spans="2:9" ht="15">
      <c r="B1" s="399"/>
      <c r="C1" s="400" t="s">
        <v>3169</v>
      </c>
      <c r="D1" s="401" t="s">
        <v>3170</v>
      </c>
      <c r="G1" s="402"/>
      <c r="I1" s="403"/>
    </row>
    <row r="2" spans="2:9" ht="15">
      <c r="B2" s="399"/>
      <c r="C2" s="400" t="s">
        <v>3171</v>
      </c>
      <c r="D2" s="401" t="s">
        <v>3172</v>
      </c>
      <c r="F2" s="404" t="s">
        <v>3173</v>
      </c>
      <c r="G2" s="401" t="s">
        <v>3174</v>
      </c>
      <c r="I2" s="403"/>
    </row>
    <row r="3" spans="1:9" ht="30">
      <c r="A3" s="531" t="s">
        <v>3175</v>
      </c>
      <c r="B3" s="532"/>
      <c r="C3" s="405" t="s">
        <v>3176</v>
      </c>
      <c r="D3" s="405" t="s">
        <v>2662</v>
      </c>
      <c r="E3" s="406" t="s">
        <v>114</v>
      </c>
      <c r="F3" s="407" t="s">
        <v>3177</v>
      </c>
      <c r="G3" s="408" t="s">
        <v>2696</v>
      </c>
      <c r="H3" s="409" t="s">
        <v>3178</v>
      </c>
      <c r="I3" s="410" t="s">
        <v>3179</v>
      </c>
    </row>
    <row r="4" spans="2:9" ht="12">
      <c r="B4" s="411"/>
      <c r="C4" s="411"/>
      <c r="D4" s="411"/>
      <c r="E4" s="412"/>
      <c r="F4" s="411"/>
      <c r="G4" s="411"/>
      <c r="H4" s="413"/>
      <c r="I4" s="413"/>
    </row>
    <row r="5" spans="1:7" ht="15">
      <c r="A5" s="398" t="s">
        <v>3180</v>
      </c>
      <c r="B5" s="399"/>
      <c r="C5" s="399"/>
      <c r="D5" s="414" t="s">
        <v>3181</v>
      </c>
      <c r="F5" s="399"/>
      <c r="G5" s="415"/>
    </row>
    <row r="6" spans="1:9" s="420" customFormat="1" ht="42.75">
      <c r="A6" s="416" t="s">
        <v>3180</v>
      </c>
      <c r="B6" s="417">
        <v>1</v>
      </c>
      <c r="C6" s="417">
        <v>10027031</v>
      </c>
      <c r="D6" s="417" t="s">
        <v>3182</v>
      </c>
      <c r="E6" s="416">
        <v>1</v>
      </c>
      <c r="F6" s="417" t="s">
        <v>2792</v>
      </c>
      <c r="G6" s="417"/>
      <c r="H6" s="418"/>
      <c r="I6" s="419">
        <f aca="true" t="shared" si="0" ref="I6:I8">E6*H6</f>
        <v>0</v>
      </c>
    </row>
    <row r="7" spans="1:9" s="420" customFormat="1" ht="28.5">
      <c r="A7" s="416" t="s">
        <v>3180</v>
      </c>
      <c r="B7" s="417">
        <v>2</v>
      </c>
      <c r="C7" s="417">
        <v>20139895</v>
      </c>
      <c r="D7" s="417" t="s">
        <v>3183</v>
      </c>
      <c r="E7" s="416">
        <v>1</v>
      </c>
      <c r="F7" s="417" t="s">
        <v>2792</v>
      </c>
      <c r="G7" s="417" t="s">
        <v>3184</v>
      </c>
      <c r="H7" s="418"/>
      <c r="I7" s="419">
        <f t="shared" si="0"/>
        <v>0</v>
      </c>
    </row>
    <row r="8" spans="1:9" s="420" customFormat="1" ht="12">
      <c r="A8" s="416" t="s">
        <v>3180</v>
      </c>
      <c r="B8" s="417">
        <v>3</v>
      </c>
      <c r="C8" s="417">
        <v>306787</v>
      </c>
      <c r="D8" s="417" t="s">
        <v>3185</v>
      </c>
      <c r="E8" s="416">
        <v>1</v>
      </c>
      <c r="F8" s="417" t="s">
        <v>2792</v>
      </c>
      <c r="G8" s="417"/>
      <c r="H8" s="418"/>
      <c r="I8" s="419">
        <f t="shared" si="0"/>
        <v>0</v>
      </c>
    </row>
    <row r="9" spans="1:9" s="424" customFormat="1" ht="12.75">
      <c r="A9" s="421"/>
      <c r="B9" s="422"/>
      <c r="C9" s="422"/>
      <c r="D9" s="423"/>
      <c r="G9" s="425"/>
      <c r="H9" s="425"/>
      <c r="I9" s="425"/>
    </row>
    <row r="10" spans="1:8" s="401" customFormat="1" ht="15">
      <c r="A10" s="398" t="s">
        <v>3186</v>
      </c>
      <c r="B10" s="414"/>
      <c r="C10" s="414"/>
      <c r="D10" s="414" t="s">
        <v>3187</v>
      </c>
      <c r="E10" s="426"/>
      <c r="F10" s="414"/>
      <c r="G10" s="427"/>
      <c r="H10" s="428"/>
    </row>
    <row r="11" spans="1:9" s="432" customFormat="1" ht="57">
      <c r="A11" s="398" t="s">
        <v>3186</v>
      </c>
      <c r="B11" s="429">
        <v>1</v>
      </c>
      <c r="C11" s="429">
        <v>20147469</v>
      </c>
      <c r="D11" s="429" t="s">
        <v>3188</v>
      </c>
      <c r="E11" s="430">
        <v>1</v>
      </c>
      <c r="F11" s="429" t="s">
        <v>2792</v>
      </c>
      <c r="G11" s="429"/>
      <c r="H11" s="418"/>
      <c r="I11" s="431">
        <f>E11*H11</f>
        <v>0</v>
      </c>
    </row>
    <row r="12" spans="1:9" s="432" customFormat="1" ht="12">
      <c r="A12" s="398" t="s">
        <v>3186</v>
      </c>
      <c r="B12" s="429">
        <v>2</v>
      </c>
      <c r="C12" s="429">
        <v>303250</v>
      </c>
      <c r="D12" s="429" t="s">
        <v>3189</v>
      </c>
      <c r="E12" s="430">
        <v>1</v>
      </c>
      <c r="F12" s="429" t="s">
        <v>1690</v>
      </c>
      <c r="G12" s="429"/>
      <c r="H12" s="418"/>
      <c r="I12" s="431">
        <f aca="true" t="shared" si="1" ref="I12:I21">E12*H12</f>
        <v>0</v>
      </c>
    </row>
    <row r="13" spans="1:9" s="432" customFormat="1" ht="12">
      <c r="A13" s="398" t="s">
        <v>3186</v>
      </c>
      <c r="B13" s="429">
        <v>3</v>
      </c>
      <c r="C13" s="429">
        <v>303218</v>
      </c>
      <c r="D13" s="429" t="s">
        <v>3190</v>
      </c>
      <c r="E13" s="430">
        <v>3</v>
      </c>
      <c r="F13" s="429" t="s">
        <v>2792</v>
      </c>
      <c r="G13" s="429"/>
      <c r="H13" s="418"/>
      <c r="I13" s="431">
        <f t="shared" si="1"/>
        <v>0</v>
      </c>
    </row>
    <row r="14" spans="1:9" s="432" customFormat="1" ht="12">
      <c r="A14" s="398" t="s">
        <v>3186</v>
      </c>
      <c r="B14" s="429">
        <v>4</v>
      </c>
      <c r="C14" s="429">
        <v>303211</v>
      </c>
      <c r="D14" s="429" t="s">
        <v>3191</v>
      </c>
      <c r="E14" s="430">
        <v>1</v>
      </c>
      <c r="F14" s="429" t="s">
        <v>1690</v>
      </c>
      <c r="G14" s="429"/>
      <c r="H14" s="418"/>
      <c r="I14" s="431">
        <f t="shared" si="1"/>
        <v>0</v>
      </c>
    </row>
    <row r="15" spans="1:9" s="432" customFormat="1" ht="12">
      <c r="A15" s="398" t="s">
        <v>3186</v>
      </c>
      <c r="B15" s="429">
        <v>5</v>
      </c>
      <c r="C15" s="429">
        <v>303202</v>
      </c>
      <c r="D15" s="429" t="s">
        <v>3192</v>
      </c>
      <c r="E15" s="430">
        <v>1</v>
      </c>
      <c r="F15" s="429" t="s">
        <v>2792</v>
      </c>
      <c r="G15" s="429"/>
      <c r="H15" s="418"/>
      <c r="I15" s="431">
        <f t="shared" si="1"/>
        <v>0</v>
      </c>
    </row>
    <row r="16" spans="1:9" s="432" customFormat="1" ht="12">
      <c r="A16" s="398" t="s">
        <v>3186</v>
      </c>
      <c r="B16" s="429">
        <v>6</v>
      </c>
      <c r="C16" s="429">
        <v>303203</v>
      </c>
      <c r="D16" s="429" t="s">
        <v>3193</v>
      </c>
      <c r="E16" s="430">
        <v>4</v>
      </c>
      <c r="F16" s="429" t="s">
        <v>2792</v>
      </c>
      <c r="G16" s="429"/>
      <c r="H16" s="418"/>
      <c r="I16" s="431">
        <f t="shared" si="1"/>
        <v>0</v>
      </c>
    </row>
    <row r="17" spans="1:9" s="432" customFormat="1" ht="12">
      <c r="A17" s="398" t="s">
        <v>3186</v>
      </c>
      <c r="B17" s="429">
        <v>7</v>
      </c>
      <c r="C17" s="429">
        <v>303205</v>
      </c>
      <c r="D17" s="429" t="s">
        <v>3194</v>
      </c>
      <c r="E17" s="430">
        <v>2</v>
      </c>
      <c r="F17" s="429" t="s">
        <v>2792</v>
      </c>
      <c r="G17" s="429"/>
      <c r="H17" s="418"/>
      <c r="I17" s="431">
        <f t="shared" si="1"/>
        <v>0</v>
      </c>
    </row>
    <row r="18" spans="1:9" s="432" customFormat="1" ht="15.75" customHeight="1">
      <c r="A18" s="398" t="s">
        <v>3186</v>
      </c>
      <c r="B18" s="429">
        <v>8</v>
      </c>
      <c r="C18" s="429">
        <v>303215</v>
      </c>
      <c r="D18" s="429" t="s">
        <v>3195</v>
      </c>
      <c r="E18" s="430">
        <v>1</v>
      </c>
      <c r="F18" s="429" t="s">
        <v>2792</v>
      </c>
      <c r="G18" s="429"/>
      <c r="H18" s="418"/>
      <c r="I18" s="431">
        <f t="shared" si="1"/>
        <v>0</v>
      </c>
    </row>
    <row r="19" spans="1:9" s="432" customFormat="1" ht="28.5">
      <c r="A19" s="398" t="s">
        <v>3186</v>
      </c>
      <c r="B19" s="429">
        <v>9</v>
      </c>
      <c r="C19" s="429">
        <v>303616</v>
      </c>
      <c r="D19" s="429" t="s">
        <v>3196</v>
      </c>
      <c r="E19" s="430">
        <v>1</v>
      </c>
      <c r="F19" s="429" t="s">
        <v>1690</v>
      </c>
      <c r="G19" s="429"/>
      <c r="H19" s="418"/>
      <c r="I19" s="431">
        <f t="shared" si="1"/>
        <v>0</v>
      </c>
    </row>
    <row r="20" spans="1:9" s="432" customFormat="1" ht="12">
      <c r="A20" s="398" t="s">
        <v>3186</v>
      </c>
      <c r="B20" s="429">
        <v>10</v>
      </c>
      <c r="C20" s="429">
        <v>303963</v>
      </c>
      <c r="D20" s="429" t="s">
        <v>3197</v>
      </c>
      <c r="E20" s="430">
        <v>1</v>
      </c>
      <c r="F20" s="429" t="s">
        <v>2792</v>
      </c>
      <c r="G20" s="429"/>
      <c r="H20" s="418"/>
      <c r="I20" s="431">
        <f t="shared" si="1"/>
        <v>0</v>
      </c>
    </row>
    <row r="21" spans="1:9" s="432" customFormat="1" ht="12">
      <c r="A21" s="398" t="s">
        <v>3186</v>
      </c>
      <c r="B21" s="429">
        <v>11</v>
      </c>
      <c r="C21" s="429">
        <v>9494</v>
      </c>
      <c r="D21" s="429" t="s">
        <v>3198</v>
      </c>
      <c r="E21" s="430">
        <v>1</v>
      </c>
      <c r="F21" s="429" t="s">
        <v>1690</v>
      </c>
      <c r="G21" s="429"/>
      <c r="H21" s="418"/>
      <c r="I21" s="431">
        <f t="shared" si="1"/>
        <v>0</v>
      </c>
    </row>
    <row r="22" spans="1:9" s="424" customFormat="1" ht="12.75">
      <c r="A22" s="421"/>
      <c r="B22" s="422"/>
      <c r="C22" s="422"/>
      <c r="D22" s="423"/>
      <c r="G22" s="425"/>
      <c r="H22" s="425"/>
      <c r="I22" s="425"/>
    </row>
    <row r="23" spans="1:7" ht="15">
      <c r="A23" s="398" t="s">
        <v>3199</v>
      </c>
      <c r="B23" s="399"/>
      <c r="C23" s="399"/>
      <c r="D23" s="414" t="s">
        <v>3200</v>
      </c>
      <c r="F23" s="399"/>
      <c r="G23" s="415"/>
    </row>
    <row r="24" spans="1:9" ht="12">
      <c r="A24" s="398" t="s">
        <v>3199</v>
      </c>
      <c r="B24" s="399">
        <v>1</v>
      </c>
      <c r="C24" s="399"/>
      <c r="D24" s="417" t="s">
        <v>3201</v>
      </c>
      <c r="E24" s="398">
        <v>3</v>
      </c>
      <c r="F24" s="399" t="s">
        <v>249</v>
      </c>
      <c r="G24" s="399"/>
      <c r="H24" s="418"/>
      <c r="I24" s="403">
        <f aca="true" t="shared" si="2" ref="I24:I32">E24*H24</f>
        <v>0</v>
      </c>
    </row>
    <row r="25" spans="1:9" ht="12">
      <c r="A25" s="398" t="s">
        <v>3199</v>
      </c>
      <c r="B25" s="399">
        <v>2</v>
      </c>
      <c r="C25" s="399"/>
      <c r="D25" s="417" t="s">
        <v>3202</v>
      </c>
      <c r="E25" s="398">
        <v>9</v>
      </c>
      <c r="F25" s="399" t="s">
        <v>249</v>
      </c>
      <c r="G25" s="399"/>
      <c r="H25" s="418"/>
      <c r="I25" s="403">
        <f t="shared" si="2"/>
        <v>0</v>
      </c>
    </row>
    <row r="26" spans="1:9" ht="12">
      <c r="A26" s="398" t="s">
        <v>3199</v>
      </c>
      <c r="B26" s="399">
        <v>3</v>
      </c>
      <c r="C26" s="399"/>
      <c r="D26" s="417" t="s">
        <v>3203</v>
      </c>
      <c r="E26" s="398">
        <v>12</v>
      </c>
      <c r="F26" s="399" t="s">
        <v>249</v>
      </c>
      <c r="G26" s="399"/>
      <c r="H26" s="418"/>
      <c r="I26" s="403">
        <f t="shared" si="2"/>
        <v>0</v>
      </c>
    </row>
    <row r="27" spans="1:9" ht="12">
      <c r="A27" s="398" t="s">
        <v>3199</v>
      </c>
      <c r="B27" s="399">
        <v>4</v>
      </c>
      <c r="C27" s="399"/>
      <c r="D27" s="417" t="s">
        <v>3204</v>
      </c>
      <c r="E27" s="398">
        <v>1</v>
      </c>
      <c r="F27" s="399" t="s">
        <v>2843</v>
      </c>
      <c r="G27" s="399"/>
      <c r="H27" s="418"/>
      <c r="I27" s="403">
        <f t="shared" si="2"/>
        <v>0</v>
      </c>
    </row>
    <row r="28" spans="1:9" ht="12">
      <c r="A28" s="398" t="s">
        <v>3199</v>
      </c>
      <c r="B28" s="399">
        <v>5</v>
      </c>
      <c r="C28" s="399"/>
      <c r="D28" s="417" t="s">
        <v>3205</v>
      </c>
      <c r="E28" s="398">
        <v>1</v>
      </c>
      <c r="F28" s="399" t="s">
        <v>2843</v>
      </c>
      <c r="G28" s="399"/>
      <c r="H28" s="418"/>
      <c r="I28" s="403">
        <f t="shared" si="2"/>
        <v>0</v>
      </c>
    </row>
    <row r="29" spans="1:9" ht="12">
      <c r="A29" s="398" t="s">
        <v>3199</v>
      </c>
      <c r="B29" s="399">
        <v>6</v>
      </c>
      <c r="C29" s="399"/>
      <c r="D29" s="417" t="s">
        <v>3206</v>
      </c>
      <c r="E29" s="398">
        <v>1</v>
      </c>
      <c r="F29" s="399" t="s">
        <v>2843</v>
      </c>
      <c r="G29" s="399"/>
      <c r="H29" s="418"/>
      <c r="I29" s="403">
        <f t="shared" si="2"/>
        <v>0</v>
      </c>
    </row>
    <row r="30" spans="1:9" ht="32.25">
      <c r="A30" s="398" t="s">
        <v>3199</v>
      </c>
      <c r="B30" s="399">
        <v>7</v>
      </c>
      <c r="C30" s="399"/>
      <c r="D30" s="417" t="s">
        <v>3207</v>
      </c>
      <c r="E30" s="398">
        <v>3</v>
      </c>
      <c r="F30" s="399" t="s">
        <v>249</v>
      </c>
      <c r="G30" s="399"/>
      <c r="H30" s="418"/>
      <c r="I30" s="403">
        <f t="shared" si="2"/>
        <v>0</v>
      </c>
    </row>
    <row r="31" spans="1:9" ht="32.25">
      <c r="A31" s="398" t="s">
        <v>3199</v>
      </c>
      <c r="B31" s="399">
        <v>8</v>
      </c>
      <c r="C31" s="399"/>
      <c r="D31" s="417" t="s">
        <v>3208</v>
      </c>
      <c r="E31" s="398">
        <v>9</v>
      </c>
      <c r="F31" s="399" t="s">
        <v>249</v>
      </c>
      <c r="G31" s="399"/>
      <c r="H31" s="418"/>
      <c r="I31" s="403">
        <f t="shared" si="2"/>
        <v>0</v>
      </c>
    </row>
    <row r="32" spans="1:9" ht="32.25">
      <c r="A32" s="398" t="s">
        <v>3199</v>
      </c>
      <c r="B32" s="399">
        <v>9</v>
      </c>
      <c r="C32" s="399"/>
      <c r="D32" s="417" t="s">
        <v>3209</v>
      </c>
      <c r="E32" s="398">
        <v>12</v>
      </c>
      <c r="F32" s="399" t="s">
        <v>249</v>
      </c>
      <c r="G32" s="399"/>
      <c r="H32" s="418"/>
      <c r="I32" s="403">
        <f t="shared" si="2"/>
        <v>0</v>
      </c>
    </row>
    <row r="33" spans="1:9" s="424" customFormat="1" ht="12.75">
      <c r="A33" s="421"/>
      <c r="B33" s="422"/>
      <c r="C33" s="422"/>
      <c r="D33" s="423"/>
      <c r="G33" s="425"/>
      <c r="H33" s="425"/>
      <c r="I33" s="425"/>
    </row>
    <row r="34" spans="1:7" ht="15">
      <c r="A34" s="398" t="s">
        <v>3210</v>
      </c>
      <c r="B34" s="399"/>
      <c r="C34" s="399"/>
      <c r="D34" s="414" t="s">
        <v>3211</v>
      </c>
      <c r="F34" s="399"/>
      <c r="G34" s="415"/>
    </row>
    <row r="35" spans="1:9" ht="28.5">
      <c r="A35" s="398" t="s">
        <v>3210</v>
      </c>
      <c r="B35" s="399">
        <v>1</v>
      </c>
      <c r="C35" s="399"/>
      <c r="D35" s="417" t="s">
        <v>3212</v>
      </c>
      <c r="E35" s="398">
        <v>3</v>
      </c>
      <c r="F35" s="399" t="s">
        <v>2792</v>
      </c>
      <c r="G35" s="415" t="s">
        <v>3213</v>
      </c>
      <c r="H35" s="418"/>
      <c r="I35" s="403">
        <f aca="true" t="shared" si="3" ref="I35:I44">E35*H35</f>
        <v>0</v>
      </c>
    </row>
    <row r="36" spans="1:9" ht="12">
      <c r="A36" s="398" t="s">
        <v>3210</v>
      </c>
      <c r="B36" s="399">
        <v>2</v>
      </c>
      <c r="C36" s="399"/>
      <c r="D36" s="417" t="s">
        <v>3214</v>
      </c>
      <c r="E36" s="398">
        <v>3</v>
      </c>
      <c r="F36" s="399" t="s">
        <v>2792</v>
      </c>
      <c r="G36" s="399" t="s">
        <v>3215</v>
      </c>
      <c r="H36" s="418"/>
      <c r="I36" s="403">
        <f t="shared" si="3"/>
        <v>0</v>
      </c>
    </row>
    <row r="37" spans="1:9" ht="12">
      <c r="A37" s="398" t="s">
        <v>3210</v>
      </c>
      <c r="B37" s="399">
        <v>3</v>
      </c>
      <c r="C37" s="399"/>
      <c r="D37" s="417" t="s">
        <v>3216</v>
      </c>
      <c r="E37" s="398">
        <v>3</v>
      </c>
      <c r="F37" s="399" t="s">
        <v>2792</v>
      </c>
      <c r="G37" s="399" t="s">
        <v>3217</v>
      </c>
      <c r="H37" s="418"/>
      <c r="I37" s="403">
        <f t="shared" si="3"/>
        <v>0</v>
      </c>
    </row>
    <row r="38" spans="1:9" ht="12">
      <c r="A38" s="398" t="s">
        <v>3210</v>
      </c>
      <c r="B38" s="399">
        <v>4</v>
      </c>
      <c r="C38" s="399"/>
      <c r="D38" s="417" t="s">
        <v>3218</v>
      </c>
      <c r="E38" s="398">
        <v>3</v>
      </c>
      <c r="F38" s="399" t="s">
        <v>2792</v>
      </c>
      <c r="G38" s="399" t="s">
        <v>3219</v>
      </c>
      <c r="H38" s="418"/>
      <c r="I38" s="403">
        <f t="shared" si="3"/>
        <v>0</v>
      </c>
    </row>
    <row r="39" spans="1:9" ht="12">
      <c r="A39" s="398" t="s">
        <v>3210</v>
      </c>
      <c r="B39" s="399">
        <v>5</v>
      </c>
      <c r="C39" s="399"/>
      <c r="D39" s="417" t="s">
        <v>3220</v>
      </c>
      <c r="E39" s="398">
        <v>2</v>
      </c>
      <c r="F39" s="399" t="s">
        <v>2792</v>
      </c>
      <c r="G39" s="399" t="s">
        <v>3221</v>
      </c>
      <c r="H39" s="418"/>
      <c r="I39" s="403">
        <f t="shared" si="3"/>
        <v>0</v>
      </c>
    </row>
    <row r="40" spans="1:9" ht="12">
      <c r="A40" s="398" t="s">
        <v>3210</v>
      </c>
      <c r="B40" s="399">
        <v>6</v>
      </c>
      <c r="C40" s="399"/>
      <c r="D40" s="417" t="s">
        <v>3222</v>
      </c>
      <c r="E40" s="398">
        <v>1</v>
      </c>
      <c r="F40" s="399" t="s">
        <v>2792</v>
      </c>
      <c r="G40" s="399" t="s">
        <v>2520</v>
      </c>
      <c r="H40" s="418"/>
      <c r="I40" s="403">
        <f t="shared" si="3"/>
        <v>0</v>
      </c>
    </row>
    <row r="41" spans="1:9" s="420" customFormat="1" ht="12">
      <c r="A41" s="398" t="s">
        <v>3210</v>
      </c>
      <c r="B41" s="399">
        <v>7</v>
      </c>
      <c r="D41" s="432" t="s">
        <v>3223</v>
      </c>
      <c r="E41" s="398">
        <v>1</v>
      </c>
      <c r="F41" s="420" t="s">
        <v>2792</v>
      </c>
      <c r="G41" s="420" t="s">
        <v>3224</v>
      </c>
      <c r="H41" s="418"/>
      <c r="I41" s="403">
        <f t="shared" si="3"/>
        <v>0</v>
      </c>
    </row>
    <row r="42" spans="1:9" ht="28.5">
      <c r="A42" s="398" t="s">
        <v>3210</v>
      </c>
      <c r="B42" s="399">
        <v>8</v>
      </c>
      <c r="C42" s="399"/>
      <c r="D42" s="417" t="s">
        <v>3225</v>
      </c>
      <c r="E42" s="398">
        <v>2</v>
      </c>
      <c r="F42" s="399" t="s">
        <v>2792</v>
      </c>
      <c r="G42" s="399" t="s">
        <v>3226</v>
      </c>
      <c r="H42" s="418"/>
      <c r="I42" s="403">
        <f t="shared" si="3"/>
        <v>0</v>
      </c>
    </row>
    <row r="43" spans="1:9" ht="12">
      <c r="A43" s="398" t="s">
        <v>3210</v>
      </c>
      <c r="B43" s="399">
        <v>9</v>
      </c>
      <c r="C43" s="399"/>
      <c r="D43" s="417" t="s">
        <v>3227</v>
      </c>
      <c r="E43" s="398">
        <v>1</v>
      </c>
      <c r="F43" s="399" t="s">
        <v>2843</v>
      </c>
      <c r="G43" s="399"/>
      <c r="H43" s="418"/>
      <c r="I43" s="403">
        <f t="shared" si="3"/>
        <v>0</v>
      </c>
    </row>
    <row r="44" spans="1:9" ht="12">
      <c r="A44" s="398" t="s">
        <v>3210</v>
      </c>
      <c r="B44" s="399">
        <v>10</v>
      </c>
      <c r="C44" s="399"/>
      <c r="D44" s="417" t="s">
        <v>3228</v>
      </c>
      <c r="E44" s="398">
        <v>1</v>
      </c>
      <c r="F44" s="399" t="s">
        <v>2792</v>
      </c>
      <c r="G44" s="399"/>
      <c r="H44" s="418"/>
      <c r="I44" s="403">
        <f t="shared" si="3"/>
        <v>0</v>
      </c>
    </row>
    <row r="45" spans="2:7" ht="12">
      <c r="B45" s="399"/>
      <c r="C45" s="399"/>
      <c r="D45" s="429"/>
      <c r="F45" s="399"/>
      <c r="G45" s="415"/>
    </row>
    <row r="46" spans="1:9" s="400" customFormat="1" ht="15">
      <c r="A46" s="404"/>
      <c r="B46" s="433"/>
      <c r="C46" s="433"/>
      <c r="D46" s="414" t="s">
        <v>3229</v>
      </c>
      <c r="E46" s="404"/>
      <c r="F46" s="433"/>
      <c r="G46" s="434"/>
      <c r="H46" s="435"/>
      <c r="I46" s="435"/>
    </row>
    <row r="47" spans="1:8" s="432" customFormat="1" ht="15">
      <c r="A47" s="398" t="s">
        <v>3230</v>
      </c>
      <c r="D47" s="401" t="s">
        <v>3231</v>
      </c>
      <c r="E47" s="430"/>
      <c r="G47" s="431"/>
      <c r="H47" s="431"/>
    </row>
    <row r="48" spans="1:9" s="420" customFormat="1" ht="28.5">
      <c r="A48" s="398" t="s">
        <v>3230</v>
      </c>
      <c r="B48" s="399">
        <v>1</v>
      </c>
      <c r="C48" s="417" t="s">
        <v>3232</v>
      </c>
      <c r="D48" s="417" t="s">
        <v>3233</v>
      </c>
      <c r="E48" s="417">
        <v>1</v>
      </c>
      <c r="F48" s="417" t="s">
        <v>2792</v>
      </c>
      <c r="G48" s="436"/>
      <c r="H48" s="418"/>
      <c r="I48" s="403">
        <f aca="true" t="shared" si="4" ref="I48:I65">E48*H48</f>
        <v>0</v>
      </c>
    </row>
    <row r="49" spans="1:9" s="420" customFormat="1" ht="28.5">
      <c r="A49" s="398" t="s">
        <v>3230</v>
      </c>
      <c r="B49" s="399">
        <v>2</v>
      </c>
      <c r="C49" s="417" t="s">
        <v>3234</v>
      </c>
      <c r="D49" s="417" t="s">
        <v>3235</v>
      </c>
      <c r="E49" s="417">
        <v>1</v>
      </c>
      <c r="F49" s="417" t="s">
        <v>2792</v>
      </c>
      <c r="G49" s="436"/>
      <c r="H49" s="418"/>
      <c r="I49" s="403">
        <f t="shared" si="4"/>
        <v>0</v>
      </c>
    </row>
    <row r="50" spans="1:9" s="420" customFormat="1" ht="28.5">
      <c r="A50" s="398" t="s">
        <v>3230</v>
      </c>
      <c r="B50" s="399">
        <v>3</v>
      </c>
      <c r="C50" s="417" t="s">
        <v>3236</v>
      </c>
      <c r="D50" s="417" t="s">
        <v>3237</v>
      </c>
      <c r="E50" s="417">
        <v>1</v>
      </c>
      <c r="F50" s="417" t="s">
        <v>2792</v>
      </c>
      <c r="G50" s="436"/>
      <c r="H50" s="418"/>
      <c r="I50" s="403">
        <f t="shared" si="4"/>
        <v>0</v>
      </c>
    </row>
    <row r="51" spans="1:9" s="420" customFormat="1" ht="28.5">
      <c r="A51" s="398" t="s">
        <v>3230</v>
      </c>
      <c r="B51" s="399">
        <v>4</v>
      </c>
      <c r="C51" s="417" t="s">
        <v>3238</v>
      </c>
      <c r="D51" s="417" t="s">
        <v>3239</v>
      </c>
      <c r="E51" s="417">
        <v>1</v>
      </c>
      <c r="F51" s="417" t="s">
        <v>2792</v>
      </c>
      <c r="G51" s="436"/>
      <c r="H51" s="418"/>
      <c r="I51" s="403">
        <f t="shared" si="4"/>
        <v>0</v>
      </c>
    </row>
    <row r="52" spans="1:9" s="420" customFormat="1" ht="28.5">
      <c r="A52" s="398" t="s">
        <v>3230</v>
      </c>
      <c r="B52" s="399">
        <v>5</v>
      </c>
      <c r="C52" s="417" t="s">
        <v>3240</v>
      </c>
      <c r="D52" s="417" t="s">
        <v>3241</v>
      </c>
      <c r="E52" s="417">
        <v>1</v>
      </c>
      <c r="F52" s="417" t="s">
        <v>2792</v>
      </c>
      <c r="G52" s="436"/>
      <c r="H52" s="418"/>
      <c r="I52" s="403">
        <f t="shared" si="4"/>
        <v>0</v>
      </c>
    </row>
    <row r="53" spans="1:9" s="420" customFormat="1" ht="28.5">
      <c r="A53" s="398" t="s">
        <v>3230</v>
      </c>
      <c r="B53" s="399">
        <v>6</v>
      </c>
      <c r="C53" s="417" t="s">
        <v>3242</v>
      </c>
      <c r="D53" s="417" t="s">
        <v>3243</v>
      </c>
      <c r="E53" s="417">
        <v>4</v>
      </c>
      <c r="F53" s="417" t="s">
        <v>2792</v>
      </c>
      <c r="G53" s="436"/>
      <c r="H53" s="418"/>
      <c r="I53" s="403">
        <f t="shared" si="4"/>
        <v>0</v>
      </c>
    </row>
    <row r="54" spans="1:9" s="420" customFormat="1" ht="28.5">
      <c r="A54" s="398" t="s">
        <v>3230</v>
      </c>
      <c r="B54" s="399">
        <v>7</v>
      </c>
      <c r="C54" s="417" t="s">
        <v>3244</v>
      </c>
      <c r="D54" s="417" t="s">
        <v>3245</v>
      </c>
      <c r="E54" s="417">
        <v>4</v>
      </c>
      <c r="F54" s="417" t="s">
        <v>2792</v>
      </c>
      <c r="G54" s="436"/>
      <c r="H54" s="418"/>
      <c r="I54" s="403">
        <f t="shared" si="4"/>
        <v>0</v>
      </c>
    </row>
    <row r="55" spans="1:9" s="420" customFormat="1" ht="28.5">
      <c r="A55" s="398" t="s">
        <v>3230</v>
      </c>
      <c r="B55" s="399">
        <v>8</v>
      </c>
      <c r="C55" s="417" t="s">
        <v>3246</v>
      </c>
      <c r="D55" s="417" t="s">
        <v>3247</v>
      </c>
      <c r="E55" s="417">
        <v>3</v>
      </c>
      <c r="F55" s="417" t="s">
        <v>2792</v>
      </c>
      <c r="G55" s="436"/>
      <c r="H55" s="418"/>
      <c r="I55" s="403">
        <f t="shared" si="4"/>
        <v>0</v>
      </c>
    </row>
    <row r="56" spans="1:9" s="420" customFormat="1" ht="28.5">
      <c r="A56" s="398" t="s">
        <v>3230</v>
      </c>
      <c r="B56" s="399">
        <v>9</v>
      </c>
      <c r="C56" s="417" t="s">
        <v>3248</v>
      </c>
      <c r="D56" s="417" t="s">
        <v>3249</v>
      </c>
      <c r="E56" s="417">
        <v>6</v>
      </c>
      <c r="F56" s="417" t="s">
        <v>2792</v>
      </c>
      <c r="G56" s="436"/>
      <c r="H56" s="418"/>
      <c r="I56" s="403">
        <f t="shared" si="4"/>
        <v>0</v>
      </c>
    </row>
    <row r="57" spans="1:9" s="420" customFormat="1" ht="28.5">
      <c r="A57" s="398" t="s">
        <v>3230</v>
      </c>
      <c r="B57" s="399">
        <v>10</v>
      </c>
      <c r="C57" s="417" t="s">
        <v>3250</v>
      </c>
      <c r="D57" s="417" t="s">
        <v>3251</v>
      </c>
      <c r="E57" s="417">
        <v>1</v>
      </c>
      <c r="F57" s="417" t="s">
        <v>2792</v>
      </c>
      <c r="G57" s="436"/>
      <c r="H57" s="418"/>
      <c r="I57" s="403">
        <f t="shared" si="4"/>
        <v>0</v>
      </c>
    </row>
    <row r="58" spans="1:9" s="420" customFormat="1" ht="28.5">
      <c r="A58" s="398" t="s">
        <v>3230</v>
      </c>
      <c r="B58" s="399">
        <v>11</v>
      </c>
      <c r="C58" s="417" t="s">
        <v>3252</v>
      </c>
      <c r="D58" s="417" t="s">
        <v>3253</v>
      </c>
      <c r="E58" s="417">
        <v>2</v>
      </c>
      <c r="F58" s="417" t="s">
        <v>2792</v>
      </c>
      <c r="G58" s="436"/>
      <c r="H58" s="418"/>
      <c r="I58" s="403">
        <f t="shared" si="4"/>
        <v>0</v>
      </c>
    </row>
    <row r="59" spans="1:9" s="420" customFormat="1" ht="28.5">
      <c r="A59" s="398" t="s">
        <v>3230</v>
      </c>
      <c r="B59" s="399">
        <v>12</v>
      </c>
      <c r="C59" s="417" t="s">
        <v>3254</v>
      </c>
      <c r="D59" s="417" t="s">
        <v>3255</v>
      </c>
      <c r="E59" s="417">
        <v>1</v>
      </c>
      <c r="F59" s="417" t="s">
        <v>2792</v>
      </c>
      <c r="G59" s="436"/>
      <c r="H59" s="418"/>
      <c r="I59" s="403">
        <f t="shared" si="4"/>
        <v>0</v>
      </c>
    </row>
    <row r="60" spans="1:9" s="420" customFormat="1" ht="28.5">
      <c r="A60" s="398" t="s">
        <v>3230</v>
      </c>
      <c r="B60" s="399">
        <v>13</v>
      </c>
      <c r="C60" s="417" t="s">
        <v>3256</v>
      </c>
      <c r="D60" s="417" t="s">
        <v>3257</v>
      </c>
      <c r="E60" s="417">
        <v>1</v>
      </c>
      <c r="F60" s="417" t="s">
        <v>2792</v>
      </c>
      <c r="G60" s="436"/>
      <c r="H60" s="418"/>
      <c r="I60" s="403">
        <f t="shared" si="4"/>
        <v>0</v>
      </c>
    </row>
    <row r="61" spans="1:9" s="420" customFormat="1" ht="12">
      <c r="A61" s="398" t="s">
        <v>3230</v>
      </c>
      <c r="B61" s="399">
        <v>14</v>
      </c>
      <c r="C61" s="417"/>
      <c r="D61" s="417" t="s">
        <v>3258</v>
      </c>
      <c r="E61" s="417">
        <v>27</v>
      </c>
      <c r="F61" s="417" t="s">
        <v>2792</v>
      </c>
      <c r="G61" s="436"/>
      <c r="H61" s="418"/>
      <c r="I61" s="403">
        <f t="shared" si="4"/>
        <v>0</v>
      </c>
    </row>
    <row r="62" spans="1:9" s="420" customFormat="1" ht="12">
      <c r="A62" s="398" t="s">
        <v>3230</v>
      </c>
      <c r="B62" s="399">
        <v>15</v>
      </c>
      <c r="C62" s="417"/>
      <c r="D62" s="417" t="s">
        <v>3259</v>
      </c>
      <c r="E62" s="417">
        <v>54</v>
      </c>
      <c r="F62" s="417" t="s">
        <v>2792</v>
      </c>
      <c r="G62" s="436"/>
      <c r="H62" s="418"/>
      <c r="I62" s="403">
        <f t="shared" si="4"/>
        <v>0</v>
      </c>
    </row>
    <row r="63" spans="1:9" s="420" customFormat="1" ht="12">
      <c r="A63" s="398" t="s">
        <v>3230</v>
      </c>
      <c r="B63" s="399">
        <v>16</v>
      </c>
      <c r="C63" s="417"/>
      <c r="D63" s="417" t="s">
        <v>3260</v>
      </c>
      <c r="E63" s="417">
        <v>54</v>
      </c>
      <c r="F63" s="417" t="s">
        <v>2792</v>
      </c>
      <c r="G63" s="436"/>
      <c r="H63" s="418"/>
      <c r="I63" s="403">
        <f t="shared" si="4"/>
        <v>0</v>
      </c>
    </row>
    <row r="64" spans="1:9" s="420" customFormat="1" ht="12">
      <c r="A64" s="398" t="s">
        <v>3230</v>
      </c>
      <c r="B64" s="399">
        <v>17</v>
      </c>
      <c r="C64" s="417"/>
      <c r="D64" s="417" t="s">
        <v>3261</v>
      </c>
      <c r="E64" s="417">
        <v>27</v>
      </c>
      <c r="F64" s="417" t="s">
        <v>2792</v>
      </c>
      <c r="G64" s="436"/>
      <c r="H64" s="418"/>
      <c r="I64" s="403">
        <f t="shared" si="4"/>
        <v>0</v>
      </c>
    </row>
    <row r="65" spans="1:9" s="420" customFormat="1" ht="28.5">
      <c r="A65" s="398" t="s">
        <v>3230</v>
      </c>
      <c r="B65" s="399">
        <v>18</v>
      </c>
      <c r="C65" s="417"/>
      <c r="D65" s="417" t="s">
        <v>3262</v>
      </c>
      <c r="E65" s="417">
        <v>27</v>
      </c>
      <c r="F65" s="417" t="s">
        <v>2792</v>
      </c>
      <c r="G65" s="436"/>
      <c r="H65" s="418"/>
      <c r="I65" s="403">
        <f t="shared" si="4"/>
        <v>0</v>
      </c>
    </row>
    <row r="66" spans="2:9" ht="12">
      <c r="B66" s="399"/>
      <c r="C66" s="399"/>
      <c r="D66" s="399"/>
      <c r="F66" s="399"/>
      <c r="G66" s="415"/>
      <c r="I66" s="403"/>
    </row>
    <row r="67" spans="1:9" s="400" customFormat="1" ht="15">
      <c r="A67" s="430" t="s">
        <v>3263</v>
      </c>
      <c r="B67" s="433"/>
      <c r="C67" s="433"/>
      <c r="D67" s="437" t="s">
        <v>3264</v>
      </c>
      <c r="E67" s="404"/>
      <c r="F67" s="433"/>
      <c r="G67" s="434"/>
      <c r="H67" s="435"/>
      <c r="I67" s="435"/>
    </row>
    <row r="68" spans="1:9" ht="12">
      <c r="A68" s="430" t="s">
        <v>3263</v>
      </c>
      <c r="B68" s="399">
        <v>1</v>
      </c>
      <c r="C68" s="399"/>
      <c r="D68" s="417" t="s">
        <v>3203</v>
      </c>
      <c r="E68" s="398">
        <v>6</v>
      </c>
      <c r="F68" s="399" t="s">
        <v>249</v>
      </c>
      <c r="G68" s="399"/>
      <c r="H68" s="418"/>
      <c r="I68" s="403">
        <f aca="true" t="shared" si="5" ref="I68:I86">E68*H68</f>
        <v>0</v>
      </c>
    </row>
    <row r="69" spans="1:9" ht="12">
      <c r="A69" s="430" t="s">
        <v>3263</v>
      </c>
      <c r="B69" s="399">
        <v>2</v>
      </c>
      <c r="C69" s="399"/>
      <c r="D69" s="417" t="s">
        <v>3204</v>
      </c>
      <c r="E69" s="398">
        <v>1</v>
      </c>
      <c r="F69" s="399" t="s">
        <v>2843</v>
      </c>
      <c r="G69" s="399"/>
      <c r="H69" s="418"/>
      <c r="I69" s="403">
        <f t="shared" si="5"/>
        <v>0</v>
      </c>
    </row>
    <row r="70" spans="1:9" ht="12">
      <c r="A70" s="430" t="s">
        <v>3263</v>
      </c>
      <c r="B70" s="399">
        <v>3</v>
      </c>
      <c r="C70" s="399"/>
      <c r="D70" s="417" t="s">
        <v>3265</v>
      </c>
      <c r="E70" s="398">
        <v>1</v>
      </c>
      <c r="F70" s="399" t="s">
        <v>2843</v>
      </c>
      <c r="G70" s="399"/>
      <c r="H70" s="418"/>
      <c r="I70" s="403">
        <f t="shared" si="5"/>
        <v>0</v>
      </c>
    </row>
    <row r="71" spans="1:10" s="432" customFormat="1" ht="12">
      <c r="A71" s="430" t="s">
        <v>3263</v>
      </c>
      <c r="B71" s="399">
        <v>4</v>
      </c>
      <c r="C71" s="429"/>
      <c r="D71" s="432" t="s">
        <v>3266</v>
      </c>
      <c r="E71" s="432">
        <v>235</v>
      </c>
      <c r="F71" s="432" t="s">
        <v>249</v>
      </c>
      <c r="G71" s="438"/>
      <c r="H71" s="418"/>
      <c r="I71" s="403">
        <f t="shared" si="5"/>
        <v>0</v>
      </c>
      <c r="J71" s="431"/>
    </row>
    <row r="72" spans="1:9" s="400" customFormat="1" ht="12">
      <c r="A72" s="430" t="s">
        <v>3263</v>
      </c>
      <c r="B72" s="399">
        <v>5</v>
      </c>
      <c r="C72" s="433"/>
      <c r="D72" s="432" t="s">
        <v>3267</v>
      </c>
      <c r="E72" s="432">
        <v>55</v>
      </c>
      <c r="F72" s="432" t="s">
        <v>249</v>
      </c>
      <c r="G72" s="434"/>
      <c r="H72" s="418"/>
      <c r="I72" s="403">
        <f t="shared" si="5"/>
        <v>0</v>
      </c>
    </row>
    <row r="73" spans="1:9" s="432" customFormat="1" ht="12">
      <c r="A73" s="430" t="s">
        <v>3263</v>
      </c>
      <c r="B73" s="399">
        <v>6</v>
      </c>
      <c r="C73" s="429"/>
      <c r="D73" s="432" t="s">
        <v>3268</v>
      </c>
      <c r="E73" s="432">
        <v>28</v>
      </c>
      <c r="F73" s="432" t="s">
        <v>249</v>
      </c>
      <c r="G73" s="438"/>
      <c r="H73" s="418"/>
      <c r="I73" s="403">
        <f t="shared" si="5"/>
        <v>0</v>
      </c>
    </row>
    <row r="74" spans="1:9" s="432" customFormat="1" ht="12">
      <c r="A74" s="430" t="s">
        <v>3263</v>
      </c>
      <c r="B74" s="399">
        <v>7</v>
      </c>
      <c r="C74" s="429"/>
      <c r="D74" s="432" t="s">
        <v>3269</v>
      </c>
      <c r="E74" s="432">
        <v>28</v>
      </c>
      <c r="F74" s="432" t="s">
        <v>249</v>
      </c>
      <c r="G74" s="438"/>
      <c r="H74" s="418"/>
      <c r="I74" s="403">
        <f t="shared" si="5"/>
        <v>0</v>
      </c>
    </row>
    <row r="75" spans="1:9" s="432" customFormat="1" ht="12">
      <c r="A75" s="430" t="s">
        <v>3263</v>
      </c>
      <c r="B75" s="399">
        <v>8</v>
      </c>
      <c r="C75" s="429"/>
      <c r="D75" s="432" t="s">
        <v>3270</v>
      </c>
      <c r="E75" s="432">
        <v>35</v>
      </c>
      <c r="F75" s="432" t="s">
        <v>249</v>
      </c>
      <c r="G75" s="438"/>
      <c r="H75" s="418"/>
      <c r="I75" s="403">
        <f t="shared" si="5"/>
        <v>0</v>
      </c>
    </row>
    <row r="76" spans="1:9" s="432" customFormat="1" ht="12">
      <c r="A76" s="430" t="s">
        <v>3263</v>
      </c>
      <c r="B76" s="399">
        <v>9</v>
      </c>
      <c r="C76" s="429"/>
      <c r="D76" s="432" t="s">
        <v>3271</v>
      </c>
      <c r="E76" s="432">
        <v>35</v>
      </c>
      <c r="F76" s="432" t="s">
        <v>249</v>
      </c>
      <c r="G76" s="438"/>
      <c r="H76" s="418"/>
      <c r="I76" s="403">
        <f t="shared" si="5"/>
        <v>0</v>
      </c>
    </row>
    <row r="77" spans="1:9" s="432" customFormat="1" ht="12">
      <c r="A77" s="430" t="s">
        <v>3263</v>
      </c>
      <c r="B77" s="399">
        <v>10</v>
      </c>
      <c r="C77" s="429"/>
      <c r="D77" s="432" t="s">
        <v>3272</v>
      </c>
      <c r="E77" s="432">
        <v>18</v>
      </c>
      <c r="F77" s="432" t="s">
        <v>249</v>
      </c>
      <c r="G77" s="438"/>
      <c r="H77" s="418"/>
      <c r="I77" s="403">
        <f t="shared" si="5"/>
        <v>0</v>
      </c>
    </row>
    <row r="78" spans="1:9" s="432" customFormat="1" ht="12">
      <c r="A78" s="430" t="s">
        <v>3263</v>
      </c>
      <c r="B78" s="399">
        <v>11</v>
      </c>
      <c r="C78" s="429"/>
      <c r="D78" s="432" t="s">
        <v>3273</v>
      </c>
      <c r="E78" s="430">
        <v>1</v>
      </c>
      <c r="F78" s="432" t="s">
        <v>2843</v>
      </c>
      <c r="G78" s="438"/>
      <c r="H78" s="418"/>
      <c r="I78" s="403">
        <f t="shared" si="5"/>
        <v>0</v>
      </c>
    </row>
    <row r="79" spans="1:9" s="400" customFormat="1" ht="12">
      <c r="A79" s="430" t="s">
        <v>3263</v>
      </c>
      <c r="B79" s="399">
        <v>12</v>
      </c>
      <c r="C79" s="433"/>
      <c r="D79" s="400" t="s">
        <v>3274</v>
      </c>
      <c r="E79" s="400">
        <v>235</v>
      </c>
      <c r="F79" s="400" t="s">
        <v>249</v>
      </c>
      <c r="H79" s="418"/>
      <c r="I79" s="403">
        <f t="shared" si="5"/>
        <v>0</v>
      </c>
    </row>
    <row r="80" spans="1:9" s="400" customFormat="1" ht="12">
      <c r="A80" s="430" t="s">
        <v>3263</v>
      </c>
      <c r="B80" s="399">
        <v>13</v>
      </c>
      <c r="C80" s="433"/>
      <c r="D80" s="400" t="s">
        <v>3275</v>
      </c>
      <c r="E80" s="400">
        <v>55</v>
      </c>
      <c r="F80" s="400" t="s">
        <v>249</v>
      </c>
      <c r="G80" s="434"/>
      <c r="H80" s="418"/>
      <c r="I80" s="403">
        <f t="shared" si="5"/>
        <v>0</v>
      </c>
    </row>
    <row r="81" spans="1:9" ht="12">
      <c r="A81" s="430" t="s">
        <v>3263</v>
      </c>
      <c r="B81" s="399">
        <v>14</v>
      </c>
      <c r="C81" s="399"/>
      <c r="D81" s="400" t="s">
        <v>3276</v>
      </c>
      <c r="E81" s="400">
        <v>28</v>
      </c>
      <c r="F81" s="400" t="s">
        <v>249</v>
      </c>
      <c r="G81" s="415"/>
      <c r="H81" s="418"/>
      <c r="I81" s="403">
        <f t="shared" si="5"/>
        <v>0</v>
      </c>
    </row>
    <row r="82" spans="1:9" ht="12">
      <c r="A82" s="430" t="s">
        <v>3263</v>
      </c>
      <c r="B82" s="399">
        <v>15</v>
      </c>
      <c r="C82" s="399"/>
      <c r="D82" s="400" t="s">
        <v>3277</v>
      </c>
      <c r="E82" s="400">
        <v>28</v>
      </c>
      <c r="F82" s="400" t="s">
        <v>249</v>
      </c>
      <c r="G82" s="415"/>
      <c r="H82" s="418"/>
      <c r="I82" s="403">
        <f t="shared" si="5"/>
        <v>0</v>
      </c>
    </row>
    <row r="83" spans="1:9" ht="12">
      <c r="A83" s="430" t="s">
        <v>3263</v>
      </c>
      <c r="B83" s="399">
        <v>16</v>
      </c>
      <c r="C83" s="399"/>
      <c r="D83" s="400" t="s">
        <v>3278</v>
      </c>
      <c r="E83" s="400">
        <v>35</v>
      </c>
      <c r="F83" s="400" t="s">
        <v>249</v>
      </c>
      <c r="G83" s="415"/>
      <c r="H83" s="418"/>
      <c r="I83" s="403">
        <f t="shared" si="5"/>
        <v>0</v>
      </c>
    </row>
    <row r="84" spans="1:9" ht="12">
      <c r="A84" s="430" t="s">
        <v>3263</v>
      </c>
      <c r="B84" s="399">
        <v>17</v>
      </c>
      <c r="C84" s="399"/>
      <c r="D84" s="400" t="s">
        <v>3279</v>
      </c>
      <c r="E84" s="400">
        <v>35</v>
      </c>
      <c r="F84" s="400" t="s">
        <v>249</v>
      </c>
      <c r="G84" s="415"/>
      <c r="H84" s="418"/>
      <c r="I84" s="403">
        <f t="shared" si="5"/>
        <v>0</v>
      </c>
    </row>
    <row r="85" spans="1:9" ht="12">
      <c r="A85" s="430" t="s">
        <v>3263</v>
      </c>
      <c r="B85" s="399">
        <v>18</v>
      </c>
      <c r="C85" s="399"/>
      <c r="D85" s="400" t="s">
        <v>3280</v>
      </c>
      <c r="E85" s="400">
        <v>18</v>
      </c>
      <c r="F85" s="400" t="s">
        <v>249</v>
      </c>
      <c r="G85" s="415"/>
      <c r="H85" s="418"/>
      <c r="I85" s="403">
        <f t="shared" si="5"/>
        <v>0</v>
      </c>
    </row>
    <row r="86" spans="1:9" ht="18">
      <c r="A86" s="430" t="s">
        <v>3263</v>
      </c>
      <c r="B86" s="399">
        <v>19</v>
      </c>
      <c r="C86" s="399"/>
      <c r="D86" s="417" t="s">
        <v>3281</v>
      </c>
      <c r="E86" s="398">
        <v>6</v>
      </c>
      <c r="F86" s="399" t="s">
        <v>249</v>
      </c>
      <c r="G86" s="399"/>
      <c r="H86" s="418"/>
      <c r="I86" s="403">
        <f t="shared" si="5"/>
        <v>0</v>
      </c>
    </row>
    <row r="87" spans="2:9" ht="12">
      <c r="B87" s="399"/>
      <c r="C87" s="399"/>
      <c r="D87" s="400"/>
      <c r="E87" s="404"/>
      <c r="F87" s="400"/>
      <c r="G87" s="415"/>
      <c r="I87" s="403"/>
    </row>
    <row r="88" spans="1:9" s="432" customFormat="1" ht="15">
      <c r="A88" s="404" t="s">
        <v>3282</v>
      </c>
      <c r="B88" s="429"/>
      <c r="D88" s="401" t="s">
        <v>3283</v>
      </c>
      <c r="E88" s="404"/>
      <c r="H88" s="431"/>
      <c r="I88" s="431"/>
    </row>
    <row r="89" spans="1:9" s="432" customFormat="1" ht="12">
      <c r="A89" s="404" t="s">
        <v>3282</v>
      </c>
      <c r="B89" s="429">
        <v>1</v>
      </c>
      <c r="D89" s="432" t="s">
        <v>3284</v>
      </c>
      <c r="E89" s="404">
        <v>2</v>
      </c>
      <c r="F89" s="432" t="s">
        <v>2792</v>
      </c>
      <c r="G89" s="432" t="s">
        <v>3226</v>
      </c>
      <c r="H89" s="418"/>
      <c r="I89" s="435">
        <f aca="true" t="shared" si="6" ref="I89:I99">E89*H89</f>
        <v>0</v>
      </c>
    </row>
    <row r="90" spans="1:9" s="432" customFormat="1" ht="12">
      <c r="A90" s="404" t="s">
        <v>3282</v>
      </c>
      <c r="B90" s="429">
        <v>2</v>
      </c>
      <c r="D90" s="432" t="s">
        <v>3216</v>
      </c>
      <c r="E90" s="430">
        <v>2</v>
      </c>
      <c r="F90" s="432" t="s">
        <v>2792</v>
      </c>
      <c r="G90" s="432" t="s">
        <v>3217</v>
      </c>
      <c r="H90" s="418"/>
      <c r="I90" s="435">
        <f t="shared" si="6"/>
        <v>0</v>
      </c>
    </row>
    <row r="91" spans="1:9" s="432" customFormat="1" ht="12">
      <c r="A91" s="404" t="s">
        <v>3282</v>
      </c>
      <c r="B91" s="429">
        <v>3</v>
      </c>
      <c r="D91" s="432" t="s">
        <v>3218</v>
      </c>
      <c r="E91" s="430">
        <v>1</v>
      </c>
      <c r="F91" s="432" t="s">
        <v>2792</v>
      </c>
      <c r="G91" s="432" t="s">
        <v>3219</v>
      </c>
      <c r="H91" s="418"/>
      <c r="I91" s="435">
        <f t="shared" si="6"/>
        <v>0</v>
      </c>
    </row>
    <row r="92" spans="1:9" s="432" customFormat="1" ht="28.5">
      <c r="A92" s="404" t="s">
        <v>3282</v>
      </c>
      <c r="B92" s="429">
        <v>4</v>
      </c>
      <c r="D92" s="432" t="s">
        <v>3285</v>
      </c>
      <c r="E92" s="430">
        <v>1</v>
      </c>
      <c r="F92" s="432" t="s">
        <v>2792</v>
      </c>
      <c r="G92" s="432" t="s">
        <v>3286</v>
      </c>
      <c r="H92" s="418"/>
      <c r="I92" s="435">
        <f t="shared" si="6"/>
        <v>0</v>
      </c>
    </row>
    <row r="93" spans="1:9" s="432" customFormat="1" ht="28.5">
      <c r="A93" s="404" t="s">
        <v>3282</v>
      </c>
      <c r="B93" s="429">
        <v>5</v>
      </c>
      <c r="D93" s="432" t="s">
        <v>3287</v>
      </c>
      <c r="E93" s="430">
        <v>1</v>
      </c>
      <c r="F93" s="432" t="s">
        <v>2792</v>
      </c>
      <c r="G93" s="432" t="s">
        <v>3288</v>
      </c>
      <c r="H93" s="418"/>
      <c r="I93" s="435">
        <f t="shared" si="6"/>
        <v>0</v>
      </c>
    </row>
    <row r="94" spans="1:9" s="432" customFormat="1" ht="12">
      <c r="A94" s="404" t="s">
        <v>3282</v>
      </c>
      <c r="B94" s="429">
        <v>6</v>
      </c>
      <c r="D94" s="432" t="s">
        <v>3289</v>
      </c>
      <c r="E94" s="430">
        <v>3</v>
      </c>
      <c r="F94" s="432" t="s">
        <v>2843</v>
      </c>
      <c r="G94" s="432" t="s">
        <v>3221</v>
      </c>
      <c r="H94" s="418"/>
      <c r="I94" s="435">
        <f t="shared" si="6"/>
        <v>0</v>
      </c>
    </row>
    <row r="95" spans="1:9" s="432" customFormat="1" ht="12">
      <c r="A95" s="404" t="s">
        <v>3282</v>
      </c>
      <c r="B95" s="429">
        <v>7</v>
      </c>
      <c r="D95" s="432" t="s">
        <v>3290</v>
      </c>
      <c r="E95" s="430">
        <v>1</v>
      </c>
      <c r="F95" s="432" t="s">
        <v>2792</v>
      </c>
      <c r="G95" s="432" t="s">
        <v>3291</v>
      </c>
      <c r="H95" s="418"/>
      <c r="I95" s="435">
        <f t="shared" si="6"/>
        <v>0</v>
      </c>
    </row>
    <row r="96" spans="1:9" s="432" customFormat="1" ht="28.5">
      <c r="A96" s="404" t="s">
        <v>3282</v>
      </c>
      <c r="B96" s="429">
        <v>8</v>
      </c>
      <c r="D96" s="432" t="s">
        <v>3292</v>
      </c>
      <c r="E96" s="430">
        <v>1</v>
      </c>
      <c r="F96" s="432" t="s">
        <v>2792</v>
      </c>
      <c r="G96" s="432" t="s">
        <v>3293</v>
      </c>
      <c r="H96" s="418"/>
      <c r="I96" s="435">
        <f t="shared" si="6"/>
        <v>0</v>
      </c>
    </row>
    <row r="97" spans="1:9" s="432" customFormat="1" ht="28.5">
      <c r="A97" s="404" t="s">
        <v>3282</v>
      </c>
      <c r="B97" s="429">
        <v>9</v>
      </c>
      <c r="D97" s="432" t="s">
        <v>3294</v>
      </c>
      <c r="E97" s="430">
        <v>1</v>
      </c>
      <c r="F97" s="432" t="s">
        <v>2792</v>
      </c>
      <c r="G97" s="432" t="s">
        <v>3295</v>
      </c>
      <c r="H97" s="418"/>
      <c r="I97" s="435">
        <f t="shared" si="6"/>
        <v>0</v>
      </c>
    </row>
    <row r="98" spans="1:9" s="432" customFormat="1" ht="12">
      <c r="A98" s="404" t="s">
        <v>3282</v>
      </c>
      <c r="B98" s="429">
        <v>10</v>
      </c>
      <c r="D98" s="432" t="s">
        <v>3296</v>
      </c>
      <c r="E98" s="430">
        <v>1</v>
      </c>
      <c r="F98" s="432" t="s">
        <v>2792</v>
      </c>
      <c r="G98" s="432" t="s">
        <v>3295</v>
      </c>
      <c r="H98" s="418"/>
      <c r="I98" s="435">
        <f t="shared" si="6"/>
        <v>0</v>
      </c>
    </row>
    <row r="99" spans="1:9" s="432" customFormat="1" ht="12">
      <c r="A99" s="404" t="s">
        <v>3282</v>
      </c>
      <c r="B99" s="429">
        <v>11</v>
      </c>
      <c r="D99" s="432" t="s">
        <v>3297</v>
      </c>
      <c r="E99" s="430">
        <v>1</v>
      </c>
      <c r="F99" s="432" t="s">
        <v>2843</v>
      </c>
      <c r="H99" s="418"/>
      <c r="I99" s="435">
        <f t="shared" si="6"/>
        <v>0</v>
      </c>
    </row>
    <row r="100" spans="1:9" ht="12">
      <c r="A100" s="404" t="s">
        <v>3282</v>
      </c>
      <c r="B100" s="429">
        <v>12</v>
      </c>
      <c r="C100" s="399"/>
      <c r="D100" s="429" t="s">
        <v>3228</v>
      </c>
      <c r="E100" s="398">
        <v>4</v>
      </c>
      <c r="F100" s="399" t="s">
        <v>2792</v>
      </c>
      <c r="G100" s="415" t="s">
        <v>3298</v>
      </c>
      <c r="H100" s="418"/>
      <c r="I100" s="403">
        <f>E100*H100</f>
        <v>0</v>
      </c>
    </row>
    <row r="101" spans="1:9" ht="12">
      <c r="A101" s="404"/>
      <c r="B101" s="429"/>
      <c r="C101" s="399"/>
      <c r="D101" s="429" t="s">
        <v>3299</v>
      </c>
      <c r="E101" s="398">
        <v>1</v>
      </c>
      <c r="F101" s="399" t="s">
        <v>2792</v>
      </c>
      <c r="G101" s="415"/>
      <c r="H101" s="418"/>
      <c r="I101" s="403">
        <f>E101*H101</f>
        <v>0</v>
      </c>
    </row>
    <row r="102" spans="1:9" ht="15">
      <c r="A102" s="402"/>
      <c r="B102" s="417"/>
      <c r="D102" s="414" t="s">
        <v>3300</v>
      </c>
      <c r="H102" s="418"/>
      <c r="I102" s="439">
        <f>SUM(I6:I101)</f>
        <v>0</v>
      </c>
    </row>
    <row r="103" spans="1:14" ht="12">
      <c r="A103" s="404"/>
      <c r="B103" s="399"/>
      <c r="G103" s="402"/>
      <c r="H103" s="440"/>
      <c r="I103" s="435"/>
      <c r="N103" s="420"/>
    </row>
    <row r="104" spans="1:8" s="400" customFormat="1" ht="15">
      <c r="A104" s="430" t="s">
        <v>3301</v>
      </c>
      <c r="D104" s="401" t="s">
        <v>3302</v>
      </c>
      <c r="E104" s="404"/>
      <c r="G104" s="435"/>
      <c r="H104" s="440"/>
    </row>
    <row r="105" spans="1:9" s="432" customFormat="1" ht="57">
      <c r="A105" s="430" t="s">
        <v>3301</v>
      </c>
      <c r="B105" s="429">
        <v>1</v>
      </c>
      <c r="D105" s="432" t="s">
        <v>3303</v>
      </c>
      <c r="E105" s="430">
        <v>1</v>
      </c>
      <c r="F105" s="432" t="s">
        <v>2843</v>
      </c>
      <c r="G105" s="431"/>
      <c r="H105" s="418"/>
      <c r="I105" s="403">
        <f aca="true" t="shared" si="7" ref="I105:I110">E105*H105</f>
        <v>0</v>
      </c>
    </row>
    <row r="106" spans="1:9" s="432" customFormat="1" ht="28.5">
      <c r="A106" s="430" t="s">
        <v>3301</v>
      </c>
      <c r="B106" s="429">
        <v>2</v>
      </c>
      <c r="D106" s="432" t="s">
        <v>3304</v>
      </c>
      <c r="E106" s="430">
        <v>1</v>
      </c>
      <c r="F106" s="432" t="s">
        <v>2843</v>
      </c>
      <c r="G106" s="431"/>
      <c r="H106" s="418"/>
      <c r="I106" s="403">
        <f t="shared" si="7"/>
        <v>0</v>
      </c>
    </row>
    <row r="107" spans="1:9" s="432" customFormat="1" ht="28.5">
      <c r="A107" s="430" t="s">
        <v>3301</v>
      </c>
      <c r="B107" s="429">
        <v>3</v>
      </c>
      <c r="D107" s="432" t="s">
        <v>3305</v>
      </c>
      <c r="E107" s="432">
        <v>1</v>
      </c>
      <c r="F107" s="432" t="s">
        <v>2843</v>
      </c>
      <c r="H107" s="418"/>
      <c r="I107" s="431">
        <f t="shared" si="7"/>
        <v>0</v>
      </c>
    </row>
    <row r="108" spans="1:9" s="400" customFormat="1" ht="12">
      <c r="A108" s="430" t="s">
        <v>3301</v>
      </c>
      <c r="B108" s="429">
        <v>4</v>
      </c>
      <c r="D108" s="400" t="s">
        <v>3306</v>
      </c>
      <c r="E108" s="400">
        <v>1</v>
      </c>
      <c r="F108" s="400" t="s">
        <v>2843</v>
      </c>
      <c r="H108" s="418"/>
      <c r="I108" s="435">
        <f t="shared" si="7"/>
        <v>0</v>
      </c>
    </row>
    <row r="109" spans="1:9" s="400" customFormat="1" ht="12">
      <c r="A109" s="430" t="s">
        <v>3301</v>
      </c>
      <c r="B109" s="429">
        <v>5</v>
      </c>
      <c r="D109" s="432" t="s">
        <v>3307</v>
      </c>
      <c r="E109" s="404">
        <v>1</v>
      </c>
      <c r="F109" s="400" t="s">
        <v>2843</v>
      </c>
      <c r="H109" s="418"/>
      <c r="I109" s="403">
        <f>E109*H109</f>
        <v>0</v>
      </c>
    </row>
    <row r="110" spans="1:9" s="400" customFormat="1" ht="42.75">
      <c r="A110" s="430" t="s">
        <v>3301</v>
      </c>
      <c r="B110" s="429">
        <v>6</v>
      </c>
      <c r="D110" s="432" t="s">
        <v>3308</v>
      </c>
      <c r="E110" s="404">
        <v>1</v>
      </c>
      <c r="F110" s="400" t="s">
        <v>2843</v>
      </c>
      <c r="G110" s="435"/>
      <c r="H110" s="418"/>
      <c r="I110" s="403">
        <f t="shared" si="7"/>
        <v>0</v>
      </c>
    </row>
    <row r="111" spans="4:9" ht="15">
      <c r="D111" s="441" t="s">
        <v>3309</v>
      </c>
      <c r="I111" s="439">
        <f>SUM(I105:I110)</f>
        <v>0</v>
      </c>
    </row>
    <row r="113" spans="1:9" s="441" customFormat="1" ht="15">
      <c r="A113" s="442"/>
      <c r="D113" s="441" t="s">
        <v>3310</v>
      </c>
      <c r="E113" s="442"/>
      <c r="G113" s="439"/>
      <c r="H113" s="439"/>
      <c r="I113" s="443">
        <f>I111+I102</f>
        <v>0</v>
      </c>
    </row>
  </sheetData>
  <mergeCells count="1">
    <mergeCell ref="A3:B3"/>
  </mergeCells>
  <printOptions/>
  <pageMargins left="0.629921259842519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8328-AC4E-4650-99EA-1FE22A65BB1C}">
  <dimension ref="A1:Q70"/>
  <sheetViews>
    <sheetView workbookViewId="0" topLeftCell="A1"/>
  </sheetViews>
  <sheetFormatPr defaultColWidth="8.8515625" defaultRowHeight="12"/>
  <cols>
    <col min="1" max="1" width="10.421875" style="445" customWidth="1"/>
    <col min="2" max="2" width="0.13671875" style="445" customWidth="1"/>
    <col min="3" max="3" width="11.140625" style="445" hidden="1" customWidth="1"/>
    <col min="4" max="4" width="27.421875" style="445" customWidth="1"/>
    <col min="5" max="5" width="72.00390625" style="445" customWidth="1"/>
    <col min="6" max="6" width="7.140625" style="445" customWidth="1"/>
    <col min="7" max="7" width="6.8515625" style="445" customWidth="1"/>
    <col min="8" max="8" width="11.140625" style="445" hidden="1" customWidth="1"/>
    <col min="9" max="9" width="14.7109375" style="445" customWidth="1"/>
    <col min="10" max="10" width="19.421875" style="445" customWidth="1"/>
    <col min="11" max="11" width="14.7109375" style="445" customWidth="1"/>
    <col min="12" max="12" width="6.00390625" style="445" customWidth="1"/>
    <col min="13" max="13" width="46.140625" style="445" customWidth="1"/>
    <col min="14" max="21" width="8.8515625" style="445" customWidth="1"/>
    <col min="22" max="22" width="15.421875" style="445" bestFit="1" customWidth="1"/>
    <col min="23" max="16384" width="8.8515625" style="445" customWidth="1"/>
  </cols>
  <sheetData>
    <row r="1" spans="1:7" ht="12">
      <c r="A1" s="444"/>
      <c r="B1" s="444"/>
      <c r="C1" s="444"/>
      <c r="D1" s="444"/>
      <c r="E1" s="444"/>
      <c r="F1" s="444"/>
      <c r="G1" s="444"/>
    </row>
    <row r="2" spans="1:11" ht="15.75">
      <c r="A2" s="446" t="s">
        <v>3311</v>
      </c>
      <c r="B2" s="446"/>
      <c r="C2" s="446"/>
      <c r="D2" s="446"/>
      <c r="E2" s="446"/>
      <c r="F2" s="447"/>
      <c r="G2" s="447"/>
      <c r="H2" s="448"/>
      <c r="I2" s="448"/>
      <c r="J2" s="448"/>
      <c r="K2" s="448"/>
    </row>
    <row r="3" spans="1:11" ht="15.75">
      <c r="A3" s="446" t="s">
        <v>3312</v>
      </c>
      <c r="B3" s="446"/>
      <c r="C3" s="446"/>
      <c r="D3" s="446"/>
      <c r="E3" s="446"/>
      <c r="F3" s="447"/>
      <c r="G3" s="447"/>
      <c r="H3" s="448"/>
      <c r="I3" s="448"/>
      <c r="J3" s="448"/>
      <c r="K3" s="448"/>
    </row>
    <row r="4" spans="1:11" ht="12">
      <c r="A4" s="447"/>
      <c r="B4" s="447"/>
      <c r="C4" s="447"/>
      <c r="D4" s="447"/>
      <c r="E4" s="447"/>
      <c r="F4" s="447"/>
      <c r="G4" s="447"/>
      <c r="H4" s="448"/>
      <c r="I4" s="448"/>
      <c r="J4" s="448"/>
      <c r="K4" s="448"/>
    </row>
    <row r="5" spans="1:17" ht="12">
      <c r="A5" s="447" t="s">
        <v>3313</v>
      </c>
      <c r="B5" s="447"/>
      <c r="C5" s="447"/>
      <c r="D5" s="447" t="s">
        <v>3314</v>
      </c>
      <c r="E5" s="447" t="s">
        <v>3315</v>
      </c>
      <c r="F5" s="447" t="s">
        <v>3316</v>
      </c>
      <c r="G5" s="447" t="s">
        <v>113</v>
      </c>
      <c r="H5" s="448"/>
      <c r="I5" s="449" t="s">
        <v>3317</v>
      </c>
      <c r="J5" s="449" t="s">
        <v>2944</v>
      </c>
      <c r="K5" s="449" t="s">
        <v>2943</v>
      </c>
      <c r="O5" s="450"/>
      <c r="P5" s="450"/>
      <c r="Q5" s="450"/>
    </row>
    <row r="6" spans="1:11" ht="12.75" customHeight="1">
      <c r="A6" s="447"/>
      <c r="B6" s="447"/>
      <c r="C6" s="447"/>
      <c r="D6" s="451"/>
      <c r="E6" s="447"/>
      <c r="F6" s="447"/>
      <c r="G6" s="447"/>
      <c r="H6" s="448"/>
      <c r="I6" s="448"/>
      <c r="J6" s="448"/>
      <c r="K6" s="448"/>
    </row>
    <row r="7" spans="1:13" ht="12.75" customHeight="1">
      <c r="A7" s="447"/>
      <c r="B7" s="447"/>
      <c r="C7" s="447"/>
      <c r="D7" s="451"/>
      <c r="E7" s="447"/>
      <c r="F7" s="447"/>
      <c r="G7" s="447"/>
      <c r="H7" s="448"/>
      <c r="I7" s="448"/>
      <c r="J7" s="448"/>
      <c r="K7" s="448"/>
      <c r="M7" s="452"/>
    </row>
    <row r="8" spans="1:13" ht="12.75" customHeight="1">
      <c r="A8" s="447"/>
      <c r="B8" s="447"/>
      <c r="C8" s="447"/>
      <c r="D8" s="451"/>
      <c r="E8" s="447"/>
      <c r="F8" s="447"/>
      <c r="G8" s="447"/>
      <c r="H8" s="448"/>
      <c r="I8" s="448"/>
      <c r="J8" s="448"/>
      <c r="K8" s="448"/>
      <c r="M8" s="452"/>
    </row>
    <row r="9" spans="1:13" ht="12">
      <c r="A9" s="447"/>
      <c r="B9" s="447"/>
      <c r="C9" s="447"/>
      <c r="D9" s="451"/>
      <c r="E9" s="447"/>
      <c r="F9" s="447"/>
      <c r="G9" s="447"/>
      <c r="H9" s="448"/>
      <c r="I9" s="448"/>
      <c r="J9" s="448"/>
      <c r="K9" s="448"/>
      <c r="M9" s="452"/>
    </row>
    <row r="10" spans="1:13" ht="18">
      <c r="A10" s="453">
        <v>101</v>
      </c>
      <c r="B10" s="447"/>
      <c r="C10" s="447"/>
      <c r="D10" s="451"/>
      <c r="E10" s="446" t="s">
        <v>3318</v>
      </c>
      <c r="F10" s="447"/>
      <c r="G10" s="447"/>
      <c r="H10" s="448"/>
      <c r="I10" s="448"/>
      <c r="J10" s="448"/>
      <c r="K10" s="448"/>
      <c r="M10" s="452"/>
    </row>
    <row r="11" spans="1:13" ht="12">
      <c r="A11" s="447"/>
      <c r="B11" s="447"/>
      <c r="C11" s="447"/>
      <c r="D11" s="451"/>
      <c r="E11" s="447"/>
      <c r="F11" s="447"/>
      <c r="G11" s="447"/>
      <c r="H11" s="448"/>
      <c r="I11" s="448"/>
      <c r="J11" s="448"/>
      <c r="K11" s="448"/>
      <c r="M11" s="452"/>
    </row>
    <row r="12" spans="1:11" ht="25.7" customHeight="1">
      <c r="A12" s="454">
        <v>101</v>
      </c>
      <c r="B12" s="447"/>
      <c r="C12" s="447"/>
      <c r="D12" s="448" t="s">
        <v>3319</v>
      </c>
      <c r="E12" s="455" t="s">
        <v>3320</v>
      </c>
      <c r="F12" s="448">
        <v>1</v>
      </c>
      <c r="G12" s="448" t="s">
        <v>2792</v>
      </c>
      <c r="H12" s="448"/>
      <c r="I12" s="448"/>
      <c r="J12" s="448">
        <f aca="true" t="shared" si="0" ref="J12:J21">I12*F12</f>
        <v>0</v>
      </c>
      <c r="K12" s="448"/>
    </row>
    <row r="13" spans="1:11" ht="25.7" customHeight="1">
      <c r="A13" s="454">
        <f>A12+1</f>
        <v>102</v>
      </c>
      <c r="B13" s="447"/>
      <c r="C13" s="447"/>
      <c r="D13" s="448" t="s">
        <v>3319</v>
      </c>
      <c r="E13" s="455" t="s">
        <v>3321</v>
      </c>
      <c r="F13" s="448">
        <v>1</v>
      </c>
      <c r="G13" s="448" t="s">
        <v>2792</v>
      </c>
      <c r="H13" s="448"/>
      <c r="I13" s="448"/>
      <c r="J13" s="448">
        <f t="shared" si="0"/>
        <v>0</v>
      </c>
      <c r="K13" s="448"/>
    </row>
    <row r="14" spans="1:11" ht="25.7" customHeight="1">
      <c r="A14" s="454">
        <f aca="true" t="shared" si="1" ref="A14:A21">A13+1</f>
        <v>103</v>
      </c>
      <c r="B14" s="447"/>
      <c r="C14" s="447"/>
      <c r="D14" s="448" t="s">
        <v>3319</v>
      </c>
      <c r="E14" s="455" t="s">
        <v>3322</v>
      </c>
      <c r="F14" s="448">
        <v>1</v>
      </c>
      <c r="G14" s="448" t="s">
        <v>2792</v>
      </c>
      <c r="H14" s="448"/>
      <c r="I14" s="448"/>
      <c r="J14" s="448">
        <f t="shared" si="0"/>
        <v>0</v>
      </c>
      <c r="K14" s="448"/>
    </row>
    <row r="15" spans="1:11" ht="25.7" customHeight="1">
      <c r="A15" s="454">
        <f t="shared" si="1"/>
        <v>104</v>
      </c>
      <c r="B15" s="447"/>
      <c r="C15" s="447"/>
      <c r="D15" s="448" t="s">
        <v>3319</v>
      </c>
      <c r="E15" s="455" t="s">
        <v>3323</v>
      </c>
      <c r="F15" s="448">
        <v>3</v>
      </c>
      <c r="G15" s="448" t="s">
        <v>2792</v>
      </c>
      <c r="H15" s="448"/>
      <c r="I15" s="448"/>
      <c r="J15" s="448">
        <f t="shared" si="0"/>
        <v>0</v>
      </c>
      <c r="K15" s="448"/>
    </row>
    <row r="16" spans="1:11" ht="25.7" customHeight="1">
      <c r="A16" s="454">
        <f t="shared" si="1"/>
        <v>105</v>
      </c>
      <c r="B16" s="447"/>
      <c r="C16" s="447"/>
      <c r="D16" s="448" t="s">
        <v>3319</v>
      </c>
      <c r="E16" s="455" t="s">
        <v>3324</v>
      </c>
      <c r="F16" s="448">
        <v>2</v>
      </c>
      <c r="G16" s="448" t="s">
        <v>2792</v>
      </c>
      <c r="H16" s="448"/>
      <c r="I16" s="448"/>
      <c r="J16" s="448">
        <f t="shared" si="0"/>
        <v>0</v>
      </c>
      <c r="K16" s="448"/>
    </row>
    <row r="17" spans="1:13" ht="12">
      <c r="A17" s="454">
        <f t="shared" si="1"/>
        <v>106</v>
      </c>
      <c r="B17" s="448"/>
      <c r="C17" s="448"/>
      <c r="D17" s="448" t="s">
        <v>3319</v>
      </c>
      <c r="E17" s="448" t="s">
        <v>3325</v>
      </c>
      <c r="F17" s="448">
        <v>7</v>
      </c>
      <c r="G17" s="448" t="s">
        <v>2792</v>
      </c>
      <c r="H17" s="448"/>
      <c r="I17" s="448"/>
      <c r="J17" s="448">
        <f t="shared" si="0"/>
        <v>0</v>
      </c>
      <c r="K17" s="448"/>
      <c r="M17" s="452"/>
    </row>
    <row r="18" spans="1:13" ht="12">
      <c r="A18" s="454">
        <f t="shared" si="1"/>
        <v>107</v>
      </c>
      <c r="B18" s="448"/>
      <c r="C18" s="448"/>
      <c r="D18" s="448"/>
      <c r="E18" s="455" t="s">
        <v>3326</v>
      </c>
      <c r="F18" s="455">
        <v>55</v>
      </c>
      <c r="G18" s="455" t="s">
        <v>3327</v>
      </c>
      <c r="H18" s="448"/>
      <c r="I18" s="448"/>
      <c r="J18" s="448">
        <f t="shared" si="0"/>
        <v>0</v>
      </c>
      <c r="K18" s="448"/>
      <c r="M18" s="452"/>
    </row>
    <row r="19" spans="1:13" ht="12">
      <c r="A19" s="454">
        <f t="shared" si="1"/>
        <v>108</v>
      </c>
      <c r="B19" s="456"/>
      <c r="C19" s="456"/>
      <c r="D19" s="456"/>
      <c r="E19" s="457" t="s">
        <v>3328</v>
      </c>
      <c r="F19" s="457">
        <v>6.5</v>
      </c>
      <c r="G19" s="457" t="s">
        <v>2006</v>
      </c>
      <c r="H19" s="456"/>
      <c r="I19" s="448"/>
      <c r="J19" s="448">
        <f t="shared" si="0"/>
        <v>0</v>
      </c>
      <c r="K19" s="448"/>
      <c r="M19" s="452"/>
    </row>
    <row r="20" spans="1:13" ht="12">
      <c r="A20" s="454">
        <f t="shared" si="1"/>
        <v>109</v>
      </c>
      <c r="B20" s="456"/>
      <c r="C20" s="456"/>
      <c r="D20" s="456"/>
      <c r="E20" s="457" t="s">
        <v>3329</v>
      </c>
      <c r="F20" s="457">
        <v>1</v>
      </c>
      <c r="G20" s="457" t="s">
        <v>2843</v>
      </c>
      <c r="H20" s="456"/>
      <c r="I20" s="448"/>
      <c r="J20" s="448">
        <f t="shared" si="0"/>
        <v>0</v>
      </c>
      <c r="K20" s="448"/>
      <c r="M20" s="452"/>
    </row>
    <row r="21" spans="1:13" ht="13.5" thickBot="1">
      <c r="A21" s="454">
        <f t="shared" si="1"/>
        <v>110</v>
      </c>
      <c r="B21" s="456"/>
      <c r="C21" s="456"/>
      <c r="D21" s="458"/>
      <c r="E21" s="456" t="s">
        <v>3330</v>
      </c>
      <c r="F21" s="456">
        <v>1</v>
      </c>
      <c r="G21" s="456" t="s">
        <v>2843</v>
      </c>
      <c r="H21" s="456"/>
      <c r="I21" s="448"/>
      <c r="J21" s="448">
        <f t="shared" si="0"/>
        <v>0</v>
      </c>
      <c r="K21" s="448"/>
      <c r="M21" s="452"/>
    </row>
    <row r="22" spans="1:13" ht="12">
      <c r="A22" s="459"/>
      <c r="B22" s="459"/>
      <c r="C22" s="459"/>
      <c r="D22" s="460" t="s">
        <v>3331</v>
      </c>
      <c r="E22" s="459"/>
      <c r="F22" s="459"/>
      <c r="G22" s="459"/>
      <c r="H22" s="461"/>
      <c r="I22" s="461"/>
      <c r="J22" s="459">
        <f>SUM(J12:J21)</f>
        <v>0</v>
      </c>
      <c r="K22" s="462">
        <f>SUM(K12:K21)</f>
        <v>0</v>
      </c>
      <c r="M22" s="452"/>
    </row>
    <row r="23" spans="1:13" ht="12">
      <c r="A23" s="447"/>
      <c r="B23" s="447"/>
      <c r="C23" s="447"/>
      <c r="D23" s="451"/>
      <c r="E23" s="447"/>
      <c r="F23" s="447"/>
      <c r="G23" s="447"/>
      <c r="H23" s="448"/>
      <c r="I23" s="448"/>
      <c r="J23" s="448"/>
      <c r="K23" s="463"/>
      <c r="M23" s="452"/>
    </row>
    <row r="24" spans="1:13" ht="12">
      <c r="A24" s="447"/>
      <c r="B24" s="447"/>
      <c r="C24" s="447"/>
      <c r="D24" s="451"/>
      <c r="E24" s="447"/>
      <c r="F24" s="447"/>
      <c r="G24" s="447"/>
      <c r="H24" s="448"/>
      <c r="I24" s="448"/>
      <c r="J24" s="448"/>
      <c r="K24" s="463"/>
      <c r="M24" s="452"/>
    </row>
    <row r="25" spans="1:13" ht="12">
      <c r="A25" s="447"/>
      <c r="B25" s="447"/>
      <c r="C25" s="447"/>
      <c r="D25" s="451"/>
      <c r="E25" s="447"/>
      <c r="F25" s="447"/>
      <c r="G25" s="447"/>
      <c r="H25" s="448"/>
      <c r="I25" s="448"/>
      <c r="J25" s="448"/>
      <c r="K25" s="463"/>
      <c r="M25" s="452"/>
    </row>
    <row r="26" spans="1:13" ht="18">
      <c r="A26" s="453">
        <v>201</v>
      </c>
      <c r="B26" s="447"/>
      <c r="C26" s="447"/>
      <c r="D26" s="451"/>
      <c r="E26" s="453" t="s">
        <v>3332</v>
      </c>
      <c r="F26" s="447"/>
      <c r="G26" s="447"/>
      <c r="H26" s="448"/>
      <c r="I26" s="448"/>
      <c r="J26" s="448"/>
      <c r="K26" s="463"/>
      <c r="M26" s="452"/>
    </row>
    <row r="27" spans="1:13" ht="12">
      <c r="A27" s="447"/>
      <c r="B27" s="447"/>
      <c r="C27" s="447"/>
      <c r="D27" s="451"/>
      <c r="E27" s="447"/>
      <c r="F27" s="447"/>
      <c r="G27" s="447"/>
      <c r="H27" s="448"/>
      <c r="I27" s="448"/>
      <c r="J27" s="448"/>
      <c r="K27" s="463"/>
      <c r="M27" s="452"/>
    </row>
    <row r="28" spans="1:13" s="464" customFormat="1" ht="25.5">
      <c r="A28" s="455">
        <v>201</v>
      </c>
      <c r="B28" s="455"/>
      <c r="C28" s="455"/>
      <c r="D28" s="455" t="s">
        <v>3319</v>
      </c>
      <c r="E28" s="455" t="s">
        <v>3333</v>
      </c>
      <c r="F28" s="455">
        <v>1</v>
      </c>
      <c r="G28" s="455" t="s">
        <v>2792</v>
      </c>
      <c r="H28" s="455"/>
      <c r="I28" s="448"/>
      <c r="J28" s="455">
        <f>I28*F28</f>
        <v>0</v>
      </c>
      <c r="K28" s="448"/>
      <c r="M28" s="452"/>
    </row>
    <row r="29" spans="1:13" ht="12">
      <c r="A29" s="448">
        <v>202</v>
      </c>
      <c r="B29" s="448"/>
      <c r="C29" s="448"/>
      <c r="D29" s="455"/>
      <c r="E29" s="448" t="s">
        <v>3334</v>
      </c>
      <c r="F29" s="448">
        <v>90</v>
      </c>
      <c r="G29" s="448" t="s">
        <v>3327</v>
      </c>
      <c r="H29" s="448"/>
      <c r="I29" s="448"/>
      <c r="J29" s="455">
        <f>I29*F29</f>
        <v>0</v>
      </c>
      <c r="K29" s="448"/>
      <c r="M29" s="452"/>
    </row>
    <row r="30" spans="1:13" ht="13.5" thickBot="1">
      <c r="A30" s="448">
        <v>203</v>
      </c>
      <c r="B30" s="456"/>
      <c r="C30" s="456"/>
      <c r="D30" s="455"/>
      <c r="E30" s="456" t="s">
        <v>3335</v>
      </c>
      <c r="F30" s="456">
        <v>1</v>
      </c>
      <c r="G30" s="456" t="s">
        <v>2843</v>
      </c>
      <c r="H30" s="456"/>
      <c r="I30" s="448"/>
      <c r="J30" s="455">
        <v>0</v>
      </c>
      <c r="K30" s="448"/>
      <c r="M30" s="452"/>
    </row>
    <row r="31" spans="1:13" ht="12">
      <c r="A31" s="459"/>
      <c r="B31" s="459"/>
      <c r="C31" s="459"/>
      <c r="D31" s="460" t="s">
        <v>3331</v>
      </c>
      <c r="E31" s="459"/>
      <c r="F31" s="459"/>
      <c r="G31" s="459"/>
      <c r="H31" s="461"/>
      <c r="I31" s="461"/>
      <c r="J31" s="459">
        <f>SUM(J28:J30)</f>
        <v>0</v>
      </c>
      <c r="K31" s="462">
        <f>SUM(K28:K30)</f>
        <v>0</v>
      </c>
      <c r="M31" s="452"/>
    </row>
    <row r="32" spans="1:11" ht="12">
      <c r="A32" s="447"/>
      <c r="B32" s="447"/>
      <c r="C32" s="447"/>
      <c r="D32" s="451"/>
      <c r="E32" s="447"/>
      <c r="F32" s="447"/>
      <c r="G32" s="447"/>
      <c r="H32" s="448"/>
      <c r="I32" s="448"/>
      <c r="J32" s="448"/>
      <c r="K32" s="463"/>
    </row>
    <row r="33" spans="1:11" ht="12">
      <c r="A33" s="447"/>
      <c r="B33" s="447"/>
      <c r="C33" s="447"/>
      <c r="D33" s="451"/>
      <c r="E33" s="447"/>
      <c r="F33" s="447"/>
      <c r="G33" s="447"/>
      <c r="H33" s="448"/>
      <c r="I33" s="448"/>
      <c r="J33" s="448"/>
      <c r="K33" s="463"/>
    </row>
    <row r="34" spans="1:11" ht="18">
      <c r="A34" s="453">
        <v>301</v>
      </c>
      <c r="B34" s="447"/>
      <c r="C34" s="447"/>
      <c r="D34" s="451"/>
      <c r="E34" s="446" t="s">
        <v>3336</v>
      </c>
      <c r="F34" s="447"/>
      <c r="G34" s="447"/>
      <c r="H34" s="448"/>
      <c r="I34" s="448"/>
      <c r="J34" s="448"/>
      <c r="K34" s="463"/>
    </row>
    <row r="35" spans="1:11" ht="12">
      <c r="A35" s="447"/>
      <c r="B35" s="447"/>
      <c r="C35" s="447"/>
      <c r="D35" s="451"/>
      <c r="E35" s="447"/>
      <c r="F35" s="447"/>
      <c r="G35" s="447"/>
      <c r="H35" s="448"/>
      <c r="I35" s="448"/>
      <c r="J35" s="448"/>
      <c r="K35" s="463"/>
    </row>
    <row r="36" spans="1:11" ht="12">
      <c r="A36" s="454">
        <v>301</v>
      </c>
      <c r="B36" s="448"/>
      <c r="C36" s="448"/>
      <c r="D36" s="448" t="s">
        <v>3319</v>
      </c>
      <c r="E36" s="448" t="s">
        <v>3337</v>
      </c>
      <c r="F36" s="448">
        <v>1</v>
      </c>
      <c r="G36" s="448" t="s">
        <v>2792</v>
      </c>
      <c r="H36" s="448"/>
      <c r="I36" s="448"/>
      <c r="J36" s="448">
        <f aca="true" t="shared" si="2" ref="J36:J43">I36*F36</f>
        <v>0</v>
      </c>
      <c r="K36" s="448"/>
    </row>
    <row r="37" spans="1:11" ht="12">
      <c r="A37" s="454">
        <f>A36+1</f>
        <v>302</v>
      </c>
      <c r="B37" s="448"/>
      <c r="C37" s="448"/>
      <c r="D37" s="448" t="s">
        <v>3319</v>
      </c>
      <c r="E37" s="448" t="s">
        <v>3338</v>
      </c>
      <c r="F37" s="448">
        <v>1</v>
      </c>
      <c r="G37" s="448" t="s">
        <v>2792</v>
      </c>
      <c r="H37" s="448"/>
      <c r="I37" s="448"/>
      <c r="J37" s="448">
        <f t="shared" si="2"/>
        <v>0</v>
      </c>
      <c r="K37" s="448"/>
    </row>
    <row r="38" spans="1:11" ht="12">
      <c r="A38" s="454">
        <f aca="true" t="shared" si="3" ref="A38:A43">A37+1</f>
        <v>303</v>
      </c>
      <c r="B38" s="448"/>
      <c r="C38" s="448"/>
      <c r="D38" s="448" t="s">
        <v>3319</v>
      </c>
      <c r="E38" s="448" t="s">
        <v>3325</v>
      </c>
      <c r="F38" s="448">
        <v>1</v>
      </c>
      <c r="G38" s="448" t="s">
        <v>2792</v>
      </c>
      <c r="H38" s="448"/>
      <c r="I38" s="448"/>
      <c r="J38" s="448">
        <f t="shared" si="2"/>
        <v>0</v>
      </c>
      <c r="K38" s="448"/>
    </row>
    <row r="39" spans="1:11" ht="25.7" customHeight="1">
      <c r="A39" s="454">
        <f t="shared" si="3"/>
        <v>304</v>
      </c>
      <c r="B39" s="447"/>
      <c r="C39" s="447"/>
      <c r="D39" s="448" t="s">
        <v>3319</v>
      </c>
      <c r="E39" s="455" t="s">
        <v>3339</v>
      </c>
      <c r="F39" s="448">
        <v>1</v>
      </c>
      <c r="G39" s="448" t="s">
        <v>2792</v>
      </c>
      <c r="H39" s="448"/>
      <c r="I39" s="448"/>
      <c r="J39" s="448">
        <f t="shared" si="2"/>
        <v>0</v>
      </c>
      <c r="K39" s="448"/>
    </row>
    <row r="40" spans="1:11" ht="12">
      <c r="A40" s="454">
        <f t="shared" si="3"/>
        <v>305</v>
      </c>
      <c r="B40" s="447"/>
      <c r="C40" s="447"/>
      <c r="D40" s="448" t="s">
        <v>3319</v>
      </c>
      <c r="E40" s="448" t="s">
        <v>3325</v>
      </c>
      <c r="F40" s="448">
        <v>1</v>
      </c>
      <c r="G40" s="448" t="s">
        <v>2792</v>
      </c>
      <c r="H40" s="448"/>
      <c r="I40" s="448"/>
      <c r="J40" s="448">
        <f t="shared" si="2"/>
        <v>0</v>
      </c>
      <c r="K40" s="448"/>
    </row>
    <row r="41" spans="1:11" ht="12">
      <c r="A41" s="454">
        <f t="shared" si="3"/>
        <v>306</v>
      </c>
      <c r="B41" s="447"/>
      <c r="C41" s="447"/>
      <c r="D41" s="448"/>
      <c r="E41" s="455" t="s">
        <v>3326</v>
      </c>
      <c r="F41" s="455">
        <v>15</v>
      </c>
      <c r="G41" s="455" t="s">
        <v>3327</v>
      </c>
      <c r="H41" s="448"/>
      <c r="I41" s="448"/>
      <c r="J41" s="448">
        <f t="shared" si="2"/>
        <v>0</v>
      </c>
      <c r="K41" s="448"/>
    </row>
    <row r="42" spans="1:11" ht="12">
      <c r="A42" s="454">
        <f t="shared" si="3"/>
        <v>307</v>
      </c>
      <c r="B42" s="447"/>
      <c r="C42" s="447"/>
      <c r="D42" s="456"/>
      <c r="E42" s="457" t="s">
        <v>3329</v>
      </c>
      <c r="F42" s="457">
        <v>1</v>
      </c>
      <c r="G42" s="457" t="s">
        <v>2843</v>
      </c>
      <c r="H42" s="456"/>
      <c r="I42" s="448"/>
      <c r="J42" s="448">
        <f t="shared" si="2"/>
        <v>0</v>
      </c>
      <c r="K42" s="448"/>
    </row>
    <row r="43" spans="1:11" ht="13.5" thickBot="1">
      <c r="A43" s="454">
        <f t="shared" si="3"/>
        <v>308</v>
      </c>
      <c r="B43" s="447"/>
      <c r="C43" s="447"/>
      <c r="D43" s="458"/>
      <c r="E43" s="456" t="s">
        <v>3330</v>
      </c>
      <c r="F43" s="456">
        <v>1</v>
      </c>
      <c r="G43" s="456" t="s">
        <v>2843</v>
      </c>
      <c r="H43" s="456"/>
      <c r="I43" s="448"/>
      <c r="J43" s="448">
        <f t="shared" si="2"/>
        <v>0</v>
      </c>
      <c r="K43" s="448"/>
    </row>
    <row r="44" spans="1:11" ht="12">
      <c r="A44" s="459"/>
      <c r="B44" s="459"/>
      <c r="C44" s="459"/>
      <c r="D44" s="460" t="s">
        <v>3331</v>
      </c>
      <c r="E44" s="459"/>
      <c r="F44" s="459"/>
      <c r="G44" s="459"/>
      <c r="H44" s="461"/>
      <c r="I44" s="461"/>
      <c r="J44" s="459">
        <f>SUM(J36:J43)</f>
        <v>0</v>
      </c>
      <c r="K44" s="462">
        <f>SUM(K36:K43)</f>
        <v>0</v>
      </c>
    </row>
    <row r="45" spans="1:11" ht="12">
      <c r="A45" s="454"/>
      <c r="B45" s="447"/>
      <c r="C45" s="447"/>
      <c r="D45" s="458"/>
      <c r="E45" s="456"/>
      <c r="F45" s="456"/>
      <c r="G45" s="456"/>
      <c r="H45" s="456"/>
      <c r="I45" s="456"/>
      <c r="J45" s="448"/>
      <c r="K45" s="456"/>
    </row>
    <row r="46" spans="1:11" ht="12">
      <c r="A46" s="448"/>
      <c r="B46" s="448"/>
      <c r="C46" s="448"/>
      <c r="D46" s="448"/>
      <c r="E46" s="448"/>
      <c r="F46" s="448"/>
      <c r="G46" s="448"/>
      <c r="H46" s="448"/>
      <c r="I46" s="448"/>
      <c r="J46" s="448"/>
      <c r="K46" s="448"/>
    </row>
    <row r="47" spans="1:11" ht="15.75">
      <c r="A47" s="448"/>
      <c r="B47" s="448"/>
      <c r="C47" s="448"/>
      <c r="D47" s="448"/>
      <c r="E47" s="446" t="s">
        <v>3340</v>
      </c>
      <c r="F47" s="448"/>
      <c r="G47" s="448"/>
      <c r="H47" s="448"/>
      <c r="I47" s="448"/>
      <c r="J47" s="448"/>
      <c r="K47" s="448"/>
    </row>
    <row r="48" spans="1:11" ht="12">
      <c r="A48" s="448"/>
      <c r="B48" s="448"/>
      <c r="C48" s="448"/>
      <c r="D48" s="448"/>
      <c r="E48" s="448"/>
      <c r="F48" s="448"/>
      <c r="G48" s="448"/>
      <c r="H48" s="448"/>
      <c r="I48" s="448"/>
      <c r="J48" s="448"/>
      <c r="K48" s="448"/>
    </row>
    <row r="49" spans="1:11" ht="15">
      <c r="A49" s="448"/>
      <c r="B49" s="448"/>
      <c r="C49" s="448"/>
      <c r="D49" s="448"/>
      <c r="E49" s="465" t="s">
        <v>2942</v>
      </c>
      <c r="F49" s="465"/>
      <c r="G49" s="465"/>
      <c r="H49" s="465"/>
      <c r="I49" s="465"/>
      <c r="J49" s="466">
        <f>J22+J31+J44</f>
        <v>0</v>
      </c>
      <c r="K49" s="448"/>
    </row>
    <row r="50" spans="1:11" ht="15">
      <c r="A50" s="448"/>
      <c r="B50" s="448"/>
      <c r="C50" s="448"/>
      <c r="D50" s="448"/>
      <c r="E50" s="465" t="s">
        <v>2943</v>
      </c>
      <c r="F50" s="465"/>
      <c r="G50" s="465"/>
      <c r="H50" s="465"/>
      <c r="I50" s="465"/>
      <c r="J50" s="466">
        <f>K22+K31+K44</f>
        <v>0</v>
      </c>
      <c r="K50" s="448"/>
    </row>
    <row r="51" spans="1:11" ht="15">
      <c r="A51" s="448"/>
      <c r="B51" s="448"/>
      <c r="C51" s="448"/>
      <c r="D51" s="448"/>
      <c r="E51" s="467" t="s">
        <v>3341</v>
      </c>
      <c r="F51" s="467"/>
      <c r="G51" s="467"/>
      <c r="H51" s="467"/>
      <c r="I51" s="467"/>
      <c r="J51" s="468"/>
      <c r="K51" s="448"/>
    </row>
    <row r="52" spans="1:11" ht="15.75" thickBot="1">
      <c r="A52" s="448"/>
      <c r="B52" s="448"/>
      <c r="C52" s="448"/>
      <c r="D52" s="448"/>
      <c r="E52" s="467" t="s">
        <v>3342</v>
      </c>
      <c r="F52" s="467"/>
      <c r="G52" s="467"/>
      <c r="H52" s="467"/>
      <c r="I52" s="467"/>
      <c r="J52" s="468"/>
      <c r="K52" s="448"/>
    </row>
    <row r="53" spans="1:11" ht="15.75">
      <c r="A53" s="448"/>
      <c r="B53" s="448"/>
      <c r="C53" s="448"/>
      <c r="D53" s="448"/>
      <c r="E53" s="469" t="s">
        <v>3343</v>
      </c>
      <c r="F53" s="469"/>
      <c r="G53" s="469"/>
      <c r="H53" s="469"/>
      <c r="I53" s="469"/>
      <c r="J53" s="470">
        <f>SUM(J49:J52)</f>
        <v>0</v>
      </c>
      <c r="K53" s="448"/>
    </row>
    <row r="54" spans="1:11" ht="12">
      <c r="A54" s="448"/>
      <c r="B54" s="448"/>
      <c r="C54" s="448"/>
      <c r="D54" s="448"/>
      <c r="E54" s="448"/>
      <c r="F54" s="448"/>
      <c r="G54" s="448"/>
      <c r="H54" s="448"/>
      <c r="I54" s="448"/>
      <c r="J54" s="448"/>
      <c r="K54" s="448"/>
    </row>
    <row r="55" spans="1:11" ht="12">
      <c r="A55" s="448"/>
      <c r="B55" s="448"/>
      <c r="C55" s="448"/>
      <c r="D55" s="448"/>
      <c r="E55" s="448"/>
      <c r="F55" s="448"/>
      <c r="G55" s="448"/>
      <c r="H55" s="448"/>
      <c r="I55" s="448"/>
      <c r="J55" s="448"/>
      <c r="K55" s="448"/>
    </row>
    <row r="56" spans="1:11" ht="15">
      <c r="A56" s="448"/>
      <c r="B56" s="448"/>
      <c r="C56" s="448"/>
      <c r="D56" s="465"/>
      <c r="E56" s="465" t="s">
        <v>3344</v>
      </c>
      <c r="F56" s="448"/>
      <c r="G56" s="448"/>
      <c r="H56" s="448"/>
      <c r="I56" s="448"/>
      <c r="J56" s="448"/>
      <c r="K56" s="448"/>
    </row>
    <row r="57" spans="1:11" ht="12">
      <c r="A57" s="448"/>
      <c r="B57" s="448"/>
      <c r="C57" s="448"/>
      <c r="D57" s="448"/>
      <c r="E57" s="448" t="s">
        <v>3345</v>
      </c>
      <c r="F57" s="448"/>
      <c r="G57" s="448"/>
      <c r="H57" s="448"/>
      <c r="I57" s="448"/>
      <c r="J57" s="448"/>
      <c r="K57" s="448"/>
    </row>
    <row r="58" spans="1:11" ht="12">
      <c r="A58" s="448"/>
      <c r="B58" s="448"/>
      <c r="C58" s="448"/>
      <c r="D58" s="448"/>
      <c r="E58" s="448" t="s">
        <v>3346</v>
      </c>
      <c r="F58" s="448"/>
      <c r="G58" s="448"/>
      <c r="H58" s="448"/>
      <c r="I58" s="448"/>
      <c r="J58" s="448"/>
      <c r="K58" s="448"/>
    </row>
    <row r="59" spans="1:11" ht="12">
      <c r="A59" s="448"/>
      <c r="B59" s="448"/>
      <c r="C59" s="448"/>
      <c r="D59" s="448"/>
      <c r="E59" s="448" t="s">
        <v>3347</v>
      </c>
      <c r="F59" s="448"/>
      <c r="G59" s="448"/>
      <c r="H59" s="448"/>
      <c r="I59" s="448"/>
      <c r="J59" s="448"/>
      <c r="K59" s="448"/>
    </row>
    <row r="60" spans="1:11" ht="12">
      <c r="A60" s="448"/>
      <c r="B60" s="448"/>
      <c r="C60" s="448"/>
      <c r="D60" s="448"/>
      <c r="E60" s="448" t="s">
        <v>3348</v>
      </c>
      <c r="F60" s="448"/>
      <c r="G60" s="448"/>
      <c r="H60" s="448"/>
      <c r="I60" s="448"/>
      <c r="J60" s="448"/>
      <c r="K60" s="448"/>
    </row>
    <row r="61" spans="1:11" ht="12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448"/>
    </row>
    <row r="62" spans="1:11" ht="12">
      <c r="A62" s="448"/>
      <c r="B62" s="448"/>
      <c r="C62" s="448"/>
      <c r="D62" s="448"/>
      <c r="E62" s="448"/>
      <c r="F62" s="448"/>
      <c r="G62" s="448"/>
      <c r="H62" s="448"/>
      <c r="I62" s="448"/>
      <c r="J62" s="448"/>
      <c r="K62" s="448"/>
    </row>
    <row r="63" spans="1:11" ht="12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448"/>
    </row>
    <row r="64" spans="1:11" ht="12">
      <c r="A64" s="448"/>
      <c r="B64" s="448"/>
      <c r="C64" s="448"/>
      <c r="D64" s="448"/>
      <c r="E64" s="448"/>
      <c r="F64" s="448"/>
      <c r="G64" s="448"/>
      <c r="H64" s="448"/>
      <c r="I64" s="448"/>
      <c r="J64" s="448"/>
      <c r="K64" s="448"/>
    </row>
    <row r="65" spans="1:11" ht="12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448"/>
    </row>
    <row r="66" spans="1:11" ht="12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</row>
    <row r="67" spans="1:11" ht="12">
      <c r="A67" s="448"/>
      <c r="B67" s="448"/>
      <c r="C67" s="448"/>
      <c r="D67" s="448"/>
      <c r="E67" s="448"/>
      <c r="F67" s="448"/>
      <c r="G67" s="448"/>
      <c r="H67" s="448"/>
      <c r="I67" s="448"/>
      <c r="J67" s="448"/>
      <c r="K67" s="448"/>
    </row>
    <row r="68" spans="1:11" ht="12">
      <c r="A68" s="448"/>
      <c r="B68" s="448"/>
      <c r="C68" s="448"/>
      <c r="D68" s="448"/>
      <c r="E68" s="448"/>
      <c r="F68" s="448"/>
      <c r="G68" s="448"/>
      <c r="H68" s="448"/>
      <c r="I68" s="448"/>
      <c r="J68" s="448"/>
      <c r="K68" s="448"/>
    </row>
    <row r="69" spans="1:11" ht="12">
      <c r="A69" s="448"/>
      <c r="B69" s="448"/>
      <c r="C69" s="448"/>
      <c r="D69" s="448"/>
      <c r="E69" s="448"/>
      <c r="F69" s="448"/>
      <c r="G69" s="448"/>
      <c r="H69" s="448"/>
      <c r="I69" s="448"/>
      <c r="J69" s="448"/>
      <c r="K69" s="448"/>
    </row>
    <row r="70" spans="1:11" ht="12">
      <c r="A70" s="448"/>
      <c r="B70" s="448"/>
      <c r="C70" s="448"/>
      <c r="D70" s="448"/>
      <c r="E70" s="448"/>
      <c r="F70" s="448"/>
      <c r="G70" s="448"/>
      <c r="H70" s="448"/>
      <c r="I70" s="448"/>
      <c r="J70" s="448"/>
      <c r="K70" s="448"/>
    </row>
  </sheetData>
  <printOptions/>
  <pageMargins left="0.7874015748031497" right="0.7874015748031497" top="0.984251968503937" bottom="0.984251968503937" header="0.5118110236220472" footer="0.5118110236220472"/>
  <pageSetup fitToHeight="10" horizontalDpi="600" verticalDpi="600" orientation="portrait" paperSize="9" scale="61" r:id="rId1"/>
  <headerFooter alignWithMargins="0">
    <oddHeader>&amp;LAC PALACHOVKA</oddHeader>
    <oddFooter>&amp;CStránka &amp;P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DESKTOP-OCAMGMR\pe3k182</dc:creator>
  <cp:keywords/>
  <dc:description/>
  <cp:lastModifiedBy>Houžvičková Lenka</cp:lastModifiedBy>
  <dcterms:created xsi:type="dcterms:W3CDTF">2023-01-09T11:32:58Z</dcterms:created>
  <dcterms:modified xsi:type="dcterms:W3CDTF">2023-04-26T13:02:30Z</dcterms:modified>
  <cp:category/>
  <cp:version/>
  <cp:contentType/>
  <cp:contentStatus/>
</cp:coreProperties>
</file>