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sheet1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103.wmf" ContentType="image/x-wmf"/>
  <Override PartName="/xl/media/image104.wmf" ContentType="image/x-wmf"/>
  <Override PartName="/xl/media/image105.wmf" ContentType="image/x-wmf"/>
  <Override PartName="/xl/media/image110.wmf" ContentType="image/x-wmf"/>
  <Override PartName="/xl/media/image106.wmf" ContentType="image/x-wmf"/>
  <Override PartName="/xl/media/image107.wmf" ContentType="image/x-wmf"/>
  <Override PartName="/xl/media/image108.wmf" ContentType="image/x-wmf"/>
  <Override PartName="/xl/media/image109.wmf" ContentType="image/x-wmf"/>
  <Override PartName="/xl/media/image111.wmf" ContentType="image/x-wmf"/>
  <Override PartName="/xl/media/image112.wmf" ContentType="image/x-wmf"/>
  <Override PartName="/xl/media/image113.wmf" ContentType="image/x-wmf"/>
  <Override PartName="/xl/media/image114.wmf" ContentType="image/x-wmf"/>
  <Override PartName="/xl/media/image115.wmf" ContentType="image/x-wmf"/>
  <Override PartName="/xl/media/image116.wmf" ContentType="image/x-wmf"/>
  <Override PartName="/xl/media/image117.wmf" ContentType="image/x-wmf"/>
  <Override PartName="/xl/media/image118.wmf" ContentType="image/x-wmf"/>
  <Override PartName="/xl/media/image119.wmf" ContentType="image/x-wmf"/>
  <Override PartName="/xl/media/image120.wmf" ContentType="image/x-wmf"/>
  <Override PartName="/xl/media/image121.wmf" ContentType="image/x-wmf"/>
  <Override PartName="/xl/media/image122.wmf" ContentType="image/x-wmf"/>
  <Override PartName="/xl/media/image123.wmf" ContentType="image/x-wmf"/>
  <Override PartName="/xl/media/image124.wmf" ContentType="image/x-wmf"/>
  <Override PartName="/xl/media/image125.wmf" ContentType="image/x-wmf"/>
  <Override PartName="/xl/media/image126.wmf" ContentType="image/x-wmf"/>
  <Override PartName="/xl/media/image127.wmf" ContentType="image/x-wmf"/>
  <Override PartName="/xl/media/image128.wmf" ContentType="image/x-wmf"/>
  <Override PartName="/xl/media/image129.wmf" ContentType="image/x-wmf"/>
  <Override PartName="/xl/media/image130.wmf" ContentType="image/x-wmf"/>
  <Override PartName="/xl/media/image131.wmf" ContentType="image/x-wmf"/>
  <Override PartName="/xl/media/image132.wmf" ContentType="image/x-wmf"/>
  <Override PartName="/xl/media/image133.wmf" ContentType="image/x-wmf"/>
  <Override PartName="/xl/media/image134.wmf" ContentType="image/x-wmf"/>
  <Override PartName="/xl/media/image135.wmf" ContentType="image/x-wmf"/>
  <Override PartName="/xl/media/image136.wmf" ContentType="image/x-w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rycí list" sheetId="1" state="visible" r:id="rId2"/>
    <sheet name="Schema" sheetId="2" state="visible" r:id="rId3"/>
    <sheet name="Toalety_přízemí" sheetId="3" state="visible" r:id="rId4"/>
    <sheet name="Toalety_1.patro" sheetId="4" state="visible" r:id="rId5"/>
    <sheet name="Tolety_2.patro" sheetId="5" state="visible" r:id="rId6"/>
    <sheet name="Stavební rozpočet" sheetId="6" state="visible" r:id="rId7"/>
    <sheet name="Rozpočet - vybrané sloupce" sheetId="7" state="visible" r:id="rId8"/>
    <sheet name="Stavební rozpočet - součet" sheetId="8" state="visible" r:id="rId9"/>
    <sheet name="Výkaz výměr" sheetId="9" state="visible" r:id="rId10"/>
    <sheet name="Čerpání rozpočtu" sheetId="10" state="visible" r:id="rId11"/>
    <sheet name="Krycí list rozpočtu" sheetId="11" state="visible" r:id="rId12"/>
    <sheet name="VORN" sheetId="12" state="visible" r:id="rId13"/>
  </sheets>
  <externalReferences>
    <externalReference r:id="rId14"/>
  </externalReferences>
  <definedNames>
    <definedName function="false" hidden="false" name="vorn_sum" vbProcedure="false">[1]VORN!$I$36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<sst xmlns="http://schemas.openxmlformats.org/spreadsheetml/2006/main" count="1337" uniqueCount="356">
  <si>
    <t xml:space="preserve">KRYCÍ LIST NABÍDKY</t>
  </si>
  <si>
    <t xml:space="preserve">1.   Veřejná zakázka malého rozsahu</t>
  </si>
  <si>
    <t xml:space="preserve">Název zakázky:</t>
  </si>
  <si>
    <t xml:space="preserve">Oprava sociálního zařízení – WC</t>
  </si>
  <si>
    <t xml:space="preserve">2.  Základní identifikační údaje</t>
  </si>
  <si>
    <t xml:space="preserve">2.1.  Zadavatel</t>
  </si>
  <si>
    <t xml:space="preserve">Název: </t>
  </si>
  <si>
    <t xml:space="preserve">Gymnázium Říčany, příspěvková organizace</t>
  </si>
  <si>
    <t xml:space="preserve">Sídlo: </t>
  </si>
  <si>
    <t xml:space="preserve">Komenského náměstí 1280/1, 251 01 Říčany u Prahy</t>
  </si>
  <si>
    <t xml:space="preserve">IČ:  </t>
  </si>
  <si>
    <t xml:space="preserve">Osoba oprávněná jednat jménem zadavatele: </t>
  </si>
  <si>
    <t xml:space="preserve">Mgr. Zuzana Pokorná</t>
  </si>
  <si>
    <t xml:space="preserve">Kontaktní osoba:  </t>
  </si>
  <si>
    <t xml:space="preserve">Bc. Jaroslava Suková</t>
  </si>
  <si>
    <t xml:space="preserve">Tel.:</t>
  </si>
  <si>
    <t xml:space="preserve">732 634 641</t>
  </si>
  <si>
    <t xml:space="preserve">E-mail:  </t>
  </si>
  <si>
    <t xml:space="preserve">sukova@gyri.cz</t>
  </si>
  <si>
    <t xml:space="preserve">2.2.  Účastník</t>
  </si>
  <si>
    <t xml:space="preserve">Sídlo/místo podnikání:</t>
  </si>
  <si>
    <t xml:space="preserve"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</si>
  <si>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</si>
  <si>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</si>
  <si>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</si>
  <si>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účastníka: </t>
  </si>
  <si>
    <t xml:space="preserve">IDS (datová schránka)</t>
  </si>
  <si>
    <t xml:space="preserve">Číslo bankovního účtu:</t>
  </si>
  <si>
    <t xml:space="preserve">3.  Nabídková cena </t>
  </si>
  <si>
    <t xml:space="preserve">Cena celkem bez DPH:</t>
  </si>
  <si>
    <t xml:space="preserve">Samostatně DPH (sazba 15 %):</t>
  </si>
  <si>
    <t xml:space="preserve">Samostatně DPH (sazba 21 %):</t>
  </si>
  <si>
    <t xml:space="preserve">Cena celkem včetně DPH:</t>
  </si>
  <si>
    <t xml:space="preserve">Podpis oprávněné osoby</t>
  </si>
  <si>
    <t xml:space="preserve">Titul, jméno, příjmení      </t>
  </si>
  <si>
    <t xml:space="preserve">Funkce</t>
  </si>
  <si>
    <t xml:space="preserve">Rekonstrukce sociálního zařízení</t>
  </si>
  <si>
    <t xml:space="preserve">Stavební rozpočet - v rámci nabídnuté ceny</t>
  </si>
  <si>
    <t xml:space="preserve">Název stavby:</t>
  </si>
  <si>
    <t xml:space="preserve">Doba výstavby:</t>
  </si>
  <si>
    <t xml:space="preserve">Objednatel:</t>
  </si>
  <si>
    <t xml:space="preserve">Gymnázium Říčany, Komenského náměstí 1280/1</t>
  </si>
  <si>
    <t xml:space="preserve">Druh stavby:</t>
  </si>
  <si>
    <r>
      <rPr>
        <b val="true"/>
        <sz val="12"/>
        <color rgb="FF000000"/>
        <rFont val="Arial"/>
        <family val="2"/>
        <charset val="238"/>
      </rPr>
      <t xml:space="preserve">Oprava sociálního zařízení – WC – </t>
    </r>
    <r>
      <rPr>
        <sz val="12"/>
        <color rgb="FF000000"/>
        <rFont val="Arial"/>
        <family val="2"/>
        <charset val="238"/>
      </rPr>
      <t xml:space="preserve">Rekonstrukce sociálních zařízení</t>
    </r>
  </si>
  <si>
    <t xml:space="preserve">Začátek výstavby:</t>
  </si>
  <si>
    <t xml:space="preserve">Projektant:</t>
  </si>
  <si>
    <t xml:space="preserve">Lokalita:</t>
  </si>
  <si>
    <t xml:space="preserve">Komenského náměstí 1280/1, 251 01 Říčany</t>
  </si>
  <si>
    <t xml:space="preserve">Konec výstavby:</t>
  </si>
  <si>
    <t xml:space="preserve">Zhotovitel:</t>
  </si>
  <si>
    <t xml:space="preserve">JKSO:</t>
  </si>
  <si>
    <t xml:space="preserve">Zpracováno dne:</t>
  </si>
  <si>
    <t xml:space="preserve">Zpracoval:</t>
  </si>
  <si>
    <t xml:space="preserve">Č</t>
  </si>
  <si>
    <t xml:space="preserve">Objekt</t>
  </si>
  <si>
    <t xml:space="preserve">Kód</t>
  </si>
  <si>
    <t xml:space="preserve">Zkrácený popis</t>
  </si>
  <si>
    <t xml:space="preserve">M.j.</t>
  </si>
  <si>
    <t xml:space="preserve">Množství</t>
  </si>
  <si>
    <t xml:space="preserve">Jednot.</t>
  </si>
  <si>
    <t xml:space="preserve">Náklady (Kč)</t>
  </si>
  <si>
    <t xml:space="preserve">Hmotnost (t)</t>
  </si>
  <si>
    <t xml:space="preserve">Cenová</t>
  </si>
  <si>
    <t xml:space="preserve"> </t>
  </si>
  <si>
    <t xml:space="preserve">Rozměry</t>
  </si>
  <si>
    <t xml:space="preserve">cena (Kč)</t>
  </si>
  <si>
    <t xml:space="preserve">Dodávka</t>
  </si>
  <si>
    <t xml:space="preserve">Montáž</t>
  </si>
  <si>
    <t xml:space="preserve">Celkem</t>
  </si>
  <si>
    <t xml:space="preserve">soustava</t>
  </si>
  <si>
    <t xml:space="preserve">Přesuny</t>
  </si>
  <si>
    <t xml:space="preserve">Typ skupiny</t>
  </si>
  <si>
    <t xml:space="preserve">HSV mat</t>
  </si>
  <si>
    <t xml:space="preserve">HSV prac</t>
  </si>
  <si>
    <t xml:space="preserve">PSV mat</t>
  </si>
  <si>
    <t xml:space="preserve">PSV prac</t>
  </si>
  <si>
    <t xml:space="preserve">Mont mat</t>
  </si>
  <si>
    <t xml:space="preserve">Mont prac</t>
  </si>
  <si>
    <t xml:space="preserve">Ostatní mat.</t>
  </si>
  <si>
    <t xml:space="preserve">31</t>
  </si>
  <si>
    <t xml:space="preserve">Zdi podpěrné a volné</t>
  </si>
  <si>
    <t xml:space="preserve">1</t>
  </si>
  <si>
    <t xml:space="preserve">310271420R00</t>
  </si>
  <si>
    <t xml:space="preserve">Přizdívka otvorů do 0,9 m2, pórobet.tvár., tl.15cm vč. Zvětšení kabinek kluci + otevírání dveří ven</t>
  </si>
  <si>
    <t xml:space="preserve">m2</t>
  </si>
  <si>
    <t xml:space="preserve">RTS II / 2016</t>
  </si>
  <si>
    <t xml:space="preserve">31_</t>
  </si>
  <si>
    <t xml:space="preserve">3_</t>
  </si>
  <si>
    <t xml:space="preserve">_</t>
  </si>
  <si>
    <t xml:space="preserve">100033</t>
  </si>
  <si>
    <t xml:space="preserve">96</t>
  </si>
  <si>
    <t xml:space="preserve">Stavební práce</t>
  </si>
  <si>
    <t xml:space="preserve">2</t>
  </si>
  <si>
    <t xml:space="preserve">965100032RA0</t>
  </si>
  <si>
    <t xml:space="preserve">Bourání dlažeb</t>
  </si>
  <si>
    <t xml:space="preserve">96_</t>
  </si>
  <si>
    <t xml:space="preserve">9_</t>
  </si>
  <si>
    <t xml:space="preserve">100001</t>
  </si>
  <si>
    <t xml:space="preserve">3</t>
  </si>
  <si>
    <t xml:space="preserve">965048215R00</t>
  </si>
  <si>
    <t xml:space="preserve">Dočištění povrchu po vybourání dlažeb</t>
  </si>
  <si>
    <t xml:space="preserve">4</t>
  </si>
  <si>
    <t xml:space="preserve">976042231R00</t>
  </si>
  <si>
    <t xml:space="preserve">Vybourání ocelových zárubní</t>
  </si>
  <si>
    <t xml:space="preserve">kus</t>
  </si>
  <si>
    <t xml:space="preserve">5</t>
  </si>
  <si>
    <t xml:space="preserve">969021121R00</t>
  </si>
  <si>
    <t xml:space="preserve">Vybourání kanalizačního potrubí a prostupů DN 110-150mm</t>
  </si>
  <si>
    <t xml:space="preserve">m</t>
  </si>
  <si>
    <t xml:space="preserve">6</t>
  </si>
  <si>
    <t xml:space="preserve">962032432R00</t>
  </si>
  <si>
    <t xml:space="preserve">Bourání zdiva příček – WC + bezbariérové WC vybudování </t>
  </si>
  <si>
    <t xml:space="preserve">34</t>
  </si>
  <si>
    <t xml:space="preserve">Stěny a příčky</t>
  </si>
  <si>
    <t xml:space="preserve">7</t>
  </si>
  <si>
    <t xml:space="preserve">342270042RA0</t>
  </si>
  <si>
    <t xml:space="preserve">Příčka z desek Ytong hladkých, tloušťka 7,5 - 10 cm</t>
  </si>
  <si>
    <t xml:space="preserve">34_</t>
  </si>
  <si>
    <t xml:space="preserve">100028</t>
  </si>
  <si>
    <t xml:space="preserve">64</t>
  </si>
  <si>
    <t xml:space="preserve">Výplně otvorů</t>
  </si>
  <si>
    <t xml:space="preserve">8</t>
  </si>
  <si>
    <t xml:space="preserve">642940012RA0</t>
  </si>
  <si>
    <t xml:space="preserve">Dveře jednokřídlové 70 - 90/ 197, dodávka a montáž vč. bezbariérové WC, vč. Zvětšení kabinek-kluci+otevírání dveří ven</t>
  </si>
  <si>
    <t xml:space="preserve">64_</t>
  </si>
  <si>
    <t xml:space="preserve">6_</t>
  </si>
  <si>
    <t xml:space="preserve">100031</t>
  </si>
  <si>
    <t xml:space="preserve">9</t>
  </si>
  <si>
    <t xml:space="preserve">642952110RT2</t>
  </si>
  <si>
    <t xml:space="preserve">Osazení zárubní dveřních dřevěných - včetně dodávky vč. Bezbariérové WC, vč. Zvětšení kabinek-kluci+otevírání dveří ven</t>
  </si>
  <si>
    <t xml:space="preserve">711</t>
  </si>
  <si>
    <t xml:space="preserve">Izolace proti vodě</t>
  </si>
  <si>
    <t xml:space="preserve">10</t>
  </si>
  <si>
    <t xml:space="preserve">711111006R00</t>
  </si>
  <si>
    <t xml:space="preserve">Hydroizolace tekutá</t>
  </si>
  <si>
    <t xml:space="preserve">711_</t>
  </si>
  <si>
    <t xml:space="preserve">71_</t>
  </si>
  <si>
    <t xml:space="preserve">721</t>
  </si>
  <si>
    <t xml:space="preserve">Vnitřní kanalizace</t>
  </si>
  <si>
    <t xml:space="preserve">11</t>
  </si>
  <si>
    <t xml:space="preserve">721171808R00</t>
  </si>
  <si>
    <t xml:space="preserve">Dodávka a montáž potrubí z PVC do D 150 mm, včetně tvarovek, vyčištění svodových trubek</t>
  </si>
  <si>
    <t xml:space="preserve">721_</t>
  </si>
  <si>
    <t xml:space="preserve">72_</t>
  </si>
  <si>
    <t xml:space="preserve">100034</t>
  </si>
  <si>
    <t xml:space="preserve">12</t>
  </si>
  <si>
    <t xml:space="preserve">721100902R00</t>
  </si>
  <si>
    <t xml:space="preserve">1. Kontrola odpadního potrubí WC – kamerová revize (kamenina), vč. Záznamu a zprávy, vč. Event. Opravy.                       2.Kontrola svodových trubek – kamerová revize vč. Záznamu a zprávy event. výměna</t>
  </si>
  <si>
    <t xml:space="preserve">cca</t>
  </si>
  <si>
    <t xml:space="preserve">722</t>
  </si>
  <si>
    <t xml:space="preserve">Vodovod</t>
  </si>
  <si>
    <t xml:space="preserve">13</t>
  </si>
  <si>
    <t xml:space="preserve">969011131R00</t>
  </si>
  <si>
    <t xml:space="preserve">Vybourání rozvodu vody</t>
  </si>
  <si>
    <t xml:space="preserve">722_</t>
  </si>
  <si>
    <t xml:space="preserve">14</t>
  </si>
  <si>
    <t xml:space="preserve">726190961R00</t>
  </si>
  <si>
    <t xml:space="preserve">Zhotovení vodovodních rozvodů včetně tvarovek do  DN 25mm</t>
  </si>
  <si>
    <t xml:space="preserve">15</t>
  </si>
  <si>
    <t xml:space="preserve">722190221R00</t>
  </si>
  <si>
    <t xml:space="preserve">Dodávka a montáž roháčků</t>
  </si>
  <si>
    <t xml:space="preserve">100021</t>
  </si>
  <si>
    <t xml:space="preserve">725</t>
  </si>
  <si>
    <t xml:space="preserve">Zařizovací předměty</t>
  </si>
  <si>
    <t xml:space="preserve">16</t>
  </si>
  <si>
    <t xml:space="preserve">725219201R00</t>
  </si>
  <si>
    <t xml:space="preserve">Demontáž umyvadel</t>
  </si>
  <si>
    <t xml:space="preserve">725_</t>
  </si>
  <si>
    <t xml:space="preserve">17</t>
  </si>
  <si>
    <t xml:space="preserve">Montáž umyvadel vč. Bezbariérového WC</t>
  </si>
  <si>
    <t xml:space="preserve">18</t>
  </si>
  <si>
    <t xml:space="preserve">725017333R00</t>
  </si>
  <si>
    <t xml:space="preserve">Dodávka umyvadel</t>
  </si>
  <si>
    <t xml:space="preserve">100016</t>
  </si>
  <si>
    <t xml:space="preserve">19</t>
  </si>
  <si>
    <t xml:space="preserve">725239101R00</t>
  </si>
  <si>
    <t xml:space="preserve">Demontáž pisoárů</t>
  </si>
  <si>
    <t xml:space="preserve">20</t>
  </si>
  <si>
    <t xml:space="preserve">Dodávka a montáž pisoárů</t>
  </si>
  <si>
    <t xml:space="preserve">21</t>
  </si>
  <si>
    <t xml:space="preserve">725410811R00</t>
  </si>
  <si>
    <t xml:space="preserve">Demontáž toalet</t>
  </si>
  <si>
    <t xml:space="preserve">22</t>
  </si>
  <si>
    <t xml:space="preserve">28652460.A</t>
  </si>
  <si>
    <t xml:space="preserve">Závěstný set WC - dodávka</t>
  </si>
  <si>
    <t xml:space="preserve">23</t>
  </si>
  <si>
    <t xml:space="preserve">725410812R00</t>
  </si>
  <si>
    <t xml:space="preserve">Závěstný set WC - montáž</t>
  </si>
  <si>
    <t xml:space="preserve">24</t>
  </si>
  <si>
    <t xml:space="preserve">730011017R00</t>
  </si>
  <si>
    <t xml:space="preserve">Montáž baterií</t>
  </si>
  <si>
    <t xml:space="preserve">25</t>
  </si>
  <si>
    <t xml:space="preserve">725825633R00</t>
  </si>
  <si>
    <t xml:space="preserve">Baterie umyvadlové</t>
  </si>
  <si>
    <t xml:space="preserve">762</t>
  </si>
  <si>
    <t xml:space="preserve">Konstrukce tesařské</t>
  </si>
  <si>
    <t xml:space="preserve">26</t>
  </si>
  <si>
    <t xml:space="preserve">762421230R00</t>
  </si>
  <si>
    <t xml:space="preserve">Vytvoření sádrokartonových průvlaků (zakrytí kanalizačních trubek)</t>
  </si>
  <si>
    <t xml:space="preserve">762_</t>
  </si>
  <si>
    <t xml:space="preserve">76_</t>
  </si>
  <si>
    <t xml:space="preserve">100023</t>
  </si>
  <si>
    <t xml:space="preserve">771</t>
  </si>
  <si>
    <t xml:space="preserve">Podlahy z dlaždic</t>
  </si>
  <si>
    <t xml:space="preserve">27</t>
  </si>
  <si>
    <t xml:space="preserve">771212112R00</t>
  </si>
  <si>
    <t xml:space="preserve">Montáž dlažby</t>
  </si>
  <si>
    <t xml:space="preserve">771_</t>
  </si>
  <si>
    <t xml:space="preserve">77_</t>
  </si>
  <si>
    <t xml:space="preserve">28</t>
  </si>
  <si>
    <t xml:space="preserve">772211414R00</t>
  </si>
  <si>
    <t xml:space="preserve">Spárování dlažby</t>
  </si>
  <si>
    <t xml:space="preserve">100026</t>
  </si>
  <si>
    <t xml:space="preserve">29</t>
  </si>
  <si>
    <t xml:space="preserve">771212113R00</t>
  </si>
  <si>
    <t xml:space="preserve">Dodávka dlažby</t>
  </si>
  <si>
    <t xml:space="preserve">781</t>
  </si>
  <si>
    <t xml:space="preserve">Obklady (keramické)</t>
  </si>
  <si>
    <t xml:space="preserve">30</t>
  </si>
  <si>
    <t xml:space="preserve">781421013R00</t>
  </si>
  <si>
    <t xml:space="preserve">Dodávka obkladů</t>
  </si>
  <si>
    <t xml:space="preserve">781_</t>
  </si>
  <si>
    <t xml:space="preserve">78_</t>
  </si>
  <si>
    <t xml:space="preserve">100029</t>
  </si>
  <si>
    <t xml:space="preserve">781421015R00</t>
  </si>
  <si>
    <t xml:space="preserve">Montáž obkladů</t>
  </si>
  <si>
    <t xml:space="preserve">32</t>
  </si>
  <si>
    <t xml:space="preserve">781111141R00</t>
  </si>
  <si>
    <t xml:space="preserve">Spárování obkladů</t>
  </si>
  <si>
    <t xml:space="preserve">784</t>
  </si>
  <si>
    <t xml:space="preserve">Malby</t>
  </si>
  <si>
    <t xml:space="preserve">33</t>
  </si>
  <si>
    <t xml:space="preserve">784111102R00</t>
  </si>
  <si>
    <t xml:space="preserve">Penetrace podkladu nátěrem</t>
  </si>
  <si>
    <t xml:space="preserve">784_</t>
  </si>
  <si>
    <t xml:space="preserve">100035</t>
  </si>
  <si>
    <t xml:space="preserve">784114212R00</t>
  </si>
  <si>
    <t xml:space="preserve">Malba bílá, bez penetrace, 2 x</t>
  </si>
  <si>
    <t xml:space="preserve">90</t>
  </si>
  <si>
    <t xml:space="preserve">Hodinové zúčtovací sazby (HZS)</t>
  </si>
  <si>
    <t xml:space="preserve">35</t>
  </si>
  <si>
    <t xml:space="preserve">900      R04</t>
  </si>
  <si>
    <t xml:space="preserve">Stavební práce přípomocné ve stížených podmínkách</t>
  </si>
  <si>
    <t xml:space="preserve">h</t>
  </si>
  <si>
    <t xml:space="preserve">90_</t>
  </si>
  <si>
    <t xml:space="preserve">100027</t>
  </si>
  <si>
    <t xml:space="preserve">H01</t>
  </si>
  <si>
    <t xml:space="preserve">Přesun hmot</t>
  </si>
  <si>
    <t xml:space="preserve">36</t>
  </si>
  <si>
    <t xml:space="preserve">998011001R00</t>
  </si>
  <si>
    <t xml:space="preserve">Přesun hmot PSV</t>
  </si>
  <si>
    <t xml:space="preserve">%</t>
  </si>
  <si>
    <t xml:space="preserve">H01_</t>
  </si>
  <si>
    <t xml:space="preserve">100007</t>
  </si>
  <si>
    <t xml:space="preserve">37</t>
  </si>
  <si>
    <t xml:space="preserve">998011002R00</t>
  </si>
  <si>
    <t xml:space="preserve">Přesun hmot pro budovy zděné výšky do 12 m</t>
  </si>
  <si>
    <t xml:space="preserve">t</t>
  </si>
  <si>
    <t xml:space="preserve">S</t>
  </si>
  <si>
    <t xml:space="preserve">Přesuny a uložení sutí</t>
  </si>
  <si>
    <t xml:space="preserve">38</t>
  </si>
  <si>
    <t xml:space="preserve">979087018R00</t>
  </si>
  <si>
    <t xml:space="preserve">Odvoz na skládku do 50 km  a uložení na skládku</t>
  </si>
  <si>
    <t xml:space="preserve">S_</t>
  </si>
  <si>
    <t xml:space="preserve">100019</t>
  </si>
  <si>
    <t xml:space="preserve">Celkem:</t>
  </si>
  <si>
    <t xml:space="preserve">Poznámka:</t>
  </si>
  <si>
    <t xml:space="preserve">Sazba DPH</t>
  </si>
  <si>
    <t xml:space="preserve">Jednotková cena (Kč)</t>
  </si>
  <si>
    <t xml:space="preserve">Náklady dodávka (Kč)</t>
  </si>
  <si>
    <t xml:space="preserve">Náklady montáž (Kč)</t>
  </si>
  <si>
    <t xml:space="preserve">Náklady celkem (Kč)</t>
  </si>
  <si>
    <t xml:space="preserve">Jednotková hmotnost(t)</t>
  </si>
  <si>
    <t xml:space="preserve">Celková hmotnost(t)</t>
  </si>
  <si>
    <t xml:space="preserve">Bourání zdiva příček – WC  + bezbariérové WC vybudování </t>
  </si>
  <si>
    <t xml:space="preserve">Osazení zárubní dveřních dřevěných - včetně dodávky vč. Bezbariérové WC vč. Zvětšení kabinek-kluci+otevírání dveří ven</t>
  </si>
  <si>
    <t xml:space="preserve">1. Kontrola odpadního potrubí WC – kamerová revize (kamenina), vč. Záznamu a zprávy, vč. Event. Opravy.                                               2.Kontrola svodových trubek – kamerová revize vč. Záznamu a zprávy event. Výměnarávy</t>
  </si>
  <si>
    <t xml:space="preserve">Dodávka umyvadel </t>
  </si>
  <si>
    <t xml:space="preserve">Stavební rozpočet – rekapitulace - v rámci nabídnuté ceny</t>
  </si>
  <si>
    <t xml:space="preserve">Náklady (Kč) - dodávka</t>
  </si>
  <si>
    <t xml:space="preserve">Náklady (Kč) - Montáž</t>
  </si>
  <si>
    <t xml:space="preserve">Náklady (Kč) - celkem</t>
  </si>
  <si>
    <t xml:space="preserve">Celková hmotnost (t)</t>
  </si>
  <si>
    <t xml:space="preserve">T</t>
  </si>
  <si>
    <t xml:space="preserve">Výkaz výměr - v rámci nabídnuté ceny</t>
  </si>
  <si>
    <t xml:space="preserve">Cenová soustava</t>
  </si>
  <si>
    <t xml:space="preserve">Přizdívka otvorů do 0,9 m2, pórobet.tvár., tl.15cm, vč. Zvětšení kabinek kluci + otevírání dveří ven</t>
  </si>
  <si>
    <t xml:space="preserve">Bourání zdiva příček - WC</t>
  </si>
  <si>
    <t xml:space="preserve">Dveře jednokřídlové 70 - 90/ 197, dodávka a montáž</t>
  </si>
  <si>
    <t xml:space="preserve">Osazení zárubní dveřních dřevěných - včetně dodávky</t>
  </si>
  <si>
    <t xml:space="preserve">Dodávka a montáž potrubí z PVC do D 150 mm, včetně tvarovek,vyčištění svodových trubek</t>
  </si>
  <si>
    <t xml:space="preserve">1. Kontrola odpadního potrubí WC – kamerová revize (kamenina), vč. Záznamu a zprávy, vč. Event. Opravy.                       2.Kontrola svodových trubek – kamerová revize vč. Záznamu a zprávy event. Výměna</t>
  </si>
  <si>
    <t xml:space="preserve">Čerpání rozpočtu - v rámci nabídnuté ceny</t>
  </si>
  <si>
    <t xml:space="preserve">Rozpočtové náklady (Kč)</t>
  </si>
  <si>
    <t xml:space="preserve">Fakturovaná cena (Kč)</t>
  </si>
  <si>
    <t xml:space="preserve">Rozdíl v Kč</t>
  </si>
  <si>
    <t xml:space="preserve">Rozdíl v %</t>
  </si>
  <si>
    <t xml:space="preserve">Uhrazená cena (Kč)</t>
  </si>
  <si>
    <t xml:space="preserve">Rozdíl úhrady v Kč</t>
  </si>
  <si>
    <t xml:space="preserve">Rozdíl úhrady v %</t>
  </si>
  <si>
    <t xml:space="preserve">Krycí list rozpočtu - v rámci nabídnuté ceny</t>
  </si>
  <si>
    <t xml:space="preserve">IČ/DIČ:</t>
  </si>
  <si>
    <t xml:space="preserve">61388572</t>
  </si>
  <si>
    <t xml:space="preserve">Položek:</t>
  </si>
  <si>
    <t xml:space="preserve">Datum:</t>
  </si>
  <si>
    <t xml:space="preserve">Rozpočtové náklady v Kč</t>
  </si>
  <si>
    <t xml:space="preserve">A</t>
  </si>
  <si>
    <t xml:space="preserve">Základní rozpočtové náklady</t>
  </si>
  <si>
    <t xml:space="preserve">B</t>
  </si>
  <si>
    <t xml:space="preserve">Doplňkové náklady</t>
  </si>
  <si>
    <t xml:space="preserve">C</t>
  </si>
  <si>
    <t xml:space="preserve">Náklady na umístění stavby (NUS)</t>
  </si>
  <si>
    <t xml:space="preserve">HSV</t>
  </si>
  <si>
    <t xml:space="preserve">Dodávky</t>
  </si>
  <si>
    <t xml:space="preserve">Práce přesčas</t>
  </si>
  <si>
    <t xml:space="preserve">Zařízení staveniště</t>
  </si>
  <si>
    <t xml:space="preserve">Bez pevné podl.</t>
  </si>
  <si>
    <t xml:space="preserve">Mimostav. doprava</t>
  </si>
  <si>
    <t xml:space="preserve">PSV</t>
  </si>
  <si>
    <t xml:space="preserve">Kulturní památka</t>
  </si>
  <si>
    <t xml:space="preserve">Územní vlivy</t>
  </si>
  <si>
    <t xml:space="preserve">Provozní vlivy</t>
  </si>
  <si>
    <t xml:space="preserve">"M"</t>
  </si>
  <si>
    <t xml:space="preserve">Ostatní</t>
  </si>
  <si>
    <t xml:space="preserve">NUS z rozpočtu</t>
  </si>
  <si>
    <t xml:space="preserve">Ostatní materiál</t>
  </si>
  <si>
    <t xml:space="preserve">Přesun hmot a sutí</t>
  </si>
  <si>
    <t xml:space="preserve">ZRN celkem</t>
  </si>
  <si>
    <t xml:space="preserve">DN celkem</t>
  </si>
  <si>
    <t xml:space="preserve">NUS celkem</t>
  </si>
  <si>
    <t xml:space="preserve">DN celkem z obj.</t>
  </si>
  <si>
    <t xml:space="preserve">NUS celkem z obj.</t>
  </si>
  <si>
    <t xml:space="preserve">ORN celkem</t>
  </si>
  <si>
    <t xml:space="preserve">ORN celkem z obj.</t>
  </si>
  <si>
    <t xml:space="preserve">Základ 0%</t>
  </si>
  <si>
    <t xml:space="preserve">Základ 15%</t>
  </si>
  <si>
    <t xml:space="preserve">DPH 15%</t>
  </si>
  <si>
    <t xml:space="preserve">Celkem bez DPH</t>
  </si>
  <si>
    <t xml:space="preserve">Základ 21%</t>
  </si>
  <si>
    <t xml:space="preserve">DPH 21%</t>
  </si>
  <si>
    <t xml:space="preserve">Celkem včetně DPH</t>
  </si>
  <si>
    <t xml:space="preserve">Projektant</t>
  </si>
  <si>
    <t xml:space="preserve">Objednatel</t>
  </si>
  <si>
    <t xml:space="preserve">Zhotovitel</t>
  </si>
  <si>
    <t xml:space="preserve">Datum, razítko a podpis</t>
  </si>
  <si>
    <t xml:space="preserve">Vedlejší a ostatní rozpočtové náklady - v rámci nabídnuté ceny</t>
  </si>
  <si>
    <t xml:space="preserve">Vedlejší rozpočtové náklady VRN</t>
  </si>
  <si>
    <t xml:space="preserve">Doplňkové náklady DN</t>
  </si>
  <si>
    <t xml:space="preserve">Kč</t>
  </si>
  <si>
    <t xml:space="preserve">Základna</t>
  </si>
  <si>
    <t xml:space="preserve">Celkem DN</t>
  </si>
  <si>
    <t xml:space="preserve">Celkem NUS</t>
  </si>
  <si>
    <t xml:space="preserve">Celkem VRN</t>
  </si>
  <si>
    <t xml:space="preserve">Ostatní rozpočtové náklady ORN</t>
  </si>
  <si>
    <t xml:space="preserve">Ostatní rozpočtové náklady (ORN)</t>
  </si>
  <si>
    <t xml:space="preserve">Celkem ORN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</si>
</sst>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24">
    <font>
      <sz val="10"/>
      <color rgb="FF000000"/>
      <name val="Calibri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Times New Roman"/>
      <family val="0"/>
      <charset val="1"/>
    </font>
    <font>
      <b val="true"/>
      <sz val="11"/>
      <color rgb="FF000000"/>
      <name val="Times New Roman"/>
      <family val="0"/>
      <charset val="1"/>
    </font>
    <font>
      <b val="true"/>
      <sz val="22"/>
      <color rgb="FF000000"/>
      <name val="Times New Roman"/>
      <family val="0"/>
      <charset val="238"/>
    </font>
    <font>
      <b val="true"/>
      <sz val="12"/>
      <color rgb="FF000000"/>
      <name val="Arial"/>
      <family val="0"/>
      <charset val="1"/>
    </font>
    <font>
      <sz val="11"/>
      <color rgb="FF000000"/>
      <name val="Times New Roman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6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Arial"/>
      <family val="0"/>
      <charset val="238"/>
    </font>
    <font>
      <b val="true"/>
      <sz val="18"/>
      <color rgb="FF000000"/>
      <name val="Arial"/>
      <family val="0"/>
      <charset val="238"/>
    </font>
    <font>
      <b val="true"/>
      <sz val="10"/>
      <color rgb="FF000000"/>
      <name val="Arial"/>
      <family val="0"/>
      <charset val="238"/>
    </font>
    <font>
      <b val="true"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i val="true"/>
      <sz val="8"/>
      <color rgb="FF000000"/>
      <name val="Arial"/>
      <family val="0"/>
      <charset val="238"/>
    </font>
    <font>
      <b val="true"/>
      <sz val="24"/>
      <color rgb="FF000000"/>
      <name val="Arial"/>
      <family val="0"/>
      <charset val="238"/>
    </font>
    <font>
      <b val="true"/>
      <sz val="20"/>
      <color rgb="FF000000"/>
      <name val="Arial"/>
      <family val="0"/>
      <charset val="238"/>
    </font>
    <font>
      <b val="true"/>
      <sz val="11"/>
      <color rgb="FF000000"/>
      <name val="Arial"/>
      <family val="0"/>
      <charset val="238"/>
    </font>
    <font>
      <b val="true"/>
      <sz val="12"/>
      <color rgb="FF000000"/>
      <name val="Arial"/>
      <family val="0"/>
      <charset val="238"/>
    </font>
    <font>
      <sz val="12"/>
      <color rgb="FF000000"/>
      <name val="Arial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</fills>
  <borders count="51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4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3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3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0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3" fillId="0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3" fillId="3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3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3" borderId="3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3" borderId="3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3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0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3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3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3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3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3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0" borderId="3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3" borderId="3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3" borderId="3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3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3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3" borderId="3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3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4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3" fillId="0" borderId="4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3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0" borderId="4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2" fillId="0" borderId="4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3" fillId="0" borderId="4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3" fillId="0" borderId="4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2" fillId="0" borderId="4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3" fillId="0" borderId="4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2" fillId="0" borderId="4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3" fillId="0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3" borderId="4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2" fillId="3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4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3" fillId="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3" fillId="0" borderId="4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3" fillId="0" borderId="4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4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5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2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externalLink" Target="externalLinks/externalLink1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3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04.wmf"/><Relationship Id="rId2" Type="http://schemas.openxmlformats.org/officeDocument/2006/relationships/image" Target="../media/image105.wmf"/><Relationship Id="rId3" Type="http://schemas.openxmlformats.org/officeDocument/2006/relationships/image" Target="../media/image106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07.wmf"/><Relationship Id="rId2" Type="http://schemas.openxmlformats.org/officeDocument/2006/relationships/image" Target="../media/image108.wmf"/><Relationship Id="rId3" Type="http://schemas.openxmlformats.org/officeDocument/2006/relationships/image" Target="../media/image109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10.wmf"/><Relationship Id="rId2" Type="http://schemas.openxmlformats.org/officeDocument/2006/relationships/image" Target="../media/image111.wmf"/><Relationship Id="rId3" Type="http://schemas.openxmlformats.org/officeDocument/2006/relationships/image" Target="../media/image112.w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13.wmf"/><Relationship Id="rId2" Type="http://schemas.openxmlformats.org/officeDocument/2006/relationships/image" Target="../media/image114.wmf"/><Relationship Id="rId3" Type="http://schemas.openxmlformats.org/officeDocument/2006/relationships/image" Target="../media/image115.wmf"/><Relationship Id="rId4" Type="http://schemas.openxmlformats.org/officeDocument/2006/relationships/image" Target="../media/image116.w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17.wmf"/><Relationship Id="rId2" Type="http://schemas.openxmlformats.org/officeDocument/2006/relationships/image" Target="../media/image118.wmf"/><Relationship Id="rId3" Type="http://schemas.openxmlformats.org/officeDocument/2006/relationships/image" Target="../media/image119.wmf"/><Relationship Id="rId4" Type="http://schemas.openxmlformats.org/officeDocument/2006/relationships/image" Target="../media/image120.wmf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21.wmf"/><Relationship Id="rId2" Type="http://schemas.openxmlformats.org/officeDocument/2006/relationships/image" Target="../media/image122.wmf"/><Relationship Id="rId3" Type="http://schemas.openxmlformats.org/officeDocument/2006/relationships/image" Target="../media/image123.wmf"/><Relationship Id="rId4" Type="http://schemas.openxmlformats.org/officeDocument/2006/relationships/image" Target="../media/image124.wmf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25.wmf"/><Relationship Id="rId2" Type="http://schemas.openxmlformats.org/officeDocument/2006/relationships/image" Target="../media/image126.wmf"/><Relationship Id="rId3" Type="http://schemas.openxmlformats.org/officeDocument/2006/relationships/image" Target="../media/image127.wmf"/><Relationship Id="rId4" Type="http://schemas.openxmlformats.org/officeDocument/2006/relationships/image" Target="../media/image128.wmf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29.wmf"/><Relationship Id="rId2" Type="http://schemas.openxmlformats.org/officeDocument/2006/relationships/image" Target="../media/image130.wmf"/><Relationship Id="rId3" Type="http://schemas.openxmlformats.org/officeDocument/2006/relationships/image" Target="../media/image131.wmf"/><Relationship Id="rId4" Type="http://schemas.openxmlformats.org/officeDocument/2006/relationships/image" Target="../media/image132.wmf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33.wmf"/><Relationship Id="rId2" Type="http://schemas.openxmlformats.org/officeDocument/2006/relationships/image" Target="../media/image134.wmf"/><Relationship Id="rId3" Type="http://schemas.openxmlformats.org/officeDocument/2006/relationships/image" Target="../media/image135.wmf"/><Relationship Id="rId4" Type="http://schemas.openxmlformats.org/officeDocument/2006/relationships/image" Target="../media/image136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79200</xdr:colOff>
      <xdr:row>0</xdr:row>
      <xdr:rowOff>76680</xdr:rowOff>
    </xdr:from>
    <xdr:to>
      <xdr:col>12</xdr:col>
      <xdr:colOff>67680</xdr:colOff>
      <xdr:row>23</xdr:row>
      <xdr:rowOff>5040</xdr:rowOff>
    </xdr:to>
    <xdr:pic>
      <xdr:nvPicPr>
        <xdr:cNvPr id="0" name="Obrázek 25" descr=""/>
        <xdr:cNvPicPr/>
      </xdr:nvPicPr>
      <xdr:blipFill>
        <a:blip r:embed="rId1"/>
        <a:stretch/>
      </xdr:blipFill>
      <xdr:spPr>
        <a:xfrm>
          <a:off x="79200" y="76680"/>
          <a:ext cx="9673560" cy="366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357120</xdr:colOff>
      <xdr:row>0</xdr:row>
      <xdr:rowOff>86040</xdr:rowOff>
    </xdr:from>
    <xdr:to>
      <xdr:col>13</xdr:col>
      <xdr:colOff>205560</xdr:colOff>
      <xdr:row>8</xdr:row>
      <xdr:rowOff>63000</xdr:rowOff>
    </xdr:to>
    <xdr:pic>
      <xdr:nvPicPr>
        <xdr:cNvPr id="1" name="Obrázek 26" descr=""/>
        <xdr:cNvPicPr/>
      </xdr:nvPicPr>
      <xdr:blipFill>
        <a:blip r:embed="rId1"/>
        <a:stretch/>
      </xdr:blipFill>
      <xdr:spPr>
        <a:xfrm>
          <a:off x="2778480" y="86040"/>
          <a:ext cx="7919280" cy="1277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8</xdr:row>
      <xdr:rowOff>153000</xdr:rowOff>
    </xdr:from>
    <xdr:to>
      <xdr:col>8</xdr:col>
      <xdr:colOff>670680</xdr:colOff>
      <xdr:row>34</xdr:row>
      <xdr:rowOff>8640</xdr:rowOff>
    </xdr:to>
    <xdr:pic>
      <xdr:nvPicPr>
        <xdr:cNvPr id="2" name="Obrázek 27" descr=""/>
        <xdr:cNvPicPr/>
      </xdr:nvPicPr>
      <xdr:blipFill>
        <a:blip r:embed="rId2"/>
        <a:stretch/>
      </xdr:blipFill>
      <xdr:spPr>
        <a:xfrm>
          <a:off x="0" y="1453320"/>
          <a:ext cx="7127280" cy="408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10</xdr:col>
      <xdr:colOff>19440</xdr:colOff>
      <xdr:row>9</xdr:row>
      <xdr:rowOff>29520</xdr:rowOff>
    </xdr:from>
    <xdr:to>
      <xdr:col>22</xdr:col>
      <xdr:colOff>777600</xdr:colOff>
      <xdr:row>30</xdr:row>
      <xdr:rowOff>38160</xdr:rowOff>
    </xdr:to>
    <xdr:pic>
      <xdr:nvPicPr>
        <xdr:cNvPr id="3" name="Obrázek 28" descr=""/>
        <xdr:cNvPicPr/>
      </xdr:nvPicPr>
      <xdr:blipFill>
        <a:blip r:embed="rId3"/>
        <a:stretch/>
      </xdr:blipFill>
      <xdr:spPr>
        <a:xfrm>
          <a:off x="8090280" y="1492560"/>
          <a:ext cx="10443240" cy="3422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662400</xdr:colOff>
      <xdr:row>0</xdr:row>
      <xdr:rowOff>38160</xdr:rowOff>
    </xdr:from>
    <xdr:to>
      <xdr:col>13</xdr:col>
      <xdr:colOff>609840</xdr:colOff>
      <xdr:row>7</xdr:row>
      <xdr:rowOff>13320</xdr:rowOff>
    </xdr:to>
    <xdr:pic>
      <xdr:nvPicPr>
        <xdr:cNvPr id="4" name="Obrázek 29" descr=""/>
        <xdr:cNvPicPr/>
      </xdr:nvPicPr>
      <xdr:blipFill>
        <a:blip r:embed="rId1"/>
        <a:stretch/>
      </xdr:blipFill>
      <xdr:spPr>
        <a:xfrm>
          <a:off x="3083760" y="38160"/>
          <a:ext cx="8018280" cy="11131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9</xdr:row>
      <xdr:rowOff>0</xdr:rowOff>
    </xdr:from>
    <xdr:to>
      <xdr:col>8</xdr:col>
      <xdr:colOff>730440</xdr:colOff>
      <xdr:row>34</xdr:row>
      <xdr:rowOff>42840</xdr:rowOff>
    </xdr:to>
    <xdr:pic>
      <xdr:nvPicPr>
        <xdr:cNvPr id="5" name="Obrázek 30" descr=""/>
        <xdr:cNvPicPr/>
      </xdr:nvPicPr>
      <xdr:blipFill>
        <a:blip r:embed="rId2"/>
        <a:stretch/>
      </xdr:blipFill>
      <xdr:spPr>
        <a:xfrm>
          <a:off x="0" y="1463040"/>
          <a:ext cx="7187040" cy="41068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10</xdr:col>
      <xdr:colOff>29160</xdr:colOff>
      <xdr:row>9</xdr:row>
      <xdr:rowOff>155520</xdr:rowOff>
    </xdr:from>
    <xdr:to>
      <xdr:col>22</xdr:col>
      <xdr:colOff>547560</xdr:colOff>
      <xdr:row>34</xdr:row>
      <xdr:rowOff>73080</xdr:rowOff>
    </xdr:to>
    <xdr:pic>
      <xdr:nvPicPr>
        <xdr:cNvPr id="6" name="Obrázek 31" descr=""/>
        <xdr:cNvPicPr/>
      </xdr:nvPicPr>
      <xdr:blipFill>
        <a:blip r:embed="rId3"/>
        <a:stretch/>
      </xdr:blipFill>
      <xdr:spPr>
        <a:xfrm>
          <a:off x="8100000" y="1618560"/>
          <a:ext cx="10203480" cy="3981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713880</xdr:colOff>
      <xdr:row>0</xdr:row>
      <xdr:rowOff>95400</xdr:rowOff>
    </xdr:from>
    <xdr:to>
      <xdr:col>13</xdr:col>
      <xdr:colOff>565200</xdr:colOff>
      <xdr:row>9</xdr:row>
      <xdr:rowOff>73080</xdr:rowOff>
    </xdr:to>
    <xdr:pic>
      <xdr:nvPicPr>
        <xdr:cNvPr id="7" name="Obrázek 32" descr=""/>
        <xdr:cNvPicPr/>
      </xdr:nvPicPr>
      <xdr:blipFill>
        <a:blip r:embed="rId1"/>
        <a:stretch/>
      </xdr:blipFill>
      <xdr:spPr>
        <a:xfrm>
          <a:off x="2328120" y="95400"/>
          <a:ext cx="8729280" cy="1440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10</xdr:row>
      <xdr:rowOff>0</xdr:rowOff>
    </xdr:from>
    <xdr:to>
      <xdr:col>7</xdr:col>
      <xdr:colOff>363600</xdr:colOff>
      <xdr:row>31</xdr:row>
      <xdr:rowOff>45360</xdr:rowOff>
    </xdr:to>
    <xdr:pic>
      <xdr:nvPicPr>
        <xdr:cNvPr id="8" name="Obrázek 33" descr=""/>
        <xdr:cNvPicPr/>
      </xdr:nvPicPr>
      <xdr:blipFill>
        <a:blip r:embed="rId2"/>
        <a:stretch/>
      </xdr:blipFill>
      <xdr:spPr>
        <a:xfrm>
          <a:off x="0" y="1625760"/>
          <a:ext cx="6013080" cy="34588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</xdr:col>
      <xdr:colOff>788400</xdr:colOff>
      <xdr:row>10</xdr:row>
      <xdr:rowOff>86040</xdr:rowOff>
    </xdr:from>
    <xdr:to>
      <xdr:col>18</xdr:col>
      <xdr:colOff>561240</xdr:colOff>
      <xdr:row>31</xdr:row>
      <xdr:rowOff>144720</xdr:rowOff>
    </xdr:to>
    <xdr:pic>
      <xdr:nvPicPr>
        <xdr:cNvPr id="9" name="Obrázek 34" descr=""/>
        <xdr:cNvPicPr/>
      </xdr:nvPicPr>
      <xdr:blipFill>
        <a:blip r:embed="rId3"/>
        <a:stretch/>
      </xdr:blipFill>
      <xdr:spPr>
        <a:xfrm>
          <a:off x="6437880" y="1711800"/>
          <a:ext cx="8650800" cy="3472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720</xdr:colOff>
      <xdr:row>0</xdr:row>
      <xdr:rowOff>0</xdr:rowOff>
    </xdr:from>
    <xdr:to>
      <xdr:col>3</xdr:col>
      <xdr:colOff>325080</xdr:colOff>
      <xdr:row>0</xdr:row>
      <xdr:rowOff>770760</xdr:rowOff>
    </xdr:to>
    <xdr:pic>
      <xdr:nvPicPr>
        <xdr:cNvPr id="10" name="Obrázek 1" descr=""/>
        <xdr:cNvPicPr/>
      </xdr:nvPicPr>
      <xdr:blipFill>
        <a:blip r:embed="rId1"/>
        <a:stretch/>
      </xdr:blipFill>
      <xdr:spPr>
        <a:xfrm>
          <a:off x="720" y="0"/>
          <a:ext cx="1998360" cy="770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362880</xdr:colOff>
      <xdr:row>0</xdr:row>
      <xdr:rowOff>28800</xdr:rowOff>
    </xdr:from>
    <xdr:to>
      <xdr:col>3</xdr:col>
      <xdr:colOff>921240</xdr:colOff>
      <xdr:row>0</xdr:row>
      <xdr:rowOff>578880</xdr:rowOff>
    </xdr:to>
    <xdr:pic>
      <xdr:nvPicPr>
        <xdr:cNvPr id="11" name="Obrázek 10" descr=""/>
        <xdr:cNvPicPr/>
      </xdr:nvPicPr>
      <xdr:blipFill>
        <a:blip r:embed="rId2"/>
        <a:stretch/>
      </xdr:blipFill>
      <xdr:spPr>
        <a:xfrm>
          <a:off x="2036880" y="28800"/>
          <a:ext cx="558360" cy="550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1016640</xdr:colOff>
      <xdr:row>0</xdr:row>
      <xdr:rowOff>28800</xdr:rowOff>
    </xdr:from>
    <xdr:to>
      <xdr:col>3</xdr:col>
      <xdr:colOff>1586520</xdr:colOff>
      <xdr:row>0</xdr:row>
      <xdr:rowOff>600840</xdr:rowOff>
    </xdr:to>
    <xdr:pic>
      <xdr:nvPicPr>
        <xdr:cNvPr id="12" name="Obrázek 9" descr=""/>
        <xdr:cNvPicPr/>
      </xdr:nvPicPr>
      <xdr:blipFill>
        <a:blip r:embed="rId3"/>
        <a:stretch/>
      </xdr:blipFill>
      <xdr:spPr>
        <a:xfrm>
          <a:off x="2690640" y="28800"/>
          <a:ext cx="569880" cy="5720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1677960</xdr:colOff>
      <xdr:row>0</xdr:row>
      <xdr:rowOff>10800</xdr:rowOff>
    </xdr:from>
    <xdr:to>
      <xdr:col>3</xdr:col>
      <xdr:colOff>2266920</xdr:colOff>
      <xdr:row>0</xdr:row>
      <xdr:rowOff>593640</xdr:rowOff>
    </xdr:to>
    <xdr:pic>
      <xdr:nvPicPr>
        <xdr:cNvPr id="13" name="Obrázek 6" descr=""/>
        <xdr:cNvPicPr/>
      </xdr:nvPicPr>
      <xdr:blipFill>
        <a:blip r:embed="rId4"/>
        <a:stretch/>
      </xdr:blipFill>
      <xdr:spPr>
        <a:xfrm>
          <a:off x="3351960" y="10800"/>
          <a:ext cx="588960" cy="582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1080</xdr:colOff>
      <xdr:row>0</xdr:row>
      <xdr:rowOff>0</xdr:rowOff>
    </xdr:from>
    <xdr:to>
      <xdr:col>1</xdr:col>
      <xdr:colOff>830520</xdr:colOff>
      <xdr:row>0</xdr:row>
      <xdr:rowOff>770760</xdr:rowOff>
    </xdr:to>
    <xdr:pic>
      <xdr:nvPicPr>
        <xdr:cNvPr id="14" name="Obrázek 2" descr=""/>
        <xdr:cNvPicPr/>
      </xdr:nvPicPr>
      <xdr:blipFill>
        <a:blip r:embed="rId1"/>
        <a:stretch/>
      </xdr:blipFill>
      <xdr:spPr>
        <a:xfrm>
          <a:off x="1080" y="0"/>
          <a:ext cx="1995840" cy="770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893160</xdr:colOff>
      <xdr:row>0</xdr:row>
      <xdr:rowOff>75960</xdr:rowOff>
    </xdr:from>
    <xdr:to>
      <xdr:col>2</xdr:col>
      <xdr:colOff>283320</xdr:colOff>
      <xdr:row>0</xdr:row>
      <xdr:rowOff>626040</xdr:rowOff>
    </xdr:to>
    <xdr:pic>
      <xdr:nvPicPr>
        <xdr:cNvPr id="15" name="Obrázek 8" descr=""/>
        <xdr:cNvPicPr/>
      </xdr:nvPicPr>
      <xdr:blipFill>
        <a:blip r:embed="rId2"/>
        <a:stretch/>
      </xdr:blipFill>
      <xdr:spPr>
        <a:xfrm>
          <a:off x="2059560" y="75960"/>
          <a:ext cx="556920" cy="550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353160</xdr:colOff>
      <xdr:row>0</xdr:row>
      <xdr:rowOff>65160</xdr:rowOff>
    </xdr:from>
    <xdr:to>
      <xdr:col>2</xdr:col>
      <xdr:colOff>920160</xdr:colOff>
      <xdr:row>0</xdr:row>
      <xdr:rowOff>640440</xdr:rowOff>
    </xdr:to>
    <xdr:pic>
      <xdr:nvPicPr>
        <xdr:cNvPr id="16" name="Obrázek 15" descr=""/>
        <xdr:cNvPicPr/>
      </xdr:nvPicPr>
      <xdr:blipFill>
        <a:blip r:embed="rId3"/>
        <a:stretch/>
      </xdr:blipFill>
      <xdr:spPr>
        <a:xfrm>
          <a:off x="2686320" y="65160"/>
          <a:ext cx="567000" cy="575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964080</xdr:colOff>
      <xdr:row>0</xdr:row>
      <xdr:rowOff>57960</xdr:rowOff>
    </xdr:from>
    <xdr:to>
      <xdr:col>2</xdr:col>
      <xdr:colOff>1551240</xdr:colOff>
      <xdr:row>0</xdr:row>
      <xdr:rowOff>640440</xdr:rowOff>
    </xdr:to>
    <xdr:pic>
      <xdr:nvPicPr>
        <xdr:cNvPr id="17" name="Obrázek 20" descr=""/>
        <xdr:cNvPicPr/>
      </xdr:nvPicPr>
      <xdr:blipFill>
        <a:blip r:embed="rId4"/>
        <a:stretch/>
      </xdr:blipFill>
      <xdr:spPr>
        <a:xfrm>
          <a:off x="3297240" y="57960"/>
          <a:ext cx="587160" cy="582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720</xdr:colOff>
      <xdr:row>0</xdr:row>
      <xdr:rowOff>0</xdr:rowOff>
    </xdr:from>
    <xdr:to>
      <xdr:col>2</xdr:col>
      <xdr:colOff>709560</xdr:colOff>
      <xdr:row>0</xdr:row>
      <xdr:rowOff>770760</xdr:rowOff>
    </xdr:to>
    <xdr:pic>
      <xdr:nvPicPr>
        <xdr:cNvPr id="18" name="Obrázek 3" descr=""/>
        <xdr:cNvPicPr/>
      </xdr:nvPicPr>
      <xdr:blipFill>
        <a:blip r:embed="rId1"/>
        <a:stretch/>
      </xdr:blipFill>
      <xdr:spPr>
        <a:xfrm>
          <a:off x="720" y="0"/>
          <a:ext cx="1992960" cy="770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776880</xdr:colOff>
      <xdr:row>0</xdr:row>
      <xdr:rowOff>57960</xdr:rowOff>
    </xdr:from>
    <xdr:to>
      <xdr:col>3</xdr:col>
      <xdr:colOff>398880</xdr:colOff>
      <xdr:row>0</xdr:row>
      <xdr:rowOff>608040</xdr:rowOff>
    </xdr:to>
    <xdr:pic>
      <xdr:nvPicPr>
        <xdr:cNvPr id="19" name="Obrázek 11" descr=""/>
        <xdr:cNvPicPr/>
      </xdr:nvPicPr>
      <xdr:blipFill>
        <a:blip r:embed="rId2"/>
        <a:stretch/>
      </xdr:blipFill>
      <xdr:spPr>
        <a:xfrm>
          <a:off x="2061000" y="57960"/>
          <a:ext cx="555840" cy="550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470160</xdr:colOff>
      <xdr:row>0</xdr:row>
      <xdr:rowOff>65160</xdr:rowOff>
    </xdr:from>
    <xdr:to>
      <xdr:col>3</xdr:col>
      <xdr:colOff>1038240</xdr:colOff>
      <xdr:row>0</xdr:row>
      <xdr:rowOff>640440</xdr:rowOff>
    </xdr:to>
    <xdr:pic>
      <xdr:nvPicPr>
        <xdr:cNvPr id="20" name="Obrázek 16" descr=""/>
        <xdr:cNvPicPr/>
      </xdr:nvPicPr>
      <xdr:blipFill>
        <a:blip r:embed="rId3"/>
        <a:stretch/>
      </xdr:blipFill>
      <xdr:spPr>
        <a:xfrm>
          <a:off x="2688120" y="65160"/>
          <a:ext cx="568080" cy="575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1071720</xdr:colOff>
      <xdr:row>0</xdr:row>
      <xdr:rowOff>65160</xdr:rowOff>
    </xdr:from>
    <xdr:to>
      <xdr:col>3</xdr:col>
      <xdr:colOff>1661040</xdr:colOff>
      <xdr:row>0</xdr:row>
      <xdr:rowOff>648000</xdr:rowOff>
    </xdr:to>
    <xdr:pic>
      <xdr:nvPicPr>
        <xdr:cNvPr id="21" name="Obrázek 21" descr=""/>
        <xdr:cNvPicPr/>
      </xdr:nvPicPr>
      <xdr:blipFill>
        <a:blip r:embed="rId4"/>
        <a:stretch/>
      </xdr:blipFill>
      <xdr:spPr>
        <a:xfrm>
          <a:off x="3289680" y="65160"/>
          <a:ext cx="589320" cy="582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1080</xdr:colOff>
      <xdr:row>0</xdr:row>
      <xdr:rowOff>0</xdr:rowOff>
    </xdr:from>
    <xdr:to>
      <xdr:col>2</xdr:col>
      <xdr:colOff>237600</xdr:colOff>
      <xdr:row>0</xdr:row>
      <xdr:rowOff>770760</xdr:rowOff>
    </xdr:to>
    <xdr:pic>
      <xdr:nvPicPr>
        <xdr:cNvPr id="22" name="Obrázek 4" descr=""/>
        <xdr:cNvPicPr/>
      </xdr:nvPicPr>
      <xdr:blipFill>
        <a:blip r:embed="rId1"/>
        <a:stretch/>
      </xdr:blipFill>
      <xdr:spPr>
        <a:xfrm>
          <a:off x="1080" y="0"/>
          <a:ext cx="1992960" cy="770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275040</xdr:colOff>
      <xdr:row>0</xdr:row>
      <xdr:rowOff>93960</xdr:rowOff>
    </xdr:from>
    <xdr:to>
      <xdr:col>2</xdr:col>
      <xdr:colOff>824400</xdr:colOff>
      <xdr:row>0</xdr:row>
      <xdr:rowOff>644040</xdr:rowOff>
    </xdr:to>
    <xdr:pic>
      <xdr:nvPicPr>
        <xdr:cNvPr id="23" name="Obrázek 12" descr=""/>
        <xdr:cNvPicPr/>
      </xdr:nvPicPr>
      <xdr:blipFill>
        <a:blip r:embed="rId2"/>
        <a:stretch/>
      </xdr:blipFill>
      <xdr:spPr>
        <a:xfrm>
          <a:off x="2031480" y="93960"/>
          <a:ext cx="549360" cy="550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906120</xdr:colOff>
      <xdr:row>0</xdr:row>
      <xdr:rowOff>65160</xdr:rowOff>
    </xdr:from>
    <xdr:to>
      <xdr:col>3</xdr:col>
      <xdr:colOff>447120</xdr:colOff>
      <xdr:row>0</xdr:row>
      <xdr:rowOff>640440</xdr:rowOff>
    </xdr:to>
    <xdr:pic>
      <xdr:nvPicPr>
        <xdr:cNvPr id="24" name="Obrázek 17" descr=""/>
        <xdr:cNvPicPr/>
      </xdr:nvPicPr>
      <xdr:blipFill>
        <a:blip r:embed="rId3"/>
        <a:stretch/>
      </xdr:blipFill>
      <xdr:spPr>
        <a:xfrm>
          <a:off x="2662560" y="65160"/>
          <a:ext cx="564480" cy="575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510840</xdr:colOff>
      <xdr:row>0</xdr:row>
      <xdr:rowOff>65160</xdr:rowOff>
    </xdr:from>
    <xdr:to>
      <xdr:col>3</xdr:col>
      <xdr:colOff>1099800</xdr:colOff>
      <xdr:row>0</xdr:row>
      <xdr:rowOff>648000</xdr:rowOff>
    </xdr:to>
    <xdr:pic>
      <xdr:nvPicPr>
        <xdr:cNvPr id="25" name="Obrázek 22" descr=""/>
        <xdr:cNvPicPr/>
      </xdr:nvPicPr>
      <xdr:blipFill>
        <a:blip r:embed="rId4"/>
        <a:stretch/>
      </xdr:blipFill>
      <xdr:spPr>
        <a:xfrm>
          <a:off x="3290760" y="65160"/>
          <a:ext cx="588960" cy="582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720</xdr:colOff>
      <xdr:row>0</xdr:row>
      <xdr:rowOff>0</xdr:rowOff>
    </xdr:from>
    <xdr:to>
      <xdr:col>1</xdr:col>
      <xdr:colOff>824040</xdr:colOff>
      <xdr:row>0</xdr:row>
      <xdr:rowOff>565560</xdr:rowOff>
    </xdr:to>
    <xdr:pic>
      <xdr:nvPicPr>
        <xdr:cNvPr id="26" name="Obrázek 5" descr=""/>
        <xdr:cNvPicPr/>
      </xdr:nvPicPr>
      <xdr:blipFill>
        <a:blip r:embed="rId1"/>
        <a:stretch/>
      </xdr:blipFill>
      <xdr:spPr>
        <a:xfrm>
          <a:off x="720" y="0"/>
          <a:ext cx="1465200" cy="565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377280</xdr:colOff>
      <xdr:row>0</xdr:row>
      <xdr:rowOff>337320</xdr:rowOff>
    </xdr:from>
    <xdr:to>
      <xdr:col>2</xdr:col>
      <xdr:colOff>25920</xdr:colOff>
      <xdr:row>0</xdr:row>
      <xdr:rowOff>887400</xdr:rowOff>
    </xdr:to>
    <xdr:pic>
      <xdr:nvPicPr>
        <xdr:cNvPr id="27" name="Obrázek 13" descr=""/>
        <xdr:cNvPicPr/>
      </xdr:nvPicPr>
      <xdr:blipFill>
        <a:blip r:embed="rId2"/>
        <a:stretch/>
      </xdr:blipFill>
      <xdr:spPr>
        <a:xfrm>
          <a:off x="1019160" y="337320"/>
          <a:ext cx="552240" cy="550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121320</xdr:colOff>
      <xdr:row>0</xdr:row>
      <xdr:rowOff>318960</xdr:rowOff>
    </xdr:from>
    <xdr:to>
      <xdr:col>2</xdr:col>
      <xdr:colOff>682200</xdr:colOff>
      <xdr:row>0</xdr:row>
      <xdr:rowOff>890640</xdr:rowOff>
    </xdr:to>
    <xdr:pic>
      <xdr:nvPicPr>
        <xdr:cNvPr id="28" name="Obrázek 18" descr=""/>
        <xdr:cNvPicPr/>
      </xdr:nvPicPr>
      <xdr:blipFill>
        <a:blip r:embed="rId3"/>
        <a:stretch/>
      </xdr:blipFill>
      <xdr:spPr>
        <a:xfrm>
          <a:off x="1666800" y="318960"/>
          <a:ext cx="560880" cy="5716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8</xdr:col>
      <xdr:colOff>986400</xdr:colOff>
      <xdr:row>0</xdr:row>
      <xdr:rowOff>315360</xdr:rowOff>
    </xdr:from>
    <xdr:to>
      <xdr:col>8</xdr:col>
      <xdr:colOff>1572120</xdr:colOff>
      <xdr:row>0</xdr:row>
      <xdr:rowOff>898200</xdr:rowOff>
    </xdr:to>
    <xdr:pic>
      <xdr:nvPicPr>
        <xdr:cNvPr id="29" name="Obrázek 23" descr=""/>
        <xdr:cNvPicPr/>
      </xdr:nvPicPr>
      <xdr:blipFill>
        <a:blip r:embed="rId4"/>
        <a:stretch/>
      </xdr:blipFill>
      <xdr:spPr>
        <a:xfrm>
          <a:off x="8980920" y="315360"/>
          <a:ext cx="585720" cy="582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720</xdr:colOff>
      <xdr:row>0</xdr:row>
      <xdr:rowOff>0</xdr:rowOff>
    </xdr:from>
    <xdr:to>
      <xdr:col>2</xdr:col>
      <xdr:colOff>450360</xdr:colOff>
      <xdr:row>0</xdr:row>
      <xdr:rowOff>770760</xdr:rowOff>
    </xdr:to>
    <xdr:pic>
      <xdr:nvPicPr>
        <xdr:cNvPr id="30" name="Obrázek 7" descr=""/>
        <xdr:cNvPicPr/>
      </xdr:nvPicPr>
      <xdr:blipFill>
        <a:blip r:embed="rId1"/>
        <a:stretch/>
      </xdr:blipFill>
      <xdr:spPr>
        <a:xfrm>
          <a:off x="720" y="0"/>
          <a:ext cx="1995120" cy="770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426600</xdr:colOff>
      <xdr:row>0</xdr:row>
      <xdr:rowOff>363600</xdr:rowOff>
    </xdr:from>
    <xdr:to>
      <xdr:col>2</xdr:col>
      <xdr:colOff>977400</xdr:colOff>
      <xdr:row>1</xdr:row>
      <xdr:rowOff>51480</xdr:rowOff>
    </xdr:to>
    <xdr:pic>
      <xdr:nvPicPr>
        <xdr:cNvPr id="31" name="Obrázek 14" descr=""/>
        <xdr:cNvPicPr/>
      </xdr:nvPicPr>
      <xdr:blipFill>
        <a:blip r:embed="rId2"/>
        <a:stretch/>
      </xdr:blipFill>
      <xdr:spPr>
        <a:xfrm>
          <a:off x="1972080" y="363600"/>
          <a:ext cx="550800" cy="550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8</xdr:col>
      <xdr:colOff>396360</xdr:colOff>
      <xdr:row>0</xdr:row>
      <xdr:rowOff>316080</xdr:rowOff>
    </xdr:from>
    <xdr:to>
      <xdr:col>8</xdr:col>
      <xdr:colOff>956520</xdr:colOff>
      <xdr:row>1</xdr:row>
      <xdr:rowOff>25560</xdr:rowOff>
    </xdr:to>
    <xdr:pic>
      <xdr:nvPicPr>
        <xdr:cNvPr id="32" name="Obrázek 19" descr=""/>
        <xdr:cNvPicPr/>
      </xdr:nvPicPr>
      <xdr:blipFill>
        <a:blip r:embed="rId3"/>
        <a:stretch/>
      </xdr:blipFill>
      <xdr:spPr>
        <a:xfrm>
          <a:off x="8693280" y="316080"/>
          <a:ext cx="560160" cy="5716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8</xdr:col>
      <xdr:colOff>985680</xdr:colOff>
      <xdr:row>0</xdr:row>
      <xdr:rowOff>307440</xdr:rowOff>
    </xdr:from>
    <xdr:to>
      <xdr:col>8</xdr:col>
      <xdr:colOff>1571040</xdr:colOff>
      <xdr:row>1</xdr:row>
      <xdr:rowOff>27720</xdr:rowOff>
    </xdr:to>
    <xdr:pic>
      <xdr:nvPicPr>
        <xdr:cNvPr id="33" name="Obrázek 24" descr=""/>
        <xdr:cNvPicPr/>
      </xdr:nvPicPr>
      <xdr:blipFill>
        <a:blip r:embed="rId4"/>
        <a:stretch/>
      </xdr:blipFill>
      <xdr:spPr>
        <a:xfrm>
          <a:off x="9282600" y="307440"/>
          <a:ext cx="585360" cy="5824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ata/A_Naklady/Gymnazium%20Ri&#269;any/PROJEKTY/Oprava%20soci&#225;ln&#237;ho%20za&#345;&#237;zen&#237;-WC/Dokumentace%20pro%20vyberove%20rizeni/Kryc&#237;%20list_Specifikace%20predm&#283;tu%20pln&#283;n&#237;%20(v&#253;kaz%20v&#253;m&#283;r)_4.6.2023_II_FINAL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Schema"/>
      <sheetName val="toalety_přízemí"/>
      <sheetName val="toalety_1.patro"/>
      <sheetName val="toalety_2. patro"/>
      <sheetName val="Stavební rozpočet"/>
      <sheetName val="Rozpočet - vybrané sloupce"/>
      <sheetName val="Stavební rozpočet - součet"/>
      <sheetName val="Výkaz výměr"/>
      <sheetName val="Čerpání rozpočtu"/>
      <sheetName val="Krycí list rozpočtu"/>
      <sheetName val="VORN"/>
    </sheetNames>
    <sheetDataSet>
      <sheetData sheetId="0"/>
      <sheetData sheetId="1"/>
      <sheetData sheetId="2"/>
      <sheetData sheetId="3"/>
      <sheetData sheetId="4"/>
      <sheetData sheetId="5">
        <row r="12">
          <cell r="H12">
            <v>0</v>
          </cell>
          <cell r="I12">
            <v>0</v>
          </cell>
        </row>
        <row r="12">
          <cell r="L12">
            <v>1.5622076</v>
          </cell>
        </row>
        <row r="13">
          <cell r="F13">
            <v>54.68</v>
          </cell>
          <cell r="G13">
            <v>0</v>
          </cell>
        </row>
        <row r="13">
          <cell r="J13">
            <v>0</v>
          </cell>
          <cell r="K13">
            <v>0.02857</v>
          </cell>
        </row>
        <row r="14">
          <cell r="H14">
            <v>0</v>
          </cell>
          <cell r="I14">
            <v>0</v>
          </cell>
        </row>
        <row r="14">
          <cell r="L14">
            <v>123.506546</v>
          </cell>
        </row>
        <row r="15">
          <cell r="F15">
            <v>204</v>
          </cell>
          <cell r="G15">
            <v>0</v>
          </cell>
        </row>
        <row r="15">
          <cell r="J15">
            <v>0</v>
          </cell>
          <cell r="K15">
            <v>0.02</v>
          </cell>
        </row>
        <row r="16">
          <cell r="F16">
            <v>204</v>
          </cell>
          <cell r="G16">
            <v>0</v>
          </cell>
        </row>
        <row r="16">
          <cell r="J16">
            <v>0</v>
          </cell>
          <cell r="K16">
            <v>0.00765</v>
          </cell>
        </row>
        <row r="16">
          <cell r="P16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6">
          <cell r="Z16">
            <v>0</v>
          </cell>
          <cell r="AA16">
            <v>0</v>
          </cell>
          <cell r="AB16">
            <v>0</v>
          </cell>
        </row>
        <row r="17">
          <cell r="F17">
            <v>34</v>
          </cell>
          <cell r="G17">
            <v>0</v>
          </cell>
        </row>
        <row r="17">
          <cell r="J17">
            <v>0</v>
          </cell>
          <cell r="K17">
            <v>0.017</v>
          </cell>
        </row>
        <row r="17">
          <cell r="P17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7">
          <cell r="Z17">
            <v>0</v>
          </cell>
          <cell r="AA17">
            <v>0</v>
          </cell>
          <cell r="AB17">
            <v>0</v>
          </cell>
        </row>
        <row r="18">
          <cell r="F18">
            <v>90</v>
          </cell>
          <cell r="G18">
            <v>0</v>
          </cell>
        </row>
        <row r="18">
          <cell r="J18">
            <v>0</v>
          </cell>
          <cell r="K18">
            <v>0.06359</v>
          </cell>
        </row>
        <row r="18">
          <cell r="P18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8">
          <cell r="Z18">
            <v>0</v>
          </cell>
          <cell r="AA18">
            <v>0</v>
          </cell>
          <cell r="AB18">
            <v>0</v>
          </cell>
        </row>
        <row r="19">
          <cell r="F19">
            <v>94.86</v>
          </cell>
          <cell r="G19">
            <v>0</v>
          </cell>
        </row>
        <row r="19">
          <cell r="J19">
            <v>0</v>
          </cell>
          <cell r="K19">
            <v>1.1761</v>
          </cell>
        </row>
        <row r="19">
          <cell r="P19">
            <v>0</v>
          </cell>
        </row>
        <row r="19"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19">
          <cell r="Z19">
            <v>0</v>
          </cell>
          <cell r="AA19">
            <v>0</v>
          </cell>
          <cell r="AB19">
            <v>0</v>
          </cell>
        </row>
        <row r="20">
          <cell r="H20">
            <v>0</v>
          </cell>
          <cell r="I20">
            <v>0</v>
          </cell>
        </row>
        <row r="20">
          <cell r="L20">
            <v>4.9810986</v>
          </cell>
        </row>
        <row r="21">
          <cell r="F21">
            <v>94.86</v>
          </cell>
          <cell r="G21">
            <v>0</v>
          </cell>
        </row>
        <row r="21">
          <cell r="J21">
            <v>0</v>
          </cell>
          <cell r="K21">
            <v>0.05251</v>
          </cell>
        </row>
        <row r="22">
          <cell r="H22">
            <v>0</v>
          </cell>
          <cell r="I22">
            <v>0</v>
          </cell>
        </row>
        <row r="22">
          <cell r="L22">
            <v>6.20942</v>
          </cell>
        </row>
        <row r="23">
          <cell r="F23">
            <v>34</v>
          </cell>
          <cell r="G23">
            <v>0</v>
          </cell>
        </row>
        <row r="23">
          <cell r="J23">
            <v>0</v>
          </cell>
          <cell r="K23">
            <v>0.16263</v>
          </cell>
        </row>
        <row r="24">
          <cell r="F24">
            <v>34</v>
          </cell>
          <cell r="G24">
            <v>0</v>
          </cell>
        </row>
        <row r="24">
          <cell r="J24">
            <v>0</v>
          </cell>
          <cell r="K24">
            <v>0.02</v>
          </cell>
        </row>
        <row r="24">
          <cell r="P24">
            <v>0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4">
          <cell r="Z24">
            <v>0</v>
          </cell>
          <cell r="AA24">
            <v>0</v>
          </cell>
          <cell r="AB24">
            <v>0</v>
          </cell>
        </row>
        <row r="25">
          <cell r="H25">
            <v>0</v>
          </cell>
          <cell r="I25">
            <v>0</v>
          </cell>
        </row>
        <row r="25">
          <cell r="L25">
            <v>0</v>
          </cell>
        </row>
        <row r="26">
          <cell r="F26">
            <v>80</v>
          </cell>
          <cell r="G26">
            <v>0</v>
          </cell>
        </row>
        <row r="26">
          <cell r="J26">
            <v>0</v>
          </cell>
          <cell r="K26">
            <v>0</v>
          </cell>
        </row>
        <row r="27">
          <cell r="H27">
            <v>0</v>
          </cell>
          <cell r="I27">
            <v>0</v>
          </cell>
        </row>
        <row r="27">
          <cell r="L27">
            <v>0.17885</v>
          </cell>
        </row>
        <row r="28">
          <cell r="F28">
            <v>90</v>
          </cell>
          <cell r="G28">
            <v>0</v>
          </cell>
        </row>
        <row r="28">
          <cell r="J28">
            <v>0</v>
          </cell>
          <cell r="K28">
            <v>0.00198</v>
          </cell>
        </row>
        <row r="29">
          <cell r="F29">
            <v>1</v>
          </cell>
          <cell r="G29">
            <v>0</v>
          </cell>
        </row>
        <row r="29">
          <cell r="J29">
            <v>0</v>
          </cell>
          <cell r="K29">
            <v>0.00065</v>
          </cell>
        </row>
        <row r="29">
          <cell r="P29">
            <v>0</v>
          </cell>
        </row>
        <row r="29"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29">
          <cell r="Z29">
            <v>0</v>
          </cell>
          <cell r="AA29">
            <v>0</v>
          </cell>
          <cell r="AB29">
            <v>0</v>
          </cell>
        </row>
        <row r="30">
          <cell r="H30">
            <v>0</v>
          </cell>
          <cell r="I30">
            <v>0</v>
          </cell>
        </row>
        <row r="30">
          <cell r="L30">
            <v>2.4842</v>
          </cell>
        </row>
        <row r="31">
          <cell r="F31">
            <v>30</v>
          </cell>
          <cell r="G31">
            <v>0</v>
          </cell>
        </row>
        <row r="31">
          <cell r="J31">
            <v>0</v>
          </cell>
          <cell r="K31">
            <v>0.03738</v>
          </cell>
        </row>
        <row r="32">
          <cell r="F32">
            <v>45</v>
          </cell>
          <cell r="G32">
            <v>0</v>
          </cell>
        </row>
        <row r="32">
          <cell r="J32">
            <v>0</v>
          </cell>
          <cell r="K32">
            <v>0.02653</v>
          </cell>
        </row>
        <row r="32">
          <cell r="P32">
            <v>0</v>
          </cell>
        </row>
        <row r="32"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2">
          <cell r="Z32">
            <v>0</v>
          </cell>
          <cell r="AA32">
            <v>0</v>
          </cell>
          <cell r="AB32">
            <v>0</v>
          </cell>
        </row>
        <row r="33">
          <cell r="F33">
            <v>31</v>
          </cell>
          <cell r="G33">
            <v>0</v>
          </cell>
        </row>
        <row r="33">
          <cell r="J33">
            <v>0</v>
          </cell>
          <cell r="K33">
            <v>0.00545</v>
          </cell>
        </row>
        <row r="33">
          <cell r="P33">
            <v>0</v>
          </cell>
        </row>
        <row r="33"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3">
          <cell r="Z33">
            <v>0</v>
          </cell>
          <cell r="AA33">
            <v>0</v>
          </cell>
          <cell r="AB33">
            <v>0</v>
          </cell>
        </row>
        <row r="34">
          <cell r="H34">
            <v>0</v>
          </cell>
          <cell r="I34">
            <v>0</v>
          </cell>
        </row>
        <row r="34">
          <cell r="L34">
            <v>4.30434</v>
          </cell>
        </row>
        <row r="35">
          <cell r="F35">
            <v>31</v>
          </cell>
          <cell r="G35">
            <v>0</v>
          </cell>
        </row>
        <row r="35">
          <cell r="J35">
            <v>0</v>
          </cell>
          <cell r="K35">
            <v>0.00084</v>
          </cell>
        </row>
        <row r="36">
          <cell r="F36">
            <v>31</v>
          </cell>
          <cell r="G36">
            <v>0</v>
          </cell>
        </row>
        <row r="36">
          <cell r="J36">
            <v>0</v>
          </cell>
          <cell r="K36">
            <v>0.00084</v>
          </cell>
        </row>
        <row r="36">
          <cell r="P36">
            <v>0</v>
          </cell>
        </row>
        <row r="36"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6">
          <cell r="Z36">
            <v>0</v>
          </cell>
          <cell r="AA36">
            <v>0</v>
          </cell>
          <cell r="AB36">
            <v>0</v>
          </cell>
        </row>
        <row r="37">
          <cell r="F37">
            <v>31</v>
          </cell>
          <cell r="G37">
            <v>0</v>
          </cell>
        </row>
        <row r="37">
          <cell r="J37">
            <v>0</v>
          </cell>
          <cell r="K37">
            <v>0.01</v>
          </cell>
        </row>
        <row r="37">
          <cell r="P37">
            <v>0</v>
          </cell>
        </row>
        <row r="37"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7">
          <cell r="Z37">
            <v>0</v>
          </cell>
          <cell r="AA37">
            <v>0</v>
          </cell>
          <cell r="AB37">
            <v>0</v>
          </cell>
        </row>
        <row r="38">
          <cell r="F38">
            <v>18</v>
          </cell>
          <cell r="G38">
            <v>0</v>
          </cell>
        </row>
        <row r="38">
          <cell r="J38">
            <v>0</v>
          </cell>
          <cell r="K38">
            <v>6E-005</v>
          </cell>
        </row>
        <row r="38">
          <cell r="P38">
            <v>0</v>
          </cell>
        </row>
        <row r="38"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8">
          <cell r="Z38">
            <v>0</v>
          </cell>
          <cell r="AA38">
            <v>0</v>
          </cell>
          <cell r="AB38">
            <v>0</v>
          </cell>
        </row>
        <row r="39">
          <cell r="F39">
            <v>18</v>
          </cell>
          <cell r="G39">
            <v>0</v>
          </cell>
        </row>
        <row r="39">
          <cell r="J39">
            <v>0</v>
          </cell>
          <cell r="K39">
            <v>6E-005</v>
          </cell>
        </row>
        <row r="39">
          <cell r="P39">
            <v>0</v>
          </cell>
        </row>
        <row r="39"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39">
          <cell r="Z39">
            <v>0</v>
          </cell>
          <cell r="AA39">
            <v>0</v>
          </cell>
          <cell r="AB39">
            <v>0</v>
          </cell>
        </row>
        <row r="40">
          <cell r="F40">
            <v>31</v>
          </cell>
          <cell r="G40">
            <v>0</v>
          </cell>
        </row>
        <row r="40">
          <cell r="J40">
            <v>0</v>
          </cell>
          <cell r="K40">
            <v>0.046</v>
          </cell>
        </row>
        <row r="40">
          <cell r="P40">
            <v>0</v>
          </cell>
        </row>
        <row r="40"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0">
          <cell r="Z40">
            <v>0</v>
          </cell>
          <cell r="AA40">
            <v>0</v>
          </cell>
          <cell r="AB40">
            <v>0</v>
          </cell>
        </row>
        <row r="41">
          <cell r="F41">
            <v>31</v>
          </cell>
          <cell r="G41">
            <v>0</v>
          </cell>
        </row>
        <row r="41">
          <cell r="J41">
            <v>0</v>
          </cell>
          <cell r="K41">
            <v>0</v>
          </cell>
        </row>
        <row r="41">
          <cell r="P41">
            <v>0</v>
          </cell>
        </row>
        <row r="41"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1">
          <cell r="Z41">
            <v>0</v>
          </cell>
          <cell r="AA41">
            <v>0</v>
          </cell>
          <cell r="AB41">
            <v>0</v>
          </cell>
        </row>
        <row r="42">
          <cell r="F42">
            <v>31</v>
          </cell>
          <cell r="G42">
            <v>0</v>
          </cell>
        </row>
        <row r="42">
          <cell r="J42">
            <v>0</v>
          </cell>
          <cell r="K42">
            <v>0.079</v>
          </cell>
        </row>
        <row r="42">
          <cell r="P42">
            <v>0</v>
          </cell>
        </row>
        <row r="42"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2">
          <cell r="Z42">
            <v>0</v>
          </cell>
          <cell r="AA42">
            <v>0</v>
          </cell>
          <cell r="AB42">
            <v>0</v>
          </cell>
        </row>
        <row r="43">
          <cell r="F43">
            <v>31</v>
          </cell>
          <cell r="G43">
            <v>0</v>
          </cell>
        </row>
        <row r="43">
          <cell r="J43">
            <v>0</v>
          </cell>
          <cell r="K43">
            <v>2E-005</v>
          </cell>
        </row>
        <row r="43">
          <cell r="P43">
            <v>0</v>
          </cell>
        </row>
        <row r="43"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3">
          <cell r="Z43">
            <v>0</v>
          </cell>
          <cell r="AA43">
            <v>0</v>
          </cell>
          <cell r="AB43">
            <v>0</v>
          </cell>
        </row>
        <row r="44">
          <cell r="F44">
            <v>31</v>
          </cell>
          <cell r="G44">
            <v>0</v>
          </cell>
        </row>
        <row r="44">
          <cell r="J44">
            <v>0</v>
          </cell>
          <cell r="K44">
            <v>0.00208</v>
          </cell>
        </row>
        <row r="44">
          <cell r="P44">
            <v>0</v>
          </cell>
        </row>
        <row r="44"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4">
          <cell r="Z44">
            <v>0</v>
          </cell>
          <cell r="AA44">
            <v>0</v>
          </cell>
          <cell r="AB44">
            <v>0</v>
          </cell>
        </row>
        <row r="45">
          <cell r="H45">
            <v>0</v>
          </cell>
          <cell r="I45">
            <v>0</v>
          </cell>
        </row>
        <row r="45">
          <cell r="L45">
            <v>0.00096</v>
          </cell>
        </row>
        <row r="46">
          <cell r="F46">
            <v>6</v>
          </cell>
          <cell r="G46">
            <v>0</v>
          </cell>
        </row>
        <row r="46">
          <cell r="J46">
            <v>0</v>
          </cell>
          <cell r="K46">
            <v>0.00016</v>
          </cell>
        </row>
        <row r="47">
          <cell r="H47">
            <v>0</v>
          </cell>
          <cell r="I47">
            <v>0</v>
          </cell>
        </row>
        <row r="47">
          <cell r="L47">
            <v>2.16036</v>
          </cell>
        </row>
        <row r="48">
          <cell r="F48">
            <v>204</v>
          </cell>
          <cell r="G48">
            <v>0</v>
          </cell>
        </row>
        <row r="48">
          <cell r="J48">
            <v>0</v>
          </cell>
          <cell r="K48">
            <v>0</v>
          </cell>
        </row>
        <row r="49">
          <cell r="F49">
            <v>204</v>
          </cell>
          <cell r="G49">
            <v>0</v>
          </cell>
        </row>
        <row r="49">
          <cell r="J49">
            <v>0</v>
          </cell>
          <cell r="K49">
            <v>0.01059</v>
          </cell>
        </row>
        <row r="49">
          <cell r="P49">
            <v>0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49">
          <cell r="Z49">
            <v>0</v>
          </cell>
          <cell r="AA49">
            <v>0</v>
          </cell>
          <cell r="AB49">
            <v>0</v>
          </cell>
        </row>
        <row r="50">
          <cell r="F50">
            <v>215</v>
          </cell>
          <cell r="G50">
            <v>0</v>
          </cell>
        </row>
        <row r="50">
          <cell r="J50">
            <v>0</v>
          </cell>
          <cell r="K50">
            <v>0</v>
          </cell>
        </row>
        <row r="50">
          <cell r="P50">
            <v>0</v>
          </cell>
        </row>
        <row r="50"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0">
          <cell r="Z50">
            <v>0</v>
          </cell>
          <cell r="AA50">
            <v>0</v>
          </cell>
          <cell r="AB50">
            <v>0</v>
          </cell>
        </row>
        <row r="51">
          <cell r="H51">
            <v>0</v>
          </cell>
          <cell r="I51">
            <v>0</v>
          </cell>
        </row>
        <row r="51">
          <cell r="L51">
            <v>34.41795</v>
          </cell>
        </row>
        <row r="52">
          <cell r="F52">
            <v>330</v>
          </cell>
          <cell r="G52">
            <v>0</v>
          </cell>
        </row>
        <row r="52">
          <cell r="J52">
            <v>0</v>
          </cell>
          <cell r="K52">
            <v>0.05194</v>
          </cell>
        </row>
        <row r="53">
          <cell r="F53">
            <v>315</v>
          </cell>
          <cell r="G53">
            <v>0</v>
          </cell>
        </row>
        <row r="53">
          <cell r="J53">
            <v>0</v>
          </cell>
          <cell r="K53">
            <v>0.05485</v>
          </cell>
        </row>
        <row r="53">
          <cell r="P53">
            <v>0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3">
          <cell r="Z53">
            <v>0</v>
          </cell>
          <cell r="AA53">
            <v>0</v>
          </cell>
          <cell r="AB53">
            <v>0</v>
          </cell>
        </row>
        <row r="54">
          <cell r="F54">
            <v>315</v>
          </cell>
          <cell r="G54">
            <v>0</v>
          </cell>
        </row>
        <row r="54">
          <cell r="J54">
            <v>0</v>
          </cell>
          <cell r="K54">
            <v>0</v>
          </cell>
        </row>
        <row r="54">
          <cell r="P54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4">
          <cell r="Z54">
            <v>0</v>
          </cell>
          <cell r="AA54">
            <v>0</v>
          </cell>
          <cell r="AB54">
            <v>0</v>
          </cell>
        </row>
        <row r="55">
          <cell r="H55">
            <v>0</v>
          </cell>
          <cell r="I55">
            <v>0</v>
          </cell>
        </row>
        <row r="55">
          <cell r="L55">
            <v>0.3066375</v>
          </cell>
        </row>
        <row r="56">
          <cell r="F56">
            <v>408.85</v>
          </cell>
          <cell r="G56">
            <v>0</v>
          </cell>
        </row>
        <row r="56">
          <cell r="J56">
            <v>0</v>
          </cell>
          <cell r="K56">
            <v>0.0004</v>
          </cell>
        </row>
        <row r="57">
          <cell r="F57">
            <v>408.85</v>
          </cell>
          <cell r="G57">
            <v>0</v>
          </cell>
        </row>
        <row r="57">
          <cell r="J57">
            <v>0</v>
          </cell>
          <cell r="K57">
            <v>0.00035</v>
          </cell>
        </row>
        <row r="57">
          <cell r="P57">
            <v>0</v>
          </cell>
        </row>
        <row r="57"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7">
          <cell r="Z57">
            <v>0</v>
          </cell>
          <cell r="AA57">
            <v>0</v>
          </cell>
          <cell r="AB57">
            <v>0</v>
          </cell>
        </row>
        <row r="58">
          <cell r="H58">
            <v>0</v>
          </cell>
          <cell r="I58">
            <v>0</v>
          </cell>
        </row>
        <row r="58">
          <cell r="L58">
            <v>0</v>
          </cell>
        </row>
        <row r="59">
          <cell r="F59">
            <v>100</v>
          </cell>
          <cell r="G59">
            <v>0</v>
          </cell>
        </row>
        <row r="59">
          <cell r="J59">
            <v>0</v>
          </cell>
          <cell r="K59">
            <v>0</v>
          </cell>
        </row>
        <row r="60">
          <cell r="H60">
            <v>0</v>
          </cell>
          <cell r="I60">
            <v>0</v>
          </cell>
        </row>
        <row r="60">
          <cell r="L60">
            <v>0</v>
          </cell>
        </row>
        <row r="61">
          <cell r="F61">
            <v>2652</v>
          </cell>
          <cell r="G61">
            <v>0</v>
          </cell>
        </row>
        <row r="61">
          <cell r="J61">
            <v>0</v>
          </cell>
          <cell r="K61">
            <v>0</v>
          </cell>
        </row>
        <row r="62">
          <cell r="F62">
            <v>59.42</v>
          </cell>
          <cell r="G62">
            <v>0</v>
          </cell>
        </row>
        <row r="62">
          <cell r="J62">
            <v>0</v>
          </cell>
          <cell r="K62">
            <v>0</v>
          </cell>
        </row>
        <row r="62">
          <cell r="P62">
            <v>0</v>
          </cell>
        </row>
        <row r="62"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2">
          <cell r="Z62">
            <v>0</v>
          </cell>
          <cell r="AA62">
            <v>0</v>
          </cell>
          <cell r="AB62">
            <v>0</v>
          </cell>
        </row>
        <row r="63">
          <cell r="H63">
            <v>0</v>
          </cell>
          <cell r="I63">
            <v>0</v>
          </cell>
        </row>
        <row r="63">
          <cell r="L63">
            <v>0</v>
          </cell>
        </row>
        <row r="64">
          <cell r="F64">
            <v>42.5</v>
          </cell>
          <cell r="G64">
            <v>0</v>
          </cell>
        </row>
        <row r="64">
          <cell r="J64">
            <v>0</v>
          </cell>
          <cell r="K64">
            <v>0</v>
          </cell>
        </row>
      </sheetData>
      <sheetData sheetId="6"/>
      <sheetData sheetId="7"/>
      <sheetData sheetId="8"/>
      <sheetData sheetId="9"/>
      <sheetData sheetId="10"/>
      <sheetData sheetId="11"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</sheetData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ColWidth="14.2421875" defaultRowHeight="15" zeroHeight="false" outlineLevelRow="0" outlineLevelCol="0"/>
  <cols>
    <col collapsed="false" customWidth="true" hidden="false" outlineLevel="0" max="1" min="1" style="0" width="37.29"/>
    <col collapsed="false" customWidth="true" hidden="false" outlineLevel="0" max="2" min="2" style="0" width="25.29"/>
    <col collapsed="false" customWidth="true" hidden="false" outlineLevel="0" max="3" min="3" style="0" width="24.87"/>
    <col collapsed="false" customWidth="true" hidden="false" outlineLevel="0" max="4" min="4" style="0" width="22.3"/>
    <col collapsed="false" customWidth="true" hidden="false" outlineLevel="0" max="6" min="5" style="0" width="7.99"/>
  </cols>
  <sheetData>
    <row r="1" customFormat="false" ht="12.75" hidden="false" customHeight="true" outlineLevel="0" collapsed="false"/>
    <row r="2" customFormat="false" ht="12.75" hidden="false" customHeight="true" outlineLevel="0" collapsed="false">
      <c r="A2" s="1" t="s">
        <v>0</v>
      </c>
      <c r="B2" s="1"/>
      <c r="C2" s="1"/>
      <c r="D2" s="1"/>
    </row>
    <row r="3" customFormat="false" ht="12.75" hidden="false" customHeight="true" outlineLevel="0" collapsed="false">
      <c r="A3" s="1"/>
      <c r="B3" s="1"/>
      <c r="C3" s="1"/>
      <c r="D3" s="1"/>
    </row>
    <row r="4" customFormat="false" ht="13.5" hidden="false" customHeight="true" outlineLevel="0" collapsed="false">
      <c r="A4" s="1"/>
      <c r="B4" s="1"/>
      <c r="C4" s="1"/>
      <c r="D4" s="1"/>
    </row>
    <row r="5" customFormat="false" ht="15.75" hidden="false" customHeight="true" outlineLevel="0" collapsed="false">
      <c r="A5" s="2" t="s">
        <v>1</v>
      </c>
      <c r="B5" s="2"/>
      <c r="C5" s="2"/>
      <c r="D5" s="2"/>
    </row>
    <row r="6" customFormat="false" ht="12.75" hidden="false" customHeight="true" outlineLevel="0" collapsed="false">
      <c r="A6" s="3" t="s">
        <v>2</v>
      </c>
      <c r="B6" s="4" t="s">
        <v>3</v>
      </c>
      <c r="C6" s="4"/>
      <c r="D6" s="4"/>
    </row>
    <row r="7" customFormat="false" ht="39" hidden="false" customHeight="true" outlineLevel="0" collapsed="false">
      <c r="A7" s="3"/>
      <c r="B7" s="4"/>
      <c r="C7" s="4"/>
      <c r="D7" s="4"/>
    </row>
    <row r="8" customFormat="false" ht="19.5" hidden="false" customHeight="true" outlineLevel="0" collapsed="false">
      <c r="A8" s="5" t="s">
        <v>4</v>
      </c>
      <c r="B8" s="5"/>
      <c r="C8" s="5"/>
      <c r="D8" s="5"/>
    </row>
    <row r="9" customFormat="false" ht="19.5" hidden="false" customHeight="true" outlineLevel="0" collapsed="false">
      <c r="A9" s="6" t="s">
        <v>5</v>
      </c>
      <c r="B9" s="6"/>
      <c r="C9" s="6"/>
      <c r="D9" s="6"/>
    </row>
    <row r="10" customFormat="false" ht="19.5" hidden="false" customHeight="true" outlineLevel="0" collapsed="false">
      <c r="A10" s="7" t="s">
        <v>6</v>
      </c>
      <c r="B10" s="8" t="s">
        <v>7</v>
      </c>
      <c r="C10" s="9"/>
      <c r="D10" s="10"/>
    </row>
    <row r="11" customFormat="false" ht="19.5" hidden="false" customHeight="true" outlineLevel="0" collapsed="false">
      <c r="A11" s="11" t="s">
        <v>8</v>
      </c>
      <c r="B11" s="12" t="s">
        <v>9</v>
      </c>
      <c r="C11" s="13"/>
      <c r="D11" s="14"/>
    </row>
    <row r="12" customFormat="false" ht="19.5" hidden="false" customHeight="true" outlineLevel="0" collapsed="false">
      <c r="A12" s="15" t="s">
        <v>10</v>
      </c>
      <c r="B12" s="16" t="n">
        <v>61388572</v>
      </c>
      <c r="C12" s="13"/>
      <c r="D12" s="14"/>
    </row>
    <row r="13" customFormat="false" ht="24" hidden="false" customHeight="true" outlineLevel="0" collapsed="false">
      <c r="A13" s="17" t="s">
        <v>11</v>
      </c>
      <c r="B13" s="18" t="s">
        <v>12</v>
      </c>
      <c r="C13" s="18"/>
      <c r="D13" s="18"/>
    </row>
    <row r="14" customFormat="false" ht="19.5" hidden="false" customHeight="true" outlineLevel="0" collapsed="false">
      <c r="A14" s="11" t="s">
        <v>13</v>
      </c>
      <c r="B14" s="18" t="s">
        <v>14</v>
      </c>
      <c r="C14" s="18"/>
      <c r="D14" s="18"/>
    </row>
    <row r="15" customFormat="false" ht="28.5" hidden="false" customHeight="true" outlineLevel="0" collapsed="false">
      <c r="A15" s="19" t="s">
        <v>15</v>
      </c>
      <c r="B15" s="20" t="s">
        <v>16</v>
      </c>
      <c r="C15" s="20"/>
      <c r="D15" s="20"/>
    </row>
    <row r="16" customFormat="false" ht="19.5" hidden="false" customHeight="true" outlineLevel="0" collapsed="false">
      <c r="A16" s="21" t="s">
        <v>17</v>
      </c>
      <c r="B16" s="18" t="s">
        <v>18</v>
      </c>
      <c r="C16" s="18"/>
      <c r="D16" s="18"/>
    </row>
    <row r="17" customFormat="false" ht="19.5" hidden="false" customHeight="true" outlineLevel="0" collapsed="false">
      <c r="A17" s="6" t="s">
        <v>19</v>
      </c>
      <c r="B17" s="6"/>
      <c r="C17" s="6"/>
      <c r="D17" s="6"/>
    </row>
    <row r="18" customFormat="false" ht="19.5" hidden="false" customHeight="true" outlineLevel="0" collapsed="false">
      <c r="A18" s="7" t="s">
        <v>6</v>
      </c>
      <c r="B18" s="22"/>
      <c r="C18" s="22"/>
      <c r="D18" s="22"/>
    </row>
    <row r="19" customFormat="false" ht="19.5" hidden="false" customHeight="true" outlineLevel="0" collapsed="false">
      <c r="A19" s="11" t="s">
        <v>20</v>
      </c>
      <c r="B19" s="23"/>
      <c r="C19" s="23"/>
      <c r="D19" s="23"/>
    </row>
    <row r="20" customFormat="false" ht="19.5" hidden="false" customHeight="true" outlineLevel="0" collapsed="false">
      <c r="A20" s="11" t="s">
        <v>21</v>
      </c>
      <c r="B20" s="23"/>
      <c r="C20" s="23"/>
      <c r="D20" s="23"/>
    </row>
    <row r="21" customFormat="false" ht="19.5" hidden="false" customHeight="true" outlineLevel="0" collapsed="false">
      <c r="A21" s="11" t="s">
        <v>22</v>
      </c>
      <c r="B21" s="23"/>
      <c r="C21" s="23"/>
      <c r="D21" s="23"/>
    </row>
    <row r="22" customFormat="false" ht="19.5" hidden="false" customHeight="true" outlineLevel="0" collapsed="false">
      <c r="A22" s="11" t="s">
        <v>10</v>
      </c>
      <c r="B22" s="24"/>
      <c r="C22" s="24"/>
      <c r="D22" s="24"/>
    </row>
    <row r="23" customFormat="false" ht="19.5" hidden="false" customHeight="true" outlineLevel="0" collapsed="false">
      <c r="A23" s="11" t="s">
        <v>23</v>
      </c>
      <c r="B23" s="24"/>
      <c r="C23" s="24"/>
      <c r="D23" s="24"/>
    </row>
    <row r="24" customFormat="false" ht="19.5" hidden="false" customHeight="true" outlineLevel="0" collapsed="false">
      <c r="A24" s="11" t="s">
        <v>24</v>
      </c>
      <c r="B24" s="24"/>
      <c r="C24" s="24"/>
      <c r="D24" s="24"/>
    </row>
    <row r="25" customFormat="false" ht="19.5" hidden="false" customHeight="true" outlineLevel="0" collapsed="false">
      <c r="A25" s="11" t="s">
        <v>25</v>
      </c>
      <c r="B25" s="24"/>
      <c r="C25" s="24"/>
      <c r="D25" s="24"/>
    </row>
    <row r="26" customFormat="false" ht="19.5" hidden="false" customHeight="true" outlineLevel="0" collapsed="false">
      <c r="A26" s="11" t="s">
        <v>13</v>
      </c>
      <c r="B26" s="24"/>
      <c r="C26" s="24"/>
      <c r="D26" s="24"/>
    </row>
    <row r="27" customFormat="false" ht="19.5" hidden="false" customHeight="true" outlineLevel="0" collapsed="false">
      <c r="A27" s="11" t="s">
        <v>17</v>
      </c>
      <c r="B27" s="24"/>
      <c r="C27" s="24"/>
      <c r="D27" s="24"/>
    </row>
    <row r="28" customFormat="false" ht="19.5" hidden="false" customHeight="true" outlineLevel="0" collapsed="false">
      <c r="A28" s="11" t="s">
        <v>26</v>
      </c>
      <c r="B28" s="25"/>
      <c r="C28" s="25"/>
      <c r="D28" s="25"/>
    </row>
    <row r="29" customFormat="false" ht="19.5" hidden="false" customHeight="true" outlineLevel="0" collapsed="false">
      <c r="A29" s="26" t="s">
        <v>27</v>
      </c>
      <c r="B29" s="24"/>
      <c r="C29" s="24"/>
      <c r="D29" s="24"/>
    </row>
    <row r="30" customFormat="false" ht="19.5" hidden="false" customHeight="true" outlineLevel="0" collapsed="false">
      <c r="A30" s="5" t="s">
        <v>28</v>
      </c>
      <c r="B30" s="5"/>
      <c r="C30" s="5"/>
      <c r="D30" s="5"/>
    </row>
    <row r="31" customFormat="false" ht="33.75" hidden="false" customHeight="true" outlineLevel="0" collapsed="false">
      <c r="A31" s="27" t="s">
        <v>29</v>
      </c>
      <c r="B31" s="28" t="s">
        <v>30</v>
      </c>
      <c r="C31" s="28" t="s">
        <v>31</v>
      </c>
      <c r="D31" s="28" t="s">
        <v>32</v>
      </c>
    </row>
    <row r="32" customFormat="false" ht="12.75" hidden="false" customHeight="true" outlineLevel="0" collapsed="false">
      <c r="A32" s="29"/>
      <c r="B32" s="29"/>
      <c r="C32" s="29"/>
      <c r="D32" s="29"/>
    </row>
    <row r="33" customFormat="false" ht="12.75" hidden="false" customHeight="true" outlineLevel="0" collapsed="false">
      <c r="A33" s="29"/>
      <c r="B33" s="29"/>
      <c r="C33" s="29"/>
      <c r="D33" s="29"/>
    </row>
    <row r="34" customFormat="false" ht="12.75" hidden="false" customHeight="true" outlineLevel="0" collapsed="false">
      <c r="A34" s="29"/>
      <c r="B34" s="29"/>
      <c r="C34" s="29"/>
      <c r="D34" s="29"/>
    </row>
    <row r="35" customFormat="false" ht="13.5" hidden="false" customHeight="true" outlineLevel="0" collapsed="false">
      <c r="A35" s="29"/>
      <c r="B35" s="29"/>
      <c r="C35" s="29"/>
      <c r="D35" s="29"/>
    </row>
    <row r="36" customFormat="false" ht="33.75" hidden="false" customHeight="true" outlineLevel="0" collapsed="false">
      <c r="A36" s="3" t="s">
        <v>33</v>
      </c>
      <c r="B36" s="30"/>
      <c r="C36" s="30"/>
      <c r="D36" s="30"/>
    </row>
    <row r="37" customFormat="false" ht="19.5" hidden="false" customHeight="true" outlineLevel="0" collapsed="false">
      <c r="A37" s="17" t="s">
        <v>34</v>
      </c>
      <c r="B37" s="30"/>
      <c r="C37" s="30"/>
      <c r="D37" s="30"/>
    </row>
    <row r="38" customFormat="false" ht="26.25" hidden="false" customHeight="true" outlineLevel="0" collapsed="false">
      <c r="A38" s="31" t="s">
        <v>35</v>
      </c>
      <c r="B38" s="32"/>
      <c r="C38" s="32"/>
      <c r="D38" s="32"/>
    </row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1">
    <mergeCell ref="A2:D4"/>
    <mergeCell ref="A5:D5"/>
    <mergeCell ref="A6:A7"/>
    <mergeCell ref="B6:D7"/>
    <mergeCell ref="A8:D8"/>
    <mergeCell ref="A9:D9"/>
    <mergeCell ref="B13:D13"/>
    <mergeCell ref="B14:D14"/>
    <mergeCell ref="B15:D15"/>
    <mergeCell ref="B16:D16"/>
    <mergeCell ref="A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0:D30"/>
    <mergeCell ref="A32:A35"/>
    <mergeCell ref="B32:B35"/>
    <mergeCell ref="C32:C35"/>
    <mergeCell ref="D32:D35"/>
    <mergeCell ref="B36:D36"/>
    <mergeCell ref="B37:D37"/>
    <mergeCell ref="B38:D3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4" activeCellId="0" sqref="N14"/>
    </sheetView>
  </sheetViews>
  <sheetFormatPr defaultColWidth="12.58593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"/>
  <sheetViews>
    <sheetView showFormulas="false" showGridLines="fals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L13" activeCellId="0" sqref="L13"/>
    </sheetView>
  </sheetViews>
  <sheetFormatPr defaultColWidth="12.5859375" defaultRowHeight="12.8" zeroHeight="false" outlineLevelRow="0" outlineLevelCol="0"/>
  <sheetData>
    <row r="1" customFormat="false" ht="12.8" hidden="false" customHeight="false" outlineLevel="0" collapsed="false">
      <c r="A1" s="33" t="s">
        <v>3</v>
      </c>
      <c r="B1" s="33"/>
    </row>
    <row r="2" customFormat="false" ht="12.8" hidden="false" customHeight="false" outlineLevel="0" collapsed="false">
      <c r="A2" s="33" t="s">
        <v>36</v>
      </c>
      <c r="B2" s="3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1" activeCellId="0" sqref="A1"/>
    </sheetView>
  </sheetViews>
  <sheetFormatPr defaultColWidth="12.5859375" defaultRowHeight="12.8" zeroHeight="false" outlineLevelRow="0" outlineLevelCol="0"/>
  <sheetData>
    <row r="1" customFormat="false" ht="12.8" hidden="false" customHeight="false" outlineLevel="0" collapsed="false">
      <c r="A1" s="33" t="s">
        <v>3</v>
      </c>
    </row>
    <row r="2" customFormat="false" ht="12.8" hidden="false" customHeight="false" outlineLevel="0" collapsed="false">
      <c r="A2" s="33" t="s">
        <v>36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fals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J33" activeCellId="0" sqref="J33"/>
    </sheetView>
  </sheetViews>
  <sheetFormatPr defaultColWidth="12.5859375" defaultRowHeight="12.8" zeroHeight="false" outlineLevelRow="0" outlineLevelCol="0"/>
  <sheetData>
    <row r="1" customFormat="false" ht="12.8" hidden="false" customHeight="false" outlineLevel="0" collapsed="false">
      <c r="A1" s="33" t="s">
        <v>3</v>
      </c>
    </row>
    <row r="2" customFormat="false" ht="12.8" hidden="false" customHeight="false" outlineLevel="0" collapsed="false">
      <c r="A2" s="33" t="s">
        <v>36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AV67"/>
  <sheetViews>
    <sheetView showFormulas="false" showGridLines="true" showRowColHeaders="true" showZeros="true" rightToLeft="false" tabSelected="false" showOutlineSymbols="true" defaultGridColor="true" view="normal" topLeftCell="F4" colorId="64" zoomScale="100" zoomScaleNormal="100" zoomScalePageLayoutView="100" workbookViewId="0">
      <selection pane="topLeft" activeCell="M15" activeCellId="0" sqref="M15"/>
    </sheetView>
  </sheetViews>
  <sheetFormatPr defaultColWidth="12.578125" defaultRowHeight="12.75" zeroHeight="false" outlineLevelRow="0" outlineLevelCol="0"/>
  <cols>
    <col collapsed="false" customWidth="true" hidden="false" outlineLevel="0" max="1" min="1" style="34" width="4.04"/>
    <col collapsed="false" customWidth="true" hidden="false" outlineLevel="0" max="2" min="2" style="34" width="7.5"/>
    <col collapsed="false" customWidth="true" hidden="false" outlineLevel="0" max="3" min="3" style="34" width="14.58"/>
    <col collapsed="false" customWidth="true" hidden="false" outlineLevel="0" max="4" min="4" style="34" width="61.08"/>
    <col collapsed="false" customWidth="true" hidden="false" outlineLevel="0" max="5" min="5" style="34" width="4.68"/>
    <col collapsed="false" customWidth="true" hidden="false" outlineLevel="0" max="6" min="6" style="34" width="14.1"/>
    <col collapsed="false" customWidth="true" hidden="false" outlineLevel="0" max="7" min="7" style="34" width="13.16"/>
    <col collapsed="false" customWidth="true" hidden="false" outlineLevel="0" max="10" min="8" style="34" width="15.67"/>
    <col collapsed="false" customWidth="true" hidden="false" outlineLevel="0" max="13" min="11" style="34" width="12.84"/>
    <col collapsed="false" customWidth="true" hidden="true" outlineLevel="0" max="14" min="14" style="34" width="12.7"/>
    <col collapsed="false" customWidth="true" hidden="true" outlineLevel="0" max="48" min="15" style="34" width="13.32"/>
    <col collapsed="false" customWidth="true" hidden="false" outlineLevel="0" max="257" min="49" style="34" width="12.7"/>
  </cols>
  <sheetData>
    <row r="1" customFormat="false" ht="72.95" hidden="false" customHeight="true" outlineLevel="0" collapsed="false">
      <c r="A1" s="35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customFormat="false" ht="12.75" hidden="false" customHeight="true" outlineLevel="0" collapsed="false">
      <c r="A2" s="36" t="s">
        <v>38</v>
      </c>
      <c r="B2" s="36"/>
      <c r="C2" s="36"/>
      <c r="D2" s="37" t="s">
        <v>7</v>
      </c>
      <c r="E2" s="38" t="s">
        <v>39</v>
      </c>
      <c r="F2" s="38"/>
      <c r="G2" s="38"/>
      <c r="H2" s="38"/>
      <c r="I2" s="39" t="s">
        <v>40</v>
      </c>
      <c r="J2" s="40" t="s">
        <v>41</v>
      </c>
      <c r="K2" s="40"/>
      <c r="L2" s="40"/>
      <c r="M2" s="40"/>
      <c r="N2" s="41"/>
    </row>
    <row r="3" customFormat="false" ht="14.65" hidden="false" customHeight="false" outlineLevel="0" collapsed="false">
      <c r="A3" s="36"/>
      <c r="B3" s="36"/>
      <c r="C3" s="36"/>
      <c r="D3" s="37"/>
      <c r="E3" s="38"/>
      <c r="F3" s="38"/>
      <c r="G3" s="38"/>
      <c r="H3" s="38"/>
      <c r="I3" s="39"/>
      <c r="J3" s="39"/>
      <c r="K3" s="40"/>
      <c r="L3" s="40"/>
      <c r="M3" s="40"/>
      <c r="N3" s="41"/>
    </row>
    <row r="4" customFormat="false" ht="12.75" hidden="false" customHeight="true" outlineLevel="0" collapsed="false">
      <c r="A4" s="42" t="s">
        <v>42</v>
      </c>
      <c r="B4" s="42"/>
      <c r="C4" s="42"/>
      <c r="D4" s="43" t="s">
        <v>43</v>
      </c>
      <c r="E4" s="44" t="s">
        <v>44</v>
      </c>
      <c r="F4" s="44"/>
      <c r="G4" s="45"/>
      <c r="H4" s="45"/>
      <c r="I4" s="46" t="s">
        <v>45</v>
      </c>
      <c r="J4" s="47"/>
      <c r="K4" s="47"/>
      <c r="L4" s="47"/>
      <c r="M4" s="47"/>
      <c r="N4" s="41"/>
    </row>
    <row r="5" customFormat="false" ht="14.65" hidden="false" customHeight="false" outlineLevel="0" collapsed="false">
      <c r="A5" s="42"/>
      <c r="B5" s="42"/>
      <c r="C5" s="42"/>
      <c r="D5" s="43"/>
      <c r="E5" s="43"/>
      <c r="F5" s="44"/>
      <c r="G5" s="45"/>
      <c r="H5" s="45"/>
      <c r="I5" s="46"/>
      <c r="J5" s="46"/>
      <c r="K5" s="47"/>
      <c r="L5" s="47"/>
      <c r="M5" s="47"/>
      <c r="N5" s="41"/>
    </row>
    <row r="6" customFormat="false" ht="12.75" hidden="false" customHeight="true" outlineLevel="0" collapsed="false">
      <c r="A6" s="42" t="s">
        <v>46</v>
      </c>
      <c r="B6" s="42"/>
      <c r="C6" s="42"/>
      <c r="D6" s="46" t="s">
        <v>47</v>
      </c>
      <c r="E6" s="44" t="s">
        <v>48</v>
      </c>
      <c r="F6" s="44"/>
      <c r="G6" s="45"/>
      <c r="H6" s="45"/>
      <c r="I6" s="46" t="s">
        <v>49</v>
      </c>
      <c r="J6" s="47"/>
      <c r="K6" s="47"/>
      <c r="L6" s="47"/>
      <c r="M6" s="47"/>
      <c r="N6" s="41"/>
    </row>
    <row r="7" customFormat="false" ht="14.65" hidden="false" customHeight="false" outlineLevel="0" collapsed="false">
      <c r="A7" s="42"/>
      <c r="B7" s="42"/>
      <c r="C7" s="42"/>
      <c r="D7" s="46"/>
      <c r="E7" s="46"/>
      <c r="F7" s="44"/>
      <c r="G7" s="45"/>
      <c r="H7" s="45"/>
      <c r="I7" s="46"/>
      <c r="J7" s="46"/>
      <c r="K7" s="47"/>
      <c r="L7" s="47"/>
      <c r="M7" s="47"/>
      <c r="N7" s="41"/>
    </row>
    <row r="8" customFormat="false" ht="12.75" hidden="false" customHeight="true" outlineLevel="0" collapsed="false">
      <c r="A8" s="48" t="s">
        <v>50</v>
      </c>
      <c r="B8" s="48"/>
      <c r="C8" s="48"/>
      <c r="D8" s="49"/>
      <c r="E8" s="50" t="s">
        <v>51</v>
      </c>
      <c r="F8" s="50"/>
      <c r="G8" s="51"/>
      <c r="H8" s="51"/>
      <c r="I8" s="49" t="s">
        <v>52</v>
      </c>
      <c r="J8" s="52"/>
      <c r="K8" s="52"/>
      <c r="L8" s="52"/>
      <c r="M8" s="52"/>
      <c r="N8" s="41"/>
    </row>
    <row r="9" customFormat="false" ht="14.65" hidden="false" customHeight="false" outlineLevel="0" collapsed="false">
      <c r="A9" s="48"/>
      <c r="B9" s="48"/>
      <c r="C9" s="48"/>
      <c r="D9" s="49"/>
      <c r="E9" s="49"/>
      <c r="F9" s="50"/>
      <c r="G9" s="51"/>
      <c r="H9" s="51"/>
      <c r="I9" s="49"/>
      <c r="J9" s="49"/>
      <c r="K9" s="52"/>
      <c r="L9" s="52"/>
      <c r="M9" s="52"/>
      <c r="N9" s="41"/>
    </row>
    <row r="10" customFormat="false" ht="12.75" hidden="false" customHeight="false" outlineLevel="0" collapsed="false">
      <c r="A10" s="53" t="s">
        <v>53</v>
      </c>
      <c r="B10" s="54" t="s">
        <v>54</v>
      </c>
      <c r="C10" s="54" t="s">
        <v>55</v>
      </c>
      <c r="D10" s="54" t="s">
        <v>56</v>
      </c>
      <c r="E10" s="54" t="s">
        <v>57</v>
      </c>
      <c r="F10" s="55" t="s">
        <v>58</v>
      </c>
      <c r="G10" s="56" t="s">
        <v>59</v>
      </c>
      <c r="H10" s="57" t="s">
        <v>60</v>
      </c>
      <c r="I10" s="57"/>
      <c r="J10" s="57"/>
      <c r="K10" s="57" t="s">
        <v>61</v>
      </c>
      <c r="L10" s="57"/>
      <c r="M10" s="58" t="s">
        <v>62</v>
      </c>
      <c r="N10" s="59"/>
    </row>
    <row r="11" customFormat="false" ht="12.75" hidden="false" customHeight="false" outlineLevel="0" collapsed="false">
      <c r="A11" s="60" t="s">
        <v>63</v>
      </c>
      <c r="B11" s="61" t="s">
        <v>63</v>
      </c>
      <c r="C11" s="61" t="s">
        <v>63</v>
      </c>
      <c r="D11" s="62" t="s">
        <v>64</v>
      </c>
      <c r="E11" s="61" t="s">
        <v>63</v>
      </c>
      <c r="F11" s="61" t="s">
        <v>63</v>
      </c>
      <c r="G11" s="63" t="s">
        <v>65</v>
      </c>
      <c r="H11" s="64" t="s">
        <v>66</v>
      </c>
      <c r="I11" s="65" t="s">
        <v>67</v>
      </c>
      <c r="J11" s="66" t="s">
        <v>68</v>
      </c>
      <c r="K11" s="64" t="s">
        <v>59</v>
      </c>
      <c r="L11" s="66" t="s">
        <v>68</v>
      </c>
      <c r="M11" s="67" t="s">
        <v>69</v>
      </c>
      <c r="N11" s="59"/>
      <c r="P11" s="68" t="s">
        <v>70</v>
      </c>
      <c r="Q11" s="68" t="s">
        <v>71</v>
      </c>
      <c r="R11" s="68" t="s">
        <v>72</v>
      </c>
      <c r="S11" s="68" t="s">
        <v>73</v>
      </c>
      <c r="T11" s="68" t="s">
        <v>74</v>
      </c>
      <c r="U11" s="68" t="s">
        <v>75</v>
      </c>
      <c r="V11" s="68" t="s">
        <v>76</v>
      </c>
      <c r="W11" s="68" t="s">
        <v>77</v>
      </c>
      <c r="X11" s="68" t="s">
        <v>78</v>
      </c>
    </row>
    <row r="12" customFormat="false" ht="12.75" hidden="false" customHeight="true" outlineLevel="0" collapsed="false">
      <c r="A12" s="69"/>
      <c r="B12" s="70"/>
      <c r="C12" s="70" t="s">
        <v>79</v>
      </c>
      <c r="D12" s="70" t="s">
        <v>80</v>
      </c>
      <c r="E12" s="70"/>
      <c r="F12" s="70"/>
      <c r="G12" s="70"/>
      <c r="H12" s="71" t="n">
        <f aca="false">SUM(H13:H13)</f>
        <v>0</v>
      </c>
      <c r="I12" s="71" t="n">
        <f aca="false">SUM(I13:I13)</f>
        <v>0</v>
      </c>
      <c r="J12" s="71" t="n">
        <f aca="false">H12+I12</f>
        <v>0</v>
      </c>
      <c r="K12" s="72"/>
      <c r="L12" s="71" t="n">
        <f aca="false">SUM(L13:L13)</f>
        <v>1.5622076</v>
      </c>
      <c r="M12" s="72"/>
      <c r="Y12" s="68"/>
      <c r="AI12" s="73" t="n">
        <f aca="false">SUM(Z13:Z13)</f>
        <v>0</v>
      </c>
      <c r="AJ12" s="73" t="n">
        <f aca="false">SUM(AA13:AA13)</f>
        <v>0</v>
      </c>
      <c r="AK12" s="73" t="n">
        <f aca="false">SUM(AB13:AB13)</f>
        <v>0</v>
      </c>
    </row>
    <row r="13" customFormat="false" ht="25.35" hidden="false" customHeight="false" outlineLevel="0" collapsed="false">
      <c r="A13" s="44" t="s">
        <v>81</v>
      </c>
      <c r="B13" s="44"/>
      <c r="C13" s="44" t="s">
        <v>82</v>
      </c>
      <c r="D13" s="74" t="s">
        <v>83</v>
      </c>
      <c r="E13" s="44" t="s">
        <v>84</v>
      </c>
      <c r="F13" s="75" t="n">
        <v>54.68</v>
      </c>
      <c r="G13" s="75" t="n">
        <v>0</v>
      </c>
      <c r="H13" s="75" t="n">
        <f aca="false">F13*AE13</f>
        <v>0</v>
      </c>
      <c r="I13" s="75" t="n">
        <f aca="false">J13-H13</f>
        <v>0</v>
      </c>
      <c r="J13" s="75" t="n">
        <f aca="false">F13*G13</f>
        <v>0</v>
      </c>
      <c r="K13" s="75" t="n">
        <v>0.02857</v>
      </c>
      <c r="L13" s="75" t="n">
        <f aca="false">F13*K13</f>
        <v>1.5622076</v>
      </c>
      <c r="M13" s="76" t="s">
        <v>85</v>
      </c>
      <c r="P13" s="75" t="n">
        <f aca="false">IF(AG13="5",J13,0)</f>
        <v>0</v>
      </c>
      <c r="R13" s="75" t="n">
        <f aca="false">IF(AG13="1",H13,0)</f>
        <v>0</v>
      </c>
      <c r="S13" s="75" t="n">
        <f aca="false">IF(AG13="1",I13,0)</f>
        <v>0</v>
      </c>
      <c r="T13" s="75" t="n">
        <f aca="false">IF(AG13="7",H13,0)</f>
        <v>0</v>
      </c>
      <c r="U13" s="75" t="n">
        <f aca="false">IF(AG13="7",I13,0)</f>
        <v>0</v>
      </c>
      <c r="V13" s="75" t="n">
        <f aca="false">IF(AG13="2",H13,0)</f>
        <v>0</v>
      </c>
      <c r="W13" s="75" t="n">
        <f aca="false">IF(AG13="2",I13,0)</f>
        <v>0</v>
      </c>
      <c r="X13" s="75" t="n">
        <f aca="false">IF(AG13="0",J13,0)</f>
        <v>0</v>
      </c>
      <c r="Y13" s="68"/>
      <c r="Z13" s="75" t="n">
        <f aca="false">IF(AD13=0,J13,0)</f>
        <v>0</v>
      </c>
      <c r="AA13" s="75" t="n">
        <f aca="false">IF(AD13=15,J13,0)</f>
        <v>0</v>
      </c>
      <c r="AB13" s="75" t="n">
        <f aca="false">IF(AD13=21,J13,0)</f>
        <v>0</v>
      </c>
      <c r="AD13" s="75" t="n">
        <v>21</v>
      </c>
      <c r="AE13" s="75" t="n">
        <f aca="false">G13*0.553033333333333</f>
        <v>0</v>
      </c>
      <c r="AF13" s="75" t="n">
        <f aca="false">G13*(1-0.553033333333333)</f>
        <v>0</v>
      </c>
      <c r="AG13" s="76" t="s">
        <v>81</v>
      </c>
      <c r="AM13" s="75" t="n">
        <f aca="false">F13*AE13</f>
        <v>0</v>
      </c>
      <c r="AN13" s="75" t="n">
        <f aca="false">F13*AF13</f>
        <v>0</v>
      </c>
      <c r="AO13" s="76" t="s">
        <v>86</v>
      </c>
      <c r="AP13" s="76" t="s">
        <v>87</v>
      </c>
      <c r="AQ13" s="68" t="s">
        <v>88</v>
      </c>
      <c r="AR13" s="68" t="s">
        <v>89</v>
      </c>
      <c r="AS13" s="75" t="n">
        <f aca="false">AM13+AN13</f>
        <v>0</v>
      </c>
      <c r="AT13" s="75" t="n">
        <f aca="false">G13/(100-AU13)*100</f>
        <v>0</v>
      </c>
      <c r="AU13" s="75" t="n">
        <v>0</v>
      </c>
      <c r="AV13" s="75" t="n">
        <f aca="false">L13</f>
        <v>1.5622076</v>
      </c>
    </row>
    <row r="14" customFormat="false" ht="12.75" hidden="false" customHeight="false" outlineLevel="0" collapsed="false">
      <c r="A14" s="77"/>
      <c r="B14" s="78"/>
      <c r="C14" s="78" t="s">
        <v>90</v>
      </c>
      <c r="D14" s="78" t="s">
        <v>91</v>
      </c>
      <c r="E14" s="78"/>
      <c r="F14" s="78"/>
      <c r="G14" s="78"/>
      <c r="H14" s="73" t="n">
        <f aca="false">SUM(H15:H19)</f>
        <v>0</v>
      </c>
      <c r="I14" s="73" t="n">
        <f aca="false">SUM(I15:I19)</f>
        <v>0</v>
      </c>
      <c r="J14" s="73" t="n">
        <f aca="false">H14+I14</f>
        <v>0</v>
      </c>
      <c r="K14" s="68"/>
      <c r="L14" s="73" t="n">
        <f aca="false">SUM(L15:L19)</f>
        <v>123.506546</v>
      </c>
      <c r="M14" s="68"/>
      <c r="Y14" s="68"/>
      <c r="AI14" s="73" t="n">
        <f aca="false">SUM(Z15:Z19)</f>
        <v>0</v>
      </c>
      <c r="AJ14" s="73" t="n">
        <f aca="false">SUM(AA15:AA19)</f>
        <v>0</v>
      </c>
      <c r="AK14" s="73" t="n">
        <f aca="false">SUM(AB15:AB19)</f>
        <v>0</v>
      </c>
    </row>
    <row r="15" customFormat="false" ht="12.75" hidden="false" customHeight="false" outlineLevel="0" collapsed="false">
      <c r="A15" s="44" t="s">
        <v>92</v>
      </c>
      <c r="B15" s="44"/>
      <c r="C15" s="44" t="s">
        <v>93</v>
      </c>
      <c r="D15" s="44" t="s">
        <v>94</v>
      </c>
      <c r="E15" s="44" t="s">
        <v>84</v>
      </c>
      <c r="F15" s="75" t="n">
        <v>204</v>
      </c>
      <c r="G15" s="75" t="n">
        <v>0</v>
      </c>
      <c r="H15" s="75" t="n">
        <f aca="false">F15*AE15</f>
        <v>0</v>
      </c>
      <c r="I15" s="75" t="n">
        <f aca="false">J15-H15</f>
        <v>0</v>
      </c>
      <c r="J15" s="75" t="n">
        <f aca="false">F15*G15</f>
        <v>0</v>
      </c>
      <c r="K15" s="75" t="n">
        <v>0.02</v>
      </c>
      <c r="L15" s="75" t="n">
        <f aca="false">F15*K15</f>
        <v>4.08</v>
      </c>
      <c r="M15" s="76" t="s">
        <v>85</v>
      </c>
      <c r="P15" s="75" t="n">
        <f aca="false">IF(AG15="5",J15,0)</f>
        <v>0</v>
      </c>
      <c r="R15" s="75" t="n">
        <f aca="false">IF(AG15="1",H15,0)</f>
        <v>0</v>
      </c>
      <c r="S15" s="75" t="n">
        <f aca="false">IF(AG15="1",I15,0)</f>
        <v>0</v>
      </c>
      <c r="T15" s="75" t="n">
        <f aca="false">IF(AG15="7",H15,0)</f>
        <v>0</v>
      </c>
      <c r="U15" s="75" t="n">
        <f aca="false">IF(AG15="7",I15,0)</f>
        <v>0</v>
      </c>
      <c r="V15" s="75" t="n">
        <f aca="false">IF(AG15="2",H15,0)</f>
        <v>0</v>
      </c>
      <c r="W15" s="75" t="n">
        <f aca="false">IF(AG15="2",I15,0)</f>
        <v>0</v>
      </c>
      <c r="X15" s="75" t="n">
        <f aca="false">IF(AG15="0",J15,0)</f>
        <v>0</v>
      </c>
      <c r="Y15" s="68"/>
      <c r="Z15" s="75" t="n">
        <f aca="false">IF(AD15=0,J15,0)</f>
        <v>0</v>
      </c>
      <c r="AA15" s="75" t="n">
        <f aca="false">IF(AD15=15,J15,0)</f>
        <v>0</v>
      </c>
      <c r="AB15" s="75" t="n">
        <f aca="false">IF(AD15=21,J15,0)</f>
        <v>0</v>
      </c>
      <c r="AD15" s="75" t="n">
        <v>21</v>
      </c>
      <c r="AE15" s="75" t="n">
        <f aca="false">G15*0</f>
        <v>0</v>
      </c>
      <c r="AF15" s="75" t="n">
        <f aca="false">G15*(1-0)</f>
        <v>0</v>
      </c>
      <c r="AG15" s="76" t="s">
        <v>81</v>
      </c>
      <c r="AM15" s="75" t="n">
        <f aca="false">F15*AE15</f>
        <v>0</v>
      </c>
      <c r="AN15" s="75" t="n">
        <f aca="false">F15*AF15</f>
        <v>0</v>
      </c>
      <c r="AO15" s="76" t="s">
        <v>95</v>
      </c>
      <c r="AP15" s="76" t="s">
        <v>96</v>
      </c>
      <c r="AQ15" s="68" t="s">
        <v>88</v>
      </c>
      <c r="AR15" s="68" t="s">
        <v>97</v>
      </c>
      <c r="AS15" s="75" t="n">
        <f aca="false">AM15+AN15</f>
        <v>0</v>
      </c>
      <c r="AT15" s="75" t="n">
        <f aca="false">G15/(100-AU15)*100</f>
        <v>0</v>
      </c>
      <c r="AU15" s="75" t="n">
        <v>0</v>
      </c>
      <c r="AV15" s="75" t="n">
        <f aca="false">L15</f>
        <v>4.08</v>
      </c>
    </row>
    <row r="16" customFormat="false" ht="12.75" hidden="false" customHeight="false" outlineLevel="0" collapsed="false">
      <c r="A16" s="44" t="s">
        <v>98</v>
      </c>
      <c r="B16" s="44"/>
      <c r="C16" s="44" t="s">
        <v>99</v>
      </c>
      <c r="D16" s="44" t="s">
        <v>100</v>
      </c>
      <c r="E16" s="44" t="s">
        <v>84</v>
      </c>
      <c r="F16" s="75" t="n">
        <v>204</v>
      </c>
      <c r="G16" s="75" t="n">
        <v>0</v>
      </c>
      <c r="H16" s="75" t="n">
        <f aca="false">F16*AE16</f>
        <v>0</v>
      </c>
      <c r="I16" s="75" t="n">
        <f aca="false">J16-H16</f>
        <v>0</v>
      </c>
      <c r="J16" s="75" t="n">
        <f aca="false">F16*G16</f>
        <v>0</v>
      </c>
      <c r="K16" s="75" t="n">
        <v>0.00765</v>
      </c>
      <c r="L16" s="75" t="n">
        <f aca="false">F16*K16</f>
        <v>1.5606</v>
      </c>
      <c r="M16" s="76" t="s">
        <v>85</v>
      </c>
      <c r="P16" s="75" t="n">
        <f aca="false">IF(AG16="5",J16,0)</f>
        <v>0</v>
      </c>
      <c r="R16" s="75" t="n">
        <f aca="false">IF(AG16="1",H16,0)</f>
        <v>0</v>
      </c>
      <c r="S16" s="75" t="n">
        <f aca="false">IF(AG16="1",I16,0)</f>
        <v>0</v>
      </c>
      <c r="T16" s="75" t="n">
        <f aca="false">IF(AG16="7",H16,0)</f>
        <v>0</v>
      </c>
      <c r="U16" s="75" t="n">
        <f aca="false">IF(AG16="7",I16,0)</f>
        <v>0</v>
      </c>
      <c r="V16" s="75" t="n">
        <f aca="false">IF(AG16="2",H16,0)</f>
        <v>0</v>
      </c>
      <c r="W16" s="75" t="n">
        <f aca="false">IF(AG16="2",I16,0)</f>
        <v>0</v>
      </c>
      <c r="X16" s="75" t="n">
        <f aca="false">IF(AG16="0",J16,0)</f>
        <v>0</v>
      </c>
      <c r="Y16" s="68"/>
      <c r="Z16" s="75" t="n">
        <f aca="false">IF(AD16=0,J16,0)</f>
        <v>0</v>
      </c>
      <c r="AA16" s="75" t="n">
        <f aca="false">IF(AD16=15,J16,0)</f>
        <v>0</v>
      </c>
      <c r="AB16" s="75" t="n">
        <f aca="false">IF(AD16=21,J16,0)</f>
        <v>0</v>
      </c>
      <c r="AD16" s="75" t="n">
        <v>21</v>
      </c>
      <c r="AE16" s="75" t="n">
        <f aca="false">G16*0</f>
        <v>0</v>
      </c>
      <c r="AF16" s="75" t="n">
        <f aca="false">G16*(1-0)</f>
        <v>0</v>
      </c>
      <c r="AG16" s="76" t="s">
        <v>81</v>
      </c>
      <c r="AM16" s="75" t="n">
        <f aca="false">F16*AE16</f>
        <v>0</v>
      </c>
      <c r="AN16" s="75" t="n">
        <f aca="false">F16*AF16</f>
        <v>0</v>
      </c>
      <c r="AO16" s="76" t="s">
        <v>95</v>
      </c>
      <c r="AP16" s="76" t="s">
        <v>96</v>
      </c>
      <c r="AQ16" s="68" t="s">
        <v>88</v>
      </c>
      <c r="AS16" s="75" t="n">
        <f aca="false">AM16+AN16</f>
        <v>0</v>
      </c>
      <c r="AT16" s="75" t="n">
        <f aca="false">G16/(100-AU16)*100</f>
        <v>0</v>
      </c>
      <c r="AU16" s="75" t="n">
        <v>0</v>
      </c>
      <c r="AV16" s="75" t="n">
        <f aca="false">L16</f>
        <v>1.5606</v>
      </c>
    </row>
    <row r="17" customFormat="false" ht="12.75" hidden="false" customHeight="false" outlineLevel="0" collapsed="false">
      <c r="A17" s="44" t="s">
        <v>101</v>
      </c>
      <c r="B17" s="44"/>
      <c r="C17" s="44" t="s">
        <v>102</v>
      </c>
      <c r="D17" s="44" t="s">
        <v>103</v>
      </c>
      <c r="E17" s="44" t="s">
        <v>104</v>
      </c>
      <c r="F17" s="75" t="n">
        <v>34</v>
      </c>
      <c r="G17" s="75" t="n">
        <v>0</v>
      </c>
      <c r="H17" s="75" t="n">
        <f aca="false">F17*AE17</f>
        <v>0</v>
      </c>
      <c r="I17" s="75" t="n">
        <f aca="false">J17-H17</f>
        <v>0</v>
      </c>
      <c r="J17" s="75" t="n">
        <f aca="false">F17*G17</f>
        <v>0</v>
      </c>
      <c r="K17" s="75" t="n">
        <v>0.017</v>
      </c>
      <c r="L17" s="75" t="n">
        <f aca="false">F17*K17</f>
        <v>0.578</v>
      </c>
      <c r="M17" s="76" t="s">
        <v>85</v>
      </c>
      <c r="P17" s="75" t="n">
        <f aca="false">IF(AG17="5",J17,0)</f>
        <v>0</v>
      </c>
      <c r="R17" s="75" t="n">
        <f aca="false">IF(AG17="1",H17,0)</f>
        <v>0</v>
      </c>
      <c r="S17" s="75" t="n">
        <f aca="false">IF(AG17="1",I17,0)</f>
        <v>0</v>
      </c>
      <c r="T17" s="75" t="n">
        <f aca="false">IF(AG17="7",H17,0)</f>
        <v>0</v>
      </c>
      <c r="U17" s="75" t="n">
        <f aca="false">IF(AG17="7",I17,0)</f>
        <v>0</v>
      </c>
      <c r="V17" s="75" t="n">
        <f aca="false">IF(AG17="2",H17,0)</f>
        <v>0</v>
      </c>
      <c r="W17" s="75" t="n">
        <f aca="false">IF(AG17="2",I17,0)</f>
        <v>0</v>
      </c>
      <c r="X17" s="75" t="n">
        <f aca="false">IF(AG17="0",J17,0)</f>
        <v>0</v>
      </c>
      <c r="Y17" s="68"/>
      <c r="Z17" s="75" t="n">
        <f aca="false">IF(AD17=0,J17,0)</f>
        <v>0</v>
      </c>
      <c r="AA17" s="75" t="n">
        <f aca="false">IF(AD17=15,J17,0)</f>
        <v>0</v>
      </c>
      <c r="AB17" s="75" t="n">
        <f aca="false">IF(AD17=21,J17,0)</f>
        <v>0</v>
      </c>
      <c r="AD17" s="75" t="n">
        <v>21</v>
      </c>
      <c r="AE17" s="75" t="n">
        <f aca="false">G17*0</f>
        <v>0</v>
      </c>
      <c r="AF17" s="75" t="n">
        <f aca="false">G17*(1-0)</f>
        <v>0</v>
      </c>
      <c r="AG17" s="76" t="s">
        <v>81</v>
      </c>
      <c r="AM17" s="75" t="n">
        <f aca="false">F17*AE17</f>
        <v>0</v>
      </c>
      <c r="AN17" s="75" t="n">
        <f aca="false">F17*AF17</f>
        <v>0</v>
      </c>
      <c r="AO17" s="76" t="s">
        <v>95</v>
      </c>
      <c r="AP17" s="76" t="s">
        <v>96</v>
      </c>
      <c r="AQ17" s="68" t="s">
        <v>88</v>
      </c>
      <c r="AR17" s="68" t="s">
        <v>97</v>
      </c>
      <c r="AS17" s="75" t="n">
        <f aca="false">AM17+AN17</f>
        <v>0</v>
      </c>
      <c r="AT17" s="75" t="n">
        <f aca="false">G17/(100-AU17)*100</f>
        <v>0</v>
      </c>
      <c r="AU17" s="75" t="n">
        <v>0</v>
      </c>
      <c r="AV17" s="75" t="n">
        <f aca="false">L17</f>
        <v>0.578</v>
      </c>
    </row>
    <row r="18" customFormat="false" ht="12.75" hidden="false" customHeight="false" outlineLevel="0" collapsed="false">
      <c r="A18" s="44" t="s">
        <v>105</v>
      </c>
      <c r="B18" s="44"/>
      <c r="C18" s="44" t="s">
        <v>106</v>
      </c>
      <c r="D18" s="44" t="s">
        <v>107</v>
      </c>
      <c r="E18" s="44" t="s">
        <v>108</v>
      </c>
      <c r="F18" s="75" t="n">
        <v>90</v>
      </c>
      <c r="G18" s="75" t="n">
        <v>0</v>
      </c>
      <c r="H18" s="75" t="n">
        <f aca="false">F18*AE18</f>
        <v>0</v>
      </c>
      <c r="I18" s="75" t="n">
        <f aca="false">J18-H18</f>
        <v>0</v>
      </c>
      <c r="J18" s="75" t="n">
        <f aca="false">F18*G18</f>
        <v>0</v>
      </c>
      <c r="K18" s="75" t="n">
        <v>0.06359</v>
      </c>
      <c r="L18" s="75" t="n">
        <f aca="false">F18*K18</f>
        <v>5.7231</v>
      </c>
      <c r="M18" s="76" t="s">
        <v>85</v>
      </c>
      <c r="P18" s="75" t="n">
        <f aca="false">IF(AG18="5",J18,0)</f>
        <v>0</v>
      </c>
      <c r="R18" s="75" t="n">
        <f aca="false">IF(AG18="1",H18,0)</f>
        <v>0</v>
      </c>
      <c r="S18" s="75" t="n">
        <f aca="false">IF(AG18="1",I18,0)</f>
        <v>0</v>
      </c>
      <c r="T18" s="75" t="n">
        <f aca="false">IF(AG18="7",H18,0)</f>
        <v>0</v>
      </c>
      <c r="U18" s="75" t="n">
        <f aca="false">IF(AG18="7",I18,0)</f>
        <v>0</v>
      </c>
      <c r="V18" s="75" t="n">
        <f aca="false">IF(AG18="2",H18,0)</f>
        <v>0</v>
      </c>
      <c r="W18" s="75" t="n">
        <f aca="false">IF(AG18="2",I18,0)</f>
        <v>0</v>
      </c>
      <c r="X18" s="75" t="n">
        <f aca="false">IF(AG18="0",J18,0)</f>
        <v>0</v>
      </c>
      <c r="Y18" s="68"/>
      <c r="Z18" s="75" t="n">
        <f aca="false">IF(AD18=0,J18,0)</f>
        <v>0</v>
      </c>
      <c r="AA18" s="75" t="n">
        <f aca="false">IF(AD18=15,J18,0)</f>
        <v>0</v>
      </c>
      <c r="AB18" s="75" t="n">
        <f aca="false">IF(AD18=21,J18,0)</f>
        <v>0</v>
      </c>
      <c r="AD18" s="75" t="n">
        <v>21</v>
      </c>
      <c r="AE18" s="75" t="n">
        <f aca="false">G18*0.0137888888888889</f>
        <v>0</v>
      </c>
      <c r="AF18" s="75" t="n">
        <f aca="false">G18*(1-0.0137888888888889)</f>
        <v>0</v>
      </c>
      <c r="AG18" s="76" t="s">
        <v>81</v>
      </c>
      <c r="AM18" s="75" t="n">
        <f aca="false">F18*AE18</f>
        <v>0</v>
      </c>
      <c r="AN18" s="75" t="n">
        <f aca="false">F18*AF18</f>
        <v>0</v>
      </c>
      <c r="AO18" s="76" t="s">
        <v>95</v>
      </c>
      <c r="AP18" s="76" t="s">
        <v>96</v>
      </c>
      <c r="AQ18" s="68" t="s">
        <v>88</v>
      </c>
      <c r="AS18" s="75" t="n">
        <f aca="false">AM18+AN18</f>
        <v>0</v>
      </c>
      <c r="AT18" s="75" t="n">
        <f aca="false">G18/(100-AU18)*100</f>
        <v>0</v>
      </c>
      <c r="AU18" s="75" t="n">
        <v>0</v>
      </c>
      <c r="AV18" s="75" t="n">
        <f aca="false">L18</f>
        <v>5.7231</v>
      </c>
    </row>
    <row r="19" customFormat="false" ht="12.75" hidden="false" customHeight="false" outlineLevel="0" collapsed="false">
      <c r="A19" s="44" t="s">
        <v>109</v>
      </c>
      <c r="B19" s="44"/>
      <c r="C19" s="44" t="s">
        <v>110</v>
      </c>
      <c r="D19" s="44" t="s">
        <v>111</v>
      </c>
      <c r="E19" s="44" t="s">
        <v>84</v>
      </c>
      <c r="F19" s="75" t="n">
        <v>94.86</v>
      </c>
      <c r="G19" s="75" t="n">
        <v>0</v>
      </c>
      <c r="H19" s="75" t="n">
        <f aca="false">F19*AE19</f>
        <v>0</v>
      </c>
      <c r="I19" s="75" t="n">
        <f aca="false">J19-H19</f>
        <v>0</v>
      </c>
      <c r="J19" s="75" t="n">
        <f aca="false">F19*G19</f>
        <v>0</v>
      </c>
      <c r="K19" s="75" t="n">
        <v>1.1761</v>
      </c>
      <c r="L19" s="75" t="n">
        <f aca="false">F19*K19</f>
        <v>111.564846</v>
      </c>
      <c r="M19" s="76" t="s">
        <v>85</v>
      </c>
      <c r="P19" s="75" t="n">
        <f aca="false">IF(AG19="5",J19,0)</f>
        <v>0</v>
      </c>
      <c r="R19" s="75" t="n">
        <f aca="false">IF(AG19="1",H19,0)</f>
        <v>0</v>
      </c>
      <c r="S19" s="75" t="n">
        <f aca="false">IF(AG19="1",I19,0)</f>
        <v>0</v>
      </c>
      <c r="T19" s="75" t="n">
        <f aca="false">IF(AG19="7",H19,0)</f>
        <v>0</v>
      </c>
      <c r="U19" s="75" t="n">
        <f aca="false">IF(AG19="7",I19,0)</f>
        <v>0</v>
      </c>
      <c r="V19" s="75" t="n">
        <f aca="false">IF(AG19="2",H19,0)</f>
        <v>0</v>
      </c>
      <c r="W19" s="75" t="n">
        <f aca="false">IF(AG19="2",I19,0)</f>
        <v>0</v>
      </c>
      <c r="X19" s="75" t="n">
        <f aca="false">IF(AG19="0",J19,0)</f>
        <v>0</v>
      </c>
      <c r="Y19" s="68"/>
      <c r="Z19" s="75" t="n">
        <f aca="false">IF(AD19=0,J19,0)</f>
        <v>0</v>
      </c>
      <c r="AA19" s="75" t="n">
        <f aca="false">IF(AD19=15,J19,0)</f>
        <v>0</v>
      </c>
      <c r="AB19" s="75" t="n">
        <f aca="false">IF(AD19=21,J19,0)</f>
        <v>0</v>
      </c>
      <c r="AD19" s="75" t="n">
        <v>21</v>
      </c>
      <c r="AE19" s="75" t="n">
        <f aca="false">G19*0</f>
        <v>0</v>
      </c>
      <c r="AF19" s="75" t="n">
        <f aca="false">G19*(1-0)</f>
        <v>0</v>
      </c>
      <c r="AG19" s="76" t="s">
        <v>81</v>
      </c>
      <c r="AM19" s="75" t="n">
        <f aca="false">F19*AE19</f>
        <v>0</v>
      </c>
      <c r="AN19" s="75" t="n">
        <f aca="false">F19*AF19</f>
        <v>0</v>
      </c>
      <c r="AO19" s="76" t="s">
        <v>95</v>
      </c>
      <c r="AP19" s="76" t="s">
        <v>96</v>
      </c>
      <c r="AQ19" s="68" t="s">
        <v>88</v>
      </c>
      <c r="AR19" s="68" t="s">
        <v>97</v>
      </c>
      <c r="AS19" s="75" t="n">
        <f aca="false">AM19+AN19</f>
        <v>0</v>
      </c>
      <c r="AT19" s="75" t="n">
        <f aca="false">G19/(100-AU19)*100</f>
        <v>0</v>
      </c>
      <c r="AU19" s="75" t="n">
        <v>0</v>
      </c>
      <c r="AV19" s="75" t="n">
        <f aca="false">L19</f>
        <v>111.564846</v>
      </c>
    </row>
    <row r="20" customFormat="false" ht="12.75" hidden="false" customHeight="true" outlineLevel="0" collapsed="false">
      <c r="A20" s="77"/>
      <c r="B20" s="78"/>
      <c r="C20" s="78" t="s">
        <v>112</v>
      </c>
      <c r="D20" s="78" t="s">
        <v>113</v>
      </c>
      <c r="E20" s="78"/>
      <c r="F20" s="78"/>
      <c r="G20" s="78"/>
      <c r="H20" s="73" t="n">
        <f aca="false">SUM(H21:H21)</f>
        <v>0</v>
      </c>
      <c r="I20" s="73" t="n">
        <f aca="false">SUM(I21:I21)</f>
        <v>0</v>
      </c>
      <c r="J20" s="73" t="n">
        <f aca="false">H20+I20</f>
        <v>0</v>
      </c>
      <c r="K20" s="68"/>
      <c r="L20" s="73" t="n">
        <f aca="false">SUM(L21:L21)</f>
        <v>4.9810986</v>
      </c>
      <c r="M20" s="68"/>
      <c r="Y20" s="68"/>
      <c r="AI20" s="73" t="n">
        <f aca="false">SUM(Z21:Z21)</f>
        <v>0</v>
      </c>
      <c r="AJ20" s="73" t="n">
        <f aca="false">SUM(AA21:AA21)</f>
        <v>0</v>
      </c>
      <c r="AK20" s="73" t="n">
        <f aca="false">SUM(AB21:AB21)</f>
        <v>0</v>
      </c>
    </row>
    <row r="21" customFormat="false" ht="12.75" hidden="false" customHeight="false" outlineLevel="0" collapsed="false">
      <c r="A21" s="44" t="s">
        <v>114</v>
      </c>
      <c r="B21" s="44"/>
      <c r="C21" s="44" t="s">
        <v>115</v>
      </c>
      <c r="D21" s="44" t="s">
        <v>116</v>
      </c>
      <c r="E21" s="44" t="s">
        <v>84</v>
      </c>
      <c r="F21" s="75" t="n">
        <v>94.86</v>
      </c>
      <c r="G21" s="75" t="n">
        <v>0</v>
      </c>
      <c r="H21" s="75" t="n">
        <f aca="false">F21*AE21</f>
        <v>0</v>
      </c>
      <c r="I21" s="75" t="n">
        <f aca="false">J21-H21</f>
        <v>0</v>
      </c>
      <c r="J21" s="75" t="n">
        <f aca="false">F21*G21</f>
        <v>0</v>
      </c>
      <c r="K21" s="75" t="n">
        <v>0.05251</v>
      </c>
      <c r="L21" s="75" t="n">
        <f aca="false">F21*K21</f>
        <v>4.9810986</v>
      </c>
      <c r="M21" s="76" t="s">
        <v>85</v>
      </c>
      <c r="P21" s="75" t="n">
        <f aca="false">IF(AG21="5",J21,0)</f>
        <v>0</v>
      </c>
      <c r="R21" s="75" t="n">
        <f aca="false">IF(AG21="1",H21,0)</f>
        <v>0</v>
      </c>
      <c r="S21" s="75" t="n">
        <f aca="false">IF(AG21="1",I21,0)</f>
        <v>0</v>
      </c>
      <c r="T21" s="75" t="n">
        <f aca="false">IF(AG21="7",H21,0)</f>
        <v>0</v>
      </c>
      <c r="U21" s="75" t="n">
        <f aca="false">IF(AG21="7",I21,0)</f>
        <v>0</v>
      </c>
      <c r="V21" s="75" t="n">
        <f aca="false">IF(AG21="2",H21,0)</f>
        <v>0</v>
      </c>
      <c r="W21" s="75" t="n">
        <f aca="false">IF(AG21="2",I21,0)</f>
        <v>0</v>
      </c>
      <c r="X21" s="75" t="n">
        <f aca="false">IF(AG21="0",J21,0)</f>
        <v>0</v>
      </c>
      <c r="Y21" s="68"/>
      <c r="Z21" s="75" t="n">
        <f aca="false">IF(AD21=0,J21,0)</f>
        <v>0</v>
      </c>
      <c r="AA21" s="75" t="n">
        <f aca="false">IF(AD21=15,J21,0)</f>
        <v>0</v>
      </c>
      <c r="AB21" s="75" t="n">
        <f aca="false">IF(AD21=21,J21,0)</f>
        <v>0</v>
      </c>
      <c r="AD21" s="75" t="n">
        <v>21</v>
      </c>
      <c r="AE21" s="75" t="n">
        <f aca="false">G21*0.615041379310345</f>
        <v>0</v>
      </c>
      <c r="AF21" s="75" t="n">
        <f aca="false">G21*(1-0.615041379310345)</f>
        <v>0</v>
      </c>
      <c r="AG21" s="76" t="s">
        <v>81</v>
      </c>
      <c r="AM21" s="75" t="n">
        <f aca="false">F21*AE21</f>
        <v>0</v>
      </c>
      <c r="AN21" s="75" t="n">
        <f aca="false">F21*AF21</f>
        <v>0</v>
      </c>
      <c r="AO21" s="76" t="s">
        <v>117</v>
      </c>
      <c r="AP21" s="76" t="s">
        <v>87</v>
      </c>
      <c r="AQ21" s="68" t="s">
        <v>88</v>
      </c>
      <c r="AR21" s="68" t="s">
        <v>118</v>
      </c>
      <c r="AS21" s="75" t="n">
        <f aca="false">AM21+AN21</f>
        <v>0</v>
      </c>
      <c r="AT21" s="75" t="n">
        <f aca="false">G21/(100-AU21)*100</f>
        <v>0</v>
      </c>
      <c r="AU21" s="75" t="n">
        <v>0</v>
      </c>
      <c r="AV21" s="75" t="n">
        <f aca="false">L21</f>
        <v>4.9810986</v>
      </c>
    </row>
    <row r="22" customFormat="false" ht="12.75" hidden="false" customHeight="true" outlineLevel="0" collapsed="false">
      <c r="A22" s="77"/>
      <c r="B22" s="78"/>
      <c r="C22" s="78" t="s">
        <v>119</v>
      </c>
      <c r="D22" s="78" t="s">
        <v>120</v>
      </c>
      <c r="E22" s="78"/>
      <c r="F22" s="78"/>
      <c r="G22" s="78"/>
      <c r="H22" s="73" t="n">
        <f aca="false">SUM(H23:H24)</f>
        <v>0</v>
      </c>
      <c r="I22" s="73" t="n">
        <f aca="false">SUM(I23:I24)</f>
        <v>0</v>
      </c>
      <c r="J22" s="73" t="n">
        <f aca="false">H22+I22</f>
        <v>0</v>
      </c>
      <c r="K22" s="68"/>
      <c r="L22" s="73" t="n">
        <f aca="false">SUM(L23:L24)</f>
        <v>6.20942</v>
      </c>
      <c r="M22" s="68"/>
      <c r="Y22" s="68"/>
      <c r="AI22" s="73" t="n">
        <f aca="false">SUM(Z23:Z24)</f>
        <v>0</v>
      </c>
      <c r="AJ22" s="73" t="n">
        <f aca="false">SUM(AA23:AA24)</f>
        <v>0</v>
      </c>
      <c r="AK22" s="73" t="n">
        <f aca="false">SUM(AB23:AB24)</f>
        <v>0</v>
      </c>
    </row>
    <row r="23" customFormat="false" ht="25.35" hidden="false" customHeight="false" outlineLevel="0" collapsed="false">
      <c r="A23" s="44" t="s">
        <v>121</v>
      </c>
      <c r="B23" s="44"/>
      <c r="C23" s="44" t="s">
        <v>122</v>
      </c>
      <c r="D23" s="74" t="s">
        <v>123</v>
      </c>
      <c r="E23" s="44" t="s">
        <v>104</v>
      </c>
      <c r="F23" s="75" t="n">
        <v>34</v>
      </c>
      <c r="G23" s="75" t="n">
        <v>0</v>
      </c>
      <c r="H23" s="75" t="n">
        <f aca="false">F23*AE23</f>
        <v>0</v>
      </c>
      <c r="I23" s="75" t="n">
        <f aca="false">J23-H23</f>
        <v>0</v>
      </c>
      <c r="J23" s="75" t="n">
        <f aca="false">F23*G23</f>
        <v>0</v>
      </c>
      <c r="K23" s="75" t="n">
        <v>0.16263</v>
      </c>
      <c r="L23" s="75" t="n">
        <f aca="false">F23*K23</f>
        <v>5.52942</v>
      </c>
      <c r="M23" s="76" t="s">
        <v>85</v>
      </c>
      <c r="P23" s="75" t="n">
        <f aca="false">IF(AG23="5",J23,0)</f>
        <v>0</v>
      </c>
      <c r="R23" s="75" t="n">
        <f aca="false">IF(AG23="1",H23,0)</f>
        <v>0</v>
      </c>
      <c r="S23" s="75" t="n">
        <f aca="false">IF(AG23="1",I23,0)</f>
        <v>0</v>
      </c>
      <c r="T23" s="75" t="n">
        <f aca="false">IF(AG23="7",H23,0)</f>
        <v>0</v>
      </c>
      <c r="U23" s="75" t="n">
        <f aca="false">IF(AG23="7",I23,0)</f>
        <v>0</v>
      </c>
      <c r="V23" s="75" t="n">
        <f aca="false">IF(AG23="2",H23,0)</f>
        <v>0</v>
      </c>
      <c r="W23" s="75" t="n">
        <f aca="false">IF(AG23="2",I23,0)</f>
        <v>0</v>
      </c>
      <c r="X23" s="75" t="n">
        <f aca="false">IF(AG23="0",J23,0)</f>
        <v>0</v>
      </c>
      <c r="Y23" s="68"/>
      <c r="Z23" s="75" t="n">
        <f aca="false">IF(AD23=0,J23,0)</f>
        <v>0</v>
      </c>
      <c r="AA23" s="75" t="n">
        <f aca="false">IF(AD23=15,J23,0)</f>
        <v>0</v>
      </c>
      <c r="AB23" s="75" t="n">
        <f aca="false">IF(AD23=21,J23,0)</f>
        <v>0</v>
      </c>
      <c r="AD23" s="75" t="n">
        <v>21</v>
      </c>
      <c r="AE23" s="75" t="n">
        <f aca="false">G23*0.597194545454546</f>
        <v>0</v>
      </c>
      <c r="AF23" s="75" t="n">
        <f aca="false">G23*(1-0.597194545454546)</f>
        <v>0</v>
      </c>
      <c r="AG23" s="76" t="s">
        <v>81</v>
      </c>
      <c r="AM23" s="75" t="n">
        <f aca="false">F23*AE23</f>
        <v>0</v>
      </c>
      <c r="AN23" s="75" t="n">
        <f aca="false">F23*AF23</f>
        <v>0</v>
      </c>
      <c r="AO23" s="76" t="s">
        <v>124</v>
      </c>
      <c r="AP23" s="76" t="s">
        <v>125</v>
      </c>
      <c r="AQ23" s="68" t="s">
        <v>88</v>
      </c>
      <c r="AR23" s="68" t="s">
        <v>126</v>
      </c>
      <c r="AS23" s="75" t="n">
        <f aca="false">AM23+AN23</f>
        <v>0</v>
      </c>
      <c r="AT23" s="75" t="n">
        <f aca="false">G23/(100-AU23)*100</f>
        <v>0</v>
      </c>
      <c r="AU23" s="75" t="n">
        <v>0</v>
      </c>
      <c r="AV23" s="75" t="n">
        <f aca="false">L23</f>
        <v>5.52942</v>
      </c>
    </row>
    <row r="24" customFormat="false" ht="25.35" hidden="false" customHeight="false" outlineLevel="0" collapsed="false">
      <c r="A24" s="44" t="s">
        <v>127</v>
      </c>
      <c r="B24" s="44"/>
      <c r="C24" s="44" t="s">
        <v>128</v>
      </c>
      <c r="D24" s="74" t="s">
        <v>129</v>
      </c>
      <c r="E24" s="44" t="s">
        <v>104</v>
      </c>
      <c r="F24" s="75" t="n">
        <v>34</v>
      </c>
      <c r="G24" s="75" t="n">
        <v>0</v>
      </c>
      <c r="H24" s="75" t="n">
        <f aca="false">F24*AE24</f>
        <v>0</v>
      </c>
      <c r="I24" s="75" t="n">
        <f aca="false">J24-H24</f>
        <v>0</v>
      </c>
      <c r="J24" s="75" t="n">
        <f aca="false">F24*G24</f>
        <v>0</v>
      </c>
      <c r="K24" s="75" t="n">
        <v>0.02</v>
      </c>
      <c r="L24" s="75" t="n">
        <f aca="false">F24*K24</f>
        <v>0.68</v>
      </c>
      <c r="M24" s="76" t="s">
        <v>85</v>
      </c>
      <c r="P24" s="75" t="n">
        <f aca="false">IF(AG24="5",J24,0)</f>
        <v>0</v>
      </c>
      <c r="R24" s="75" t="n">
        <f aca="false">IF(AG24="1",H24,0)</f>
        <v>0</v>
      </c>
      <c r="S24" s="75" t="n">
        <f aca="false">IF(AG24="1",I24,0)</f>
        <v>0</v>
      </c>
      <c r="T24" s="75" t="n">
        <f aca="false">IF(AG24="7",H24,0)</f>
        <v>0</v>
      </c>
      <c r="U24" s="75" t="n">
        <f aca="false">IF(AG24="7",I24,0)</f>
        <v>0</v>
      </c>
      <c r="V24" s="75" t="n">
        <f aca="false">IF(AG24="2",H24,0)</f>
        <v>0</v>
      </c>
      <c r="W24" s="75" t="n">
        <f aca="false">IF(AG24="2",I24,0)</f>
        <v>0</v>
      </c>
      <c r="X24" s="75" t="n">
        <f aca="false">IF(AG24="0",J24,0)</f>
        <v>0</v>
      </c>
      <c r="Y24" s="68"/>
      <c r="Z24" s="75" t="n">
        <f aca="false">IF(AD24=0,J24,0)</f>
        <v>0</v>
      </c>
      <c r="AA24" s="75" t="n">
        <f aca="false">IF(AD24=15,J24,0)</f>
        <v>0</v>
      </c>
      <c r="AB24" s="75" t="n">
        <f aca="false">IF(AD24=21,J24,0)</f>
        <v>0</v>
      </c>
      <c r="AD24" s="75" t="n">
        <v>21</v>
      </c>
      <c r="AE24" s="75" t="n">
        <f aca="false">G24*0.825252985884908</f>
        <v>0</v>
      </c>
      <c r="AF24" s="75" t="n">
        <f aca="false">G24*(1-0.825252985884908)</f>
        <v>0</v>
      </c>
      <c r="AG24" s="76" t="s">
        <v>81</v>
      </c>
      <c r="AM24" s="75" t="n">
        <f aca="false">F24*AE24</f>
        <v>0</v>
      </c>
      <c r="AN24" s="75" t="n">
        <f aca="false">F24*AF24</f>
        <v>0</v>
      </c>
      <c r="AO24" s="76" t="s">
        <v>124</v>
      </c>
      <c r="AP24" s="76" t="s">
        <v>125</v>
      </c>
      <c r="AQ24" s="68" t="s">
        <v>88</v>
      </c>
      <c r="AR24" s="68" t="s">
        <v>126</v>
      </c>
      <c r="AS24" s="75" t="n">
        <f aca="false">AM24+AN24</f>
        <v>0</v>
      </c>
      <c r="AT24" s="75" t="n">
        <f aca="false">G24/(100-AU24)*100</f>
        <v>0</v>
      </c>
      <c r="AU24" s="75" t="n">
        <v>0</v>
      </c>
      <c r="AV24" s="75" t="n">
        <f aca="false">L24</f>
        <v>0.68</v>
      </c>
    </row>
    <row r="25" customFormat="false" ht="12.75" hidden="false" customHeight="true" outlineLevel="0" collapsed="false">
      <c r="A25" s="77"/>
      <c r="B25" s="78"/>
      <c r="C25" s="78" t="s">
        <v>130</v>
      </c>
      <c r="D25" s="78" t="s">
        <v>131</v>
      </c>
      <c r="E25" s="78"/>
      <c r="F25" s="78"/>
      <c r="G25" s="78"/>
      <c r="H25" s="73" t="n">
        <f aca="false">SUM(H26:H26)</f>
        <v>0</v>
      </c>
      <c r="I25" s="73" t="n">
        <f aca="false">SUM(I26:I26)</f>
        <v>0</v>
      </c>
      <c r="J25" s="73" t="n">
        <f aca="false">H25+I25</f>
        <v>0</v>
      </c>
      <c r="K25" s="68"/>
      <c r="L25" s="73" t="n">
        <f aca="false">SUM(L26:L26)</f>
        <v>0</v>
      </c>
      <c r="M25" s="68"/>
      <c r="Y25" s="68"/>
      <c r="AI25" s="73" t="n">
        <f aca="false">SUM(Z26:Z26)</f>
        <v>0</v>
      </c>
      <c r="AJ25" s="73" t="n">
        <f aca="false">SUM(AA26:AA26)</f>
        <v>0</v>
      </c>
      <c r="AK25" s="73" t="n">
        <f aca="false">SUM(AB26:AB26)</f>
        <v>0</v>
      </c>
    </row>
    <row r="26" customFormat="false" ht="12.75" hidden="false" customHeight="false" outlineLevel="0" collapsed="false">
      <c r="A26" s="44" t="s">
        <v>132</v>
      </c>
      <c r="B26" s="44"/>
      <c r="C26" s="44" t="s">
        <v>133</v>
      </c>
      <c r="D26" s="44" t="s">
        <v>134</v>
      </c>
      <c r="E26" s="44" t="s">
        <v>84</v>
      </c>
      <c r="F26" s="75" t="n">
        <v>80</v>
      </c>
      <c r="G26" s="75" t="n">
        <v>0</v>
      </c>
      <c r="H26" s="75" t="n">
        <f aca="false">F26*AE26</f>
        <v>0</v>
      </c>
      <c r="I26" s="75" t="n">
        <f aca="false">J26-H26</f>
        <v>0</v>
      </c>
      <c r="J26" s="75" t="n">
        <f aca="false">F26*G26</f>
        <v>0</v>
      </c>
      <c r="K26" s="75" t="n">
        <v>0</v>
      </c>
      <c r="L26" s="75" t="n">
        <f aca="false">F26*K26</f>
        <v>0</v>
      </c>
      <c r="M26" s="76" t="s">
        <v>85</v>
      </c>
      <c r="P26" s="75" t="n">
        <f aca="false">IF(AG26="5",J26,0)</f>
        <v>0</v>
      </c>
      <c r="R26" s="75" t="n">
        <f aca="false">IF(AG26="1",H26,0)</f>
        <v>0</v>
      </c>
      <c r="S26" s="75" t="n">
        <f aca="false">IF(AG26="1",I26,0)</f>
        <v>0</v>
      </c>
      <c r="T26" s="75" t="n">
        <f aca="false">IF(AG26="7",H26,0)</f>
        <v>0</v>
      </c>
      <c r="U26" s="75" t="n">
        <f aca="false">IF(AG26="7",I26,0)</f>
        <v>0</v>
      </c>
      <c r="V26" s="75" t="n">
        <f aca="false">IF(AG26="2",H26,0)</f>
        <v>0</v>
      </c>
      <c r="W26" s="75" t="n">
        <f aca="false">IF(AG26="2",I26,0)</f>
        <v>0</v>
      </c>
      <c r="X26" s="75" t="n">
        <f aca="false">IF(AG26="0",J26,0)</f>
        <v>0</v>
      </c>
      <c r="Y26" s="68"/>
      <c r="Z26" s="75" t="n">
        <f aca="false">IF(AD26=0,J26,0)</f>
        <v>0</v>
      </c>
      <c r="AA26" s="75" t="n">
        <f aca="false">IF(AD26=15,J26,0)</f>
        <v>0</v>
      </c>
      <c r="AB26" s="75" t="n">
        <f aca="false">IF(AD26=21,J26,0)</f>
        <v>0</v>
      </c>
      <c r="AD26" s="75" t="n">
        <v>21</v>
      </c>
      <c r="AE26" s="75" t="n">
        <f aca="false">G26*0.614838709677419</f>
        <v>0</v>
      </c>
      <c r="AF26" s="75" t="n">
        <f aca="false">G26*(1-0.614838709677419)</f>
        <v>0</v>
      </c>
      <c r="AG26" s="76" t="s">
        <v>114</v>
      </c>
      <c r="AM26" s="75" t="n">
        <f aca="false">F26*AE26</f>
        <v>0</v>
      </c>
      <c r="AN26" s="75" t="n">
        <f aca="false">F26*AF26</f>
        <v>0</v>
      </c>
      <c r="AO26" s="76" t="s">
        <v>135</v>
      </c>
      <c r="AP26" s="76" t="s">
        <v>136</v>
      </c>
      <c r="AQ26" s="68" t="s">
        <v>88</v>
      </c>
      <c r="AS26" s="75" t="n">
        <f aca="false">AM26+AN26</f>
        <v>0</v>
      </c>
      <c r="AT26" s="75" t="n">
        <f aca="false">G26/(100-AU26)*100</f>
        <v>0</v>
      </c>
      <c r="AU26" s="75" t="n">
        <v>0</v>
      </c>
      <c r="AV26" s="75" t="n">
        <f aca="false">L26</f>
        <v>0</v>
      </c>
    </row>
    <row r="27" customFormat="false" ht="12.75" hidden="false" customHeight="true" outlineLevel="0" collapsed="false">
      <c r="A27" s="77"/>
      <c r="B27" s="78"/>
      <c r="C27" s="78" t="s">
        <v>137</v>
      </c>
      <c r="D27" s="78" t="s">
        <v>138</v>
      </c>
      <c r="E27" s="78"/>
      <c r="F27" s="78"/>
      <c r="G27" s="78"/>
      <c r="H27" s="73" t="n">
        <f aca="false">SUM(H28:H29)</f>
        <v>0</v>
      </c>
      <c r="I27" s="73" t="n">
        <f aca="false">SUM(I28:I29)</f>
        <v>0</v>
      </c>
      <c r="J27" s="73" t="n">
        <f aca="false">H27+I27</f>
        <v>0</v>
      </c>
      <c r="K27" s="68"/>
      <c r="L27" s="73" t="n">
        <f aca="false">SUM(L28:L29)</f>
        <v>0.17885</v>
      </c>
      <c r="M27" s="68"/>
      <c r="Y27" s="68"/>
      <c r="AI27" s="73" t="n">
        <f aca="false">SUM(Z28:Z29)</f>
        <v>0</v>
      </c>
      <c r="AJ27" s="73" t="n">
        <f aca="false">SUM(AA28:AA29)</f>
        <v>0</v>
      </c>
      <c r="AK27" s="73" t="n">
        <f aca="false">SUM(AB28:AB29)</f>
        <v>0</v>
      </c>
    </row>
    <row r="28" customFormat="false" ht="25.35" hidden="false" customHeight="false" outlineLevel="0" collapsed="false">
      <c r="A28" s="44" t="s">
        <v>139</v>
      </c>
      <c r="B28" s="44"/>
      <c r="C28" s="44" t="s">
        <v>140</v>
      </c>
      <c r="D28" s="74" t="s">
        <v>141</v>
      </c>
      <c r="E28" s="44" t="s">
        <v>108</v>
      </c>
      <c r="F28" s="75" t="n">
        <v>90</v>
      </c>
      <c r="G28" s="75" t="n">
        <v>0</v>
      </c>
      <c r="H28" s="75" t="n">
        <f aca="false">F28*AE28</f>
        <v>0</v>
      </c>
      <c r="I28" s="75" t="n">
        <f aca="false">J28-H28</f>
        <v>0</v>
      </c>
      <c r="J28" s="75" t="n">
        <f aca="false">F28*G28</f>
        <v>0</v>
      </c>
      <c r="K28" s="75" t="n">
        <v>0.00198</v>
      </c>
      <c r="L28" s="75" t="n">
        <f aca="false">F28*K28</f>
        <v>0.1782</v>
      </c>
      <c r="M28" s="76" t="s">
        <v>85</v>
      </c>
      <c r="P28" s="75" t="n">
        <f aca="false">IF(AG28="5",J28,0)</f>
        <v>0</v>
      </c>
      <c r="R28" s="75" t="n">
        <f aca="false">IF(AG28="1",H28,0)</f>
        <v>0</v>
      </c>
      <c r="S28" s="75" t="n">
        <f aca="false">IF(AG28="1",I28,0)</f>
        <v>0</v>
      </c>
      <c r="T28" s="75" t="n">
        <f aca="false">IF(AG28="7",H28,0)</f>
        <v>0</v>
      </c>
      <c r="U28" s="75" t="n">
        <f aca="false">IF(AG28="7",I28,0)</f>
        <v>0</v>
      </c>
      <c r="V28" s="75" t="n">
        <f aca="false">IF(AG28="2",H28,0)</f>
        <v>0</v>
      </c>
      <c r="W28" s="75" t="n">
        <f aca="false">IF(AG28="2",I28,0)</f>
        <v>0</v>
      </c>
      <c r="X28" s="75" t="n">
        <f aca="false">IF(AG28="0",J28,0)</f>
        <v>0</v>
      </c>
      <c r="Y28" s="68"/>
      <c r="Z28" s="75" t="n">
        <f aca="false">IF(AD28=0,J28,0)</f>
        <v>0</v>
      </c>
      <c r="AA28" s="75" t="n">
        <f aca="false">IF(AD28=15,J28,0)</f>
        <v>0</v>
      </c>
      <c r="AB28" s="75" t="n">
        <f aca="false">IF(AD28=21,J28,0)</f>
        <v>0</v>
      </c>
      <c r="AD28" s="75" t="n">
        <v>21</v>
      </c>
      <c r="AE28" s="75" t="n">
        <f aca="false">G28*0.881861141403126</f>
        <v>0</v>
      </c>
      <c r="AF28" s="75" t="n">
        <f aca="false">G28*(1-0.881861141403126)</f>
        <v>0</v>
      </c>
      <c r="AG28" s="76" t="s">
        <v>114</v>
      </c>
      <c r="AM28" s="75" t="n">
        <f aca="false">F28*AE28</f>
        <v>0</v>
      </c>
      <c r="AN28" s="75" t="n">
        <f aca="false">F28*AF28</f>
        <v>0</v>
      </c>
      <c r="AO28" s="76" t="s">
        <v>142</v>
      </c>
      <c r="AP28" s="76" t="s">
        <v>143</v>
      </c>
      <c r="AQ28" s="68" t="s">
        <v>88</v>
      </c>
      <c r="AR28" s="68" t="s">
        <v>144</v>
      </c>
      <c r="AS28" s="75" t="n">
        <f aca="false">AM28+AN28</f>
        <v>0</v>
      </c>
      <c r="AT28" s="75" t="n">
        <f aca="false">G28/(100-AU28)*100</f>
        <v>0</v>
      </c>
      <c r="AU28" s="75" t="n">
        <v>0</v>
      </c>
      <c r="AV28" s="75" t="n">
        <f aca="false">L28</f>
        <v>0.1782</v>
      </c>
    </row>
    <row r="29" customFormat="false" ht="46.25" hidden="false" customHeight="false" outlineLevel="0" collapsed="false">
      <c r="A29" s="44" t="s">
        <v>145</v>
      </c>
      <c r="B29" s="44"/>
      <c r="C29" s="44" t="s">
        <v>146</v>
      </c>
      <c r="D29" s="74" t="s">
        <v>147</v>
      </c>
      <c r="E29" s="44" t="s">
        <v>148</v>
      </c>
      <c r="F29" s="75" t="n">
        <v>1</v>
      </c>
      <c r="G29" s="75" t="n">
        <v>0</v>
      </c>
      <c r="H29" s="75" t="n">
        <f aca="false">F29*AE29</f>
        <v>0</v>
      </c>
      <c r="I29" s="75" t="n">
        <f aca="false">J29-H29</f>
        <v>0</v>
      </c>
      <c r="J29" s="75" t="n">
        <f aca="false">F29*G29</f>
        <v>0</v>
      </c>
      <c r="K29" s="75" t="n">
        <v>0.00065</v>
      </c>
      <c r="L29" s="75" t="n">
        <f aca="false">F29*K29</f>
        <v>0.00065</v>
      </c>
      <c r="M29" s="76" t="s">
        <v>85</v>
      </c>
      <c r="P29" s="75" t="n">
        <f aca="false">IF(AG29="5",J29,0)</f>
        <v>0</v>
      </c>
      <c r="R29" s="75" t="n">
        <f aca="false">IF(AG29="1",H29,0)</f>
        <v>0</v>
      </c>
      <c r="S29" s="75" t="n">
        <f aca="false">IF(AG29="1",I29,0)</f>
        <v>0</v>
      </c>
      <c r="T29" s="75" t="n">
        <f aca="false">IF(AG29="7",H29,0)</f>
        <v>0</v>
      </c>
      <c r="U29" s="75" t="n">
        <f aca="false">IF(AG29="7",I29,0)</f>
        <v>0</v>
      </c>
      <c r="V29" s="75" t="n">
        <f aca="false">IF(AG29="2",H29,0)</f>
        <v>0</v>
      </c>
      <c r="W29" s="75" t="n">
        <f aca="false">IF(AG29="2",I29,0)</f>
        <v>0</v>
      </c>
      <c r="X29" s="75" t="n">
        <f aca="false">IF(AG29="0",J29,0)</f>
        <v>0</v>
      </c>
      <c r="Y29" s="68"/>
      <c r="Z29" s="75" t="n">
        <f aca="false">IF(AD29=0,J29,0)</f>
        <v>0</v>
      </c>
      <c r="AA29" s="75" t="n">
        <f aca="false">IF(AD29=15,J29,0)</f>
        <v>0</v>
      </c>
      <c r="AB29" s="75" t="n">
        <f aca="false">IF(AD29=21,J29,0)</f>
        <v>0</v>
      </c>
      <c r="AD29" s="75" t="n">
        <v>21</v>
      </c>
      <c r="AE29" s="75" t="n">
        <f aca="false">G29*0.0348047393364929</f>
        <v>0</v>
      </c>
      <c r="AF29" s="75" t="n">
        <f aca="false">G29*(1-0.0348047393364929)</f>
        <v>0</v>
      </c>
      <c r="AG29" s="76" t="s">
        <v>114</v>
      </c>
      <c r="AM29" s="75" t="n">
        <f aca="false">F29*AE29</f>
        <v>0</v>
      </c>
      <c r="AN29" s="75" t="n">
        <f aca="false">F29*AF29</f>
        <v>0</v>
      </c>
      <c r="AO29" s="76" t="s">
        <v>142</v>
      </c>
      <c r="AP29" s="76" t="s">
        <v>143</v>
      </c>
      <c r="AQ29" s="68" t="s">
        <v>88</v>
      </c>
      <c r="AR29" s="68" t="s">
        <v>144</v>
      </c>
      <c r="AS29" s="75" t="n">
        <f aca="false">AM29+AN29</f>
        <v>0</v>
      </c>
      <c r="AT29" s="75" t="n">
        <f aca="false">G29/(100-AU29)*100</f>
        <v>0</v>
      </c>
      <c r="AU29" s="75" t="n">
        <v>0</v>
      </c>
      <c r="AV29" s="75" t="n">
        <f aca="false">L29</f>
        <v>0.00065</v>
      </c>
    </row>
    <row r="30" customFormat="false" ht="12.75" hidden="false" customHeight="false" outlineLevel="0" collapsed="false">
      <c r="A30" s="77"/>
      <c r="B30" s="78"/>
      <c r="C30" s="78" t="s">
        <v>149</v>
      </c>
      <c r="D30" s="78" t="s">
        <v>150</v>
      </c>
      <c r="E30" s="78"/>
      <c r="F30" s="78"/>
      <c r="G30" s="78"/>
      <c r="H30" s="73" t="n">
        <f aca="false">SUM(H31:H33)</f>
        <v>0</v>
      </c>
      <c r="I30" s="73" t="n">
        <f aca="false">SUM(I31:I33)</f>
        <v>0</v>
      </c>
      <c r="J30" s="73" t="n">
        <f aca="false">H30+I30</f>
        <v>0</v>
      </c>
      <c r="K30" s="68"/>
      <c r="L30" s="73" t="n">
        <f aca="false">SUM(L31:L33)</f>
        <v>2.4842</v>
      </c>
      <c r="M30" s="68"/>
      <c r="Y30" s="68"/>
      <c r="AI30" s="73" t="n">
        <f aca="false">SUM(Z31:Z33)</f>
        <v>0</v>
      </c>
      <c r="AJ30" s="73" t="n">
        <f aca="false">SUM(AA31:AA33)</f>
        <v>0</v>
      </c>
      <c r="AK30" s="73" t="n">
        <f aca="false">SUM(AB31:AB33)</f>
        <v>0</v>
      </c>
    </row>
    <row r="31" customFormat="false" ht="12.75" hidden="false" customHeight="false" outlineLevel="0" collapsed="false">
      <c r="A31" s="44" t="s">
        <v>151</v>
      </c>
      <c r="B31" s="44"/>
      <c r="C31" s="44" t="s">
        <v>152</v>
      </c>
      <c r="D31" s="44" t="s">
        <v>153</v>
      </c>
      <c r="E31" s="44" t="s">
        <v>108</v>
      </c>
      <c r="F31" s="75" t="n">
        <v>30</v>
      </c>
      <c r="G31" s="75" t="n">
        <v>0</v>
      </c>
      <c r="H31" s="75" t="n">
        <f aca="false">F31*AE31</f>
        <v>0</v>
      </c>
      <c r="I31" s="75" t="n">
        <f aca="false">J31-H31</f>
        <v>0</v>
      </c>
      <c r="J31" s="75" t="n">
        <f aca="false">F31*G31</f>
        <v>0</v>
      </c>
      <c r="K31" s="75" t="n">
        <v>0.03738</v>
      </c>
      <c r="L31" s="75" t="n">
        <f aca="false">F31*K31</f>
        <v>1.1214</v>
      </c>
      <c r="M31" s="76" t="s">
        <v>85</v>
      </c>
      <c r="P31" s="75" t="n">
        <f aca="false">IF(AG31="5",J31,0)</f>
        <v>0</v>
      </c>
      <c r="R31" s="75" t="n">
        <f aca="false">IF(AG31="1",H31,0)</f>
        <v>0</v>
      </c>
      <c r="S31" s="75" t="n">
        <f aca="false">IF(AG31="1",I31,0)</f>
        <v>0</v>
      </c>
      <c r="T31" s="75" t="n">
        <f aca="false">IF(AG31="7",H31,0)</f>
        <v>0</v>
      </c>
      <c r="U31" s="75" t="n">
        <f aca="false">IF(AG31="7",I31,0)</f>
        <v>0</v>
      </c>
      <c r="V31" s="75" t="n">
        <f aca="false">IF(AG31="2",H31,0)</f>
        <v>0</v>
      </c>
      <c r="W31" s="75" t="n">
        <f aca="false">IF(AG31="2",I31,0)</f>
        <v>0</v>
      </c>
      <c r="X31" s="75" t="n">
        <f aca="false">IF(AG31="0",J31,0)</f>
        <v>0</v>
      </c>
      <c r="Y31" s="68"/>
      <c r="Z31" s="75" t="n">
        <f aca="false">IF(AD31=0,J31,0)</f>
        <v>0</v>
      </c>
      <c r="AA31" s="75" t="n">
        <f aca="false">IF(AD31=15,J31,0)</f>
        <v>0</v>
      </c>
      <c r="AB31" s="75" t="n">
        <f aca="false">IF(AD31=21,J31,0)</f>
        <v>0</v>
      </c>
      <c r="AD31" s="75" t="n">
        <v>21</v>
      </c>
      <c r="AE31" s="75" t="n">
        <f aca="false">G31*0.2171</f>
        <v>0</v>
      </c>
      <c r="AF31" s="75" t="n">
        <f aca="false">G31*(1-0.2171)</f>
        <v>0</v>
      </c>
      <c r="AG31" s="76" t="s">
        <v>114</v>
      </c>
      <c r="AM31" s="75" t="n">
        <f aca="false">F31*AE31</f>
        <v>0</v>
      </c>
      <c r="AN31" s="75" t="n">
        <f aca="false">F31*AF31</f>
        <v>0</v>
      </c>
      <c r="AO31" s="76" t="s">
        <v>154</v>
      </c>
      <c r="AP31" s="76" t="s">
        <v>143</v>
      </c>
      <c r="AQ31" s="68" t="s">
        <v>88</v>
      </c>
      <c r="AS31" s="75" t="n">
        <f aca="false">AM31+AN31</f>
        <v>0</v>
      </c>
      <c r="AT31" s="75" t="n">
        <f aca="false">G31/(100-AU31)*100</f>
        <v>0</v>
      </c>
      <c r="AU31" s="75" t="n">
        <v>0</v>
      </c>
      <c r="AV31" s="75" t="n">
        <f aca="false">L31</f>
        <v>1.1214</v>
      </c>
    </row>
    <row r="32" customFormat="false" ht="12.75" hidden="false" customHeight="false" outlineLevel="0" collapsed="false">
      <c r="A32" s="44" t="s">
        <v>155</v>
      </c>
      <c r="B32" s="44"/>
      <c r="C32" s="44" t="s">
        <v>156</v>
      </c>
      <c r="D32" s="44" t="s">
        <v>157</v>
      </c>
      <c r="E32" s="44" t="s">
        <v>108</v>
      </c>
      <c r="F32" s="75" t="n">
        <v>45</v>
      </c>
      <c r="G32" s="75" t="n">
        <v>0</v>
      </c>
      <c r="H32" s="75" t="n">
        <f aca="false">F32*AE32</f>
        <v>0</v>
      </c>
      <c r="I32" s="75" t="n">
        <f aca="false">J32-H32</f>
        <v>0</v>
      </c>
      <c r="J32" s="75" t="n">
        <f aca="false">F32*G32</f>
        <v>0</v>
      </c>
      <c r="K32" s="75" t="n">
        <v>0.02653</v>
      </c>
      <c r="L32" s="75" t="n">
        <f aca="false">F32*K32</f>
        <v>1.19385</v>
      </c>
      <c r="M32" s="76" t="s">
        <v>85</v>
      </c>
      <c r="P32" s="75" t="n">
        <f aca="false">IF(AG32="5",J32,0)</f>
        <v>0</v>
      </c>
      <c r="R32" s="75" t="n">
        <f aca="false">IF(AG32="1",H32,0)</f>
        <v>0</v>
      </c>
      <c r="S32" s="75" t="n">
        <f aca="false">IF(AG32="1",I32,0)</f>
        <v>0</v>
      </c>
      <c r="T32" s="75" t="n">
        <f aca="false">IF(AG32="7",H32,0)</f>
        <v>0</v>
      </c>
      <c r="U32" s="75" t="n">
        <f aca="false">IF(AG32="7",I32,0)</f>
        <v>0</v>
      </c>
      <c r="V32" s="75" t="n">
        <f aca="false">IF(AG32="2",H32,0)</f>
        <v>0</v>
      </c>
      <c r="W32" s="75" t="n">
        <f aca="false">IF(AG32="2",I32,0)</f>
        <v>0</v>
      </c>
      <c r="X32" s="75" t="n">
        <f aca="false">IF(AG32="0",J32,0)</f>
        <v>0</v>
      </c>
      <c r="Y32" s="68"/>
      <c r="Z32" s="75" t="n">
        <f aca="false">IF(AD32=0,J32,0)</f>
        <v>0</v>
      </c>
      <c r="AA32" s="75" t="n">
        <f aca="false">IF(AD32=15,J32,0)</f>
        <v>0</v>
      </c>
      <c r="AB32" s="75" t="n">
        <f aca="false">IF(AD32=21,J32,0)</f>
        <v>0</v>
      </c>
      <c r="AD32" s="75" t="n">
        <v>21</v>
      </c>
      <c r="AE32" s="75" t="n">
        <f aca="false">G32*0.368832</f>
        <v>0</v>
      </c>
      <c r="AF32" s="75" t="n">
        <f aca="false">G32*(1-0.368832)</f>
        <v>0</v>
      </c>
      <c r="AG32" s="76" t="s">
        <v>114</v>
      </c>
      <c r="AM32" s="75" t="n">
        <f aca="false">F32*AE32</f>
        <v>0</v>
      </c>
      <c r="AN32" s="75" t="n">
        <f aca="false">F32*AF32</f>
        <v>0</v>
      </c>
      <c r="AO32" s="76" t="s">
        <v>154</v>
      </c>
      <c r="AP32" s="76" t="s">
        <v>143</v>
      </c>
      <c r="AQ32" s="68" t="s">
        <v>88</v>
      </c>
      <c r="AS32" s="75" t="n">
        <f aca="false">AM32+AN32</f>
        <v>0</v>
      </c>
      <c r="AT32" s="75" t="n">
        <f aca="false">G32/(100-AU32)*100</f>
        <v>0</v>
      </c>
      <c r="AU32" s="75" t="n">
        <v>0</v>
      </c>
      <c r="AV32" s="75" t="n">
        <f aca="false">L32</f>
        <v>1.19385</v>
      </c>
    </row>
    <row r="33" customFormat="false" ht="12.75" hidden="false" customHeight="false" outlineLevel="0" collapsed="false">
      <c r="A33" s="44" t="s">
        <v>158</v>
      </c>
      <c r="B33" s="44"/>
      <c r="C33" s="44" t="s">
        <v>159</v>
      </c>
      <c r="D33" s="44" t="s">
        <v>160</v>
      </c>
      <c r="E33" s="44" t="s">
        <v>104</v>
      </c>
      <c r="F33" s="75" t="n">
        <v>31</v>
      </c>
      <c r="G33" s="75" t="n">
        <v>0</v>
      </c>
      <c r="H33" s="75" t="n">
        <f aca="false">F33*AE33</f>
        <v>0</v>
      </c>
      <c r="I33" s="75" t="n">
        <f aca="false">J33-H33</f>
        <v>0</v>
      </c>
      <c r="J33" s="75" t="n">
        <f aca="false">F33*G33</f>
        <v>0</v>
      </c>
      <c r="K33" s="75" t="n">
        <v>0.00545</v>
      </c>
      <c r="L33" s="75" t="n">
        <f aca="false">F33*K33</f>
        <v>0.16895</v>
      </c>
      <c r="M33" s="76" t="s">
        <v>85</v>
      </c>
      <c r="P33" s="75" t="n">
        <f aca="false">IF(AG33="5",J33,0)</f>
        <v>0</v>
      </c>
      <c r="R33" s="75" t="n">
        <f aca="false">IF(AG33="1",H33,0)</f>
        <v>0</v>
      </c>
      <c r="S33" s="75" t="n">
        <f aca="false">IF(AG33="1",I33,0)</f>
        <v>0</v>
      </c>
      <c r="T33" s="75" t="n">
        <f aca="false">IF(AG33="7",H33,0)</f>
        <v>0</v>
      </c>
      <c r="U33" s="75" t="n">
        <f aca="false">IF(AG33="7",I33,0)</f>
        <v>0</v>
      </c>
      <c r="V33" s="75" t="n">
        <f aca="false">IF(AG33="2",H33,0)</f>
        <v>0</v>
      </c>
      <c r="W33" s="75" t="n">
        <f aca="false">IF(AG33="2",I33,0)</f>
        <v>0</v>
      </c>
      <c r="X33" s="75" t="n">
        <f aca="false">IF(AG33="0",J33,0)</f>
        <v>0</v>
      </c>
      <c r="Y33" s="68"/>
      <c r="Z33" s="75" t="n">
        <f aca="false">IF(AD33=0,J33,0)</f>
        <v>0</v>
      </c>
      <c r="AA33" s="75" t="n">
        <f aca="false">IF(AD33=15,J33,0)</f>
        <v>0</v>
      </c>
      <c r="AB33" s="75" t="n">
        <f aca="false">IF(AD33=21,J33,0)</f>
        <v>0</v>
      </c>
      <c r="AD33" s="75" t="n">
        <v>21</v>
      </c>
      <c r="AE33" s="75" t="n">
        <f aca="false">G33*0.728181818181818</f>
        <v>0</v>
      </c>
      <c r="AF33" s="75" t="n">
        <f aca="false">G33*(1-0.728181818181818)</f>
        <v>0</v>
      </c>
      <c r="AG33" s="76" t="s">
        <v>114</v>
      </c>
      <c r="AM33" s="75" t="n">
        <f aca="false">F33*AE33</f>
        <v>0</v>
      </c>
      <c r="AN33" s="75" t="n">
        <f aca="false">F33*AF33</f>
        <v>0</v>
      </c>
      <c r="AO33" s="76" t="s">
        <v>154</v>
      </c>
      <c r="AP33" s="76" t="s">
        <v>143</v>
      </c>
      <c r="AQ33" s="68" t="s">
        <v>88</v>
      </c>
      <c r="AR33" s="68" t="s">
        <v>161</v>
      </c>
      <c r="AS33" s="75" t="n">
        <f aca="false">AM33+AN33</f>
        <v>0</v>
      </c>
      <c r="AT33" s="75" t="n">
        <f aca="false">G33/(100-AU33)*100</f>
        <v>0</v>
      </c>
      <c r="AU33" s="75" t="n">
        <v>0</v>
      </c>
      <c r="AV33" s="75" t="n">
        <f aca="false">L33</f>
        <v>0.16895</v>
      </c>
    </row>
    <row r="34" customFormat="false" ht="12.75" hidden="false" customHeight="false" outlineLevel="0" collapsed="false">
      <c r="A34" s="77"/>
      <c r="B34" s="78"/>
      <c r="C34" s="78" t="s">
        <v>162</v>
      </c>
      <c r="D34" s="78" t="s">
        <v>163</v>
      </c>
      <c r="E34" s="78"/>
      <c r="F34" s="78"/>
      <c r="G34" s="78"/>
      <c r="H34" s="73" t="n">
        <f aca="false">SUM(H35:H44)</f>
        <v>0</v>
      </c>
      <c r="I34" s="73" t="n">
        <f aca="false">SUM(I35:I44)</f>
        <v>0</v>
      </c>
      <c r="J34" s="73" t="n">
        <f aca="false">H34+I34</f>
        <v>0</v>
      </c>
      <c r="K34" s="68"/>
      <c r="L34" s="73" t="n">
        <f aca="false">SUM(L35:L44)</f>
        <v>4.30434</v>
      </c>
      <c r="M34" s="68"/>
      <c r="Y34" s="68"/>
      <c r="AI34" s="73" t="n">
        <f aca="false">SUM(Z35:Z44)</f>
        <v>0</v>
      </c>
      <c r="AJ34" s="73" t="n">
        <f aca="false">SUM(AA35:AA44)</f>
        <v>0</v>
      </c>
      <c r="AK34" s="73" t="n">
        <f aca="false">SUM(AB35:AB44)</f>
        <v>0</v>
      </c>
    </row>
    <row r="35" customFormat="false" ht="12.75" hidden="false" customHeight="false" outlineLevel="0" collapsed="false">
      <c r="A35" s="44" t="s">
        <v>164</v>
      </c>
      <c r="B35" s="44"/>
      <c r="C35" s="44" t="s">
        <v>165</v>
      </c>
      <c r="D35" s="44" t="s">
        <v>166</v>
      </c>
      <c r="E35" s="44" t="s">
        <v>104</v>
      </c>
      <c r="F35" s="75" t="n">
        <v>31</v>
      </c>
      <c r="G35" s="75" t="n">
        <v>0</v>
      </c>
      <c r="H35" s="75" t="n">
        <f aca="false">F35*AE35</f>
        <v>0</v>
      </c>
      <c r="I35" s="75" t="n">
        <f aca="false">J35-H35</f>
        <v>0</v>
      </c>
      <c r="J35" s="75" t="n">
        <f aca="false">F35*G35</f>
        <v>0</v>
      </c>
      <c r="K35" s="75" t="n">
        <v>0.00084</v>
      </c>
      <c r="L35" s="75" t="n">
        <f aca="false">F35*K35</f>
        <v>0.02604</v>
      </c>
      <c r="M35" s="76" t="s">
        <v>85</v>
      </c>
      <c r="P35" s="75" t="n">
        <f aca="false">IF(AG35="5",J35,0)</f>
        <v>0</v>
      </c>
      <c r="R35" s="75" t="n">
        <f aca="false">IF(AG35="1",H35,0)</f>
        <v>0</v>
      </c>
      <c r="S35" s="75" t="n">
        <f aca="false">IF(AG35="1",I35,0)</f>
        <v>0</v>
      </c>
      <c r="T35" s="75" t="n">
        <f aca="false">IF(AG35="7",H35,0)</f>
        <v>0</v>
      </c>
      <c r="U35" s="75" t="n">
        <f aca="false">IF(AG35="7",I35,0)</f>
        <v>0</v>
      </c>
      <c r="V35" s="75" t="n">
        <f aca="false">IF(AG35="2",H35,0)</f>
        <v>0</v>
      </c>
      <c r="W35" s="75" t="n">
        <f aca="false">IF(AG35="2",I35,0)</f>
        <v>0</v>
      </c>
      <c r="X35" s="75" t="n">
        <f aca="false">IF(AG35="0",J35,0)</f>
        <v>0</v>
      </c>
      <c r="Y35" s="68"/>
      <c r="Z35" s="75" t="n">
        <f aca="false">IF(AD35=0,J35,0)</f>
        <v>0</v>
      </c>
      <c r="AA35" s="75" t="n">
        <f aca="false">IF(AD35=15,J35,0)</f>
        <v>0</v>
      </c>
      <c r="AB35" s="75" t="n">
        <f aca="false">IF(AD35=21,J35,0)</f>
        <v>0</v>
      </c>
      <c r="AD35" s="75" t="n">
        <v>21</v>
      </c>
      <c r="AE35" s="75" t="n">
        <f aca="false">G35*0.44748</f>
        <v>0</v>
      </c>
      <c r="AF35" s="75" t="n">
        <f aca="false">G35*(1-0.44748)</f>
        <v>0</v>
      </c>
      <c r="AG35" s="76" t="s">
        <v>114</v>
      </c>
      <c r="AM35" s="75" t="n">
        <f aca="false">F35*AE35</f>
        <v>0</v>
      </c>
      <c r="AN35" s="75" t="n">
        <f aca="false">F35*AF35</f>
        <v>0</v>
      </c>
      <c r="AO35" s="76" t="s">
        <v>167</v>
      </c>
      <c r="AP35" s="76" t="s">
        <v>143</v>
      </c>
      <c r="AQ35" s="68" t="s">
        <v>88</v>
      </c>
      <c r="AS35" s="75" t="n">
        <f aca="false">AM35+AN35</f>
        <v>0</v>
      </c>
      <c r="AT35" s="75" t="n">
        <f aca="false">G35/(100-AU35)*100</f>
        <v>0</v>
      </c>
      <c r="AU35" s="75" t="n">
        <v>0</v>
      </c>
      <c r="AV35" s="75" t="n">
        <f aca="false">L35</f>
        <v>0.02604</v>
      </c>
    </row>
    <row r="36" customFormat="false" ht="12.75" hidden="false" customHeight="false" outlineLevel="0" collapsed="false">
      <c r="A36" s="44" t="s">
        <v>168</v>
      </c>
      <c r="B36" s="44"/>
      <c r="C36" s="44" t="s">
        <v>165</v>
      </c>
      <c r="D36" s="44" t="s">
        <v>169</v>
      </c>
      <c r="E36" s="44" t="s">
        <v>104</v>
      </c>
      <c r="F36" s="75" t="n">
        <v>31</v>
      </c>
      <c r="G36" s="75" t="n">
        <v>0</v>
      </c>
      <c r="H36" s="75" t="n">
        <f aca="false">F36*AE36</f>
        <v>0</v>
      </c>
      <c r="I36" s="75" t="n">
        <f aca="false">J36-H36</f>
        <v>0</v>
      </c>
      <c r="J36" s="75" t="n">
        <f aca="false">F36*G36</f>
        <v>0</v>
      </c>
      <c r="K36" s="75" t="n">
        <v>0.00084</v>
      </c>
      <c r="L36" s="75" t="n">
        <f aca="false">F36*K36</f>
        <v>0.02604</v>
      </c>
      <c r="M36" s="76" t="s">
        <v>85</v>
      </c>
      <c r="P36" s="75" t="n">
        <f aca="false">IF(AG36="5",J36,0)</f>
        <v>0</v>
      </c>
      <c r="R36" s="75" t="n">
        <f aca="false">IF(AG36="1",H36,0)</f>
        <v>0</v>
      </c>
      <c r="S36" s="75" t="n">
        <f aca="false">IF(AG36="1",I36,0)</f>
        <v>0</v>
      </c>
      <c r="T36" s="75" t="n">
        <f aca="false">IF(AG36="7",H36,0)</f>
        <v>0</v>
      </c>
      <c r="U36" s="75" t="n">
        <f aca="false">IF(AG36="7",I36,0)</f>
        <v>0</v>
      </c>
      <c r="V36" s="75" t="n">
        <f aca="false">IF(AG36="2",H36,0)</f>
        <v>0</v>
      </c>
      <c r="W36" s="75" t="n">
        <f aca="false">IF(AG36="2",I36,0)</f>
        <v>0</v>
      </c>
      <c r="X36" s="75" t="n">
        <f aca="false">IF(AG36="0",J36,0)</f>
        <v>0</v>
      </c>
      <c r="Y36" s="68"/>
      <c r="Z36" s="75" t="n">
        <f aca="false">IF(AD36=0,J36,0)</f>
        <v>0</v>
      </c>
      <c r="AA36" s="75" t="n">
        <f aca="false">IF(AD36=15,J36,0)</f>
        <v>0</v>
      </c>
      <c r="AB36" s="75" t="n">
        <f aca="false">IF(AD36=21,J36,0)</f>
        <v>0</v>
      </c>
      <c r="AD36" s="75" t="n">
        <v>21</v>
      </c>
      <c r="AE36" s="75" t="n">
        <f aca="false">G36*0.109971428571429</f>
        <v>0</v>
      </c>
      <c r="AF36" s="75" t="n">
        <f aca="false">G36*(1-0.109971428571429)</f>
        <v>0</v>
      </c>
      <c r="AG36" s="76" t="s">
        <v>114</v>
      </c>
      <c r="AM36" s="75" t="n">
        <f aca="false">F36*AE36</f>
        <v>0</v>
      </c>
      <c r="AN36" s="75" t="n">
        <f aca="false">F36*AF36</f>
        <v>0</v>
      </c>
      <c r="AO36" s="76" t="s">
        <v>167</v>
      </c>
      <c r="AP36" s="76" t="s">
        <v>143</v>
      </c>
      <c r="AQ36" s="68" t="s">
        <v>88</v>
      </c>
      <c r="AS36" s="75" t="n">
        <f aca="false">AM36+AN36</f>
        <v>0</v>
      </c>
      <c r="AT36" s="75" t="n">
        <f aca="false">G36/(100-AU36)*100</f>
        <v>0</v>
      </c>
      <c r="AU36" s="75" t="n">
        <v>0</v>
      </c>
      <c r="AV36" s="75" t="n">
        <f aca="false">L36</f>
        <v>0.02604</v>
      </c>
    </row>
    <row r="37" customFormat="false" ht="12.75" hidden="false" customHeight="false" outlineLevel="0" collapsed="false">
      <c r="A37" s="44" t="s">
        <v>170</v>
      </c>
      <c r="B37" s="44"/>
      <c r="C37" s="44" t="s">
        <v>171</v>
      </c>
      <c r="D37" s="44" t="s">
        <v>172</v>
      </c>
      <c r="E37" s="44" t="s">
        <v>104</v>
      </c>
      <c r="F37" s="75" t="n">
        <v>31</v>
      </c>
      <c r="G37" s="75" t="n">
        <v>0</v>
      </c>
      <c r="H37" s="75" t="n">
        <f aca="false">F37*AE37</f>
        <v>0</v>
      </c>
      <c r="I37" s="75" t="n">
        <f aca="false">J37-H37</f>
        <v>0</v>
      </c>
      <c r="J37" s="75" t="n">
        <f aca="false">F37*G37</f>
        <v>0</v>
      </c>
      <c r="K37" s="75" t="n">
        <v>0.01</v>
      </c>
      <c r="L37" s="75" t="n">
        <f aca="false">F37*K37</f>
        <v>0.31</v>
      </c>
      <c r="M37" s="76" t="s">
        <v>85</v>
      </c>
      <c r="P37" s="75" t="n">
        <f aca="false">IF(AG37="5",J37,0)</f>
        <v>0</v>
      </c>
      <c r="R37" s="75" t="n">
        <f aca="false">IF(AG37="1",H37,0)</f>
        <v>0</v>
      </c>
      <c r="S37" s="75" t="n">
        <f aca="false">IF(AG37="1",I37,0)</f>
        <v>0</v>
      </c>
      <c r="T37" s="75" t="n">
        <f aca="false">IF(AG37="7",H37,0)</f>
        <v>0</v>
      </c>
      <c r="U37" s="75" t="n">
        <f aca="false">IF(AG37="7",I37,0)</f>
        <v>0</v>
      </c>
      <c r="V37" s="75" t="n">
        <f aca="false">IF(AG37="2",H37,0)</f>
        <v>0</v>
      </c>
      <c r="W37" s="75" t="n">
        <f aca="false">IF(AG37="2",I37,0)</f>
        <v>0</v>
      </c>
      <c r="X37" s="75" t="n">
        <f aca="false">IF(AG37="0",J37,0)</f>
        <v>0</v>
      </c>
      <c r="Y37" s="68"/>
      <c r="Z37" s="75" t="n">
        <f aca="false">IF(AD37=0,J37,0)</f>
        <v>0</v>
      </c>
      <c r="AA37" s="75" t="n">
        <f aca="false">IF(AD37=15,J37,0)</f>
        <v>0</v>
      </c>
      <c r="AB37" s="75" t="n">
        <f aca="false">IF(AD37=21,J37,0)</f>
        <v>0</v>
      </c>
      <c r="AD37" s="75" t="n">
        <v>21</v>
      </c>
      <c r="AE37" s="75" t="n">
        <f aca="false">G37*0.662381578947368</f>
        <v>0</v>
      </c>
      <c r="AF37" s="75" t="n">
        <f aca="false">G37*(1-0.662381578947368)</f>
        <v>0</v>
      </c>
      <c r="AG37" s="76" t="s">
        <v>114</v>
      </c>
      <c r="AM37" s="75" t="n">
        <f aca="false">F37*AE37</f>
        <v>0</v>
      </c>
      <c r="AN37" s="75" t="n">
        <f aca="false">F37*AF37</f>
        <v>0</v>
      </c>
      <c r="AO37" s="76" t="s">
        <v>167</v>
      </c>
      <c r="AP37" s="76" t="s">
        <v>143</v>
      </c>
      <c r="AQ37" s="68" t="s">
        <v>88</v>
      </c>
      <c r="AR37" s="68" t="s">
        <v>173</v>
      </c>
      <c r="AS37" s="75" t="n">
        <f aca="false">AM37+AN37</f>
        <v>0</v>
      </c>
      <c r="AT37" s="75" t="n">
        <f aca="false">G37/(100-AU37)*100</f>
        <v>0</v>
      </c>
      <c r="AU37" s="75" t="n">
        <v>0</v>
      </c>
      <c r="AV37" s="75" t="n">
        <f aca="false">L37</f>
        <v>0.31</v>
      </c>
    </row>
    <row r="38" customFormat="false" ht="12.75" hidden="false" customHeight="false" outlineLevel="0" collapsed="false">
      <c r="A38" s="44" t="s">
        <v>174</v>
      </c>
      <c r="B38" s="44"/>
      <c r="C38" s="44" t="s">
        <v>175</v>
      </c>
      <c r="D38" s="44" t="s">
        <v>176</v>
      </c>
      <c r="E38" s="44" t="s">
        <v>104</v>
      </c>
      <c r="F38" s="75" t="n">
        <v>18</v>
      </c>
      <c r="G38" s="75" t="n">
        <v>0</v>
      </c>
      <c r="H38" s="75" t="n">
        <f aca="false">F38*AE38</f>
        <v>0</v>
      </c>
      <c r="I38" s="75" t="n">
        <f aca="false">J38-H38</f>
        <v>0</v>
      </c>
      <c r="J38" s="75" t="n">
        <f aca="false">F38*G38</f>
        <v>0</v>
      </c>
      <c r="K38" s="75" t="n">
        <v>6E-005</v>
      </c>
      <c r="L38" s="75" t="n">
        <f aca="false">F38*K38</f>
        <v>0.00108</v>
      </c>
      <c r="M38" s="76" t="s">
        <v>85</v>
      </c>
      <c r="P38" s="75" t="n">
        <f aca="false">IF(AG38="5",J38,0)</f>
        <v>0</v>
      </c>
      <c r="R38" s="75" t="n">
        <f aca="false">IF(AG38="1",H38,0)</f>
        <v>0</v>
      </c>
      <c r="S38" s="75" t="n">
        <f aca="false">IF(AG38="1",I38,0)</f>
        <v>0</v>
      </c>
      <c r="T38" s="75" t="n">
        <f aca="false">IF(AG38="7",H38,0)</f>
        <v>0</v>
      </c>
      <c r="U38" s="75" t="n">
        <f aca="false">IF(AG38="7",I38,0)</f>
        <v>0</v>
      </c>
      <c r="V38" s="75" t="n">
        <f aca="false">IF(AG38="2",H38,0)</f>
        <v>0</v>
      </c>
      <c r="W38" s="75" t="n">
        <f aca="false">IF(AG38="2",I38,0)</f>
        <v>0</v>
      </c>
      <c r="X38" s="75" t="n">
        <f aca="false">IF(AG38="0",J38,0)</f>
        <v>0</v>
      </c>
      <c r="Y38" s="68"/>
      <c r="Z38" s="75" t="n">
        <f aca="false">IF(AD38=0,J38,0)</f>
        <v>0</v>
      </c>
      <c r="AA38" s="75" t="n">
        <f aca="false">IF(AD38=15,J38,0)</f>
        <v>0</v>
      </c>
      <c r="AB38" s="75" t="n">
        <f aca="false">IF(AD38=21,J38,0)</f>
        <v>0</v>
      </c>
      <c r="AD38" s="75" t="n">
        <v>21</v>
      </c>
      <c r="AE38" s="75" t="n">
        <f aca="false">G38*0.0461333333333333</f>
        <v>0</v>
      </c>
      <c r="AF38" s="75" t="n">
        <f aca="false">G38*(1-0.0461333333333333)</f>
        <v>0</v>
      </c>
      <c r="AG38" s="76" t="s">
        <v>114</v>
      </c>
      <c r="AM38" s="75" t="n">
        <f aca="false">F38*AE38</f>
        <v>0</v>
      </c>
      <c r="AN38" s="75" t="n">
        <f aca="false">F38*AF38</f>
        <v>0</v>
      </c>
      <c r="AO38" s="76" t="s">
        <v>167</v>
      </c>
      <c r="AP38" s="76" t="s">
        <v>143</v>
      </c>
      <c r="AQ38" s="68" t="s">
        <v>88</v>
      </c>
      <c r="AR38" s="68" t="s">
        <v>173</v>
      </c>
      <c r="AS38" s="75" t="n">
        <f aca="false">AM38+AN38</f>
        <v>0</v>
      </c>
      <c r="AT38" s="75" t="n">
        <f aca="false">G38/(100-AU38)*100</f>
        <v>0</v>
      </c>
      <c r="AU38" s="75" t="n">
        <v>0</v>
      </c>
      <c r="AV38" s="75" t="n">
        <f aca="false">L38</f>
        <v>0.00108</v>
      </c>
    </row>
    <row r="39" customFormat="false" ht="12.75" hidden="false" customHeight="false" outlineLevel="0" collapsed="false">
      <c r="A39" s="44" t="s">
        <v>177</v>
      </c>
      <c r="B39" s="44"/>
      <c r="C39" s="44" t="s">
        <v>175</v>
      </c>
      <c r="D39" s="44" t="s">
        <v>178</v>
      </c>
      <c r="E39" s="44" t="s">
        <v>104</v>
      </c>
      <c r="F39" s="75" t="n">
        <v>18</v>
      </c>
      <c r="G39" s="75" t="n">
        <v>0</v>
      </c>
      <c r="H39" s="75" t="n">
        <f aca="false">F39*AE39</f>
        <v>0</v>
      </c>
      <c r="I39" s="75" t="n">
        <f aca="false">J39-H39</f>
        <v>0</v>
      </c>
      <c r="J39" s="75" t="n">
        <f aca="false">F39*G39</f>
        <v>0</v>
      </c>
      <c r="K39" s="75" t="n">
        <v>6E-005</v>
      </c>
      <c r="L39" s="75" t="n">
        <f aca="false">F39*K39</f>
        <v>0.00108</v>
      </c>
      <c r="M39" s="76" t="s">
        <v>85</v>
      </c>
      <c r="P39" s="75" t="n">
        <f aca="false">IF(AG39="5",J39,0)</f>
        <v>0</v>
      </c>
      <c r="R39" s="75" t="n">
        <f aca="false">IF(AG39="1",H39,0)</f>
        <v>0</v>
      </c>
      <c r="S39" s="75" t="n">
        <f aca="false">IF(AG39="1",I39,0)</f>
        <v>0</v>
      </c>
      <c r="T39" s="75" t="n">
        <f aca="false">IF(AG39="7",H39,0)</f>
        <v>0</v>
      </c>
      <c r="U39" s="75" t="n">
        <f aca="false">IF(AG39="7",I39,0)</f>
        <v>0</v>
      </c>
      <c r="V39" s="75" t="n">
        <f aca="false">IF(AG39="2",H39,0)</f>
        <v>0</v>
      </c>
      <c r="W39" s="75" t="n">
        <f aca="false">IF(AG39="2",I39,0)</f>
        <v>0</v>
      </c>
      <c r="X39" s="75" t="n">
        <f aca="false">IF(AG39="0",J39,0)</f>
        <v>0</v>
      </c>
      <c r="Y39" s="68"/>
      <c r="Z39" s="75" t="n">
        <f aca="false">IF(AD39=0,J39,0)</f>
        <v>0</v>
      </c>
      <c r="AA39" s="75" t="n">
        <f aca="false">IF(AD39=15,J39,0)</f>
        <v>0</v>
      </c>
      <c r="AB39" s="75" t="n">
        <f aca="false">IF(AD39=21,J39,0)</f>
        <v>0</v>
      </c>
      <c r="AD39" s="75" t="n">
        <v>21</v>
      </c>
      <c r="AE39" s="75" t="n">
        <f aca="false">G39*0.0461242105263158</f>
        <v>0</v>
      </c>
      <c r="AF39" s="75" t="n">
        <f aca="false">G39*(1-0.0461242105263158)</f>
        <v>0</v>
      </c>
      <c r="AG39" s="76" t="s">
        <v>114</v>
      </c>
      <c r="AM39" s="75" t="n">
        <f aca="false">F39*AE39</f>
        <v>0</v>
      </c>
      <c r="AN39" s="75" t="n">
        <f aca="false">F39*AF39</f>
        <v>0</v>
      </c>
      <c r="AO39" s="76" t="s">
        <v>167</v>
      </c>
      <c r="AP39" s="76" t="s">
        <v>143</v>
      </c>
      <c r="AQ39" s="68" t="s">
        <v>88</v>
      </c>
      <c r="AR39" s="68" t="s">
        <v>173</v>
      </c>
      <c r="AS39" s="75" t="n">
        <f aca="false">AM39+AN39</f>
        <v>0</v>
      </c>
      <c r="AT39" s="75" t="n">
        <f aca="false">G39/(100-AU39)*100</f>
        <v>0</v>
      </c>
      <c r="AU39" s="75" t="n">
        <v>0</v>
      </c>
      <c r="AV39" s="75" t="n">
        <f aca="false">L39</f>
        <v>0.00108</v>
      </c>
    </row>
    <row r="40" customFormat="false" ht="12.75" hidden="false" customHeight="false" outlineLevel="0" collapsed="false">
      <c r="A40" s="44" t="s">
        <v>179</v>
      </c>
      <c r="B40" s="44"/>
      <c r="C40" s="44" t="s">
        <v>180</v>
      </c>
      <c r="D40" s="44" t="s">
        <v>181</v>
      </c>
      <c r="E40" s="44" t="s">
        <v>104</v>
      </c>
      <c r="F40" s="75" t="n">
        <v>31</v>
      </c>
      <c r="G40" s="75" t="n">
        <v>0</v>
      </c>
      <c r="H40" s="75" t="n">
        <f aca="false">F40*AE40</f>
        <v>0</v>
      </c>
      <c r="I40" s="75" t="n">
        <f aca="false">J40-H40</f>
        <v>0</v>
      </c>
      <c r="J40" s="75" t="n">
        <f aca="false">F40*G40</f>
        <v>0</v>
      </c>
      <c r="K40" s="75" t="n">
        <v>0.046</v>
      </c>
      <c r="L40" s="75" t="n">
        <f aca="false">F40*K40</f>
        <v>1.426</v>
      </c>
      <c r="M40" s="76" t="s">
        <v>85</v>
      </c>
      <c r="P40" s="75" t="n">
        <f aca="false">IF(AG40="5",J40,0)</f>
        <v>0</v>
      </c>
      <c r="R40" s="75" t="n">
        <f aca="false">IF(AG40="1",H40,0)</f>
        <v>0</v>
      </c>
      <c r="S40" s="75" t="n">
        <f aca="false">IF(AG40="1",I40,0)</f>
        <v>0</v>
      </c>
      <c r="T40" s="75" t="n">
        <f aca="false">IF(AG40="7",H40,0)</f>
        <v>0</v>
      </c>
      <c r="U40" s="75" t="n">
        <f aca="false">IF(AG40="7",I40,0)</f>
        <v>0</v>
      </c>
      <c r="V40" s="75" t="n">
        <f aca="false">IF(AG40="2",H40,0)</f>
        <v>0</v>
      </c>
      <c r="W40" s="75" t="n">
        <f aca="false">IF(AG40="2",I40,0)</f>
        <v>0</v>
      </c>
      <c r="X40" s="75" t="n">
        <f aca="false">IF(AG40="0",J40,0)</f>
        <v>0</v>
      </c>
      <c r="Y40" s="68"/>
      <c r="Z40" s="75" t="n">
        <f aca="false">IF(AD40=0,J40,0)</f>
        <v>0</v>
      </c>
      <c r="AA40" s="75" t="n">
        <f aca="false">IF(AD40=15,J40,0)</f>
        <v>0</v>
      </c>
      <c r="AB40" s="75" t="n">
        <f aca="false">IF(AD40=21,J40,0)</f>
        <v>0</v>
      </c>
      <c r="AD40" s="75" t="n">
        <v>21</v>
      </c>
      <c r="AE40" s="75" t="n">
        <f aca="false">G40*0</f>
        <v>0</v>
      </c>
      <c r="AF40" s="75" t="n">
        <f aca="false">G40*(1-0)</f>
        <v>0</v>
      </c>
      <c r="AG40" s="76" t="s">
        <v>114</v>
      </c>
      <c r="AM40" s="75" t="n">
        <f aca="false">F40*AE40</f>
        <v>0</v>
      </c>
      <c r="AN40" s="75" t="n">
        <f aca="false">F40*AF40</f>
        <v>0</v>
      </c>
      <c r="AO40" s="76" t="s">
        <v>167</v>
      </c>
      <c r="AP40" s="76" t="s">
        <v>143</v>
      </c>
      <c r="AQ40" s="68" t="s">
        <v>88</v>
      </c>
      <c r="AR40" s="68" t="s">
        <v>173</v>
      </c>
      <c r="AS40" s="75" t="n">
        <f aca="false">AM40+AN40</f>
        <v>0</v>
      </c>
      <c r="AT40" s="75" t="n">
        <f aca="false">G40/(100-AU40)*100</f>
        <v>0</v>
      </c>
      <c r="AU40" s="75" t="n">
        <v>0</v>
      </c>
      <c r="AV40" s="75" t="n">
        <f aca="false">L40</f>
        <v>1.426</v>
      </c>
    </row>
    <row r="41" customFormat="false" ht="12.75" hidden="false" customHeight="false" outlineLevel="0" collapsed="false">
      <c r="A41" s="44" t="s">
        <v>182</v>
      </c>
      <c r="B41" s="44"/>
      <c r="C41" s="44" t="s">
        <v>183</v>
      </c>
      <c r="D41" s="44" t="s">
        <v>184</v>
      </c>
      <c r="E41" s="44" t="s">
        <v>104</v>
      </c>
      <c r="F41" s="75" t="n">
        <v>31</v>
      </c>
      <c r="G41" s="75" t="n">
        <v>0</v>
      </c>
      <c r="H41" s="75" t="n">
        <f aca="false">F41*AE41</f>
        <v>0</v>
      </c>
      <c r="I41" s="75" t="n">
        <f aca="false">J41-H41</f>
        <v>0</v>
      </c>
      <c r="J41" s="75" t="n">
        <f aca="false">F41*G41</f>
        <v>0</v>
      </c>
      <c r="K41" s="75" t="n">
        <v>0</v>
      </c>
      <c r="L41" s="75" t="n">
        <f aca="false">F41*K41</f>
        <v>0</v>
      </c>
      <c r="M41" s="76" t="s">
        <v>85</v>
      </c>
      <c r="P41" s="75" t="n">
        <f aca="false">IF(AG41="5",J41,0)</f>
        <v>0</v>
      </c>
      <c r="R41" s="75" t="n">
        <f aca="false">IF(AG41="1",H41,0)</f>
        <v>0</v>
      </c>
      <c r="S41" s="75" t="n">
        <f aca="false">IF(AG41="1",I41,0)</f>
        <v>0</v>
      </c>
      <c r="T41" s="75" t="n">
        <f aca="false">IF(AG41="7",H41,0)</f>
        <v>0</v>
      </c>
      <c r="U41" s="75" t="n">
        <f aca="false">IF(AG41="7",I41,0)</f>
        <v>0</v>
      </c>
      <c r="V41" s="75" t="n">
        <f aca="false">IF(AG41="2",H41,0)</f>
        <v>0</v>
      </c>
      <c r="W41" s="75" t="n">
        <f aca="false">IF(AG41="2",I41,0)</f>
        <v>0</v>
      </c>
      <c r="X41" s="75" t="n">
        <f aca="false">IF(AG41="0",J41,0)</f>
        <v>0</v>
      </c>
      <c r="Y41" s="68"/>
      <c r="Z41" s="75" t="n">
        <f aca="false">IF(AD41=0,J41,0)</f>
        <v>0</v>
      </c>
      <c r="AA41" s="75" t="n">
        <f aca="false">IF(AD41=15,J41,0)</f>
        <v>0</v>
      </c>
      <c r="AB41" s="75" t="n">
        <f aca="false">IF(AD41=21,J41,0)</f>
        <v>0</v>
      </c>
      <c r="AD41" s="75" t="n">
        <v>21</v>
      </c>
      <c r="AE41" s="75" t="n">
        <f aca="false">G41*1</f>
        <v>0</v>
      </c>
      <c r="AF41" s="75" t="n">
        <f aca="false">G41*(1-1)</f>
        <v>0</v>
      </c>
      <c r="AG41" s="76" t="s">
        <v>114</v>
      </c>
      <c r="AM41" s="75" t="n">
        <f aca="false">F41*AE41</f>
        <v>0</v>
      </c>
      <c r="AN41" s="75" t="n">
        <f aca="false">F41*AF41</f>
        <v>0</v>
      </c>
      <c r="AO41" s="76" t="s">
        <v>167</v>
      </c>
      <c r="AP41" s="76" t="s">
        <v>143</v>
      </c>
      <c r="AQ41" s="68" t="s">
        <v>88</v>
      </c>
      <c r="AS41" s="75" t="n">
        <f aca="false">AM41+AN41</f>
        <v>0</v>
      </c>
      <c r="AT41" s="75" t="n">
        <f aca="false">G41/(100-AU41)*100</f>
        <v>0</v>
      </c>
      <c r="AU41" s="75" t="n">
        <v>0</v>
      </c>
      <c r="AV41" s="75" t="n">
        <f aca="false">L41</f>
        <v>0</v>
      </c>
    </row>
    <row r="42" customFormat="false" ht="12.75" hidden="false" customHeight="false" outlineLevel="0" collapsed="false">
      <c r="A42" s="44" t="s">
        <v>185</v>
      </c>
      <c r="B42" s="44"/>
      <c r="C42" s="44" t="s">
        <v>186</v>
      </c>
      <c r="D42" s="44" t="s">
        <v>187</v>
      </c>
      <c r="E42" s="44" t="s">
        <v>104</v>
      </c>
      <c r="F42" s="75" t="n">
        <v>31</v>
      </c>
      <c r="G42" s="75" t="n">
        <v>0</v>
      </c>
      <c r="H42" s="75" t="n">
        <f aca="false">F42*AE42</f>
        <v>0</v>
      </c>
      <c r="I42" s="75" t="n">
        <f aca="false">J42-H42</f>
        <v>0</v>
      </c>
      <c r="J42" s="75" t="n">
        <f aca="false">F42*G42</f>
        <v>0</v>
      </c>
      <c r="K42" s="75" t="n">
        <v>0.079</v>
      </c>
      <c r="L42" s="75" t="n">
        <f aca="false">F42*K42</f>
        <v>2.449</v>
      </c>
      <c r="M42" s="76" t="s">
        <v>85</v>
      </c>
      <c r="P42" s="75" t="n">
        <f aca="false">IF(AG42="5",J42,0)</f>
        <v>0</v>
      </c>
      <c r="R42" s="75" t="n">
        <f aca="false">IF(AG42="1",H42,0)</f>
        <v>0</v>
      </c>
      <c r="S42" s="75" t="n">
        <f aca="false">IF(AG42="1",I42,0)</f>
        <v>0</v>
      </c>
      <c r="T42" s="75" t="n">
        <f aca="false">IF(AG42="7",H42,0)</f>
        <v>0</v>
      </c>
      <c r="U42" s="75" t="n">
        <f aca="false">IF(AG42="7",I42,0)</f>
        <v>0</v>
      </c>
      <c r="V42" s="75" t="n">
        <f aca="false">IF(AG42="2",H42,0)</f>
        <v>0</v>
      </c>
      <c r="W42" s="75" t="n">
        <f aca="false">IF(AG42="2",I42,0)</f>
        <v>0</v>
      </c>
      <c r="X42" s="75" t="n">
        <f aca="false">IF(AG42="0",J42,0)</f>
        <v>0</v>
      </c>
      <c r="Y42" s="68"/>
      <c r="Z42" s="75" t="n">
        <f aca="false">IF(AD42=0,J42,0)</f>
        <v>0</v>
      </c>
      <c r="AA42" s="75" t="n">
        <f aca="false">IF(AD42=15,J42,0)</f>
        <v>0</v>
      </c>
      <c r="AB42" s="75" t="n">
        <f aca="false">IF(AD42=21,J42,0)</f>
        <v>0</v>
      </c>
      <c r="AD42" s="75" t="n">
        <v>21</v>
      </c>
      <c r="AE42" s="75" t="n">
        <f aca="false">G42*0</f>
        <v>0</v>
      </c>
      <c r="AF42" s="75" t="n">
        <f aca="false">G42*(1-0)</f>
        <v>0</v>
      </c>
      <c r="AG42" s="76" t="s">
        <v>114</v>
      </c>
      <c r="AM42" s="75" t="n">
        <f aca="false">F42*AE42</f>
        <v>0</v>
      </c>
      <c r="AN42" s="75" t="n">
        <f aca="false">F42*AF42</f>
        <v>0</v>
      </c>
      <c r="AO42" s="76" t="s">
        <v>167</v>
      </c>
      <c r="AP42" s="76" t="s">
        <v>143</v>
      </c>
      <c r="AQ42" s="68" t="s">
        <v>88</v>
      </c>
      <c r="AR42" s="68" t="s">
        <v>173</v>
      </c>
      <c r="AS42" s="75" t="n">
        <f aca="false">AM42+AN42</f>
        <v>0</v>
      </c>
      <c r="AT42" s="75" t="n">
        <f aca="false">G42/(100-AU42)*100</f>
        <v>0</v>
      </c>
      <c r="AU42" s="75" t="n">
        <v>0</v>
      </c>
      <c r="AV42" s="75" t="n">
        <f aca="false">L42</f>
        <v>2.449</v>
      </c>
    </row>
    <row r="43" customFormat="false" ht="12.75" hidden="false" customHeight="false" outlineLevel="0" collapsed="false">
      <c r="A43" s="44" t="s">
        <v>188</v>
      </c>
      <c r="B43" s="44"/>
      <c r="C43" s="44" t="s">
        <v>189</v>
      </c>
      <c r="D43" s="44" t="s">
        <v>190</v>
      </c>
      <c r="E43" s="44" t="s">
        <v>104</v>
      </c>
      <c r="F43" s="75" t="n">
        <v>31</v>
      </c>
      <c r="G43" s="75" t="n">
        <v>0</v>
      </c>
      <c r="H43" s="75" t="n">
        <f aca="false">F43*AE43</f>
        <v>0</v>
      </c>
      <c r="I43" s="75" t="n">
        <f aca="false">J43-H43</f>
        <v>0</v>
      </c>
      <c r="J43" s="75" t="n">
        <f aca="false">F43*G43</f>
        <v>0</v>
      </c>
      <c r="K43" s="75" t="n">
        <v>2E-005</v>
      </c>
      <c r="L43" s="75" t="n">
        <f aca="false">F43*K43</f>
        <v>0.00062</v>
      </c>
      <c r="M43" s="76" t="s">
        <v>85</v>
      </c>
      <c r="P43" s="75" t="n">
        <f aca="false">IF(AG43="5",J43,0)</f>
        <v>0</v>
      </c>
      <c r="R43" s="75" t="n">
        <f aca="false">IF(AG43="1",H43,0)</f>
        <v>0</v>
      </c>
      <c r="S43" s="75" t="n">
        <f aca="false">IF(AG43="1",I43,0)</f>
        <v>0</v>
      </c>
      <c r="T43" s="75" t="n">
        <f aca="false">IF(AG43="7",H43,0)</f>
        <v>0</v>
      </c>
      <c r="U43" s="75" t="n">
        <f aca="false">IF(AG43="7",I43,0)</f>
        <v>0</v>
      </c>
      <c r="V43" s="75" t="n">
        <f aca="false">IF(AG43="2",H43,0)</f>
        <v>0</v>
      </c>
      <c r="W43" s="75" t="n">
        <f aca="false">IF(AG43="2",I43,0)</f>
        <v>0</v>
      </c>
      <c r="X43" s="75" t="n">
        <f aca="false">IF(AG43="0",J43,0)</f>
        <v>0</v>
      </c>
      <c r="Y43" s="68"/>
      <c r="Z43" s="75" t="n">
        <f aca="false">IF(AD43=0,J43,0)</f>
        <v>0</v>
      </c>
      <c r="AA43" s="75" t="n">
        <f aca="false">IF(AD43=15,J43,0)</f>
        <v>0</v>
      </c>
      <c r="AB43" s="75" t="n">
        <f aca="false">IF(AD43=21,J43,0)</f>
        <v>0</v>
      </c>
      <c r="AD43" s="75" t="n">
        <v>21</v>
      </c>
      <c r="AE43" s="75" t="n">
        <f aca="false">G43*0.0208490566037736</f>
        <v>0</v>
      </c>
      <c r="AF43" s="75" t="n">
        <f aca="false">G43*(1-0.0208490566037736)</f>
        <v>0</v>
      </c>
      <c r="AG43" s="76" t="s">
        <v>92</v>
      </c>
      <c r="AM43" s="75" t="n">
        <f aca="false">F43*AE43</f>
        <v>0</v>
      </c>
      <c r="AN43" s="75" t="n">
        <f aca="false">F43*AF43</f>
        <v>0</v>
      </c>
      <c r="AO43" s="76" t="s">
        <v>167</v>
      </c>
      <c r="AP43" s="76" t="s">
        <v>143</v>
      </c>
      <c r="AQ43" s="68" t="s">
        <v>88</v>
      </c>
      <c r="AR43" s="68" t="s">
        <v>173</v>
      </c>
      <c r="AS43" s="75" t="n">
        <f aca="false">AM43+AN43</f>
        <v>0</v>
      </c>
      <c r="AT43" s="75" t="n">
        <f aca="false">G43/(100-AU43)*100</f>
        <v>0</v>
      </c>
      <c r="AU43" s="75" t="n">
        <v>0</v>
      </c>
      <c r="AV43" s="75" t="n">
        <f aca="false">L43</f>
        <v>0.00062</v>
      </c>
    </row>
    <row r="44" customFormat="false" ht="12.75" hidden="false" customHeight="false" outlineLevel="0" collapsed="false">
      <c r="A44" s="44" t="s">
        <v>191</v>
      </c>
      <c r="B44" s="44"/>
      <c r="C44" s="44" t="s">
        <v>192</v>
      </c>
      <c r="D44" s="44" t="s">
        <v>193</v>
      </c>
      <c r="E44" s="44" t="s">
        <v>104</v>
      </c>
      <c r="F44" s="75" t="n">
        <v>31</v>
      </c>
      <c r="G44" s="75" t="n">
        <v>0</v>
      </c>
      <c r="H44" s="75" t="n">
        <f aca="false">F44*AE44</f>
        <v>0</v>
      </c>
      <c r="I44" s="75" t="n">
        <f aca="false">J44-H44</f>
        <v>0</v>
      </c>
      <c r="J44" s="75" t="n">
        <f aca="false">F44*G44</f>
        <v>0</v>
      </c>
      <c r="K44" s="75" t="n">
        <v>0.00208</v>
      </c>
      <c r="L44" s="75" t="n">
        <f aca="false">F44*K44</f>
        <v>0.06448</v>
      </c>
      <c r="M44" s="76" t="s">
        <v>85</v>
      </c>
      <c r="P44" s="75" t="n">
        <f aca="false">IF(AG44="5",J44,0)</f>
        <v>0</v>
      </c>
      <c r="R44" s="75" t="n">
        <f aca="false">IF(AG44="1",H44,0)</f>
        <v>0</v>
      </c>
      <c r="S44" s="75" t="n">
        <f aca="false">IF(AG44="1",I44,0)</f>
        <v>0</v>
      </c>
      <c r="T44" s="75" t="n">
        <f aca="false">IF(AG44="7",H44,0)</f>
        <v>0</v>
      </c>
      <c r="U44" s="75" t="n">
        <f aca="false">IF(AG44="7",I44,0)</f>
        <v>0</v>
      </c>
      <c r="V44" s="75" t="n">
        <f aca="false">IF(AG44="2",H44,0)</f>
        <v>0</v>
      </c>
      <c r="W44" s="75" t="n">
        <f aca="false">IF(AG44="2",I44,0)</f>
        <v>0</v>
      </c>
      <c r="X44" s="75" t="n">
        <f aca="false">IF(AG44="0",J44,0)</f>
        <v>0</v>
      </c>
      <c r="Y44" s="68"/>
      <c r="Z44" s="75" t="n">
        <f aca="false">IF(AD44=0,J44,0)</f>
        <v>0</v>
      </c>
      <c r="AA44" s="75" t="n">
        <f aca="false">IF(AD44=15,J44,0)</f>
        <v>0</v>
      </c>
      <c r="AB44" s="75" t="n">
        <f aca="false">IF(AD44=21,J44,0)</f>
        <v>0</v>
      </c>
      <c r="AD44" s="75" t="n">
        <v>21</v>
      </c>
      <c r="AE44" s="75" t="n">
        <f aca="false">G44*0.978932</f>
        <v>0</v>
      </c>
      <c r="AF44" s="75" t="n">
        <f aca="false">G44*(1-0.978932)</f>
        <v>0</v>
      </c>
      <c r="AG44" s="76" t="s">
        <v>114</v>
      </c>
      <c r="AM44" s="75" t="n">
        <f aca="false">F44*AE44</f>
        <v>0</v>
      </c>
      <c r="AN44" s="75" t="n">
        <f aca="false">F44*AF44</f>
        <v>0</v>
      </c>
      <c r="AO44" s="76" t="s">
        <v>167</v>
      </c>
      <c r="AP44" s="76" t="s">
        <v>143</v>
      </c>
      <c r="AQ44" s="68" t="s">
        <v>88</v>
      </c>
      <c r="AR44" s="68" t="s">
        <v>173</v>
      </c>
      <c r="AS44" s="75" t="n">
        <f aca="false">AM44+AN44</f>
        <v>0</v>
      </c>
      <c r="AT44" s="75" t="n">
        <f aca="false">G44/(100-AU44)*100</f>
        <v>0</v>
      </c>
      <c r="AU44" s="75" t="n">
        <v>0</v>
      </c>
      <c r="AV44" s="75" t="n">
        <f aca="false">L44</f>
        <v>0.06448</v>
      </c>
    </row>
    <row r="45" customFormat="false" ht="12.75" hidden="false" customHeight="false" outlineLevel="0" collapsed="false">
      <c r="A45" s="77"/>
      <c r="B45" s="78"/>
      <c r="C45" s="78" t="s">
        <v>194</v>
      </c>
      <c r="D45" s="78" t="s">
        <v>195</v>
      </c>
      <c r="E45" s="78"/>
      <c r="F45" s="78"/>
      <c r="G45" s="78"/>
      <c r="H45" s="73" t="n">
        <f aca="false">SUM(H46:H46)</f>
        <v>0</v>
      </c>
      <c r="I45" s="73" t="n">
        <f aca="false">SUM(I46:I46)</f>
        <v>0</v>
      </c>
      <c r="J45" s="73" t="n">
        <f aca="false">H45+I45</f>
        <v>0</v>
      </c>
      <c r="K45" s="68"/>
      <c r="L45" s="73" t="n">
        <f aca="false">SUM(L46:L46)</f>
        <v>0.00096</v>
      </c>
      <c r="M45" s="68"/>
      <c r="Y45" s="68"/>
      <c r="AI45" s="73" t="n">
        <f aca="false">SUM(Z46:Z46)</f>
        <v>0</v>
      </c>
      <c r="AJ45" s="73" t="n">
        <f aca="false">SUM(AA46:AA46)</f>
        <v>0</v>
      </c>
      <c r="AK45" s="73" t="n">
        <f aca="false">SUM(AB46:AB46)</f>
        <v>0</v>
      </c>
    </row>
    <row r="46" customFormat="false" ht="12.75" hidden="false" customHeight="false" outlineLevel="0" collapsed="false">
      <c r="A46" s="44" t="s">
        <v>196</v>
      </c>
      <c r="B46" s="44"/>
      <c r="C46" s="44" t="s">
        <v>197</v>
      </c>
      <c r="D46" s="44" t="s">
        <v>198</v>
      </c>
      <c r="E46" s="44" t="s">
        <v>104</v>
      </c>
      <c r="F46" s="75" t="n">
        <v>6</v>
      </c>
      <c r="G46" s="75" t="n">
        <v>0</v>
      </c>
      <c r="H46" s="75" t="n">
        <f aca="false">F46*AE46</f>
        <v>0</v>
      </c>
      <c r="I46" s="75" t="n">
        <f aca="false">J46-H46</f>
        <v>0</v>
      </c>
      <c r="J46" s="75" t="n">
        <f aca="false">F46*G46</f>
        <v>0</v>
      </c>
      <c r="K46" s="75" t="n">
        <v>0.00016</v>
      </c>
      <c r="L46" s="75" t="n">
        <f aca="false">F46*K46</f>
        <v>0.00096</v>
      </c>
      <c r="M46" s="76" t="s">
        <v>85</v>
      </c>
      <c r="P46" s="75" t="n">
        <f aca="false">IF(AG46="5",J46,0)</f>
        <v>0</v>
      </c>
      <c r="R46" s="75" t="n">
        <f aca="false">IF(AG46="1",H46,0)</f>
        <v>0</v>
      </c>
      <c r="S46" s="75" t="n">
        <f aca="false">IF(AG46="1",I46,0)</f>
        <v>0</v>
      </c>
      <c r="T46" s="75" t="n">
        <f aca="false">IF(AG46="7",H46,0)</f>
        <v>0</v>
      </c>
      <c r="U46" s="75" t="n">
        <f aca="false">IF(AG46="7",I46,0)</f>
        <v>0</v>
      </c>
      <c r="V46" s="75" t="n">
        <f aca="false">IF(AG46="2",H46,0)</f>
        <v>0</v>
      </c>
      <c r="W46" s="75" t="n">
        <f aca="false">IF(AG46="2",I46,0)</f>
        <v>0</v>
      </c>
      <c r="X46" s="75" t="n">
        <f aca="false">IF(AG46="0",J46,0)</f>
        <v>0</v>
      </c>
      <c r="Y46" s="68"/>
      <c r="Z46" s="75" t="n">
        <f aca="false">IF(AD46=0,J46,0)</f>
        <v>0</v>
      </c>
      <c r="AA46" s="75" t="n">
        <f aca="false">IF(AD46=15,J46,0)</f>
        <v>0</v>
      </c>
      <c r="AB46" s="75" t="n">
        <f aca="false">IF(AD46=21,J46,0)</f>
        <v>0</v>
      </c>
      <c r="AD46" s="75" t="n">
        <v>21</v>
      </c>
      <c r="AE46" s="75" t="n">
        <f aca="false">G46*0.0704052631578947</f>
        <v>0</v>
      </c>
      <c r="AF46" s="75" t="n">
        <f aca="false">G46*(1-0.0704052631578947)</f>
        <v>0</v>
      </c>
      <c r="AG46" s="76" t="s">
        <v>114</v>
      </c>
      <c r="AM46" s="75" t="n">
        <f aca="false">F46*AE46</f>
        <v>0</v>
      </c>
      <c r="AN46" s="75" t="n">
        <f aca="false">F46*AF46</f>
        <v>0</v>
      </c>
      <c r="AO46" s="76" t="s">
        <v>199</v>
      </c>
      <c r="AP46" s="76" t="s">
        <v>200</v>
      </c>
      <c r="AQ46" s="68" t="s">
        <v>88</v>
      </c>
      <c r="AR46" s="68" t="s">
        <v>201</v>
      </c>
      <c r="AS46" s="75" t="n">
        <f aca="false">AM46+AN46</f>
        <v>0</v>
      </c>
      <c r="AT46" s="75" t="n">
        <f aca="false">G46/(100-AU46)*100</f>
        <v>0</v>
      </c>
      <c r="AU46" s="75" t="n">
        <v>0</v>
      </c>
      <c r="AV46" s="75" t="n">
        <f aca="false">L46</f>
        <v>0.00096</v>
      </c>
    </row>
    <row r="47" customFormat="false" ht="12.75" hidden="false" customHeight="false" outlineLevel="0" collapsed="false">
      <c r="A47" s="77"/>
      <c r="B47" s="78"/>
      <c r="C47" s="78" t="s">
        <v>202</v>
      </c>
      <c r="D47" s="78" t="s">
        <v>203</v>
      </c>
      <c r="E47" s="78"/>
      <c r="F47" s="78"/>
      <c r="G47" s="78"/>
      <c r="H47" s="73" t="n">
        <f aca="false">SUM(H48:H50)</f>
        <v>0</v>
      </c>
      <c r="I47" s="73" t="n">
        <f aca="false">SUM(I48:I50)</f>
        <v>0</v>
      </c>
      <c r="J47" s="73" t="n">
        <f aca="false">H47+I47</f>
        <v>0</v>
      </c>
      <c r="K47" s="68"/>
      <c r="L47" s="73" t="n">
        <f aca="false">SUM(L48:L50)</f>
        <v>2.16036</v>
      </c>
      <c r="M47" s="68"/>
      <c r="Y47" s="68"/>
      <c r="AI47" s="73" t="n">
        <f aca="false">SUM(Z48:Z50)</f>
        <v>0</v>
      </c>
      <c r="AJ47" s="73" t="n">
        <f aca="false">SUM(AA48:AA50)</f>
        <v>0</v>
      </c>
      <c r="AK47" s="73" t="n">
        <f aca="false">SUM(AB48:AB50)</f>
        <v>0</v>
      </c>
    </row>
    <row r="48" customFormat="false" ht="12.75" hidden="false" customHeight="false" outlineLevel="0" collapsed="false">
      <c r="A48" s="44" t="s">
        <v>204</v>
      </c>
      <c r="B48" s="44"/>
      <c r="C48" s="44" t="s">
        <v>205</v>
      </c>
      <c r="D48" s="44" t="s">
        <v>206</v>
      </c>
      <c r="E48" s="44" t="s">
        <v>84</v>
      </c>
      <c r="F48" s="75" t="n">
        <v>204</v>
      </c>
      <c r="G48" s="75" t="n">
        <v>0</v>
      </c>
      <c r="H48" s="75" t="n">
        <f aca="false">F48*AE48</f>
        <v>0</v>
      </c>
      <c r="I48" s="75" t="n">
        <f aca="false">J48-H48</f>
        <v>0</v>
      </c>
      <c r="J48" s="75" t="n">
        <f aca="false">F48*G48</f>
        <v>0</v>
      </c>
      <c r="K48" s="75" t="n">
        <v>0</v>
      </c>
      <c r="L48" s="75" t="n">
        <f aca="false">F48*K48</f>
        <v>0</v>
      </c>
      <c r="M48" s="76" t="s">
        <v>85</v>
      </c>
      <c r="P48" s="75" t="n">
        <f aca="false">IF(AG48="5",J48,0)</f>
        <v>0</v>
      </c>
      <c r="R48" s="75" t="n">
        <f aca="false">IF(AG48="1",H48,0)</f>
        <v>0</v>
      </c>
      <c r="S48" s="75" t="n">
        <f aca="false">IF(AG48="1",I48,0)</f>
        <v>0</v>
      </c>
      <c r="T48" s="75" t="n">
        <f aca="false">IF(AG48="7",H48,0)</f>
        <v>0</v>
      </c>
      <c r="U48" s="75" t="n">
        <f aca="false">IF(AG48="7",I48,0)</f>
        <v>0</v>
      </c>
      <c r="V48" s="75" t="n">
        <f aca="false">IF(AG48="2",H48,0)</f>
        <v>0</v>
      </c>
      <c r="W48" s="75" t="n">
        <f aca="false">IF(AG48="2",I48,0)</f>
        <v>0</v>
      </c>
      <c r="X48" s="75" t="n">
        <f aca="false">IF(AG48="0",J48,0)</f>
        <v>0</v>
      </c>
      <c r="Y48" s="68"/>
      <c r="Z48" s="75" t="n">
        <f aca="false">IF(AD48=0,J48,0)</f>
        <v>0</v>
      </c>
      <c r="AA48" s="75" t="n">
        <f aca="false">IF(AD48=15,J48,0)</f>
        <v>0</v>
      </c>
      <c r="AB48" s="75" t="n">
        <f aca="false">IF(AD48=21,J48,0)</f>
        <v>0</v>
      </c>
      <c r="AD48" s="75" t="n">
        <v>21</v>
      </c>
      <c r="AE48" s="75" t="n">
        <f aca="false">G48*0</f>
        <v>0</v>
      </c>
      <c r="AF48" s="75" t="n">
        <f aca="false">G48*(1-0)</f>
        <v>0</v>
      </c>
      <c r="AG48" s="76" t="s">
        <v>114</v>
      </c>
      <c r="AM48" s="75" t="n">
        <f aca="false">F48*AE48</f>
        <v>0</v>
      </c>
      <c r="AN48" s="75" t="n">
        <f aca="false">F48*AF48</f>
        <v>0</v>
      </c>
      <c r="AO48" s="76" t="s">
        <v>207</v>
      </c>
      <c r="AP48" s="76" t="s">
        <v>208</v>
      </c>
      <c r="AQ48" s="68" t="s">
        <v>88</v>
      </c>
      <c r="AS48" s="75" t="n">
        <f aca="false">AM48+AN48</f>
        <v>0</v>
      </c>
      <c r="AT48" s="75" t="n">
        <f aca="false">G48/(100-AU48)*100</f>
        <v>0</v>
      </c>
      <c r="AU48" s="75" t="n">
        <v>0</v>
      </c>
      <c r="AV48" s="75" t="n">
        <f aca="false">L48</f>
        <v>0</v>
      </c>
    </row>
    <row r="49" customFormat="false" ht="12.75" hidden="false" customHeight="false" outlineLevel="0" collapsed="false">
      <c r="A49" s="44" t="s">
        <v>209</v>
      </c>
      <c r="B49" s="44"/>
      <c r="C49" s="44" t="s">
        <v>210</v>
      </c>
      <c r="D49" s="44" t="s">
        <v>211</v>
      </c>
      <c r="E49" s="44" t="s">
        <v>84</v>
      </c>
      <c r="F49" s="75" t="n">
        <v>204</v>
      </c>
      <c r="G49" s="75" t="n">
        <v>0</v>
      </c>
      <c r="H49" s="75" t="n">
        <f aca="false">F49*AE49</f>
        <v>0</v>
      </c>
      <c r="I49" s="75" t="n">
        <f aca="false">J49-H49</f>
        <v>0</v>
      </c>
      <c r="J49" s="75" t="n">
        <f aca="false">F49*G49</f>
        <v>0</v>
      </c>
      <c r="K49" s="75" t="n">
        <v>0.01059</v>
      </c>
      <c r="L49" s="75" t="n">
        <f aca="false">F49*K49</f>
        <v>2.16036</v>
      </c>
      <c r="M49" s="76" t="s">
        <v>85</v>
      </c>
      <c r="P49" s="75" t="n">
        <f aca="false">IF(AG49="5",J49,0)</f>
        <v>0</v>
      </c>
      <c r="R49" s="75" t="n">
        <f aca="false">IF(AG49="1",H49,0)</f>
        <v>0</v>
      </c>
      <c r="S49" s="75" t="n">
        <f aca="false">IF(AG49="1",I49,0)</f>
        <v>0</v>
      </c>
      <c r="T49" s="75" t="n">
        <f aca="false">IF(AG49="7",H49,0)</f>
        <v>0</v>
      </c>
      <c r="U49" s="75" t="n">
        <f aca="false">IF(AG49="7",I49,0)</f>
        <v>0</v>
      </c>
      <c r="V49" s="75" t="n">
        <f aca="false">IF(AG49="2",H49,0)</f>
        <v>0</v>
      </c>
      <c r="W49" s="75" t="n">
        <f aca="false">IF(AG49="2",I49,0)</f>
        <v>0</v>
      </c>
      <c r="X49" s="75" t="n">
        <f aca="false">IF(AG49="0",J49,0)</f>
        <v>0</v>
      </c>
      <c r="Y49" s="68"/>
      <c r="Z49" s="75" t="n">
        <f aca="false">IF(AD49=0,J49,0)</f>
        <v>0</v>
      </c>
      <c r="AA49" s="75" t="n">
        <f aca="false">IF(AD49=15,J49,0)</f>
        <v>0</v>
      </c>
      <c r="AB49" s="75" t="n">
        <f aca="false">IF(AD49=21,J49,0)</f>
        <v>0</v>
      </c>
      <c r="AD49" s="75" t="n">
        <v>21</v>
      </c>
      <c r="AE49" s="75" t="n">
        <f aca="false">G49*0.266129032258065</f>
        <v>0</v>
      </c>
      <c r="AF49" s="75" t="n">
        <f aca="false">G49*(1-0.266129032258065)</f>
        <v>0</v>
      </c>
      <c r="AG49" s="76" t="s">
        <v>114</v>
      </c>
      <c r="AM49" s="75" t="n">
        <f aca="false">F49*AE49</f>
        <v>0</v>
      </c>
      <c r="AN49" s="75" t="n">
        <f aca="false">F49*AF49</f>
        <v>0</v>
      </c>
      <c r="AO49" s="76" t="s">
        <v>207</v>
      </c>
      <c r="AP49" s="76" t="s">
        <v>208</v>
      </c>
      <c r="AQ49" s="68" t="s">
        <v>88</v>
      </c>
      <c r="AR49" s="68" t="s">
        <v>212</v>
      </c>
      <c r="AS49" s="75" t="n">
        <f aca="false">AM49+AN49</f>
        <v>0</v>
      </c>
      <c r="AT49" s="75" t="n">
        <f aca="false">G49/(100-AU49)*100</f>
        <v>0</v>
      </c>
      <c r="AU49" s="75" t="n">
        <v>0</v>
      </c>
      <c r="AV49" s="75" t="n">
        <f aca="false">L49</f>
        <v>2.16036</v>
      </c>
    </row>
    <row r="50" customFormat="false" ht="12.75" hidden="false" customHeight="false" outlineLevel="0" collapsed="false">
      <c r="A50" s="44" t="s">
        <v>213</v>
      </c>
      <c r="B50" s="44"/>
      <c r="C50" s="44" t="s">
        <v>214</v>
      </c>
      <c r="D50" s="44" t="s">
        <v>215</v>
      </c>
      <c r="E50" s="44" t="s">
        <v>84</v>
      </c>
      <c r="F50" s="75" t="n">
        <v>215</v>
      </c>
      <c r="G50" s="75" t="n">
        <v>0</v>
      </c>
      <c r="H50" s="75" t="n">
        <f aca="false">F50*AE50</f>
        <v>0</v>
      </c>
      <c r="I50" s="75" t="n">
        <f aca="false">J50-H50</f>
        <v>0</v>
      </c>
      <c r="J50" s="75" t="n">
        <f aca="false">F50*G50</f>
        <v>0</v>
      </c>
      <c r="K50" s="75" t="n">
        <v>0</v>
      </c>
      <c r="L50" s="75" t="n">
        <f aca="false">F50*K50</f>
        <v>0</v>
      </c>
      <c r="M50" s="76" t="s">
        <v>85</v>
      </c>
      <c r="P50" s="75" t="n">
        <f aca="false">IF(AG50="5",J50,0)</f>
        <v>0</v>
      </c>
      <c r="R50" s="75" t="n">
        <f aca="false">IF(AG50="1",H50,0)</f>
        <v>0</v>
      </c>
      <c r="S50" s="75" t="n">
        <f aca="false">IF(AG50="1",I50,0)</f>
        <v>0</v>
      </c>
      <c r="T50" s="75" t="n">
        <f aca="false">IF(AG50="7",H50,0)</f>
        <v>0</v>
      </c>
      <c r="U50" s="75" t="n">
        <f aca="false">IF(AG50="7",I50,0)</f>
        <v>0</v>
      </c>
      <c r="V50" s="75" t="n">
        <f aca="false">IF(AG50="2",H50,0)</f>
        <v>0</v>
      </c>
      <c r="W50" s="75" t="n">
        <f aca="false">IF(AG50="2",I50,0)</f>
        <v>0</v>
      </c>
      <c r="X50" s="75" t="n">
        <f aca="false">IF(AG50="0",J50,0)</f>
        <v>0</v>
      </c>
      <c r="Y50" s="68"/>
      <c r="Z50" s="75" t="n">
        <f aca="false">IF(AD50=0,J50,0)</f>
        <v>0</v>
      </c>
      <c r="AA50" s="75" t="n">
        <f aca="false">IF(AD50=15,J50,0)</f>
        <v>0</v>
      </c>
      <c r="AB50" s="75" t="n">
        <f aca="false">IF(AD50=21,J50,0)</f>
        <v>0</v>
      </c>
      <c r="AD50" s="75" t="n">
        <v>21</v>
      </c>
      <c r="AE50" s="75" t="n">
        <f aca="false">G50*0</f>
        <v>0</v>
      </c>
      <c r="AF50" s="75" t="n">
        <f aca="false">G50*(1-0)</f>
        <v>0</v>
      </c>
      <c r="AG50" s="76" t="s">
        <v>114</v>
      </c>
      <c r="AM50" s="75" t="n">
        <f aca="false">F50*AE50</f>
        <v>0</v>
      </c>
      <c r="AN50" s="75" t="n">
        <f aca="false">F50*AF50</f>
        <v>0</v>
      </c>
      <c r="AO50" s="76" t="s">
        <v>207</v>
      </c>
      <c r="AP50" s="76" t="s">
        <v>208</v>
      </c>
      <c r="AQ50" s="68" t="s">
        <v>88</v>
      </c>
      <c r="AS50" s="75" t="n">
        <f aca="false">AM50+AN50</f>
        <v>0</v>
      </c>
      <c r="AT50" s="75" t="n">
        <f aca="false">G50/(100-AU50)*100</f>
        <v>0</v>
      </c>
      <c r="AU50" s="75" t="n">
        <v>0</v>
      </c>
      <c r="AV50" s="75" t="n">
        <f aca="false">L50</f>
        <v>0</v>
      </c>
    </row>
    <row r="51" customFormat="false" ht="12.75" hidden="false" customHeight="false" outlineLevel="0" collapsed="false">
      <c r="A51" s="77"/>
      <c r="B51" s="78"/>
      <c r="C51" s="78" t="s">
        <v>216</v>
      </c>
      <c r="D51" s="78" t="s">
        <v>217</v>
      </c>
      <c r="E51" s="78"/>
      <c r="F51" s="78"/>
      <c r="G51" s="78"/>
      <c r="H51" s="73" t="n">
        <f aca="false">SUM(H52:H54)</f>
        <v>0</v>
      </c>
      <c r="I51" s="73" t="n">
        <f aca="false">SUM(I52:I54)</f>
        <v>0</v>
      </c>
      <c r="J51" s="73" t="n">
        <f aca="false">H51+I51</f>
        <v>0</v>
      </c>
      <c r="K51" s="68"/>
      <c r="L51" s="73" t="n">
        <f aca="false">SUM(L52:L54)</f>
        <v>34.41795</v>
      </c>
      <c r="M51" s="68"/>
      <c r="Y51" s="68"/>
      <c r="AI51" s="73" t="n">
        <f aca="false">SUM(Z52:Z54)</f>
        <v>0</v>
      </c>
      <c r="AJ51" s="73" t="n">
        <f aca="false">SUM(AA52:AA54)</f>
        <v>0</v>
      </c>
      <c r="AK51" s="73" t="n">
        <f aca="false">SUM(AB52:AB54)</f>
        <v>0</v>
      </c>
    </row>
    <row r="52" customFormat="false" ht="12.75" hidden="false" customHeight="false" outlineLevel="0" collapsed="false">
      <c r="A52" s="44" t="s">
        <v>218</v>
      </c>
      <c r="B52" s="44"/>
      <c r="C52" s="44" t="s">
        <v>219</v>
      </c>
      <c r="D52" s="44" t="s">
        <v>220</v>
      </c>
      <c r="E52" s="44" t="s">
        <v>84</v>
      </c>
      <c r="F52" s="75" t="n">
        <v>330</v>
      </c>
      <c r="G52" s="75" t="n">
        <v>0</v>
      </c>
      <c r="H52" s="75" t="n">
        <f aca="false">F52*AE52</f>
        <v>0</v>
      </c>
      <c r="I52" s="75" t="n">
        <f aca="false">J52-H52</f>
        <v>0</v>
      </c>
      <c r="J52" s="75" t="n">
        <f aca="false">F52*G52</f>
        <v>0</v>
      </c>
      <c r="K52" s="75" t="n">
        <v>0.05194</v>
      </c>
      <c r="L52" s="75" t="n">
        <f aca="false">F52*K52</f>
        <v>17.1402</v>
      </c>
      <c r="M52" s="76" t="s">
        <v>85</v>
      </c>
      <c r="P52" s="75" t="n">
        <f aca="false">IF(AG52="5",J52,0)</f>
        <v>0</v>
      </c>
      <c r="R52" s="75" t="n">
        <f aca="false">IF(AG52="1",H52,0)</f>
        <v>0</v>
      </c>
      <c r="S52" s="75" t="n">
        <f aca="false">IF(AG52="1",I52,0)</f>
        <v>0</v>
      </c>
      <c r="T52" s="75" t="n">
        <f aca="false">IF(AG52="7",H52,0)</f>
        <v>0</v>
      </c>
      <c r="U52" s="75" t="n">
        <f aca="false">IF(AG52="7",I52,0)</f>
        <v>0</v>
      </c>
      <c r="V52" s="75" t="n">
        <f aca="false">IF(AG52="2",H52,0)</f>
        <v>0</v>
      </c>
      <c r="W52" s="75" t="n">
        <f aca="false">IF(AG52="2",I52,0)</f>
        <v>0</v>
      </c>
      <c r="X52" s="75" t="n">
        <f aca="false">IF(AG52="0",J52,0)</f>
        <v>0</v>
      </c>
      <c r="Y52" s="68"/>
      <c r="Z52" s="75" t="n">
        <f aca="false">IF(AD52=0,J52,0)</f>
        <v>0</v>
      </c>
      <c r="AA52" s="75" t="n">
        <f aca="false">IF(AD52=15,J52,0)</f>
        <v>0</v>
      </c>
      <c r="AB52" s="75" t="n">
        <f aca="false">IF(AD52=21,J52,0)</f>
        <v>0</v>
      </c>
      <c r="AD52" s="75" t="n">
        <v>21</v>
      </c>
      <c r="AE52" s="75" t="n">
        <f aca="false">G52*0.0731</f>
        <v>0</v>
      </c>
      <c r="AF52" s="75" t="n">
        <f aca="false">G52*(1-0.0731)</f>
        <v>0</v>
      </c>
      <c r="AG52" s="76" t="s">
        <v>114</v>
      </c>
      <c r="AM52" s="75" t="n">
        <f aca="false">F52*AE52</f>
        <v>0</v>
      </c>
      <c r="AN52" s="75" t="n">
        <f aca="false">F52*AF52</f>
        <v>0</v>
      </c>
      <c r="AO52" s="76" t="s">
        <v>221</v>
      </c>
      <c r="AP52" s="76" t="s">
        <v>222</v>
      </c>
      <c r="AQ52" s="68" t="s">
        <v>88</v>
      </c>
      <c r="AR52" s="68" t="s">
        <v>223</v>
      </c>
      <c r="AS52" s="75" t="n">
        <f aca="false">AM52+AN52</f>
        <v>0</v>
      </c>
      <c r="AT52" s="75" t="n">
        <f aca="false">G52/(100-AU52)*100</f>
        <v>0</v>
      </c>
      <c r="AU52" s="75" t="n">
        <v>0</v>
      </c>
      <c r="AV52" s="75" t="n">
        <f aca="false">L52</f>
        <v>17.1402</v>
      </c>
    </row>
    <row r="53" customFormat="false" ht="12.75" hidden="false" customHeight="false" outlineLevel="0" collapsed="false">
      <c r="A53" s="44" t="s">
        <v>79</v>
      </c>
      <c r="B53" s="44"/>
      <c r="C53" s="44" t="s">
        <v>224</v>
      </c>
      <c r="D53" s="44" t="s">
        <v>225</v>
      </c>
      <c r="E53" s="44" t="s">
        <v>84</v>
      </c>
      <c r="F53" s="75" t="n">
        <v>315</v>
      </c>
      <c r="G53" s="75" t="n">
        <v>0</v>
      </c>
      <c r="H53" s="75" t="n">
        <f aca="false">F53*AE53</f>
        <v>0</v>
      </c>
      <c r="I53" s="75" t="n">
        <f aca="false">J53-H53</f>
        <v>0</v>
      </c>
      <c r="J53" s="75" t="n">
        <f aca="false">F53*G53</f>
        <v>0</v>
      </c>
      <c r="K53" s="75" t="n">
        <v>0.05485</v>
      </c>
      <c r="L53" s="75" t="n">
        <f aca="false">F53*K53</f>
        <v>17.27775</v>
      </c>
      <c r="M53" s="76" t="s">
        <v>85</v>
      </c>
      <c r="P53" s="75" t="n">
        <f aca="false">IF(AG53="5",J53,0)</f>
        <v>0</v>
      </c>
      <c r="R53" s="75" t="n">
        <f aca="false">IF(AG53="1",H53,0)</f>
        <v>0</v>
      </c>
      <c r="S53" s="75" t="n">
        <f aca="false">IF(AG53="1",I53,0)</f>
        <v>0</v>
      </c>
      <c r="T53" s="75" t="n">
        <f aca="false">IF(AG53="7",H53,0)</f>
        <v>0</v>
      </c>
      <c r="U53" s="75" t="n">
        <f aca="false">IF(AG53="7",I53,0)</f>
        <v>0</v>
      </c>
      <c r="V53" s="75" t="n">
        <f aca="false">IF(AG53="2",H53,0)</f>
        <v>0</v>
      </c>
      <c r="W53" s="75" t="n">
        <f aca="false">IF(AG53="2",I53,0)</f>
        <v>0</v>
      </c>
      <c r="X53" s="75" t="n">
        <f aca="false">IF(AG53="0",J53,0)</f>
        <v>0</v>
      </c>
      <c r="Y53" s="68"/>
      <c r="Z53" s="75" t="n">
        <f aca="false">IF(AD53=0,J53,0)</f>
        <v>0</v>
      </c>
      <c r="AA53" s="75" t="n">
        <f aca="false">IF(AD53=15,J53,0)</f>
        <v>0</v>
      </c>
      <c r="AB53" s="75" t="n">
        <f aca="false">IF(AD53=21,J53,0)</f>
        <v>0</v>
      </c>
      <c r="AD53" s="75" t="n">
        <v>21</v>
      </c>
      <c r="AE53" s="75" t="n">
        <f aca="false">G53*0.081</f>
        <v>0</v>
      </c>
      <c r="AF53" s="75" t="n">
        <f aca="false">G53*(1-0.081)</f>
        <v>0</v>
      </c>
      <c r="AG53" s="76" t="s">
        <v>114</v>
      </c>
      <c r="AM53" s="75" t="n">
        <f aca="false">F53*AE53</f>
        <v>0</v>
      </c>
      <c r="AN53" s="75" t="n">
        <f aca="false">F53*AF53</f>
        <v>0</v>
      </c>
      <c r="AO53" s="76" t="s">
        <v>221</v>
      </c>
      <c r="AP53" s="76" t="s">
        <v>222</v>
      </c>
      <c r="AQ53" s="68" t="s">
        <v>88</v>
      </c>
      <c r="AS53" s="75" t="n">
        <f aca="false">AM53+AN53</f>
        <v>0</v>
      </c>
      <c r="AT53" s="75" t="n">
        <f aca="false">G53/(100-AU53)*100</f>
        <v>0</v>
      </c>
      <c r="AU53" s="75" t="n">
        <v>0</v>
      </c>
      <c r="AV53" s="75" t="n">
        <f aca="false">L53</f>
        <v>17.27775</v>
      </c>
    </row>
    <row r="54" customFormat="false" ht="12.75" hidden="false" customHeight="false" outlineLevel="0" collapsed="false">
      <c r="A54" s="44" t="s">
        <v>226</v>
      </c>
      <c r="B54" s="44"/>
      <c r="C54" s="44" t="s">
        <v>227</v>
      </c>
      <c r="D54" s="44" t="s">
        <v>228</v>
      </c>
      <c r="E54" s="44" t="s">
        <v>84</v>
      </c>
      <c r="F54" s="75" t="n">
        <v>315</v>
      </c>
      <c r="G54" s="75" t="n">
        <v>0</v>
      </c>
      <c r="H54" s="75" t="n">
        <f aca="false">F54*AE54</f>
        <v>0</v>
      </c>
      <c r="I54" s="75" t="n">
        <f aca="false">J54-H54</f>
        <v>0</v>
      </c>
      <c r="J54" s="75" t="n">
        <f aca="false">F54*G54</f>
        <v>0</v>
      </c>
      <c r="K54" s="75" t="n">
        <v>0</v>
      </c>
      <c r="L54" s="75" t="n">
        <f aca="false">F54*K54</f>
        <v>0</v>
      </c>
      <c r="M54" s="76" t="s">
        <v>85</v>
      </c>
      <c r="P54" s="75" t="n">
        <f aca="false">IF(AG54="5",J54,0)</f>
        <v>0</v>
      </c>
      <c r="R54" s="75" t="n">
        <f aca="false">IF(AG54="1",H54,0)</f>
        <v>0</v>
      </c>
      <c r="S54" s="75" t="n">
        <f aca="false">IF(AG54="1",I54,0)</f>
        <v>0</v>
      </c>
      <c r="T54" s="75" t="n">
        <f aca="false">IF(AG54="7",H54,0)</f>
        <v>0</v>
      </c>
      <c r="U54" s="75" t="n">
        <f aca="false">IF(AG54="7",I54,0)</f>
        <v>0</v>
      </c>
      <c r="V54" s="75" t="n">
        <f aca="false">IF(AG54="2",H54,0)</f>
        <v>0</v>
      </c>
      <c r="W54" s="75" t="n">
        <f aca="false">IF(AG54="2",I54,0)</f>
        <v>0</v>
      </c>
      <c r="X54" s="75" t="n">
        <f aca="false">IF(AG54="0",J54,0)</f>
        <v>0</v>
      </c>
      <c r="Y54" s="68"/>
      <c r="Z54" s="75" t="n">
        <f aca="false">IF(AD54=0,J54,0)</f>
        <v>0</v>
      </c>
      <c r="AA54" s="75" t="n">
        <f aca="false">IF(AD54=15,J54,0)</f>
        <v>0</v>
      </c>
      <c r="AB54" s="75" t="n">
        <f aca="false">IF(AD54=21,J54,0)</f>
        <v>0</v>
      </c>
      <c r="AD54" s="75" t="n">
        <v>21</v>
      </c>
      <c r="AE54" s="75" t="n">
        <f aca="false">G54*0.5</f>
        <v>0</v>
      </c>
      <c r="AF54" s="75" t="n">
        <f aca="false">G54*(1-0.5)</f>
        <v>0</v>
      </c>
      <c r="AG54" s="76" t="s">
        <v>114</v>
      </c>
      <c r="AM54" s="75" t="n">
        <f aca="false">F54*AE54</f>
        <v>0</v>
      </c>
      <c r="AN54" s="75" t="n">
        <f aca="false">F54*AF54</f>
        <v>0</v>
      </c>
      <c r="AO54" s="76" t="s">
        <v>221</v>
      </c>
      <c r="AP54" s="76" t="s">
        <v>222</v>
      </c>
      <c r="AQ54" s="68" t="s">
        <v>88</v>
      </c>
      <c r="AR54" s="68" t="s">
        <v>223</v>
      </c>
      <c r="AS54" s="75" t="n">
        <f aca="false">AM54+AN54</f>
        <v>0</v>
      </c>
      <c r="AT54" s="75" t="n">
        <f aca="false">G54/(100-AU54)*100</f>
        <v>0</v>
      </c>
      <c r="AU54" s="75" t="n">
        <v>0</v>
      </c>
      <c r="AV54" s="75" t="n">
        <f aca="false">L54</f>
        <v>0</v>
      </c>
    </row>
    <row r="55" customFormat="false" ht="12.75" hidden="false" customHeight="false" outlineLevel="0" collapsed="false">
      <c r="A55" s="77"/>
      <c r="B55" s="78"/>
      <c r="C55" s="78" t="s">
        <v>229</v>
      </c>
      <c r="D55" s="78" t="s">
        <v>230</v>
      </c>
      <c r="E55" s="78"/>
      <c r="F55" s="78"/>
      <c r="G55" s="78"/>
      <c r="H55" s="73" t="n">
        <f aca="false">SUM(H56:H57)</f>
        <v>0</v>
      </c>
      <c r="I55" s="73" t="n">
        <f aca="false">SUM(I56:I57)</f>
        <v>0</v>
      </c>
      <c r="J55" s="73" t="n">
        <f aca="false">H55+I55</f>
        <v>0</v>
      </c>
      <c r="K55" s="68"/>
      <c r="L55" s="73" t="n">
        <f aca="false">SUM(L56:L57)</f>
        <v>0.3066375</v>
      </c>
      <c r="M55" s="68"/>
      <c r="Y55" s="68"/>
      <c r="AI55" s="73" t="n">
        <f aca="false">SUM(Z56:Z57)</f>
        <v>0</v>
      </c>
      <c r="AJ55" s="73" t="n">
        <f aca="false">SUM(AA56:AA57)</f>
        <v>0</v>
      </c>
      <c r="AK55" s="73" t="n">
        <f aca="false">SUM(AB56:AB57)</f>
        <v>0</v>
      </c>
    </row>
    <row r="56" customFormat="false" ht="12.75" hidden="false" customHeight="false" outlineLevel="0" collapsed="false">
      <c r="A56" s="44" t="s">
        <v>231</v>
      </c>
      <c r="B56" s="44"/>
      <c r="C56" s="44" t="s">
        <v>232</v>
      </c>
      <c r="D56" s="44" t="s">
        <v>233</v>
      </c>
      <c r="E56" s="44" t="s">
        <v>84</v>
      </c>
      <c r="F56" s="75" t="n">
        <v>408.85</v>
      </c>
      <c r="G56" s="75" t="n">
        <v>0</v>
      </c>
      <c r="H56" s="75" t="n">
        <f aca="false">F56*AE56</f>
        <v>0</v>
      </c>
      <c r="I56" s="75" t="n">
        <f aca="false">J56-H56</f>
        <v>0</v>
      </c>
      <c r="J56" s="75" t="n">
        <f aca="false">F56*G56</f>
        <v>0</v>
      </c>
      <c r="K56" s="75" t="n">
        <v>0.0004</v>
      </c>
      <c r="L56" s="75" t="n">
        <f aca="false">F56*K56</f>
        <v>0.16354</v>
      </c>
      <c r="M56" s="76" t="s">
        <v>85</v>
      </c>
      <c r="P56" s="75" t="n">
        <f aca="false">IF(AG56="5",J56,0)</f>
        <v>0</v>
      </c>
      <c r="R56" s="75" t="n">
        <f aca="false">IF(AG56="1",H56,0)</f>
        <v>0</v>
      </c>
      <c r="S56" s="75" t="n">
        <f aca="false">IF(AG56="1",I56,0)</f>
        <v>0</v>
      </c>
      <c r="T56" s="75" t="n">
        <f aca="false">IF(AG56="7",H56,0)</f>
        <v>0</v>
      </c>
      <c r="U56" s="75" t="n">
        <f aca="false">IF(AG56="7",I56,0)</f>
        <v>0</v>
      </c>
      <c r="V56" s="75" t="n">
        <f aca="false">IF(AG56="2",H56,0)</f>
        <v>0</v>
      </c>
      <c r="W56" s="75" t="n">
        <f aca="false">IF(AG56="2",I56,0)</f>
        <v>0</v>
      </c>
      <c r="X56" s="75" t="n">
        <f aca="false">IF(AG56="0",J56,0)</f>
        <v>0</v>
      </c>
      <c r="Y56" s="68"/>
      <c r="Z56" s="75" t="n">
        <f aca="false">IF(AD56=0,J56,0)</f>
        <v>0</v>
      </c>
      <c r="AA56" s="75" t="n">
        <f aca="false">IF(AD56=15,J56,0)</f>
        <v>0</v>
      </c>
      <c r="AB56" s="75" t="n">
        <f aca="false">IF(AD56=21,J56,0)</f>
        <v>0</v>
      </c>
      <c r="AD56" s="75" t="n">
        <v>21</v>
      </c>
      <c r="AE56" s="75" t="n">
        <f aca="false">G56*0.476666666666667</f>
        <v>0</v>
      </c>
      <c r="AF56" s="75" t="n">
        <f aca="false">G56*(1-0.476666666666667)</f>
        <v>0</v>
      </c>
      <c r="AG56" s="76" t="s">
        <v>114</v>
      </c>
      <c r="AM56" s="75" t="n">
        <f aca="false">F56*AE56</f>
        <v>0</v>
      </c>
      <c r="AN56" s="75" t="n">
        <f aca="false">F56*AF56</f>
        <v>0</v>
      </c>
      <c r="AO56" s="76" t="s">
        <v>234</v>
      </c>
      <c r="AP56" s="76" t="s">
        <v>222</v>
      </c>
      <c r="AQ56" s="68" t="s">
        <v>88</v>
      </c>
      <c r="AR56" s="68" t="s">
        <v>235</v>
      </c>
      <c r="AS56" s="75" t="n">
        <f aca="false">AM56+AN56</f>
        <v>0</v>
      </c>
      <c r="AT56" s="75" t="n">
        <f aca="false">G56/(100-AU56)*100</f>
        <v>0</v>
      </c>
      <c r="AU56" s="75" t="n">
        <v>0</v>
      </c>
      <c r="AV56" s="75" t="n">
        <f aca="false">L56</f>
        <v>0.16354</v>
      </c>
    </row>
    <row r="57" customFormat="false" ht="12.75" hidden="false" customHeight="false" outlineLevel="0" collapsed="false">
      <c r="A57" s="44" t="s">
        <v>112</v>
      </c>
      <c r="B57" s="44"/>
      <c r="C57" s="44" t="s">
        <v>236</v>
      </c>
      <c r="D57" s="44" t="s">
        <v>237</v>
      </c>
      <c r="E57" s="44" t="s">
        <v>84</v>
      </c>
      <c r="F57" s="75" t="n">
        <v>408.85</v>
      </c>
      <c r="G57" s="75" t="n">
        <v>0</v>
      </c>
      <c r="H57" s="75" t="n">
        <f aca="false">F57*AE57</f>
        <v>0</v>
      </c>
      <c r="I57" s="75" t="n">
        <f aca="false">J57-H57</f>
        <v>0</v>
      </c>
      <c r="J57" s="75" t="n">
        <f aca="false">F57*G57</f>
        <v>0</v>
      </c>
      <c r="K57" s="75" t="n">
        <v>0.00035</v>
      </c>
      <c r="L57" s="75" t="n">
        <f aca="false">F57*K57</f>
        <v>0.1430975</v>
      </c>
      <c r="M57" s="76" t="s">
        <v>85</v>
      </c>
      <c r="P57" s="75" t="n">
        <f aca="false">IF(AG57="5",J57,0)</f>
        <v>0</v>
      </c>
      <c r="R57" s="75" t="n">
        <f aca="false">IF(AG57="1",H57,0)</f>
        <v>0</v>
      </c>
      <c r="S57" s="75" t="n">
        <f aca="false">IF(AG57="1",I57,0)</f>
        <v>0</v>
      </c>
      <c r="T57" s="75" t="n">
        <f aca="false">IF(AG57="7",H57,0)</f>
        <v>0</v>
      </c>
      <c r="U57" s="75" t="n">
        <f aca="false">IF(AG57="7",I57,0)</f>
        <v>0</v>
      </c>
      <c r="V57" s="75" t="n">
        <f aca="false">IF(AG57="2",H57,0)</f>
        <v>0</v>
      </c>
      <c r="W57" s="75" t="n">
        <f aca="false">IF(AG57="2",I57,0)</f>
        <v>0</v>
      </c>
      <c r="X57" s="75" t="n">
        <f aca="false">IF(AG57="0",J57,0)</f>
        <v>0</v>
      </c>
      <c r="Y57" s="68"/>
      <c r="Z57" s="75" t="n">
        <f aca="false">IF(AD57=0,J57,0)</f>
        <v>0</v>
      </c>
      <c r="AA57" s="75" t="n">
        <f aca="false">IF(AD57=15,J57,0)</f>
        <v>0</v>
      </c>
      <c r="AB57" s="75" t="n">
        <f aca="false">IF(AD57=21,J57,0)</f>
        <v>0</v>
      </c>
      <c r="AD57" s="75" t="n">
        <v>21</v>
      </c>
      <c r="AE57" s="75" t="n">
        <f aca="false">G57*0.167466666666667</f>
        <v>0</v>
      </c>
      <c r="AF57" s="75" t="n">
        <f aca="false">G57*(1-0.167466666666667)</f>
        <v>0</v>
      </c>
      <c r="AG57" s="76" t="s">
        <v>114</v>
      </c>
      <c r="AM57" s="75" t="n">
        <f aca="false">F57*AE57</f>
        <v>0</v>
      </c>
      <c r="AN57" s="75" t="n">
        <f aca="false">F57*AF57</f>
        <v>0</v>
      </c>
      <c r="AO57" s="76" t="s">
        <v>234</v>
      </c>
      <c r="AP57" s="76" t="s">
        <v>222</v>
      </c>
      <c r="AQ57" s="68" t="s">
        <v>88</v>
      </c>
      <c r="AR57" s="68" t="s">
        <v>235</v>
      </c>
      <c r="AS57" s="75" t="n">
        <f aca="false">AM57+AN57</f>
        <v>0</v>
      </c>
      <c r="AT57" s="75" t="n">
        <f aca="false">G57/(100-AU57)*100</f>
        <v>0</v>
      </c>
      <c r="AU57" s="75" t="n">
        <v>0</v>
      </c>
      <c r="AV57" s="75" t="n">
        <f aca="false">L57</f>
        <v>0.1430975</v>
      </c>
    </row>
    <row r="58" customFormat="false" ht="12.75" hidden="false" customHeight="false" outlineLevel="0" collapsed="false">
      <c r="A58" s="77"/>
      <c r="B58" s="78"/>
      <c r="C58" s="78" t="s">
        <v>238</v>
      </c>
      <c r="D58" s="78" t="s">
        <v>239</v>
      </c>
      <c r="E58" s="78"/>
      <c r="F58" s="78"/>
      <c r="G58" s="78"/>
      <c r="H58" s="73" t="n">
        <f aca="false">SUM(H59:H59)</f>
        <v>0</v>
      </c>
      <c r="I58" s="73" t="n">
        <f aca="false">SUM(I59:I59)</f>
        <v>0</v>
      </c>
      <c r="J58" s="73" t="n">
        <f aca="false">H58+I58</f>
        <v>0</v>
      </c>
      <c r="K58" s="68"/>
      <c r="L58" s="73" t="n">
        <f aca="false">SUM(L59:L59)</f>
        <v>0</v>
      </c>
      <c r="M58" s="68"/>
      <c r="Y58" s="68"/>
      <c r="AI58" s="73" t="n">
        <f aca="false">SUM(Z59:Z59)</f>
        <v>0</v>
      </c>
      <c r="AJ58" s="73" t="n">
        <f aca="false">SUM(AA59:AA59)</f>
        <v>0</v>
      </c>
      <c r="AK58" s="73" t="n">
        <f aca="false">SUM(AB59:AB59)</f>
        <v>0</v>
      </c>
    </row>
    <row r="59" customFormat="false" ht="12.75" hidden="false" customHeight="false" outlineLevel="0" collapsed="false">
      <c r="A59" s="44" t="s">
        <v>240</v>
      </c>
      <c r="B59" s="44"/>
      <c r="C59" s="44" t="s">
        <v>241</v>
      </c>
      <c r="D59" s="44" t="s">
        <v>242</v>
      </c>
      <c r="E59" s="44" t="s">
        <v>243</v>
      </c>
      <c r="F59" s="75" t="n">
        <v>100</v>
      </c>
      <c r="G59" s="75" t="n">
        <v>0</v>
      </c>
      <c r="H59" s="75" t="n">
        <f aca="false">F59*AE59</f>
        <v>0</v>
      </c>
      <c r="I59" s="75" t="n">
        <f aca="false">J59-H59</f>
        <v>0</v>
      </c>
      <c r="J59" s="75" t="n">
        <f aca="false">F59*G59</f>
        <v>0</v>
      </c>
      <c r="K59" s="75" t="n">
        <v>0</v>
      </c>
      <c r="L59" s="75" t="n">
        <f aca="false">F59*K59</f>
        <v>0</v>
      </c>
      <c r="M59" s="76" t="s">
        <v>85</v>
      </c>
      <c r="P59" s="75" t="n">
        <f aca="false">IF(AG59="5",J59,0)</f>
        <v>0</v>
      </c>
      <c r="R59" s="75" t="n">
        <f aca="false">IF(AG59="1",H59,0)</f>
        <v>0</v>
      </c>
      <c r="S59" s="75" t="n">
        <f aca="false">IF(AG59="1",I59,0)</f>
        <v>0</v>
      </c>
      <c r="T59" s="75" t="n">
        <f aca="false">IF(AG59="7",H59,0)</f>
        <v>0</v>
      </c>
      <c r="U59" s="75" t="n">
        <f aca="false">IF(AG59="7",I59,0)</f>
        <v>0</v>
      </c>
      <c r="V59" s="75" t="n">
        <f aca="false">IF(AG59="2",H59,0)</f>
        <v>0</v>
      </c>
      <c r="W59" s="75" t="n">
        <f aca="false">IF(AG59="2",I59,0)</f>
        <v>0</v>
      </c>
      <c r="X59" s="75" t="n">
        <f aca="false">IF(AG59="0",J59,0)</f>
        <v>0</v>
      </c>
      <c r="Y59" s="68"/>
      <c r="Z59" s="75" t="n">
        <f aca="false">IF(AD59=0,J59,0)</f>
        <v>0</v>
      </c>
      <c r="AA59" s="75" t="n">
        <f aca="false">IF(AD59=15,J59,0)</f>
        <v>0</v>
      </c>
      <c r="AB59" s="75" t="n">
        <f aca="false">IF(AD59=21,J59,0)</f>
        <v>0</v>
      </c>
      <c r="AD59" s="75" t="n">
        <v>21</v>
      </c>
      <c r="AE59" s="75" t="n">
        <f aca="false">G59*0</f>
        <v>0</v>
      </c>
      <c r="AF59" s="75" t="n">
        <f aca="false">G59*(1-0)</f>
        <v>0</v>
      </c>
      <c r="AG59" s="76" t="s">
        <v>81</v>
      </c>
      <c r="AM59" s="75" t="n">
        <f aca="false">F59*AE59</f>
        <v>0</v>
      </c>
      <c r="AN59" s="75" t="n">
        <f aca="false">F59*AF59</f>
        <v>0</v>
      </c>
      <c r="AO59" s="76" t="s">
        <v>244</v>
      </c>
      <c r="AP59" s="76" t="s">
        <v>96</v>
      </c>
      <c r="AQ59" s="68" t="s">
        <v>88</v>
      </c>
      <c r="AR59" s="68" t="s">
        <v>245</v>
      </c>
      <c r="AS59" s="75" t="n">
        <f aca="false">AM59+AN59</f>
        <v>0</v>
      </c>
      <c r="AT59" s="75" t="n">
        <f aca="false">G59/(100-AU59)*100</f>
        <v>0</v>
      </c>
      <c r="AU59" s="75" t="n">
        <v>0</v>
      </c>
      <c r="AV59" s="75" t="n">
        <f aca="false">L59</f>
        <v>0</v>
      </c>
    </row>
    <row r="60" customFormat="false" ht="12.75" hidden="false" customHeight="false" outlineLevel="0" collapsed="false">
      <c r="A60" s="77"/>
      <c r="B60" s="78"/>
      <c r="C60" s="78" t="s">
        <v>246</v>
      </c>
      <c r="D60" s="78" t="s">
        <v>247</v>
      </c>
      <c r="E60" s="78"/>
      <c r="F60" s="78"/>
      <c r="G60" s="78"/>
      <c r="H60" s="73" t="n">
        <f aca="false">SUM(H61:H62)</f>
        <v>0</v>
      </c>
      <c r="I60" s="73" t="n">
        <f aca="false">SUM(I61:I62)</f>
        <v>0</v>
      </c>
      <c r="J60" s="73" t="n">
        <f aca="false">H60+I60</f>
        <v>0</v>
      </c>
      <c r="K60" s="68"/>
      <c r="L60" s="73" t="n">
        <f aca="false">SUM(L61:L62)</f>
        <v>0</v>
      </c>
      <c r="M60" s="68"/>
      <c r="Y60" s="68"/>
      <c r="AI60" s="73" t="n">
        <f aca="false">SUM(Z61:Z62)</f>
        <v>0</v>
      </c>
      <c r="AJ60" s="73" t="n">
        <f aca="false">SUM(AA61:AA62)</f>
        <v>0</v>
      </c>
      <c r="AK60" s="73" t="n">
        <f aca="false">SUM(AB61:AB62)</f>
        <v>0</v>
      </c>
    </row>
    <row r="61" customFormat="false" ht="12.75" hidden="false" customHeight="false" outlineLevel="0" collapsed="false">
      <c r="A61" s="44" t="s">
        <v>248</v>
      </c>
      <c r="B61" s="44"/>
      <c r="C61" s="44" t="s">
        <v>249</v>
      </c>
      <c r="D61" s="44" t="s">
        <v>250</v>
      </c>
      <c r="E61" s="44" t="s">
        <v>251</v>
      </c>
      <c r="F61" s="75" t="n">
        <v>2652</v>
      </c>
      <c r="G61" s="75" t="n">
        <v>0</v>
      </c>
      <c r="H61" s="75" t="n">
        <f aca="false">F61*AE61</f>
        <v>0</v>
      </c>
      <c r="I61" s="75" t="n">
        <f aca="false">J61-H61</f>
        <v>0</v>
      </c>
      <c r="J61" s="75" t="n">
        <f aca="false">F61*G61</f>
        <v>0</v>
      </c>
      <c r="K61" s="75" t="n">
        <v>0</v>
      </c>
      <c r="L61" s="75" t="n">
        <f aca="false">F61*K61</f>
        <v>0</v>
      </c>
      <c r="M61" s="76" t="s">
        <v>85</v>
      </c>
      <c r="P61" s="75" t="n">
        <f aca="false">IF(AG61="5",J61,0)</f>
        <v>0</v>
      </c>
      <c r="R61" s="75" t="n">
        <f aca="false">IF(AG61="1",H61,0)</f>
        <v>0</v>
      </c>
      <c r="S61" s="75" t="n">
        <f aca="false">IF(AG61="1",I61,0)</f>
        <v>0</v>
      </c>
      <c r="T61" s="75" t="n">
        <f aca="false">IF(AG61="7",H61,0)</f>
        <v>0</v>
      </c>
      <c r="U61" s="75" t="n">
        <f aca="false">IF(AG61="7",I61,0)</f>
        <v>0</v>
      </c>
      <c r="V61" s="75" t="n">
        <f aca="false">IF(AG61="2",H61,0)</f>
        <v>0</v>
      </c>
      <c r="W61" s="75" t="n">
        <f aca="false">IF(AG61="2",I61,0)</f>
        <v>0</v>
      </c>
      <c r="X61" s="75" t="n">
        <f aca="false">IF(AG61="0",J61,0)</f>
        <v>0</v>
      </c>
      <c r="Y61" s="68"/>
      <c r="Z61" s="75" t="n">
        <f aca="false">IF(AD61=0,J61,0)</f>
        <v>0</v>
      </c>
      <c r="AA61" s="75" t="n">
        <f aca="false">IF(AD61=15,J61,0)</f>
        <v>0</v>
      </c>
      <c r="AB61" s="75" t="n">
        <f aca="false">IF(AD61=21,J61,0)</f>
        <v>0</v>
      </c>
      <c r="AD61" s="75" t="n">
        <v>21</v>
      </c>
      <c r="AE61" s="75" t="n">
        <f aca="false">G61*0</f>
        <v>0</v>
      </c>
      <c r="AF61" s="75" t="n">
        <f aca="false">G61*(1-0)</f>
        <v>0</v>
      </c>
      <c r="AG61" s="76" t="s">
        <v>105</v>
      </c>
      <c r="AM61" s="75" t="n">
        <f aca="false">F61*AE61</f>
        <v>0</v>
      </c>
      <c r="AN61" s="75" t="n">
        <f aca="false">F61*AF61</f>
        <v>0</v>
      </c>
      <c r="AO61" s="76" t="s">
        <v>252</v>
      </c>
      <c r="AP61" s="76" t="s">
        <v>96</v>
      </c>
      <c r="AQ61" s="68" t="s">
        <v>88</v>
      </c>
      <c r="AR61" s="68" t="s">
        <v>253</v>
      </c>
      <c r="AS61" s="75" t="n">
        <f aca="false">AM61+AN61</f>
        <v>0</v>
      </c>
      <c r="AT61" s="75" t="n">
        <f aca="false">G61/(100-AU61)*100</f>
        <v>0</v>
      </c>
      <c r="AU61" s="75" t="n">
        <v>0</v>
      </c>
      <c r="AV61" s="75" t="n">
        <f aca="false">L61</f>
        <v>0</v>
      </c>
    </row>
    <row r="62" customFormat="false" ht="12.75" hidden="false" customHeight="false" outlineLevel="0" collapsed="false">
      <c r="A62" s="44" t="s">
        <v>254</v>
      </c>
      <c r="B62" s="44"/>
      <c r="C62" s="44" t="s">
        <v>255</v>
      </c>
      <c r="D62" s="44" t="s">
        <v>256</v>
      </c>
      <c r="E62" s="44" t="s">
        <v>257</v>
      </c>
      <c r="F62" s="75" t="n">
        <v>59.42</v>
      </c>
      <c r="G62" s="75" t="n">
        <v>0</v>
      </c>
      <c r="H62" s="75" t="n">
        <f aca="false">F62*AE62</f>
        <v>0</v>
      </c>
      <c r="I62" s="75" t="n">
        <f aca="false">J62-H62</f>
        <v>0</v>
      </c>
      <c r="J62" s="75" t="n">
        <f aca="false">F62*G62</f>
        <v>0</v>
      </c>
      <c r="K62" s="75" t="n">
        <v>0</v>
      </c>
      <c r="L62" s="75" t="n">
        <f aca="false">F62*K62</f>
        <v>0</v>
      </c>
      <c r="M62" s="76" t="s">
        <v>85</v>
      </c>
      <c r="P62" s="75" t="n">
        <f aca="false">IF(AG62="5",J62,0)</f>
        <v>0</v>
      </c>
      <c r="R62" s="75" t="n">
        <f aca="false">IF(AG62="1",H62,0)</f>
        <v>0</v>
      </c>
      <c r="S62" s="75" t="n">
        <f aca="false">IF(AG62="1",I62,0)</f>
        <v>0</v>
      </c>
      <c r="T62" s="75" t="n">
        <f aca="false">IF(AG62="7",H62,0)</f>
        <v>0</v>
      </c>
      <c r="U62" s="75" t="n">
        <f aca="false">IF(AG62="7",I62,0)</f>
        <v>0</v>
      </c>
      <c r="V62" s="75" t="n">
        <f aca="false">IF(AG62="2",H62,0)</f>
        <v>0</v>
      </c>
      <c r="W62" s="75" t="n">
        <f aca="false">IF(AG62="2",I62,0)</f>
        <v>0</v>
      </c>
      <c r="X62" s="75" t="n">
        <f aca="false">IF(AG62="0",J62,0)</f>
        <v>0</v>
      </c>
      <c r="Y62" s="68"/>
      <c r="Z62" s="75" t="n">
        <f aca="false">IF(AD62=0,J62,0)</f>
        <v>0</v>
      </c>
      <c r="AA62" s="75" t="n">
        <f aca="false">IF(AD62=15,J62,0)</f>
        <v>0</v>
      </c>
      <c r="AB62" s="75" t="n">
        <f aca="false">IF(AD62=21,J62,0)</f>
        <v>0</v>
      </c>
      <c r="AD62" s="75" t="n">
        <v>21</v>
      </c>
      <c r="AE62" s="75" t="n">
        <f aca="false">G62*0</f>
        <v>0</v>
      </c>
      <c r="AF62" s="75" t="n">
        <f aca="false">G62*(1-0)</f>
        <v>0</v>
      </c>
      <c r="AG62" s="76" t="s">
        <v>105</v>
      </c>
      <c r="AM62" s="75" t="n">
        <f aca="false">F62*AE62</f>
        <v>0</v>
      </c>
      <c r="AN62" s="75" t="n">
        <f aca="false">F62*AF62</f>
        <v>0</v>
      </c>
      <c r="AO62" s="76" t="s">
        <v>252</v>
      </c>
      <c r="AP62" s="76" t="s">
        <v>96</v>
      </c>
      <c r="AQ62" s="68" t="s">
        <v>88</v>
      </c>
      <c r="AR62" s="68" t="s">
        <v>253</v>
      </c>
      <c r="AS62" s="75" t="n">
        <f aca="false">AM62+AN62</f>
        <v>0</v>
      </c>
      <c r="AT62" s="75" t="n">
        <f aca="false">G62/(100-AU62)*100</f>
        <v>0</v>
      </c>
      <c r="AU62" s="75" t="n">
        <v>0</v>
      </c>
      <c r="AV62" s="75" t="n">
        <f aca="false">L62</f>
        <v>0</v>
      </c>
    </row>
    <row r="63" customFormat="false" ht="12.75" hidden="false" customHeight="false" outlineLevel="0" collapsed="false">
      <c r="A63" s="77"/>
      <c r="B63" s="78"/>
      <c r="C63" s="78" t="s">
        <v>258</v>
      </c>
      <c r="D63" s="78" t="s">
        <v>259</v>
      </c>
      <c r="E63" s="78"/>
      <c r="F63" s="78"/>
      <c r="G63" s="78"/>
      <c r="H63" s="73" t="n">
        <f aca="false">SUM(H64:H64)</f>
        <v>0</v>
      </c>
      <c r="I63" s="73" t="n">
        <f aca="false">SUM(I64:I64)</f>
        <v>0</v>
      </c>
      <c r="J63" s="73" t="n">
        <f aca="false">H63+I63</f>
        <v>0</v>
      </c>
      <c r="K63" s="68"/>
      <c r="L63" s="73" t="n">
        <f aca="false">SUM(L64:L64)</f>
        <v>0</v>
      </c>
      <c r="M63" s="68"/>
      <c r="Y63" s="68"/>
      <c r="AI63" s="73" t="n">
        <f aca="false">SUM(Z64:Z64)</f>
        <v>0</v>
      </c>
      <c r="AJ63" s="73" t="n">
        <f aca="false">SUM(AA64:AA64)</f>
        <v>0</v>
      </c>
      <c r="AK63" s="73" t="n">
        <f aca="false">SUM(AB64:AB64)</f>
        <v>0</v>
      </c>
    </row>
    <row r="64" customFormat="false" ht="12.75" hidden="false" customHeight="false" outlineLevel="0" collapsed="false">
      <c r="A64" s="79" t="s">
        <v>260</v>
      </c>
      <c r="B64" s="79"/>
      <c r="C64" s="79" t="s">
        <v>261</v>
      </c>
      <c r="D64" s="79" t="s">
        <v>262</v>
      </c>
      <c r="E64" s="79" t="s">
        <v>257</v>
      </c>
      <c r="F64" s="80" t="n">
        <v>42.5</v>
      </c>
      <c r="G64" s="80" t="n">
        <v>0</v>
      </c>
      <c r="H64" s="80" t="n">
        <f aca="false">F64*AE64</f>
        <v>0</v>
      </c>
      <c r="I64" s="80" t="n">
        <f aca="false">J64-H64</f>
        <v>0</v>
      </c>
      <c r="J64" s="80" t="n">
        <f aca="false">F64*G64</f>
        <v>0</v>
      </c>
      <c r="K64" s="80" t="n">
        <v>0</v>
      </c>
      <c r="L64" s="80" t="n">
        <f aca="false">F64*K64</f>
        <v>0</v>
      </c>
      <c r="M64" s="81" t="s">
        <v>85</v>
      </c>
      <c r="P64" s="75" t="n">
        <f aca="false">IF(AG64="5",J64,0)</f>
        <v>0</v>
      </c>
      <c r="R64" s="75" t="n">
        <f aca="false">IF(AG64="1",H64,0)</f>
        <v>0</v>
      </c>
      <c r="S64" s="75" t="n">
        <f aca="false">IF(AG64="1",I64,0)</f>
        <v>0</v>
      </c>
      <c r="T64" s="75" t="n">
        <f aca="false">IF(AG64="7",H64,0)</f>
        <v>0</v>
      </c>
      <c r="U64" s="75" t="n">
        <f aca="false">IF(AG64="7",I64,0)</f>
        <v>0</v>
      </c>
      <c r="V64" s="75" t="n">
        <f aca="false">IF(AG64="2",H64,0)</f>
        <v>0</v>
      </c>
      <c r="W64" s="75" t="n">
        <f aca="false">IF(AG64="2",I64,0)</f>
        <v>0</v>
      </c>
      <c r="X64" s="75" t="n">
        <f aca="false">IF(AG64="0",J64,0)</f>
        <v>0</v>
      </c>
      <c r="Y64" s="68"/>
      <c r="Z64" s="75" t="n">
        <f aca="false">IF(AD64=0,J64,0)</f>
        <v>0</v>
      </c>
      <c r="AA64" s="75" t="n">
        <f aca="false">IF(AD64=15,J64,0)</f>
        <v>0</v>
      </c>
      <c r="AB64" s="75" t="n">
        <f aca="false">IF(AD64=21,J64,0)</f>
        <v>0</v>
      </c>
      <c r="AD64" s="75" t="n">
        <v>21</v>
      </c>
      <c r="AE64" s="75" t="n">
        <f aca="false">G64*0</f>
        <v>0</v>
      </c>
      <c r="AF64" s="75" t="n">
        <f aca="false">G64*(1-0)</f>
        <v>0</v>
      </c>
      <c r="AG64" s="76" t="s">
        <v>105</v>
      </c>
      <c r="AM64" s="75" t="n">
        <f aca="false">F64*AE64</f>
        <v>0</v>
      </c>
      <c r="AN64" s="75" t="n">
        <f aca="false">F64*AF64</f>
        <v>0</v>
      </c>
      <c r="AO64" s="76" t="s">
        <v>263</v>
      </c>
      <c r="AP64" s="76" t="s">
        <v>96</v>
      </c>
      <c r="AQ64" s="68" t="s">
        <v>88</v>
      </c>
      <c r="AR64" s="68" t="s">
        <v>264</v>
      </c>
      <c r="AS64" s="75" t="n">
        <f aca="false">AM64+AN64</f>
        <v>0</v>
      </c>
      <c r="AT64" s="75" t="n">
        <f aca="false">G64/(100-AU64)*100</f>
        <v>0</v>
      </c>
      <c r="AU64" s="75" t="n">
        <v>0</v>
      </c>
      <c r="AV64" s="75" t="n">
        <f aca="false">L64</f>
        <v>0</v>
      </c>
    </row>
    <row r="65" customFormat="false" ht="12.75" hidden="false" customHeight="false" outlineLevel="0" collapsed="false">
      <c r="A65" s="82"/>
      <c r="B65" s="82"/>
      <c r="C65" s="82"/>
      <c r="D65" s="82"/>
      <c r="E65" s="82"/>
      <c r="F65" s="82"/>
      <c r="G65" s="82"/>
      <c r="H65" s="83" t="s">
        <v>265</v>
      </c>
      <c r="I65" s="83"/>
      <c r="J65" s="84" t="n">
        <f aca="false">J12+J14+J20+J22+J25+J27+J30+J34+J45+J47+J51+J55+J58+J60+J63</f>
        <v>0</v>
      </c>
      <c r="K65" s="82"/>
      <c r="L65" s="82"/>
      <c r="M65" s="82"/>
    </row>
    <row r="66" customFormat="false" ht="11.25" hidden="false" customHeight="true" outlineLevel="0" collapsed="false">
      <c r="A66" s="85" t="s">
        <v>266</v>
      </c>
    </row>
    <row r="67" customFormat="false" ht="409.6" hidden="true" customHeight="true" outlineLevel="0" collapsed="false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</row>
  </sheetData>
  <mergeCells count="44">
    <mergeCell ref="A1:M1"/>
    <mergeCell ref="A2:C3"/>
    <mergeCell ref="D2:D3"/>
    <mergeCell ref="E2:F3"/>
    <mergeCell ref="G2:H3"/>
    <mergeCell ref="I2:I3"/>
    <mergeCell ref="J2:M3"/>
    <mergeCell ref="A4:C5"/>
    <mergeCell ref="D4:D5"/>
    <mergeCell ref="E4:F5"/>
    <mergeCell ref="G4:H5"/>
    <mergeCell ref="I4:I5"/>
    <mergeCell ref="J4:M5"/>
    <mergeCell ref="A6:C7"/>
    <mergeCell ref="D6:D7"/>
    <mergeCell ref="E6:F7"/>
    <mergeCell ref="G6:H7"/>
    <mergeCell ref="I6:I7"/>
    <mergeCell ref="J6:M7"/>
    <mergeCell ref="A8:C9"/>
    <mergeCell ref="D8:D9"/>
    <mergeCell ref="E8:F9"/>
    <mergeCell ref="G8:H9"/>
    <mergeCell ref="I8:I9"/>
    <mergeCell ref="J8:M9"/>
    <mergeCell ref="H10:J10"/>
    <mergeCell ref="K10:L10"/>
    <mergeCell ref="D12:G12"/>
    <mergeCell ref="D14:G14"/>
    <mergeCell ref="D20:G20"/>
    <mergeCell ref="D22:G22"/>
    <mergeCell ref="D25:G25"/>
    <mergeCell ref="D27:G27"/>
    <mergeCell ref="D30:G30"/>
    <mergeCell ref="D34:G34"/>
    <mergeCell ref="D45:G45"/>
    <mergeCell ref="D47:G47"/>
    <mergeCell ref="D51:G51"/>
    <mergeCell ref="D55:G55"/>
    <mergeCell ref="D58:G58"/>
    <mergeCell ref="D60:G60"/>
    <mergeCell ref="D63:G63"/>
    <mergeCell ref="H65:I65"/>
    <mergeCell ref="A67:M6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AF56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L3" activeCellId="0" sqref="L3"/>
    </sheetView>
  </sheetViews>
  <sheetFormatPr defaultColWidth="12.578125" defaultRowHeight="12.75" zeroHeight="false" outlineLevelRow="0" outlineLevelCol="0"/>
  <cols>
    <col collapsed="false" customWidth="true" hidden="false" outlineLevel="0" max="1" min="1" style="34" width="4.04"/>
    <col collapsed="false" customWidth="true" hidden="false" outlineLevel="0" max="2" min="2" style="34" width="16.46"/>
    <col collapsed="false" customWidth="true" hidden="false" outlineLevel="0" max="3" min="3" style="34" width="67.68"/>
    <col collapsed="false" customWidth="true" hidden="false" outlineLevel="0" max="4" min="4" style="34" width="4.68"/>
    <col collapsed="false" customWidth="true" hidden="false" outlineLevel="0" max="5" min="5" style="34" width="12.22"/>
    <col collapsed="false" customWidth="true" hidden="false" outlineLevel="0" max="6" min="6" style="34" width="14.1"/>
    <col collapsed="false" customWidth="true" hidden="false" outlineLevel="0" max="7" min="7" style="34" width="22.74"/>
    <col collapsed="false" customWidth="true" hidden="false" outlineLevel="0" max="8" min="8" style="34" width="22.9"/>
    <col collapsed="false" customWidth="true" hidden="false" outlineLevel="0" max="10" min="9" style="34" width="22.74"/>
    <col collapsed="false" customWidth="true" hidden="false" outlineLevel="0" max="11" min="11" style="34" width="24.62"/>
    <col collapsed="false" customWidth="true" hidden="false" outlineLevel="0" max="12" min="12" style="34" width="22.74"/>
    <col collapsed="false" customWidth="true" hidden="false" outlineLevel="0" max="30" min="13" style="34" width="12.7"/>
    <col collapsed="false" customWidth="true" hidden="true" outlineLevel="0" max="32" min="31" style="34" width="13.32"/>
    <col collapsed="false" customWidth="true" hidden="false" outlineLevel="0" max="257" min="33" style="34" width="12.7"/>
  </cols>
  <sheetData>
    <row r="1" customFormat="false" ht="12.75" hidden="false" customHeight="false" outlineLevel="0" collapsed="false">
      <c r="A1" s="86" t="s">
        <v>53</v>
      </c>
      <c r="B1" s="86" t="s">
        <v>55</v>
      </c>
      <c r="C1" s="86" t="s">
        <v>56</v>
      </c>
      <c r="D1" s="86" t="s">
        <v>57</v>
      </c>
      <c r="E1" s="86" t="s">
        <v>267</v>
      </c>
      <c r="F1" s="86" t="s">
        <v>58</v>
      </c>
      <c r="G1" s="86" t="s">
        <v>268</v>
      </c>
      <c r="H1" s="86" t="s">
        <v>269</v>
      </c>
      <c r="I1" s="86" t="s">
        <v>270</v>
      </c>
      <c r="J1" s="86" t="s">
        <v>271</v>
      </c>
      <c r="K1" s="86" t="s">
        <v>272</v>
      </c>
      <c r="L1" s="87" t="s">
        <v>273</v>
      </c>
      <c r="M1" s="41"/>
    </row>
    <row r="2" customFormat="false" ht="12.75" hidden="false" customHeight="false" outlineLevel="0" collapsed="false">
      <c r="A2" s="70" t="s">
        <v>63</v>
      </c>
      <c r="B2" s="70" t="s">
        <v>79</v>
      </c>
      <c r="C2" s="70" t="s">
        <v>80</v>
      </c>
      <c r="D2" s="70" t="s">
        <v>63</v>
      </c>
      <c r="E2" s="70" t="s">
        <v>63</v>
      </c>
      <c r="F2" s="72" t="s">
        <v>63</v>
      </c>
      <c r="G2" s="72" t="s">
        <v>63</v>
      </c>
      <c r="H2" s="71" t="n">
        <f aca="false">SUM(H3:H3)</f>
        <v>0</v>
      </c>
      <c r="I2" s="71" t="n">
        <f aca="false">SUM(I3:I3)</f>
        <v>0</v>
      </c>
      <c r="J2" s="71" t="n">
        <f aca="false">SUM(J3:J3)</f>
        <v>0</v>
      </c>
      <c r="K2" s="72" t="s">
        <v>63</v>
      </c>
      <c r="L2" s="71" t="n">
        <f aca="false">SUM(L3:L3)</f>
        <v>1.5622076</v>
      </c>
    </row>
    <row r="3" customFormat="false" ht="25.35" hidden="false" customHeight="false" outlineLevel="0" collapsed="false">
      <c r="A3" s="44" t="s">
        <v>81</v>
      </c>
      <c r="B3" s="44" t="s">
        <v>82</v>
      </c>
      <c r="C3" s="74" t="s">
        <v>83</v>
      </c>
      <c r="D3" s="44" t="s">
        <v>84</v>
      </c>
      <c r="E3" s="44" t="s">
        <v>179</v>
      </c>
      <c r="F3" s="75" t="n">
        <f aca="false">'[1]Stavební rozpočet'!F13</f>
        <v>54.68</v>
      </c>
      <c r="G3" s="75" t="n">
        <f aca="false">'[1]Stavební rozpočet'!G13</f>
        <v>0</v>
      </c>
      <c r="H3" s="75" t="n">
        <f aca="false">AE3*F3</f>
        <v>0</v>
      </c>
      <c r="I3" s="75" t="n">
        <f aca="false">AF3*F3</f>
        <v>0</v>
      </c>
      <c r="J3" s="75" t="n">
        <f aca="false">AE3*F3+AF3*F3</f>
        <v>0</v>
      </c>
      <c r="K3" s="75" t="n">
        <f aca="false">'[1]Stavební rozpočet'!K13</f>
        <v>0.02857</v>
      </c>
      <c r="L3" s="75" t="n">
        <f aca="false">K3*F3</f>
        <v>1.5622076</v>
      </c>
      <c r="AE3" s="88" t="n">
        <f aca="false">G3*0.553033333333333</f>
        <v>0</v>
      </c>
      <c r="AF3" s="88" t="n">
        <f aca="false">G3*(1-0.553033333333333)</f>
        <v>0</v>
      </c>
    </row>
    <row r="4" customFormat="false" ht="12.75" hidden="false" customHeight="false" outlineLevel="0" collapsed="false">
      <c r="A4" s="78" t="s">
        <v>63</v>
      </c>
      <c r="B4" s="78" t="s">
        <v>90</v>
      </c>
      <c r="C4" s="78" t="s">
        <v>91</v>
      </c>
      <c r="D4" s="78" t="s">
        <v>63</v>
      </c>
      <c r="E4" s="78" t="s">
        <v>63</v>
      </c>
      <c r="F4" s="68" t="s">
        <v>63</v>
      </c>
      <c r="G4" s="68" t="s">
        <v>63</v>
      </c>
      <c r="H4" s="73" t="n">
        <f aca="false">SUM(H5:H9)</f>
        <v>0</v>
      </c>
      <c r="I4" s="73" t="n">
        <f aca="false">SUM(I5:I9)</f>
        <v>0</v>
      </c>
      <c r="J4" s="73" t="n">
        <f aca="false">SUM(J5:J9)</f>
        <v>0</v>
      </c>
      <c r="K4" s="68" t="s">
        <v>63</v>
      </c>
      <c r="L4" s="73" t="n">
        <f aca="false">SUM(L5:L9)</f>
        <v>123.506546</v>
      </c>
    </row>
    <row r="5" customFormat="false" ht="12.75" hidden="false" customHeight="false" outlineLevel="0" collapsed="false">
      <c r="A5" s="44" t="s">
        <v>92</v>
      </c>
      <c r="B5" s="44" t="s">
        <v>93</v>
      </c>
      <c r="C5" s="44" t="s">
        <v>94</v>
      </c>
      <c r="D5" s="44" t="s">
        <v>84</v>
      </c>
      <c r="E5" s="44" t="s">
        <v>179</v>
      </c>
      <c r="F5" s="75" t="n">
        <f aca="false">'[1]Stavební rozpočet'!F15</f>
        <v>204</v>
      </c>
      <c r="G5" s="75" t="n">
        <f aca="false">'[1]Stavební rozpočet'!G15</f>
        <v>0</v>
      </c>
      <c r="H5" s="75" t="n">
        <f aca="false">AE5*F5</f>
        <v>0</v>
      </c>
      <c r="I5" s="75" t="n">
        <f aca="false">AF5*F5</f>
        <v>0</v>
      </c>
      <c r="J5" s="75" t="n">
        <f aca="false">AE5*F5+AF5*F5</f>
        <v>0</v>
      </c>
      <c r="K5" s="75" t="n">
        <f aca="false">'[1]Stavební rozpočet'!K15</f>
        <v>0.02</v>
      </c>
      <c r="L5" s="75" t="n">
        <f aca="false">K5*F5</f>
        <v>4.08</v>
      </c>
      <c r="AE5" s="88" t="n">
        <f aca="false">G5*0</f>
        <v>0</v>
      </c>
      <c r="AF5" s="88" t="n">
        <f aca="false">G5*(1-0)</f>
        <v>0</v>
      </c>
    </row>
    <row r="6" customFormat="false" ht="12.75" hidden="false" customHeight="false" outlineLevel="0" collapsed="false">
      <c r="A6" s="44" t="s">
        <v>98</v>
      </c>
      <c r="B6" s="44" t="s">
        <v>99</v>
      </c>
      <c r="C6" s="44" t="s">
        <v>100</v>
      </c>
      <c r="D6" s="44" t="s">
        <v>84</v>
      </c>
      <c r="E6" s="44" t="s">
        <v>179</v>
      </c>
      <c r="F6" s="75" t="n">
        <f aca="false">'[1]Stavební rozpočet'!F16</f>
        <v>204</v>
      </c>
      <c r="G6" s="75" t="n">
        <f aca="false">'[1]Stavební rozpočet'!G16</f>
        <v>0</v>
      </c>
      <c r="H6" s="75" t="n">
        <f aca="false">AE6*F6</f>
        <v>0</v>
      </c>
      <c r="I6" s="75" t="n">
        <f aca="false">AF6*F6</f>
        <v>0</v>
      </c>
      <c r="J6" s="75" t="n">
        <f aca="false">AE6*F6+AF6*F6</f>
        <v>0</v>
      </c>
      <c r="K6" s="75" t="n">
        <f aca="false">'[1]Stavební rozpočet'!K16</f>
        <v>0.00765</v>
      </c>
      <c r="L6" s="75" t="n">
        <f aca="false">K6*F6</f>
        <v>1.5606</v>
      </c>
      <c r="AE6" s="88" t="n">
        <f aca="false">G6*0</f>
        <v>0</v>
      </c>
      <c r="AF6" s="88" t="n">
        <f aca="false">G6*(1-0)</f>
        <v>0</v>
      </c>
    </row>
    <row r="7" customFormat="false" ht="12.75" hidden="false" customHeight="false" outlineLevel="0" collapsed="false">
      <c r="A7" s="44" t="s">
        <v>101</v>
      </c>
      <c r="B7" s="44" t="s">
        <v>102</v>
      </c>
      <c r="C7" s="44" t="s">
        <v>103</v>
      </c>
      <c r="D7" s="44" t="s">
        <v>104</v>
      </c>
      <c r="E7" s="44" t="s">
        <v>179</v>
      </c>
      <c r="F7" s="75" t="n">
        <f aca="false">'[1]Stavební rozpočet'!F17</f>
        <v>34</v>
      </c>
      <c r="G7" s="75" t="n">
        <f aca="false">'[1]Stavební rozpočet'!G17</f>
        <v>0</v>
      </c>
      <c r="H7" s="75" t="n">
        <f aca="false">AE7*F7</f>
        <v>0</v>
      </c>
      <c r="I7" s="75" t="n">
        <f aca="false">AF7*F7</f>
        <v>0</v>
      </c>
      <c r="J7" s="75" t="n">
        <f aca="false">AE7*F7+AF7*F7</f>
        <v>0</v>
      </c>
      <c r="K7" s="75" t="n">
        <f aca="false">'[1]Stavební rozpočet'!K17</f>
        <v>0.017</v>
      </c>
      <c r="L7" s="75" t="n">
        <f aca="false">K7*F7</f>
        <v>0.578</v>
      </c>
      <c r="AE7" s="88" t="n">
        <f aca="false">G7*0</f>
        <v>0</v>
      </c>
      <c r="AF7" s="88" t="n">
        <f aca="false">G7*(1-0)</f>
        <v>0</v>
      </c>
    </row>
    <row r="8" customFormat="false" ht="12.75" hidden="false" customHeight="false" outlineLevel="0" collapsed="false">
      <c r="A8" s="44" t="s">
        <v>105</v>
      </c>
      <c r="B8" s="44" t="s">
        <v>106</v>
      </c>
      <c r="C8" s="44" t="s">
        <v>107</v>
      </c>
      <c r="D8" s="44" t="s">
        <v>108</v>
      </c>
      <c r="E8" s="44" t="s">
        <v>179</v>
      </c>
      <c r="F8" s="75" t="n">
        <f aca="false">'[1]Stavební rozpočet'!F18</f>
        <v>90</v>
      </c>
      <c r="G8" s="75" t="n">
        <f aca="false">'[1]Stavební rozpočet'!G18</f>
        <v>0</v>
      </c>
      <c r="H8" s="75" t="n">
        <f aca="false">AE8*F8</f>
        <v>0</v>
      </c>
      <c r="I8" s="75" t="n">
        <f aca="false">AF8*F8</f>
        <v>0</v>
      </c>
      <c r="J8" s="75" t="n">
        <f aca="false">AE8*F8+AF8*F8</f>
        <v>0</v>
      </c>
      <c r="K8" s="75" t="n">
        <f aca="false">'[1]Stavební rozpočet'!K18</f>
        <v>0.06359</v>
      </c>
      <c r="L8" s="75" t="n">
        <f aca="false">K8*F8</f>
        <v>5.7231</v>
      </c>
      <c r="AE8" s="88" t="n">
        <f aca="false">G8*0.0137888888888889</f>
        <v>0</v>
      </c>
      <c r="AF8" s="88" t="n">
        <f aca="false">G8*(1-0.0137888888888889)</f>
        <v>0</v>
      </c>
    </row>
    <row r="9" customFormat="false" ht="12.75" hidden="false" customHeight="false" outlineLevel="0" collapsed="false">
      <c r="A9" s="44" t="s">
        <v>109</v>
      </c>
      <c r="B9" s="44" t="s">
        <v>110</v>
      </c>
      <c r="C9" s="44" t="s">
        <v>274</v>
      </c>
      <c r="D9" s="44" t="s">
        <v>84</v>
      </c>
      <c r="E9" s="44" t="s">
        <v>179</v>
      </c>
      <c r="F9" s="75" t="n">
        <f aca="false">'[1]Stavební rozpočet'!F19</f>
        <v>94.86</v>
      </c>
      <c r="G9" s="75" t="n">
        <f aca="false">'[1]Stavební rozpočet'!G19</f>
        <v>0</v>
      </c>
      <c r="H9" s="75" t="n">
        <f aca="false">AE9*F9</f>
        <v>0</v>
      </c>
      <c r="I9" s="75" t="n">
        <f aca="false">AF9*F9</f>
        <v>0</v>
      </c>
      <c r="J9" s="75" t="n">
        <f aca="false">AE9*F9+AF9*F9</f>
        <v>0</v>
      </c>
      <c r="K9" s="75" t="n">
        <f aca="false">'[1]Stavební rozpočet'!K19</f>
        <v>1.1761</v>
      </c>
      <c r="L9" s="75" t="n">
        <f aca="false">K9*F9</f>
        <v>111.564846</v>
      </c>
      <c r="AE9" s="88" t="n">
        <f aca="false">G9*0</f>
        <v>0</v>
      </c>
      <c r="AF9" s="88" t="n">
        <f aca="false">G9*(1-0)</f>
        <v>0</v>
      </c>
    </row>
    <row r="10" customFormat="false" ht="12.75" hidden="false" customHeight="false" outlineLevel="0" collapsed="false">
      <c r="A10" s="78" t="s">
        <v>63</v>
      </c>
      <c r="B10" s="78" t="s">
        <v>112</v>
      </c>
      <c r="C10" s="78" t="s">
        <v>113</v>
      </c>
      <c r="D10" s="78" t="s">
        <v>63</v>
      </c>
      <c r="E10" s="78" t="s">
        <v>63</v>
      </c>
      <c r="F10" s="68" t="s">
        <v>63</v>
      </c>
      <c r="G10" s="68" t="s">
        <v>63</v>
      </c>
      <c r="H10" s="73" t="n">
        <f aca="false">SUM(H11:H11)</f>
        <v>0</v>
      </c>
      <c r="I10" s="73" t="n">
        <f aca="false">SUM(I11:I11)</f>
        <v>0</v>
      </c>
      <c r="J10" s="73" t="n">
        <f aca="false">SUM(J11:J11)</f>
        <v>0</v>
      </c>
      <c r="K10" s="68" t="s">
        <v>63</v>
      </c>
      <c r="L10" s="73" t="n">
        <f aca="false">SUM(L11:L11)</f>
        <v>4.9810986</v>
      </c>
    </row>
    <row r="11" customFormat="false" ht="12.75" hidden="false" customHeight="false" outlineLevel="0" collapsed="false">
      <c r="A11" s="44" t="s">
        <v>114</v>
      </c>
      <c r="B11" s="44" t="s">
        <v>115</v>
      </c>
      <c r="C11" s="44" t="s">
        <v>116</v>
      </c>
      <c r="D11" s="44" t="s">
        <v>84</v>
      </c>
      <c r="E11" s="44" t="s">
        <v>179</v>
      </c>
      <c r="F11" s="75" t="n">
        <f aca="false">'[1]Stavební rozpočet'!F21</f>
        <v>94.86</v>
      </c>
      <c r="G11" s="75" t="n">
        <f aca="false">'[1]Stavební rozpočet'!G21</f>
        <v>0</v>
      </c>
      <c r="H11" s="75" t="n">
        <f aca="false">AE11*F11</f>
        <v>0</v>
      </c>
      <c r="I11" s="75" t="n">
        <f aca="false">AF11*F11</f>
        <v>0</v>
      </c>
      <c r="J11" s="75" t="n">
        <f aca="false">AE11*F11+AF11*F11</f>
        <v>0</v>
      </c>
      <c r="K11" s="75" t="n">
        <f aca="false">'[1]Stavební rozpočet'!K21</f>
        <v>0.05251</v>
      </c>
      <c r="L11" s="75" t="n">
        <f aca="false">K11*F11</f>
        <v>4.9810986</v>
      </c>
      <c r="AE11" s="88" t="n">
        <f aca="false">G11*0.615041379310345</f>
        <v>0</v>
      </c>
      <c r="AF11" s="88" t="n">
        <f aca="false">G11*(1-0.615041379310345)</f>
        <v>0</v>
      </c>
    </row>
    <row r="12" customFormat="false" ht="12.75" hidden="false" customHeight="false" outlineLevel="0" collapsed="false">
      <c r="A12" s="78" t="s">
        <v>63</v>
      </c>
      <c r="B12" s="78" t="s">
        <v>119</v>
      </c>
      <c r="C12" s="78" t="s">
        <v>120</v>
      </c>
      <c r="D12" s="78" t="s">
        <v>63</v>
      </c>
      <c r="E12" s="78" t="s">
        <v>63</v>
      </c>
      <c r="F12" s="68" t="s">
        <v>63</v>
      </c>
      <c r="G12" s="68" t="s">
        <v>63</v>
      </c>
      <c r="H12" s="73" t="n">
        <f aca="false">SUM(H13:H14)</f>
        <v>0</v>
      </c>
      <c r="I12" s="73" t="n">
        <f aca="false">SUM(I13:I14)</f>
        <v>0</v>
      </c>
      <c r="J12" s="73" t="n">
        <f aca="false">SUM(J13:J14)</f>
        <v>0</v>
      </c>
      <c r="K12" s="68" t="s">
        <v>63</v>
      </c>
      <c r="L12" s="73" t="n">
        <f aca="false">SUM(L13:L14)</f>
        <v>6.20942</v>
      </c>
    </row>
    <row r="13" customFormat="false" ht="25.35" hidden="false" customHeight="false" outlineLevel="0" collapsed="false">
      <c r="A13" s="44" t="s">
        <v>121</v>
      </c>
      <c r="B13" s="44" t="s">
        <v>122</v>
      </c>
      <c r="C13" s="74" t="s">
        <v>123</v>
      </c>
      <c r="D13" s="44" t="s">
        <v>104</v>
      </c>
      <c r="E13" s="44" t="s">
        <v>179</v>
      </c>
      <c r="F13" s="75" t="n">
        <f aca="false">'[1]Stavební rozpočet'!F23</f>
        <v>34</v>
      </c>
      <c r="G13" s="75" t="n">
        <f aca="false">'[1]Stavební rozpočet'!G23</f>
        <v>0</v>
      </c>
      <c r="H13" s="75" t="n">
        <f aca="false">AE13*F13</f>
        <v>0</v>
      </c>
      <c r="I13" s="75" t="n">
        <f aca="false">AF13*F13</f>
        <v>0</v>
      </c>
      <c r="J13" s="75" t="n">
        <f aca="false">AE13*F13+AF13*F13</f>
        <v>0</v>
      </c>
      <c r="K13" s="75" t="n">
        <f aca="false">'[1]Stavební rozpočet'!K23</f>
        <v>0.16263</v>
      </c>
      <c r="L13" s="75" t="n">
        <f aca="false">K13*F13</f>
        <v>5.52942</v>
      </c>
      <c r="AE13" s="88" t="n">
        <f aca="false">G13*0.597194545454546</f>
        <v>0</v>
      </c>
      <c r="AF13" s="88" t="n">
        <f aca="false">G13*(1-0.597194545454546)</f>
        <v>0</v>
      </c>
    </row>
    <row r="14" customFormat="false" ht="25.35" hidden="false" customHeight="false" outlineLevel="0" collapsed="false">
      <c r="A14" s="44" t="s">
        <v>127</v>
      </c>
      <c r="B14" s="44" t="s">
        <v>128</v>
      </c>
      <c r="C14" s="74" t="s">
        <v>275</v>
      </c>
      <c r="D14" s="44" t="s">
        <v>104</v>
      </c>
      <c r="E14" s="44" t="s">
        <v>179</v>
      </c>
      <c r="F14" s="75" t="n">
        <f aca="false">'[1]Stavební rozpočet'!F24</f>
        <v>34</v>
      </c>
      <c r="G14" s="75" t="n">
        <f aca="false">'[1]Stavební rozpočet'!G24</f>
        <v>0</v>
      </c>
      <c r="H14" s="75" t="n">
        <f aca="false">AE14*F14</f>
        <v>0</v>
      </c>
      <c r="I14" s="75" t="n">
        <f aca="false">AF14*F14</f>
        <v>0</v>
      </c>
      <c r="J14" s="75" t="n">
        <f aca="false">AE14*F14+AF14*F14</f>
        <v>0</v>
      </c>
      <c r="K14" s="75" t="n">
        <f aca="false">'[1]Stavební rozpočet'!K24</f>
        <v>0.02</v>
      </c>
      <c r="L14" s="75" t="n">
        <f aca="false">K14*F14</f>
        <v>0.68</v>
      </c>
      <c r="AE14" s="88" t="n">
        <f aca="false">G14*0.825252985884908</f>
        <v>0</v>
      </c>
      <c r="AF14" s="88" t="n">
        <f aca="false">G14*(1-0.825252985884908)</f>
        <v>0</v>
      </c>
    </row>
    <row r="15" customFormat="false" ht="12.75" hidden="false" customHeight="false" outlineLevel="0" collapsed="false">
      <c r="A15" s="78" t="s">
        <v>63</v>
      </c>
      <c r="B15" s="78" t="s">
        <v>130</v>
      </c>
      <c r="C15" s="78" t="s">
        <v>131</v>
      </c>
      <c r="D15" s="78" t="s">
        <v>63</v>
      </c>
      <c r="E15" s="78" t="s">
        <v>63</v>
      </c>
      <c r="F15" s="68" t="s">
        <v>63</v>
      </c>
      <c r="G15" s="68" t="s">
        <v>63</v>
      </c>
      <c r="H15" s="73" t="n">
        <f aca="false">SUM(H16:H16)</f>
        <v>0</v>
      </c>
      <c r="I15" s="73" t="n">
        <f aca="false">SUM(I16:I16)</f>
        <v>0</v>
      </c>
      <c r="J15" s="73" t="n">
        <f aca="false">SUM(J16:J16)</f>
        <v>0</v>
      </c>
      <c r="K15" s="68" t="s">
        <v>63</v>
      </c>
      <c r="L15" s="73" t="n">
        <f aca="false">SUM(L16:L16)</f>
        <v>0</v>
      </c>
    </row>
    <row r="16" customFormat="false" ht="12.75" hidden="false" customHeight="false" outlineLevel="0" collapsed="false">
      <c r="A16" s="44" t="s">
        <v>132</v>
      </c>
      <c r="B16" s="44" t="s">
        <v>133</v>
      </c>
      <c r="C16" s="44" t="s">
        <v>134</v>
      </c>
      <c r="D16" s="44" t="s">
        <v>84</v>
      </c>
      <c r="E16" s="44" t="s">
        <v>179</v>
      </c>
      <c r="F16" s="75" t="n">
        <f aca="false">'[1]Stavební rozpočet'!F26</f>
        <v>80</v>
      </c>
      <c r="G16" s="75" t="n">
        <f aca="false">'[1]Stavební rozpočet'!G26</f>
        <v>0</v>
      </c>
      <c r="H16" s="75" t="n">
        <f aca="false">AE16*F16</f>
        <v>0</v>
      </c>
      <c r="I16" s="75" t="n">
        <f aca="false">AF16*F16</f>
        <v>0</v>
      </c>
      <c r="J16" s="75" t="n">
        <f aca="false">AE16*F16+AF16*F16</f>
        <v>0</v>
      </c>
      <c r="K16" s="75" t="n">
        <f aca="false">'[1]Stavební rozpočet'!K26</f>
        <v>0</v>
      </c>
      <c r="L16" s="75" t="n">
        <f aca="false">K16*F16</f>
        <v>0</v>
      </c>
      <c r="AE16" s="88" t="n">
        <f aca="false">G16*0.614838709677419</f>
        <v>0</v>
      </c>
      <c r="AF16" s="88" t="n">
        <f aca="false">G16*(1-0.614838709677419)</f>
        <v>0</v>
      </c>
    </row>
    <row r="17" customFormat="false" ht="12.75" hidden="false" customHeight="false" outlineLevel="0" collapsed="false">
      <c r="A17" s="78" t="s">
        <v>63</v>
      </c>
      <c r="B17" s="78" t="s">
        <v>137</v>
      </c>
      <c r="C17" s="78" t="s">
        <v>138</v>
      </c>
      <c r="D17" s="78" t="s">
        <v>63</v>
      </c>
      <c r="E17" s="78" t="s">
        <v>63</v>
      </c>
      <c r="F17" s="68" t="s">
        <v>63</v>
      </c>
      <c r="G17" s="68" t="s">
        <v>63</v>
      </c>
      <c r="H17" s="73" t="n">
        <f aca="false">SUM(H18:H19)</f>
        <v>0</v>
      </c>
      <c r="I17" s="73" t="n">
        <f aca="false">SUM(I18:I19)</f>
        <v>0</v>
      </c>
      <c r="J17" s="73" t="n">
        <f aca="false">SUM(J18:J19)</f>
        <v>0</v>
      </c>
      <c r="K17" s="68" t="s">
        <v>63</v>
      </c>
      <c r="L17" s="73" t="n">
        <f aca="false">SUM(L18:L19)</f>
        <v>0.17885</v>
      </c>
    </row>
    <row r="18" customFormat="false" ht="25.35" hidden="false" customHeight="false" outlineLevel="0" collapsed="false">
      <c r="A18" s="44" t="s">
        <v>139</v>
      </c>
      <c r="B18" s="44" t="s">
        <v>140</v>
      </c>
      <c r="C18" s="74" t="s">
        <v>141</v>
      </c>
      <c r="D18" s="44" t="s">
        <v>108</v>
      </c>
      <c r="E18" s="44" t="s">
        <v>179</v>
      </c>
      <c r="F18" s="75" t="n">
        <f aca="false">'[1]Stavební rozpočet'!F28</f>
        <v>90</v>
      </c>
      <c r="G18" s="75" t="n">
        <f aca="false">'[1]Stavební rozpočet'!G28</f>
        <v>0</v>
      </c>
      <c r="H18" s="75" t="n">
        <f aca="false">AE18*F18</f>
        <v>0</v>
      </c>
      <c r="I18" s="75" t="n">
        <f aca="false">AF18*F18</f>
        <v>0</v>
      </c>
      <c r="J18" s="75" t="n">
        <f aca="false">AE18*F18+AF18*F18</f>
        <v>0</v>
      </c>
      <c r="K18" s="75" t="n">
        <f aca="false">'[1]Stavební rozpočet'!K28</f>
        <v>0.00198</v>
      </c>
      <c r="L18" s="75" t="n">
        <f aca="false">K18*F18</f>
        <v>0.1782</v>
      </c>
      <c r="AE18" s="88" t="n">
        <f aca="false">G18*0.881861141403126</f>
        <v>0</v>
      </c>
      <c r="AF18" s="88" t="n">
        <f aca="false">G18*(1-0.881861141403126)</f>
        <v>0</v>
      </c>
    </row>
    <row r="19" customFormat="false" ht="46.25" hidden="false" customHeight="false" outlineLevel="0" collapsed="false">
      <c r="A19" s="44" t="s">
        <v>145</v>
      </c>
      <c r="B19" s="44" t="s">
        <v>146</v>
      </c>
      <c r="C19" s="74" t="s">
        <v>276</v>
      </c>
      <c r="D19" s="44" t="s">
        <v>148</v>
      </c>
      <c r="E19" s="44" t="s">
        <v>179</v>
      </c>
      <c r="F19" s="75" t="n">
        <f aca="false">'[1]Stavební rozpočet'!F29</f>
        <v>1</v>
      </c>
      <c r="G19" s="75" t="n">
        <f aca="false">'[1]Stavební rozpočet'!G29</f>
        <v>0</v>
      </c>
      <c r="H19" s="75" t="n">
        <f aca="false">AE19*F19</f>
        <v>0</v>
      </c>
      <c r="I19" s="75" t="n">
        <f aca="false">AF19*F19</f>
        <v>0</v>
      </c>
      <c r="J19" s="75" t="n">
        <f aca="false">AE19*F19+AF19*F19</f>
        <v>0</v>
      </c>
      <c r="K19" s="75" t="n">
        <f aca="false">'[1]Stavební rozpočet'!K29</f>
        <v>0.00065</v>
      </c>
      <c r="L19" s="75" t="n">
        <f aca="false">K19*F19</f>
        <v>0.00065</v>
      </c>
      <c r="AE19" s="88" t="n">
        <f aca="false">G19*0.0348047393364929</f>
        <v>0</v>
      </c>
      <c r="AF19" s="88" t="n">
        <f aca="false">G19*(1-0.0348047393364929)</f>
        <v>0</v>
      </c>
    </row>
    <row r="20" customFormat="false" ht="12.75" hidden="false" customHeight="false" outlineLevel="0" collapsed="false">
      <c r="A20" s="78" t="s">
        <v>63</v>
      </c>
      <c r="B20" s="78" t="s">
        <v>149</v>
      </c>
      <c r="C20" s="78" t="s">
        <v>150</v>
      </c>
      <c r="D20" s="78" t="s">
        <v>63</v>
      </c>
      <c r="E20" s="78" t="s">
        <v>63</v>
      </c>
      <c r="F20" s="68" t="s">
        <v>63</v>
      </c>
      <c r="G20" s="68" t="s">
        <v>63</v>
      </c>
      <c r="H20" s="73" t="n">
        <f aca="false">SUM(H21:H23)</f>
        <v>0</v>
      </c>
      <c r="I20" s="73" t="n">
        <f aca="false">SUM(I21:I23)</f>
        <v>0</v>
      </c>
      <c r="J20" s="73" t="n">
        <f aca="false">SUM(J21:J23)</f>
        <v>0</v>
      </c>
      <c r="K20" s="68" t="s">
        <v>63</v>
      </c>
      <c r="L20" s="73" t="n">
        <f aca="false">SUM(L21:L23)</f>
        <v>2.4842</v>
      </c>
    </row>
    <row r="21" customFormat="false" ht="12.75" hidden="false" customHeight="false" outlineLevel="0" collapsed="false">
      <c r="A21" s="44" t="s">
        <v>151</v>
      </c>
      <c r="B21" s="44" t="s">
        <v>152</v>
      </c>
      <c r="C21" s="44" t="s">
        <v>153</v>
      </c>
      <c r="D21" s="44" t="s">
        <v>108</v>
      </c>
      <c r="E21" s="44" t="s">
        <v>179</v>
      </c>
      <c r="F21" s="75" t="n">
        <f aca="false">'[1]Stavební rozpočet'!F31</f>
        <v>30</v>
      </c>
      <c r="G21" s="75" t="n">
        <f aca="false">'[1]Stavební rozpočet'!G31</f>
        <v>0</v>
      </c>
      <c r="H21" s="75" t="n">
        <f aca="false">AE21*F21</f>
        <v>0</v>
      </c>
      <c r="I21" s="75" t="n">
        <f aca="false">AF21*F21</f>
        <v>0</v>
      </c>
      <c r="J21" s="75" t="n">
        <f aca="false">AE21*F21+AF21*F21</f>
        <v>0</v>
      </c>
      <c r="K21" s="75" t="n">
        <f aca="false">'[1]Stavební rozpočet'!K31</f>
        <v>0.03738</v>
      </c>
      <c r="L21" s="75" t="n">
        <f aca="false">K21*F21</f>
        <v>1.1214</v>
      </c>
      <c r="AE21" s="88" t="n">
        <f aca="false">G21*0.2171</f>
        <v>0</v>
      </c>
      <c r="AF21" s="88" t="n">
        <f aca="false">G21*(1-0.2171)</f>
        <v>0</v>
      </c>
    </row>
    <row r="22" customFormat="false" ht="12.75" hidden="false" customHeight="false" outlineLevel="0" collapsed="false">
      <c r="A22" s="44" t="s">
        <v>155</v>
      </c>
      <c r="B22" s="44" t="s">
        <v>156</v>
      </c>
      <c r="C22" s="44" t="s">
        <v>157</v>
      </c>
      <c r="D22" s="44" t="s">
        <v>108</v>
      </c>
      <c r="E22" s="44" t="s">
        <v>179</v>
      </c>
      <c r="F22" s="75" t="n">
        <f aca="false">'[1]Stavební rozpočet'!F32</f>
        <v>45</v>
      </c>
      <c r="G22" s="75" t="n">
        <f aca="false">'[1]Stavební rozpočet'!G32</f>
        <v>0</v>
      </c>
      <c r="H22" s="75" t="n">
        <f aca="false">AE22*F22</f>
        <v>0</v>
      </c>
      <c r="I22" s="75" t="n">
        <f aca="false">AF22*F22</f>
        <v>0</v>
      </c>
      <c r="J22" s="75" t="n">
        <f aca="false">AE22*F22+AF22*F22</f>
        <v>0</v>
      </c>
      <c r="K22" s="75" t="n">
        <f aca="false">'[1]Stavební rozpočet'!K32</f>
        <v>0.02653</v>
      </c>
      <c r="L22" s="75" t="n">
        <f aca="false">K22*F22</f>
        <v>1.19385</v>
      </c>
      <c r="AE22" s="88" t="n">
        <f aca="false">G22*0.368832</f>
        <v>0</v>
      </c>
      <c r="AF22" s="88" t="n">
        <f aca="false">G22*(1-0.368832)</f>
        <v>0</v>
      </c>
    </row>
    <row r="23" customFormat="false" ht="12.75" hidden="false" customHeight="false" outlineLevel="0" collapsed="false">
      <c r="A23" s="44" t="s">
        <v>158</v>
      </c>
      <c r="B23" s="44" t="s">
        <v>159</v>
      </c>
      <c r="C23" s="44" t="s">
        <v>160</v>
      </c>
      <c r="D23" s="44" t="s">
        <v>104</v>
      </c>
      <c r="E23" s="44" t="s">
        <v>179</v>
      </c>
      <c r="F23" s="75" t="n">
        <f aca="false">'[1]Stavební rozpočet'!F33</f>
        <v>31</v>
      </c>
      <c r="G23" s="75" t="n">
        <f aca="false">'[1]Stavební rozpočet'!G33</f>
        <v>0</v>
      </c>
      <c r="H23" s="75" t="n">
        <f aca="false">AE23*F23</f>
        <v>0</v>
      </c>
      <c r="I23" s="75" t="n">
        <f aca="false">AF23*F23</f>
        <v>0</v>
      </c>
      <c r="J23" s="75" t="n">
        <f aca="false">AE23*F23+AF23*F23</f>
        <v>0</v>
      </c>
      <c r="K23" s="75" t="n">
        <f aca="false">'[1]Stavební rozpočet'!K33</f>
        <v>0.00545</v>
      </c>
      <c r="L23" s="75" t="n">
        <f aca="false">K23*F23</f>
        <v>0.16895</v>
      </c>
      <c r="AE23" s="88" t="n">
        <f aca="false">G23*0.728181818181818</f>
        <v>0</v>
      </c>
      <c r="AF23" s="88" t="n">
        <f aca="false">G23*(1-0.728181818181818)</f>
        <v>0</v>
      </c>
    </row>
    <row r="24" customFormat="false" ht="12.75" hidden="false" customHeight="false" outlineLevel="0" collapsed="false">
      <c r="A24" s="78" t="s">
        <v>63</v>
      </c>
      <c r="B24" s="78" t="s">
        <v>162</v>
      </c>
      <c r="C24" s="78" t="s">
        <v>163</v>
      </c>
      <c r="D24" s="78" t="s">
        <v>63</v>
      </c>
      <c r="E24" s="78" t="s">
        <v>63</v>
      </c>
      <c r="F24" s="68" t="s">
        <v>63</v>
      </c>
      <c r="G24" s="68" t="s">
        <v>63</v>
      </c>
      <c r="H24" s="73" t="n">
        <f aca="false">SUM(H25:H34)</f>
        <v>0</v>
      </c>
      <c r="I24" s="73" t="n">
        <f aca="false">SUM(I25:I34)</f>
        <v>0</v>
      </c>
      <c r="J24" s="73" t="n">
        <f aca="false">SUM(J25:J34)</f>
        <v>0</v>
      </c>
      <c r="K24" s="68" t="s">
        <v>63</v>
      </c>
      <c r="L24" s="73" t="n">
        <f aca="false">SUM(L25:L34)</f>
        <v>4.30434</v>
      </c>
    </row>
    <row r="25" customFormat="false" ht="12.75" hidden="false" customHeight="false" outlineLevel="0" collapsed="false">
      <c r="A25" s="44" t="s">
        <v>164</v>
      </c>
      <c r="B25" s="44" t="s">
        <v>165</v>
      </c>
      <c r="C25" s="44" t="s">
        <v>166</v>
      </c>
      <c r="D25" s="44" t="s">
        <v>104</v>
      </c>
      <c r="E25" s="44" t="s">
        <v>179</v>
      </c>
      <c r="F25" s="75" t="n">
        <f aca="false">'[1]Stavební rozpočet'!F35</f>
        <v>31</v>
      </c>
      <c r="G25" s="75" t="n">
        <f aca="false">'[1]Stavební rozpočet'!G35</f>
        <v>0</v>
      </c>
      <c r="H25" s="75" t="n">
        <f aca="false">AE25*F25</f>
        <v>0</v>
      </c>
      <c r="I25" s="75" t="n">
        <f aca="false">AF25*F25</f>
        <v>0</v>
      </c>
      <c r="J25" s="75" t="n">
        <f aca="false">AE25*F25+AF25*F25</f>
        <v>0</v>
      </c>
      <c r="K25" s="75" t="n">
        <f aca="false">'[1]Stavební rozpočet'!K35</f>
        <v>0.00084</v>
      </c>
      <c r="L25" s="75" t="n">
        <f aca="false">K25*F25</f>
        <v>0.02604</v>
      </c>
      <c r="AE25" s="88" t="n">
        <f aca="false">G25*0.44748</f>
        <v>0</v>
      </c>
      <c r="AF25" s="88" t="n">
        <f aca="false">G25*(1-0.44748)</f>
        <v>0</v>
      </c>
    </row>
    <row r="26" customFormat="false" ht="12.75" hidden="false" customHeight="false" outlineLevel="0" collapsed="false">
      <c r="A26" s="44" t="s">
        <v>168</v>
      </c>
      <c r="B26" s="44" t="s">
        <v>165</v>
      </c>
      <c r="C26" s="44" t="s">
        <v>169</v>
      </c>
      <c r="D26" s="44" t="s">
        <v>104</v>
      </c>
      <c r="E26" s="44" t="s">
        <v>179</v>
      </c>
      <c r="F26" s="75" t="n">
        <f aca="false">'[1]Stavební rozpočet'!F36</f>
        <v>31</v>
      </c>
      <c r="G26" s="75" t="n">
        <f aca="false">'[1]Stavební rozpočet'!G36</f>
        <v>0</v>
      </c>
      <c r="H26" s="75" t="n">
        <f aca="false">AE26*F26</f>
        <v>0</v>
      </c>
      <c r="I26" s="75" t="n">
        <f aca="false">AF26*F26</f>
        <v>0</v>
      </c>
      <c r="J26" s="75" t="n">
        <f aca="false">AE26*F26+AF26*F26</f>
        <v>0</v>
      </c>
      <c r="K26" s="75" t="n">
        <f aca="false">'[1]Stavební rozpočet'!K36</f>
        <v>0.00084</v>
      </c>
      <c r="L26" s="75" t="n">
        <f aca="false">K26*F26</f>
        <v>0.02604</v>
      </c>
      <c r="AE26" s="88" t="n">
        <f aca="false">G26*0.109971428571429</f>
        <v>0</v>
      </c>
      <c r="AF26" s="88" t="n">
        <f aca="false">G26*(1-0.109971428571429)</f>
        <v>0</v>
      </c>
    </row>
    <row r="27" customFormat="false" ht="12.75" hidden="false" customHeight="false" outlineLevel="0" collapsed="false">
      <c r="A27" s="44" t="s">
        <v>170</v>
      </c>
      <c r="B27" s="44" t="s">
        <v>171</v>
      </c>
      <c r="C27" s="44" t="s">
        <v>277</v>
      </c>
      <c r="D27" s="44" t="s">
        <v>104</v>
      </c>
      <c r="E27" s="44" t="s">
        <v>179</v>
      </c>
      <c r="F27" s="75" t="n">
        <f aca="false">'[1]Stavební rozpočet'!F37</f>
        <v>31</v>
      </c>
      <c r="G27" s="75" t="n">
        <f aca="false">'[1]Stavební rozpočet'!G37</f>
        <v>0</v>
      </c>
      <c r="H27" s="75" t="n">
        <f aca="false">AE27*F27</f>
        <v>0</v>
      </c>
      <c r="I27" s="75" t="n">
        <f aca="false">AF27*F27</f>
        <v>0</v>
      </c>
      <c r="J27" s="75" t="n">
        <f aca="false">AE27*F27+AF27*F27</f>
        <v>0</v>
      </c>
      <c r="K27" s="75" t="n">
        <f aca="false">'[1]Stavební rozpočet'!K37</f>
        <v>0.01</v>
      </c>
      <c r="L27" s="75" t="n">
        <f aca="false">K27*F27</f>
        <v>0.31</v>
      </c>
      <c r="AE27" s="88" t="n">
        <f aca="false">G27*0.662381578947368</f>
        <v>0</v>
      </c>
      <c r="AF27" s="88" t="n">
        <f aca="false">G27*(1-0.662381578947368)</f>
        <v>0</v>
      </c>
    </row>
    <row r="28" customFormat="false" ht="12.75" hidden="false" customHeight="false" outlineLevel="0" collapsed="false">
      <c r="A28" s="44" t="s">
        <v>174</v>
      </c>
      <c r="B28" s="44" t="s">
        <v>175</v>
      </c>
      <c r="C28" s="44" t="s">
        <v>176</v>
      </c>
      <c r="D28" s="44" t="s">
        <v>104</v>
      </c>
      <c r="E28" s="44" t="s">
        <v>179</v>
      </c>
      <c r="F28" s="75" t="n">
        <f aca="false">'[1]Stavební rozpočet'!F38</f>
        <v>18</v>
      </c>
      <c r="G28" s="75" t="n">
        <f aca="false">'[1]Stavební rozpočet'!G38</f>
        <v>0</v>
      </c>
      <c r="H28" s="75" t="n">
        <f aca="false">AE28*F28</f>
        <v>0</v>
      </c>
      <c r="I28" s="75" t="n">
        <f aca="false">AF28*F28</f>
        <v>0</v>
      </c>
      <c r="J28" s="75" t="n">
        <f aca="false">AE28*F28+AF28*F28</f>
        <v>0</v>
      </c>
      <c r="K28" s="75" t="n">
        <f aca="false">'[1]Stavební rozpočet'!K38</f>
        <v>6E-005</v>
      </c>
      <c r="L28" s="75" t="n">
        <f aca="false">K28*F28</f>
        <v>0.00108</v>
      </c>
      <c r="AE28" s="88" t="n">
        <f aca="false">G28*0.0461333333333333</f>
        <v>0</v>
      </c>
      <c r="AF28" s="88" t="n">
        <f aca="false">G28*(1-0.0461333333333333)</f>
        <v>0</v>
      </c>
    </row>
    <row r="29" customFormat="false" ht="12.75" hidden="false" customHeight="false" outlineLevel="0" collapsed="false">
      <c r="A29" s="44" t="s">
        <v>177</v>
      </c>
      <c r="B29" s="44" t="s">
        <v>175</v>
      </c>
      <c r="C29" s="44" t="s">
        <v>178</v>
      </c>
      <c r="D29" s="44" t="s">
        <v>104</v>
      </c>
      <c r="E29" s="44" t="s">
        <v>179</v>
      </c>
      <c r="F29" s="75" t="n">
        <f aca="false">'[1]Stavební rozpočet'!F39</f>
        <v>18</v>
      </c>
      <c r="G29" s="75" t="n">
        <f aca="false">'[1]Stavební rozpočet'!G39</f>
        <v>0</v>
      </c>
      <c r="H29" s="75" t="n">
        <f aca="false">AE29*F29</f>
        <v>0</v>
      </c>
      <c r="I29" s="75" t="n">
        <f aca="false">AF29*F29</f>
        <v>0</v>
      </c>
      <c r="J29" s="75" t="n">
        <f aca="false">AE29*F29+AF29*F29</f>
        <v>0</v>
      </c>
      <c r="K29" s="75" t="n">
        <f aca="false">'[1]Stavební rozpočet'!K39</f>
        <v>6E-005</v>
      </c>
      <c r="L29" s="75" t="n">
        <f aca="false">K29*F29</f>
        <v>0.00108</v>
      </c>
      <c r="AE29" s="88" t="n">
        <f aca="false">G29*0.0461242105263158</f>
        <v>0</v>
      </c>
      <c r="AF29" s="88" t="n">
        <f aca="false">G29*(1-0.0461242105263158)</f>
        <v>0</v>
      </c>
    </row>
    <row r="30" customFormat="false" ht="12.75" hidden="false" customHeight="false" outlineLevel="0" collapsed="false">
      <c r="A30" s="44" t="s">
        <v>179</v>
      </c>
      <c r="B30" s="44" t="s">
        <v>180</v>
      </c>
      <c r="C30" s="44" t="s">
        <v>181</v>
      </c>
      <c r="D30" s="44" t="s">
        <v>104</v>
      </c>
      <c r="E30" s="44" t="s">
        <v>179</v>
      </c>
      <c r="F30" s="75" t="n">
        <f aca="false">'[1]Stavební rozpočet'!F40</f>
        <v>31</v>
      </c>
      <c r="G30" s="75" t="n">
        <f aca="false">'[1]Stavební rozpočet'!G40</f>
        <v>0</v>
      </c>
      <c r="H30" s="75" t="n">
        <f aca="false">AE30*F30</f>
        <v>0</v>
      </c>
      <c r="I30" s="75" t="n">
        <f aca="false">AF30*F30</f>
        <v>0</v>
      </c>
      <c r="J30" s="75" t="n">
        <f aca="false">AE30*F30+AF30*F30</f>
        <v>0</v>
      </c>
      <c r="K30" s="75" t="n">
        <f aca="false">'[1]Stavební rozpočet'!K40</f>
        <v>0.046</v>
      </c>
      <c r="L30" s="75" t="n">
        <f aca="false">K30*F30</f>
        <v>1.426</v>
      </c>
      <c r="AE30" s="88" t="n">
        <f aca="false">G30*0</f>
        <v>0</v>
      </c>
      <c r="AF30" s="88" t="n">
        <f aca="false">G30*(1-0)</f>
        <v>0</v>
      </c>
    </row>
    <row r="31" customFormat="false" ht="12.75" hidden="false" customHeight="false" outlineLevel="0" collapsed="false">
      <c r="A31" s="44" t="s">
        <v>182</v>
      </c>
      <c r="B31" s="44" t="s">
        <v>183</v>
      </c>
      <c r="C31" s="44" t="s">
        <v>184</v>
      </c>
      <c r="D31" s="44" t="s">
        <v>104</v>
      </c>
      <c r="E31" s="44" t="s">
        <v>179</v>
      </c>
      <c r="F31" s="75" t="n">
        <f aca="false">'[1]Stavební rozpočet'!F41</f>
        <v>31</v>
      </c>
      <c r="G31" s="75" t="n">
        <f aca="false">'[1]Stavební rozpočet'!G41</f>
        <v>0</v>
      </c>
      <c r="H31" s="75" t="n">
        <f aca="false">AE31*F31</f>
        <v>0</v>
      </c>
      <c r="I31" s="75" t="n">
        <f aca="false">AF31*F31</f>
        <v>0</v>
      </c>
      <c r="J31" s="75" t="n">
        <f aca="false">AE31*F31+AF31*F31</f>
        <v>0</v>
      </c>
      <c r="K31" s="75" t="n">
        <f aca="false">'[1]Stavební rozpočet'!K41</f>
        <v>0</v>
      </c>
      <c r="L31" s="75" t="n">
        <f aca="false">K31*F31</f>
        <v>0</v>
      </c>
      <c r="AE31" s="88" t="n">
        <f aca="false">G31*1</f>
        <v>0</v>
      </c>
      <c r="AF31" s="88" t="n">
        <f aca="false">G31*(1-1)</f>
        <v>0</v>
      </c>
    </row>
    <row r="32" customFormat="false" ht="12.75" hidden="false" customHeight="false" outlineLevel="0" collapsed="false">
      <c r="A32" s="44" t="s">
        <v>185</v>
      </c>
      <c r="B32" s="44" t="s">
        <v>186</v>
      </c>
      <c r="C32" s="44" t="s">
        <v>187</v>
      </c>
      <c r="D32" s="44" t="s">
        <v>104</v>
      </c>
      <c r="E32" s="44" t="s">
        <v>179</v>
      </c>
      <c r="F32" s="75" t="n">
        <f aca="false">'[1]Stavební rozpočet'!F42</f>
        <v>31</v>
      </c>
      <c r="G32" s="75" t="n">
        <f aca="false">'[1]Stavební rozpočet'!G42</f>
        <v>0</v>
      </c>
      <c r="H32" s="75" t="n">
        <f aca="false">AE32*F32</f>
        <v>0</v>
      </c>
      <c r="I32" s="75" t="n">
        <f aca="false">AF32*F32</f>
        <v>0</v>
      </c>
      <c r="J32" s="75" t="n">
        <f aca="false">AE32*F32+AF32*F32</f>
        <v>0</v>
      </c>
      <c r="K32" s="75" t="n">
        <f aca="false">'[1]Stavební rozpočet'!K42</f>
        <v>0.079</v>
      </c>
      <c r="L32" s="75" t="n">
        <f aca="false">K32*F32</f>
        <v>2.449</v>
      </c>
      <c r="AE32" s="88" t="n">
        <f aca="false">G32*0</f>
        <v>0</v>
      </c>
      <c r="AF32" s="88" t="n">
        <f aca="false">G32*(1-0)</f>
        <v>0</v>
      </c>
    </row>
    <row r="33" customFormat="false" ht="12.75" hidden="false" customHeight="false" outlineLevel="0" collapsed="false">
      <c r="A33" s="44" t="s">
        <v>188</v>
      </c>
      <c r="B33" s="44" t="s">
        <v>189</v>
      </c>
      <c r="C33" s="44" t="s">
        <v>190</v>
      </c>
      <c r="D33" s="44" t="s">
        <v>104</v>
      </c>
      <c r="E33" s="44" t="s">
        <v>179</v>
      </c>
      <c r="F33" s="75" t="n">
        <f aca="false">'[1]Stavební rozpočet'!F43</f>
        <v>31</v>
      </c>
      <c r="G33" s="75" t="n">
        <f aca="false">'[1]Stavební rozpočet'!G43</f>
        <v>0</v>
      </c>
      <c r="H33" s="75" t="n">
        <f aca="false">AE33*F33</f>
        <v>0</v>
      </c>
      <c r="I33" s="75" t="n">
        <f aca="false">AF33*F33</f>
        <v>0</v>
      </c>
      <c r="J33" s="75" t="n">
        <f aca="false">AE33*F33+AF33*F33</f>
        <v>0</v>
      </c>
      <c r="K33" s="75" t="n">
        <f aca="false">'[1]Stavební rozpočet'!K43</f>
        <v>2E-005</v>
      </c>
      <c r="L33" s="75" t="n">
        <f aca="false">K33*F33</f>
        <v>0.00062</v>
      </c>
      <c r="AE33" s="88" t="n">
        <f aca="false">G33*0.0208490566037736</f>
        <v>0</v>
      </c>
      <c r="AF33" s="88" t="n">
        <f aca="false">G33*(1-0.0208490566037736)</f>
        <v>0</v>
      </c>
    </row>
    <row r="34" customFormat="false" ht="12.75" hidden="false" customHeight="false" outlineLevel="0" collapsed="false">
      <c r="A34" s="44" t="s">
        <v>191</v>
      </c>
      <c r="B34" s="44" t="s">
        <v>192</v>
      </c>
      <c r="C34" s="44" t="s">
        <v>193</v>
      </c>
      <c r="D34" s="44" t="s">
        <v>104</v>
      </c>
      <c r="E34" s="44" t="s">
        <v>179</v>
      </c>
      <c r="F34" s="75" t="n">
        <f aca="false">'[1]Stavební rozpočet'!F44</f>
        <v>31</v>
      </c>
      <c r="G34" s="75" t="n">
        <f aca="false">'[1]Stavební rozpočet'!G44</f>
        <v>0</v>
      </c>
      <c r="H34" s="75" t="n">
        <f aca="false">AE34*F34</f>
        <v>0</v>
      </c>
      <c r="I34" s="75" t="n">
        <f aca="false">AF34*F34</f>
        <v>0</v>
      </c>
      <c r="J34" s="75" t="n">
        <f aca="false">AE34*F34+AF34*F34</f>
        <v>0</v>
      </c>
      <c r="K34" s="75" t="n">
        <f aca="false">'[1]Stavební rozpočet'!K44</f>
        <v>0.00208</v>
      </c>
      <c r="L34" s="75" t="n">
        <f aca="false">K34*F34</f>
        <v>0.06448</v>
      </c>
      <c r="AE34" s="88" t="n">
        <f aca="false">G34*0.978932</f>
        <v>0</v>
      </c>
      <c r="AF34" s="88" t="n">
        <f aca="false">G34*(1-0.978932)</f>
        <v>0</v>
      </c>
    </row>
    <row r="35" customFormat="false" ht="12.75" hidden="false" customHeight="false" outlineLevel="0" collapsed="false">
      <c r="A35" s="78" t="s">
        <v>63</v>
      </c>
      <c r="B35" s="78" t="s">
        <v>194</v>
      </c>
      <c r="C35" s="78" t="s">
        <v>195</v>
      </c>
      <c r="D35" s="78" t="s">
        <v>63</v>
      </c>
      <c r="E35" s="78" t="s">
        <v>63</v>
      </c>
      <c r="F35" s="68" t="s">
        <v>63</v>
      </c>
      <c r="G35" s="68" t="s">
        <v>63</v>
      </c>
      <c r="H35" s="73" t="n">
        <f aca="false">SUM(H36:H36)</f>
        <v>0</v>
      </c>
      <c r="I35" s="73" t="n">
        <f aca="false">SUM(I36:I36)</f>
        <v>0</v>
      </c>
      <c r="J35" s="73" t="n">
        <f aca="false">SUM(J36:J36)</f>
        <v>0</v>
      </c>
      <c r="K35" s="68" t="s">
        <v>63</v>
      </c>
      <c r="L35" s="73" t="n">
        <f aca="false">SUM(L36:L36)</f>
        <v>0.00096</v>
      </c>
    </row>
    <row r="36" customFormat="false" ht="12.75" hidden="false" customHeight="false" outlineLevel="0" collapsed="false">
      <c r="A36" s="44" t="s">
        <v>196</v>
      </c>
      <c r="B36" s="44" t="s">
        <v>197</v>
      </c>
      <c r="C36" s="44" t="s">
        <v>198</v>
      </c>
      <c r="D36" s="44" t="s">
        <v>104</v>
      </c>
      <c r="E36" s="44" t="s">
        <v>179</v>
      </c>
      <c r="F36" s="75" t="n">
        <f aca="false">'[1]Stavební rozpočet'!F46</f>
        <v>6</v>
      </c>
      <c r="G36" s="75" t="n">
        <f aca="false">'[1]Stavební rozpočet'!G46</f>
        <v>0</v>
      </c>
      <c r="H36" s="75" t="n">
        <f aca="false">AE36*F36</f>
        <v>0</v>
      </c>
      <c r="I36" s="75" t="n">
        <f aca="false">AF36*F36</f>
        <v>0</v>
      </c>
      <c r="J36" s="75" t="n">
        <f aca="false">AE36*F36+AF36*F36</f>
        <v>0</v>
      </c>
      <c r="K36" s="75" t="n">
        <f aca="false">'[1]Stavební rozpočet'!K46</f>
        <v>0.00016</v>
      </c>
      <c r="L36" s="75" t="n">
        <f aca="false">K36*F36</f>
        <v>0.00096</v>
      </c>
      <c r="AE36" s="88" t="n">
        <f aca="false">G36*0.0704052631578947</f>
        <v>0</v>
      </c>
      <c r="AF36" s="88" t="n">
        <f aca="false">G36*(1-0.0704052631578947)</f>
        <v>0</v>
      </c>
    </row>
    <row r="37" customFormat="false" ht="12.75" hidden="false" customHeight="false" outlineLevel="0" collapsed="false">
      <c r="A37" s="78" t="s">
        <v>63</v>
      </c>
      <c r="B37" s="78" t="s">
        <v>202</v>
      </c>
      <c r="C37" s="78" t="s">
        <v>203</v>
      </c>
      <c r="D37" s="78" t="s">
        <v>63</v>
      </c>
      <c r="E37" s="78" t="s">
        <v>63</v>
      </c>
      <c r="F37" s="68" t="s">
        <v>63</v>
      </c>
      <c r="G37" s="68" t="s">
        <v>63</v>
      </c>
      <c r="H37" s="73" t="n">
        <f aca="false">SUM(H38:H40)</f>
        <v>0</v>
      </c>
      <c r="I37" s="73" t="n">
        <f aca="false">SUM(I38:I40)</f>
        <v>0</v>
      </c>
      <c r="J37" s="73" t="n">
        <f aca="false">SUM(J38:J40)</f>
        <v>0</v>
      </c>
      <c r="K37" s="68" t="s">
        <v>63</v>
      </c>
      <c r="L37" s="73" t="n">
        <f aca="false">SUM(L38:L40)</f>
        <v>2.16036</v>
      </c>
    </row>
    <row r="38" customFormat="false" ht="12.75" hidden="false" customHeight="false" outlineLevel="0" collapsed="false">
      <c r="A38" s="44" t="s">
        <v>204</v>
      </c>
      <c r="B38" s="44" t="s">
        <v>205</v>
      </c>
      <c r="C38" s="44" t="s">
        <v>206</v>
      </c>
      <c r="D38" s="44" t="s">
        <v>84</v>
      </c>
      <c r="E38" s="44" t="s">
        <v>179</v>
      </c>
      <c r="F38" s="75" t="n">
        <f aca="false">'[1]Stavební rozpočet'!F48</f>
        <v>204</v>
      </c>
      <c r="G38" s="75" t="n">
        <f aca="false">'[1]Stavební rozpočet'!G48</f>
        <v>0</v>
      </c>
      <c r="H38" s="75" t="n">
        <f aca="false">AE38*F38</f>
        <v>0</v>
      </c>
      <c r="I38" s="75" t="n">
        <f aca="false">AF38*F38</f>
        <v>0</v>
      </c>
      <c r="J38" s="75" t="n">
        <f aca="false">AE38*F38+AF38*F38</f>
        <v>0</v>
      </c>
      <c r="K38" s="75" t="n">
        <f aca="false">'[1]Stavební rozpočet'!K48</f>
        <v>0</v>
      </c>
      <c r="L38" s="75" t="n">
        <f aca="false">K38*F38</f>
        <v>0</v>
      </c>
      <c r="AE38" s="88" t="n">
        <f aca="false">G38*0</f>
        <v>0</v>
      </c>
      <c r="AF38" s="88" t="n">
        <f aca="false">G38*(1-0)</f>
        <v>0</v>
      </c>
    </row>
    <row r="39" customFormat="false" ht="12.75" hidden="false" customHeight="false" outlineLevel="0" collapsed="false">
      <c r="A39" s="44" t="s">
        <v>209</v>
      </c>
      <c r="B39" s="44" t="s">
        <v>210</v>
      </c>
      <c r="C39" s="44" t="s">
        <v>211</v>
      </c>
      <c r="D39" s="44" t="s">
        <v>84</v>
      </c>
      <c r="E39" s="44" t="s">
        <v>179</v>
      </c>
      <c r="F39" s="75" t="n">
        <f aca="false">'[1]Stavební rozpočet'!F49</f>
        <v>204</v>
      </c>
      <c r="G39" s="75" t="n">
        <f aca="false">'[1]Stavební rozpočet'!G49</f>
        <v>0</v>
      </c>
      <c r="H39" s="75" t="n">
        <f aca="false">AE39*F39</f>
        <v>0</v>
      </c>
      <c r="I39" s="75" t="n">
        <f aca="false">AF39*F39</f>
        <v>0</v>
      </c>
      <c r="J39" s="75" t="n">
        <f aca="false">AE39*F39+AF39*F39</f>
        <v>0</v>
      </c>
      <c r="K39" s="75" t="n">
        <f aca="false">'[1]Stavební rozpočet'!K49</f>
        <v>0.01059</v>
      </c>
      <c r="L39" s="75" t="n">
        <f aca="false">K39*F39</f>
        <v>2.16036</v>
      </c>
      <c r="AE39" s="88" t="n">
        <f aca="false">G39*0.266129032258065</f>
        <v>0</v>
      </c>
      <c r="AF39" s="88" t="n">
        <f aca="false">G39*(1-0.266129032258065)</f>
        <v>0</v>
      </c>
    </row>
    <row r="40" customFormat="false" ht="12.75" hidden="false" customHeight="false" outlineLevel="0" collapsed="false">
      <c r="A40" s="44" t="s">
        <v>213</v>
      </c>
      <c r="B40" s="44" t="s">
        <v>214</v>
      </c>
      <c r="C40" s="44" t="s">
        <v>215</v>
      </c>
      <c r="D40" s="44" t="s">
        <v>84</v>
      </c>
      <c r="E40" s="44" t="s">
        <v>179</v>
      </c>
      <c r="F40" s="75" t="n">
        <f aca="false">'[1]Stavební rozpočet'!F50</f>
        <v>215</v>
      </c>
      <c r="G40" s="75" t="n">
        <f aca="false">'[1]Stavební rozpočet'!G50</f>
        <v>0</v>
      </c>
      <c r="H40" s="75" t="n">
        <f aca="false">AE40*F40</f>
        <v>0</v>
      </c>
      <c r="I40" s="75" t="n">
        <f aca="false">AF40*F40</f>
        <v>0</v>
      </c>
      <c r="J40" s="75" t="n">
        <f aca="false">AE40*F40+AF40*F40</f>
        <v>0</v>
      </c>
      <c r="K40" s="75" t="n">
        <f aca="false">'[1]Stavební rozpočet'!K50</f>
        <v>0</v>
      </c>
      <c r="L40" s="75" t="n">
        <f aca="false">K40*F40</f>
        <v>0</v>
      </c>
      <c r="AE40" s="88" t="n">
        <f aca="false">G40*0</f>
        <v>0</v>
      </c>
      <c r="AF40" s="88" t="n">
        <f aca="false">G40*(1-0)</f>
        <v>0</v>
      </c>
    </row>
    <row r="41" customFormat="false" ht="12.75" hidden="false" customHeight="false" outlineLevel="0" collapsed="false">
      <c r="A41" s="78" t="s">
        <v>63</v>
      </c>
      <c r="B41" s="78" t="s">
        <v>216</v>
      </c>
      <c r="C41" s="78" t="s">
        <v>217</v>
      </c>
      <c r="D41" s="78" t="s">
        <v>63</v>
      </c>
      <c r="E41" s="78" t="s">
        <v>63</v>
      </c>
      <c r="F41" s="68" t="s">
        <v>63</v>
      </c>
      <c r="G41" s="68" t="s">
        <v>63</v>
      </c>
      <c r="H41" s="73" t="n">
        <f aca="false">SUM(H42:H44)</f>
        <v>0</v>
      </c>
      <c r="I41" s="73" t="n">
        <f aca="false">SUM(I42:I44)</f>
        <v>0</v>
      </c>
      <c r="J41" s="73" t="n">
        <f aca="false">SUM(J42:J44)</f>
        <v>0</v>
      </c>
      <c r="K41" s="68" t="s">
        <v>63</v>
      </c>
      <c r="L41" s="73" t="n">
        <f aca="false">SUM(L42:L44)</f>
        <v>34.41795</v>
      </c>
    </row>
    <row r="42" customFormat="false" ht="12.75" hidden="false" customHeight="false" outlineLevel="0" collapsed="false">
      <c r="A42" s="44" t="s">
        <v>218</v>
      </c>
      <c r="B42" s="44" t="s">
        <v>219</v>
      </c>
      <c r="C42" s="44" t="s">
        <v>220</v>
      </c>
      <c r="D42" s="44" t="s">
        <v>84</v>
      </c>
      <c r="E42" s="44" t="s">
        <v>179</v>
      </c>
      <c r="F42" s="75" t="n">
        <f aca="false">'[1]Stavební rozpočet'!F52</f>
        <v>330</v>
      </c>
      <c r="G42" s="75" t="n">
        <f aca="false">'[1]Stavební rozpočet'!G52</f>
        <v>0</v>
      </c>
      <c r="H42" s="75" t="n">
        <f aca="false">AE42*F42</f>
        <v>0</v>
      </c>
      <c r="I42" s="75" t="n">
        <f aca="false">AF42*F42</f>
        <v>0</v>
      </c>
      <c r="J42" s="75" t="n">
        <f aca="false">AE42*F42+AF42*F42</f>
        <v>0</v>
      </c>
      <c r="K42" s="75" t="n">
        <f aca="false">'[1]Stavební rozpočet'!K52</f>
        <v>0.05194</v>
      </c>
      <c r="L42" s="75" t="n">
        <f aca="false">K42*F42</f>
        <v>17.1402</v>
      </c>
      <c r="AE42" s="88" t="n">
        <f aca="false">G42*0.0731</f>
        <v>0</v>
      </c>
      <c r="AF42" s="88" t="n">
        <f aca="false">G42*(1-0.0731)</f>
        <v>0</v>
      </c>
    </row>
    <row r="43" customFormat="false" ht="12.75" hidden="false" customHeight="false" outlineLevel="0" collapsed="false">
      <c r="A43" s="44" t="s">
        <v>79</v>
      </c>
      <c r="B43" s="44" t="s">
        <v>224</v>
      </c>
      <c r="C43" s="44" t="s">
        <v>225</v>
      </c>
      <c r="D43" s="44" t="s">
        <v>84</v>
      </c>
      <c r="E43" s="44" t="s">
        <v>179</v>
      </c>
      <c r="F43" s="75" t="n">
        <f aca="false">'[1]Stavební rozpočet'!F53</f>
        <v>315</v>
      </c>
      <c r="G43" s="75" t="n">
        <f aca="false">'[1]Stavební rozpočet'!G53</f>
        <v>0</v>
      </c>
      <c r="H43" s="75" t="n">
        <f aca="false">AE43*F43</f>
        <v>0</v>
      </c>
      <c r="I43" s="75" t="n">
        <f aca="false">AF43*F43</f>
        <v>0</v>
      </c>
      <c r="J43" s="75" t="n">
        <f aca="false">AE43*F43+AF43*F43</f>
        <v>0</v>
      </c>
      <c r="K43" s="75" t="n">
        <f aca="false">'[1]Stavební rozpočet'!K53</f>
        <v>0.05485</v>
      </c>
      <c r="L43" s="75" t="n">
        <f aca="false">K43*F43</f>
        <v>17.27775</v>
      </c>
      <c r="AE43" s="88" t="n">
        <f aca="false">G43*0.081</f>
        <v>0</v>
      </c>
      <c r="AF43" s="88" t="n">
        <f aca="false">G43*(1-0.081)</f>
        <v>0</v>
      </c>
    </row>
    <row r="44" customFormat="false" ht="12.75" hidden="false" customHeight="false" outlineLevel="0" collapsed="false">
      <c r="A44" s="44" t="s">
        <v>226</v>
      </c>
      <c r="B44" s="44" t="s">
        <v>227</v>
      </c>
      <c r="C44" s="44" t="s">
        <v>228</v>
      </c>
      <c r="D44" s="44" t="s">
        <v>84</v>
      </c>
      <c r="E44" s="44" t="s">
        <v>179</v>
      </c>
      <c r="F44" s="75" t="n">
        <f aca="false">'[1]Stavební rozpočet'!F54</f>
        <v>315</v>
      </c>
      <c r="G44" s="75" t="n">
        <f aca="false">'[1]Stavební rozpočet'!G54</f>
        <v>0</v>
      </c>
      <c r="H44" s="75" t="n">
        <f aca="false">AE44*F44</f>
        <v>0</v>
      </c>
      <c r="I44" s="75" t="n">
        <f aca="false">AF44*F44</f>
        <v>0</v>
      </c>
      <c r="J44" s="75" t="n">
        <f aca="false">AE44*F44+AF44*F44</f>
        <v>0</v>
      </c>
      <c r="K44" s="75" t="n">
        <f aca="false">'[1]Stavební rozpočet'!K54</f>
        <v>0</v>
      </c>
      <c r="L44" s="75" t="n">
        <f aca="false">K44*F44</f>
        <v>0</v>
      </c>
      <c r="AE44" s="88" t="n">
        <f aca="false">G44*0.5</f>
        <v>0</v>
      </c>
      <c r="AF44" s="88" t="n">
        <f aca="false">G44*(1-0.5)</f>
        <v>0</v>
      </c>
    </row>
    <row r="45" customFormat="false" ht="12.75" hidden="false" customHeight="false" outlineLevel="0" collapsed="false">
      <c r="A45" s="78" t="s">
        <v>63</v>
      </c>
      <c r="B45" s="78" t="s">
        <v>229</v>
      </c>
      <c r="C45" s="78" t="s">
        <v>230</v>
      </c>
      <c r="D45" s="78" t="s">
        <v>63</v>
      </c>
      <c r="E45" s="78" t="s">
        <v>63</v>
      </c>
      <c r="F45" s="68" t="s">
        <v>63</v>
      </c>
      <c r="G45" s="68" t="s">
        <v>63</v>
      </c>
      <c r="H45" s="73" t="n">
        <f aca="false">SUM(H46:H47)</f>
        <v>0</v>
      </c>
      <c r="I45" s="73" t="n">
        <f aca="false">SUM(I46:I47)</f>
        <v>0</v>
      </c>
      <c r="J45" s="73" t="n">
        <f aca="false">SUM(J46:J47)</f>
        <v>0</v>
      </c>
      <c r="K45" s="68" t="s">
        <v>63</v>
      </c>
      <c r="L45" s="73" t="n">
        <f aca="false">SUM(L46:L47)</f>
        <v>0.3066375</v>
      </c>
    </row>
    <row r="46" customFormat="false" ht="12.75" hidden="false" customHeight="false" outlineLevel="0" collapsed="false">
      <c r="A46" s="44" t="s">
        <v>231</v>
      </c>
      <c r="B46" s="44" t="s">
        <v>232</v>
      </c>
      <c r="C46" s="44" t="s">
        <v>233</v>
      </c>
      <c r="D46" s="44" t="s">
        <v>84</v>
      </c>
      <c r="E46" s="44" t="s">
        <v>179</v>
      </c>
      <c r="F46" s="75" t="n">
        <f aca="false">'[1]Stavební rozpočet'!F56</f>
        <v>408.85</v>
      </c>
      <c r="G46" s="75" t="n">
        <f aca="false">'[1]Stavební rozpočet'!G56</f>
        <v>0</v>
      </c>
      <c r="H46" s="75" t="n">
        <f aca="false">AE46*F46</f>
        <v>0</v>
      </c>
      <c r="I46" s="75" t="n">
        <f aca="false">AF46*F46</f>
        <v>0</v>
      </c>
      <c r="J46" s="75" t="n">
        <f aca="false">AE46*F46+AF46*F46</f>
        <v>0</v>
      </c>
      <c r="K46" s="75" t="n">
        <f aca="false">'[1]Stavební rozpočet'!K56</f>
        <v>0.0004</v>
      </c>
      <c r="L46" s="75" t="n">
        <f aca="false">K46*F46</f>
        <v>0.16354</v>
      </c>
      <c r="AE46" s="88" t="n">
        <f aca="false">G46*0.476666666666667</f>
        <v>0</v>
      </c>
      <c r="AF46" s="88" t="n">
        <f aca="false">G46*(1-0.476666666666667)</f>
        <v>0</v>
      </c>
    </row>
    <row r="47" customFormat="false" ht="12.75" hidden="false" customHeight="false" outlineLevel="0" collapsed="false">
      <c r="A47" s="44" t="s">
        <v>112</v>
      </c>
      <c r="B47" s="44" t="s">
        <v>236</v>
      </c>
      <c r="C47" s="44" t="s">
        <v>237</v>
      </c>
      <c r="D47" s="44" t="s">
        <v>84</v>
      </c>
      <c r="E47" s="44" t="s">
        <v>179</v>
      </c>
      <c r="F47" s="75" t="n">
        <f aca="false">'[1]Stavební rozpočet'!F57</f>
        <v>408.85</v>
      </c>
      <c r="G47" s="75" t="n">
        <f aca="false">'[1]Stavební rozpočet'!G57</f>
        <v>0</v>
      </c>
      <c r="H47" s="75" t="n">
        <f aca="false">AE47*F47</f>
        <v>0</v>
      </c>
      <c r="I47" s="75" t="n">
        <f aca="false">AF47*F47</f>
        <v>0</v>
      </c>
      <c r="J47" s="75" t="n">
        <f aca="false">AE47*F47+AF47*F47</f>
        <v>0</v>
      </c>
      <c r="K47" s="75" t="n">
        <f aca="false">'[1]Stavební rozpočet'!K57</f>
        <v>0.00035</v>
      </c>
      <c r="L47" s="75" t="n">
        <f aca="false">K47*F47</f>
        <v>0.1430975</v>
      </c>
      <c r="AE47" s="88" t="n">
        <f aca="false">G47*0.167466666666667</f>
        <v>0</v>
      </c>
      <c r="AF47" s="88" t="n">
        <f aca="false">G47*(1-0.167466666666667)</f>
        <v>0</v>
      </c>
    </row>
    <row r="48" customFormat="false" ht="12.75" hidden="false" customHeight="false" outlineLevel="0" collapsed="false">
      <c r="A48" s="78" t="s">
        <v>63</v>
      </c>
      <c r="B48" s="78" t="s">
        <v>238</v>
      </c>
      <c r="C48" s="78" t="s">
        <v>239</v>
      </c>
      <c r="D48" s="78" t="s">
        <v>63</v>
      </c>
      <c r="E48" s="78" t="s">
        <v>63</v>
      </c>
      <c r="F48" s="68" t="s">
        <v>63</v>
      </c>
      <c r="G48" s="68" t="s">
        <v>63</v>
      </c>
      <c r="H48" s="73" t="n">
        <f aca="false">SUM(H49:H49)</f>
        <v>0</v>
      </c>
      <c r="I48" s="73" t="n">
        <f aca="false">SUM(I49:I49)</f>
        <v>0</v>
      </c>
      <c r="J48" s="73" t="n">
        <f aca="false">SUM(J49:J49)</f>
        <v>0</v>
      </c>
      <c r="K48" s="68" t="s">
        <v>63</v>
      </c>
      <c r="L48" s="73" t="n">
        <f aca="false">SUM(L49:L49)</f>
        <v>0</v>
      </c>
    </row>
    <row r="49" customFormat="false" ht="12.75" hidden="false" customHeight="false" outlineLevel="0" collapsed="false">
      <c r="A49" s="44" t="s">
        <v>240</v>
      </c>
      <c r="B49" s="44" t="s">
        <v>241</v>
      </c>
      <c r="C49" s="44" t="s">
        <v>242</v>
      </c>
      <c r="D49" s="44" t="s">
        <v>243</v>
      </c>
      <c r="E49" s="44" t="s">
        <v>179</v>
      </c>
      <c r="F49" s="75" t="n">
        <f aca="false">'[1]Stavební rozpočet'!F59</f>
        <v>100</v>
      </c>
      <c r="G49" s="75" t="n">
        <f aca="false">'[1]Stavební rozpočet'!G59</f>
        <v>0</v>
      </c>
      <c r="H49" s="75" t="n">
        <f aca="false">AE49*F49</f>
        <v>0</v>
      </c>
      <c r="I49" s="75" t="n">
        <f aca="false">AF49*F49</f>
        <v>0</v>
      </c>
      <c r="J49" s="75" t="n">
        <f aca="false">AE49*F49+AF49*F49</f>
        <v>0</v>
      </c>
      <c r="K49" s="75" t="n">
        <f aca="false">'[1]Stavební rozpočet'!K59</f>
        <v>0</v>
      </c>
      <c r="L49" s="75" t="n">
        <f aca="false">K49*F49</f>
        <v>0</v>
      </c>
      <c r="AE49" s="88" t="n">
        <f aca="false">G49*0</f>
        <v>0</v>
      </c>
      <c r="AF49" s="88" t="n">
        <f aca="false">G49*(1-0)</f>
        <v>0</v>
      </c>
    </row>
    <row r="50" customFormat="false" ht="12.75" hidden="false" customHeight="false" outlineLevel="0" collapsed="false">
      <c r="A50" s="78" t="s">
        <v>63</v>
      </c>
      <c r="B50" s="78" t="s">
        <v>246</v>
      </c>
      <c r="C50" s="78" t="s">
        <v>247</v>
      </c>
      <c r="D50" s="78" t="s">
        <v>63</v>
      </c>
      <c r="E50" s="78" t="s">
        <v>63</v>
      </c>
      <c r="F50" s="68" t="s">
        <v>63</v>
      </c>
      <c r="G50" s="68" t="s">
        <v>63</v>
      </c>
      <c r="H50" s="73" t="n">
        <f aca="false">SUM(H51:H52)</f>
        <v>0</v>
      </c>
      <c r="I50" s="73" t="n">
        <f aca="false">SUM(I51:I52)</f>
        <v>0</v>
      </c>
      <c r="J50" s="73" t="n">
        <f aca="false">SUM(J51:J52)</f>
        <v>0</v>
      </c>
      <c r="K50" s="68" t="s">
        <v>63</v>
      </c>
      <c r="L50" s="73" t="n">
        <f aca="false">SUM(L51:L52)</f>
        <v>0</v>
      </c>
    </row>
    <row r="51" customFormat="false" ht="12.75" hidden="false" customHeight="false" outlineLevel="0" collapsed="false">
      <c r="A51" s="44" t="s">
        <v>248</v>
      </c>
      <c r="B51" s="44" t="s">
        <v>249</v>
      </c>
      <c r="C51" s="44" t="s">
        <v>250</v>
      </c>
      <c r="D51" s="44" t="s">
        <v>251</v>
      </c>
      <c r="E51" s="44" t="s">
        <v>179</v>
      </c>
      <c r="F51" s="75" t="n">
        <f aca="false">'[1]Stavební rozpočet'!F61</f>
        <v>2652</v>
      </c>
      <c r="G51" s="75" t="n">
        <f aca="false">'[1]Stavební rozpočet'!G61</f>
        <v>0</v>
      </c>
      <c r="H51" s="75" t="n">
        <f aca="false">AE51*F51</f>
        <v>0</v>
      </c>
      <c r="I51" s="75" t="n">
        <f aca="false">AF51*F51</f>
        <v>0</v>
      </c>
      <c r="J51" s="75" t="n">
        <f aca="false">AE51*F51+AF51*F51</f>
        <v>0</v>
      </c>
      <c r="K51" s="75" t="n">
        <f aca="false">'[1]Stavební rozpočet'!K61</f>
        <v>0</v>
      </c>
      <c r="L51" s="75" t="n">
        <f aca="false">K51*F51</f>
        <v>0</v>
      </c>
      <c r="AE51" s="88" t="n">
        <f aca="false">G51*0</f>
        <v>0</v>
      </c>
      <c r="AF51" s="88" t="n">
        <f aca="false">G51*(1-0)</f>
        <v>0</v>
      </c>
    </row>
    <row r="52" customFormat="false" ht="12.75" hidden="false" customHeight="false" outlineLevel="0" collapsed="false">
      <c r="A52" s="44" t="s">
        <v>254</v>
      </c>
      <c r="B52" s="44" t="s">
        <v>255</v>
      </c>
      <c r="C52" s="44" t="s">
        <v>256</v>
      </c>
      <c r="D52" s="44" t="s">
        <v>257</v>
      </c>
      <c r="E52" s="44" t="s">
        <v>179</v>
      </c>
      <c r="F52" s="75" t="n">
        <f aca="false">'[1]Stavební rozpočet'!F62</f>
        <v>59.42</v>
      </c>
      <c r="G52" s="75" t="n">
        <f aca="false">'[1]Stavební rozpočet'!G62</f>
        <v>0</v>
      </c>
      <c r="H52" s="75" t="n">
        <f aca="false">AE52*F52</f>
        <v>0</v>
      </c>
      <c r="I52" s="75" t="n">
        <f aca="false">AF52*F52</f>
        <v>0</v>
      </c>
      <c r="J52" s="75" t="n">
        <f aca="false">AE52*F52+AF52*F52</f>
        <v>0</v>
      </c>
      <c r="K52" s="75" t="n">
        <f aca="false">'[1]Stavební rozpočet'!K62</f>
        <v>0</v>
      </c>
      <c r="L52" s="75" t="n">
        <f aca="false">K52*F52</f>
        <v>0</v>
      </c>
      <c r="AE52" s="88" t="n">
        <f aca="false">G52*0</f>
        <v>0</v>
      </c>
      <c r="AF52" s="88" t="n">
        <f aca="false">G52*(1-0)</f>
        <v>0</v>
      </c>
    </row>
    <row r="53" customFormat="false" ht="12.75" hidden="false" customHeight="false" outlineLevel="0" collapsed="false">
      <c r="A53" s="78" t="s">
        <v>63</v>
      </c>
      <c r="B53" s="78" t="s">
        <v>258</v>
      </c>
      <c r="C53" s="78" t="s">
        <v>259</v>
      </c>
      <c r="D53" s="78" t="s">
        <v>63</v>
      </c>
      <c r="E53" s="78" t="s">
        <v>63</v>
      </c>
      <c r="F53" s="68" t="s">
        <v>63</v>
      </c>
      <c r="G53" s="68" t="s">
        <v>63</v>
      </c>
      <c r="H53" s="73" t="n">
        <f aca="false">SUM(H54:H54)</f>
        <v>0</v>
      </c>
      <c r="I53" s="73" t="n">
        <f aca="false">SUM(I54:I54)</f>
        <v>0</v>
      </c>
      <c r="J53" s="73" t="n">
        <f aca="false">SUM(J54:J54)</f>
        <v>0</v>
      </c>
      <c r="K53" s="68" t="s">
        <v>63</v>
      </c>
      <c r="L53" s="73" t="n">
        <f aca="false">SUM(L54:L54)</f>
        <v>0</v>
      </c>
    </row>
    <row r="54" customFormat="false" ht="12.75" hidden="false" customHeight="false" outlineLevel="0" collapsed="false">
      <c r="A54" s="44" t="s">
        <v>260</v>
      </c>
      <c r="B54" s="44" t="s">
        <v>261</v>
      </c>
      <c r="C54" s="44" t="s">
        <v>262</v>
      </c>
      <c r="D54" s="44" t="s">
        <v>257</v>
      </c>
      <c r="E54" s="44" t="s">
        <v>179</v>
      </c>
      <c r="F54" s="75" t="n">
        <f aca="false">'[1]Stavební rozpočet'!F64</f>
        <v>42.5</v>
      </c>
      <c r="G54" s="75" t="n">
        <f aca="false">'[1]Stavební rozpočet'!G64</f>
        <v>0</v>
      </c>
      <c r="H54" s="75" t="n">
        <f aca="false">AE54*F54</f>
        <v>0</v>
      </c>
      <c r="I54" s="75" t="n">
        <f aca="false">AF54*F54</f>
        <v>0</v>
      </c>
      <c r="J54" s="75" t="n">
        <f aca="false">AE54*F54+AF54*F54</f>
        <v>0</v>
      </c>
      <c r="K54" s="75" t="n">
        <f aca="false">'[1]Stavební rozpočet'!K64</f>
        <v>0</v>
      </c>
      <c r="L54" s="75" t="n">
        <f aca="false">K54*F54</f>
        <v>0</v>
      </c>
      <c r="AE54" s="88" t="n">
        <f aca="false">G54*0</f>
        <v>0</v>
      </c>
      <c r="AF54" s="88" t="n">
        <f aca="false">G54*(1-0)</f>
        <v>0</v>
      </c>
    </row>
    <row r="56" customFormat="false" ht="12.75" hidden="false" customHeight="false" outlineLevel="0" collapsed="false">
      <c r="I56" s="89" t="s">
        <v>265</v>
      </c>
      <c r="J56" s="90" t="n">
        <f aca="false">J2+J4+J10+J12+J15+J17+J20+J24+J35+J37+J41+J45+J48+J50+J53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ColWidth="12.578125" defaultRowHeight="12.75" zeroHeight="false" outlineLevelRow="0" outlineLevelCol="0"/>
  <cols>
    <col collapsed="false" customWidth="true" hidden="false" outlineLevel="0" max="2" min="1" style="34" width="18.2"/>
    <col collapsed="false" customWidth="true" hidden="false" outlineLevel="0" max="3" min="3" style="34" width="45.84"/>
    <col collapsed="false" customWidth="true" hidden="false" outlineLevel="0" max="4" min="4" style="34" width="24.32"/>
    <col collapsed="false" customWidth="true" hidden="false" outlineLevel="0" max="5" min="5" style="34" width="23.06"/>
    <col collapsed="false" customWidth="true" hidden="false" outlineLevel="0" max="6" min="6" style="34" width="22.9"/>
    <col collapsed="false" customWidth="true" hidden="false" outlineLevel="0" max="7" min="7" style="34" width="21.64"/>
    <col collapsed="false" customWidth="true" hidden="true" outlineLevel="0" max="9" min="8" style="34" width="12.7"/>
    <col collapsed="false" customWidth="true" hidden="false" outlineLevel="0" max="257" min="10" style="34" width="12.7"/>
  </cols>
  <sheetData>
    <row r="1" customFormat="false" ht="72.95" hidden="false" customHeight="true" outlineLevel="0" collapsed="false">
      <c r="A1" s="35" t="s">
        <v>278</v>
      </c>
      <c r="B1" s="35"/>
      <c r="C1" s="35"/>
      <c r="D1" s="35"/>
      <c r="E1" s="35"/>
      <c r="F1" s="35"/>
      <c r="G1" s="35"/>
    </row>
    <row r="2" customFormat="false" ht="12.75" hidden="false" customHeight="true" outlineLevel="0" collapsed="false">
      <c r="A2" s="36" t="s">
        <v>38</v>
      </c>
      <c r="B2" s="37" t="s">
        <v>7</v>
      </c>
      <c r="C2" s="37"/>
      <c r="D2" s="39" t="s">
        <v>40</v>
      </c>
      <c r="E2" s="40" t="s">
        <v>41</v>
      </c>
      <c r="F2" s="40"/>
      <c r="G2" s="40"/>
      <c r="H2" s="41"/>
    </row>
    <row r="3" customFormat="false" ht="12.75" hidden="false" customHeight="false" outlineLevel="0" collapsed="false">
      <c r="A3" s="36"/>
      <c r="B3" s="37"/>
      <c r="C3" s="37"/>
      <c r="D3" s="39"/>
      <c r="E3" s="39"/>
      <c r="F3" s="40"/>
      <c r="G3" s="40"/>
      <c r="H3" s="41"/>
    </row>
    <row r="4" customFormat="false" ht="12.75" hidden="false" customHeight="true" outlineLevel="0" collapsed="false">
      <c r="A4" s="42" t="s">
        <v>42</v>
      </c>
      <c r="B4" s="43" t="s">
        <v>43</v>
      </c>
      <c r="C4" s="43"/>
      <c r="D4" s="46" t="s">
        <v>45</v>
      </c>
      <c r="E4" s="47"/>
      <c r="F4" s="47"/>
      <c r="G4" s="47"/>
      <c r="H4" s="41"/>
    </row>
    <row r="5" customFormat="false" ht="12.75" hidden="false" customHeight="false" outlineLevel="0" collapsed="false">
      <c r="A5" s="42"/>
      <c r="B5" s="43"/>
      <c r="C5" s="43"/>
      <c r="D5" s="46"/>
      <c r="E5" s="46"/>
      <c r="F5" s="47"/>
      <c r="G5" s="47"/>
      <c r="H5" s="41"/>
    </row>
    <row r="6" customFormat="false" ht="12.75" hidden="false" customHeight="true" outlineLevel="0" collapsed="false">
      <c r="A6" s="42" t="s">
        <v>46</v>
      </c>
      <c r="B6" s="46" t="s">
        <v>47</v>
      </c>
      <c r="C6" s="46"/>
      <c r="D6" s="46" t="s">
        <v>49</v>
      </c>
      <c r="E6" s="47"/>
      <c r="F6" s="47"/>
      <c r="G6" s="47"/>
      <c r="H6" s="41"/>
    </row>
    <row r="7" customFormat="false" ht="12.75" hidden="false" customHeight="false" outlineLevel="0" collapsed="false">
      <c r="A7" s="42"/>
      <c r="B7" s="46"/>
      <c r="C7" s="46"/>
      <c r="D7" s="46"/>
      <c r="E7" s="46"/>
      <c r="F7" s="47"/>
      <c r="G7" s="47"/>
      <c r="H7" s="41"/>
    </row>
    <row r="8" customFormat="false" ht="12.75" hidden="false" customHeight="true" outlineLevel="0" collapsed="false">
      <c r="A8" s="48" t="s">
        <v>52</v>
      </c>
      <c r="B8" s="49"/>
      <c r="C8" s="49"/>
      <c r="D8" s="50" t="s">
        <v>51</v>
      </c>
      <c r="E8" s="91"/>
      <c r="F8" s="91"/>
      <c r="G8" s="91"/>
      <c r="H8" s="41"/>
    </row>
    <row r="9" customFormat="false" ht="14.65" hidden="false" customHeight="false" outlineLevel="0" collapsed="false">
      <c r="A9" s="48"/>
      <c r="B9" s="49"/>
      <c r="C9" s="49"/>
      <c r="D9" s="50"/>
      <c r="E9" s="50"/>
      <c r="F9" s="91"/>
      <c r="G9" s="91"/>
      <c r="H9" s="41"/>
    </row>
    <row r="10" customFormat="false" ht="12.75" hidden="false" customHeight="false" outlineLevel="0" collapsed="false">
      <c r="A10" s="92" t="s">
        <v>54</v>
      </c>
      <c r="B10" s="87" t="s">
        <v>55</v>
      </c>
      <c r="C10" s="93" t="s">
        <v>56</v>
      </c>
      <c r="D10" s="94" t="s">
        <v>279</v>
      </c>
      <c r="E10" s="94" t="s">
        <v>280</v>
      </c>
      <c r="F10" s="94" t="s">
        <v>281</v>
      </c>
      <c r="G10" s="95" t="s">
        <v>282</v>
      </c>
      <c r="H10" s="59"/>
    </row>
    <row r="11" customFormat="false" ht="12.75" hidden="false" customHeight="false" outlineLevel="0" collapsed="false">
      <c r="A11" s="96"/>
      <c r="B11" s="96" t="s">
        <v>79</v>
      </c>
      <c r="C11" s="96" t="s">
        <v>80</v>
      </c>
      <c r="D11" s="97" t="n">
        <f aca="false">'[1]Stavební rozpočet'!H12</f>
        <v>0</v>
      </c>
      <c r="E11" s="97" t="n">
        <f aca="false">'[1]Stavební rozpočet'!I12</f>
        <v>0</v>
      </c>
      <c r="F11" s="97" t="n">
        <f aca="false">D11+E11</f>
        <v>0</v>
      </c>
      <c r="G11" s="97" t="n">
        <f aca="false">'[1]Stavební rozpočet'!L12</f>
        <v>1.5622076</v>
      </c>
      <c r="H11" s="75" t="s">
        <v>283</v>
      </c>
      <c r="I11" s="75" t="n">
        <f aca="false">IF(H11="F",0,F11)</f>
        <v>0</v>
      </c>
    </row>
    <row r="12" customFormat="false" ht="12.75" hidden="false" customHeight="false" outlineLevel="0" collapsed="false">
      <c r="A12" s="44"/>
      <c r="B12" s="44" t="s">
        <v>90</v>
      </c>
      <c r="C12" s="44" t="s">
        <v>91</v>
      </c>
      <c r="D12" s="75" t="n">
        <f aca="false">'[1]Stavební rozpočet'!H14</f>
        <v>0</v>
      </c>
      <c r="E12" s="75" t="n">
        <f aca="false">'[1]Stavební rozpočet'!I14</f>
        <v>0</v>
      </c>
      <c r="F12" s="75" t="n">
        <f aca="false">D12+E12</f>
        <v>0</v>
      </c>
      <c r="G12" s="75" t="n">
        <f aca="false">'[1]Stavební rozpočet'!L14</f>
        <v>123.506546</v>
      </c>
      <c r="H12" s="75" t="s">
        <v>283</v>
      </c>
      <c r="I12" s="75" t="n">
        <f aca="false">IF(H12="F",0,F12)</f>
        <v>0</v>
      </c>
    </row>
    <row r="13" customFormat="false" ht="12.75" hidden="false" customHeight="false" outlineLevel="0" collapsed="false">
      <c r="A13" s="44"/>
      <c r="B13" s="44" t="s">
        <v>112</v>
      </c>
      <c r="C13" s="44" t="s">
        <v>113</v>
      </c>
      <c r="D13" s="75" t="n">
        <f aca="false">'[1]Stavební rozpočet'!H20</f>
        <v>0</v>
      </c>
      <c r="E13" s="75" t="n">
        <f aca="false">'[1]Stavební rozpočet'!I20</f>
        <v>0</v>
      </c>
      <c r="F13" s="75" t="n">
        <f aca="false">D13+E13</f>
        <v>0</v>
      </c>
      <c r="G13" s="75" t="n">
        <f aca="false">'[1]Stavební rozpočet'!L20</f>
        <v>4.9810986</v>
      </c>
      <c r="H13" s="75" t="s">
        <v>283</v>
      </c>
      <c r="I13" s="75" t="n">
        <f aca="false">IF(H13="F",0,F13)</f>
        <v>0</v>
      </c>
    </row>
    <row r="14" customFormat="false" ht="12.75" hidden="false" customHeight="false" outlineLevel="0" collapsed="false">
      <c r="A14" s="44"/>
      <c r="B14" s="44" t="s">
        <v>119</v>
      </c>
      <c r="C14" s="44" t="s">
        <v>120</v>
      </c>
      <c r="D14" s="75" t="n">
        <f aca="false">'[1]Stavební rozpočet'!H22</f>
        <v>0</v>
      </c>
      <c r="E14" s="75" t="n">
        <f aca="false">'[1]Stavební rozpočet'!I22</f>
        <v>0</v>
      </c>
      <c r="F14" s="75" t="n">
        <f aca="false">D14+E14</f>
        <v>0</v>
      </c>
      <c r="G14" s="75" t="n">
        <f aca="false">'[1]Stavební rozpočet'!L22</f>
        <v>6.20942</v>
      </c>
      <c r="H14" s="75" t="s">
        <v>283</v>
      </c>
      <c r="I14" s="75" t="n">
        <f aca="false">IF(H14="F",0,F14)</f>
        <v>0</v>
      </c>
    </row>
    <row r="15" customFormat="false" ht="12.75" hidden="false" customHeight="false" outlineLevel="0" collapsed="false">
      <c r="A15" s="44"/>
      <c r="B15" s="44" t="s">
        <v>130</v>
      </c>
      <c r="C15" s="44" t="s">
        <v>131</v>
      </c>
      <c r="D15" s="75" t="n">
        <f aca="false">'[1]Stavební rozpočet'!H25</f>
        <v>0</v>
      </c>
      <c r="E15" s="75" t="n">
        <f aca="false">'[1]Stavební rozpočet'!I25</f>
        <v>0</v>
      </c>
      <c r="F15" s="75" t="n">
        <f aca="false">D15+E15</f>
        <v>0</v>
      </c>
      <c r="G15" s="75" t="n">
        <f aca="false">'[1]Stavební rozpočet'!L25</f>
        <v>0</v>
      </c>
      <c r="H15" s="75" t="s">
        <v>283</v>
      </c>
      <c r="I15" s="75" t="n">
        <f aca="false">IF(H15="F",0,F15)</f>
        <v>0</v>
      </c>
    </row>
    <row r="16" customFormat="false" ht="12.75" hidden="false" customHeight="false" outlineLevel="0" collapsed="false">
      <c r="A16" s="44"/>
      <c r="B16" s="44" t="s">
        <v>137</v>
      </c>
      <c r="C16" s="44" t="s">
        <v>138</v>
      </c>
      <c r="D16" s="75" t="n">
        <f aca="false">'[1]Stavební rozpočet'!H27</f>
        <v>0</v>
      </c>
      <c r="E16" s="75" t="n">
        <f aca="false">'[1]Stavební rozpočet'!I27</f>
        <v>0</v>
      </c>
      <c r="F16" s="75" t="n">
        <f aca="false">D16+E16</f>
        <v>0</v>
      </c>
      <c r="G16" s="75" t="n">
        <f aca="false">'[1]Stavební rozpočet'!L27</f>
        <v>0.17885</v>
      </c>
      <c r="H16" s="75" t="s">
        <v>283</v>
      </c>
      <c r="I16" s="75" t="n">
        <f aca="false">IF(H16="F",0,F16)</f>
        <v>0</v>
      </c>
    </row>
    <row r="17" customFormat="false" ht="12.75" hidden="false" customHeight="false" outlineLevel="0" collapsed="false">
      <c r="A17" s="44"/>
      <c r="B17" s="44" t="s">
        <v>149</v>
      </c>
      <c r="C17" s="44" t="s">
        <v>150</v>
      </c>
      <c r="D17" s="75" t="n">
        <f aca="false">'[1]Stavební rozpočet'!H30</f>
        <v>0</v>
      </c>
      <c r="E17" s="75" t="n">
        <f aca="false">'[1]Stavební rozpočet'!I30</f>
        <v>0</v>
      </c>
      <c r="F17" s="75" t="n">
        <f aca="false">D17+E17</f>
        <v>0</v>
      </c>
      <c r="G17" s="75" t="n">
        <f aca="false">'[1]Stavební rozpočet'!L30</f>
        <v>2.4842</v>
      </c>
      <c r="H17" s="75" t="s">
        <v>283</v>
      </c>
      <c r="I17" s="75" t="n">
        <f aca="false">IF(H17="F",0,F17)</f>
        <v>0</v>
      </c>
    </row>
    <row r="18" customFormat="false" ht="12.75" hidden="false" customHeight="false" outlineLevel="0" collapsed="false">
      <c r="A18" s="44"/>
      <c r="B18" s="44" t="s">
        <v>162</v>
      </c>
      <c r="C18" s="44" t="s">
        <v>163</v>
      </c>
      <c r="D18" s="75" t="n">
        <f aca="false">'[1]Stavební rozpočet'!H34</f>
        <v>0</v>
      </c>
      <c r="E18" s="75" t="n">
        <f aca="false">'[1]Stavební rozpočet'!I34</f>
        <v>0</v>
      </c>
      <c r="F18" s="75" t="n">
        <f aca="false">D18+E18</f>
        <v>0</v>
      </c>
      <c r="G18" s="75" t="n">
        <f aca="false">'[1]Stavební rozpočet'!L34</f>
        <v>4.30434</v>
      </c>
      <c r="H18" s="75" t="s">
        <v>283</v>
      </c>
      <c r="I18" s="75" t="n">
        <f aca="false">IF(H18="F",0,F18)</f>
        <v>0</v>
      </c>
    </row>
    <row r="19" customFormat="false" ht="12.75" hidden="false" customHeight="false" outlineLevel="0" collapsed="false">
      <c r="A19" s="44"/>
      <c r="B19" s="44" t="s">
        <v>194</v>
      </c>
      <c r="C19" s="44" t="s">
        <v>195</v>
      </c>
      <c r="D19" s="75" t="n">
        <f aca="false">'[1]Stavební rozpočet'!H45</f>
        <v>0</v>
      </c>
      <c r="E19" s="75" t="n">
        <f aca="false">'[1]Stavební rozpočet'!I45</f>
        <v>0</v>
      </c>
      <c r="F19" s="75" t="n">
        <f aca="false">D19+E19</f>
        <v>0</v>
      </c>
      <c r="G19" s="75" t="n">
        <f aca="false">'[1]Stavební rozpočet'!L45</f>
        <v>0.00096</v>
      </c>
      <c r="H19" s="75" t="s">
        <v>283</v>
      </c>
      <c r="I19" s="75" t="n">
        <f aca="false">IF(H19="F",0,F19)</f>
        <v>0</v>
      </c>
    </row>
    <row r="20" customFormat="false" ht="12.75" hidden="false" customHeight="false" outlineLevel="0" collapsed="false">
      <c r="A20" s="44"/>
      <c r="B20" s="44" t="s">
        <v>202</v>
      </c>
      <c r="C20" s="44" t="s">
        <v>203</v>
      </c>
      <c r="D20" s="75" t="n">
        <f aca="false">'[1]Stavební rozpočet'!H47</f>
        <v>0</v>
      </c>
      <c r="E20" s="75" t="n">
        <f aca="false">'[1]Stavební rozpočet'!I47</f>
        <v>0</v>
      </c>
      <c r="F20" s="75" t="n">
        <f aca="false">D20+E20</f>
        <v>0</v>
      </c>
      <c r="G20" s="75" t="n">
        <f aca="false">'[1]Stavební rozpočet'!L47</f>
        <v>2.16036</v>
      </c>
      <c r="H20" s="75" t="s">
        <v>283</v>
      </c>
      <c r="I20" s="75" t="n">
        <f aca="false">IF(H20="F",0,F20)</f>
        <v>0</v>
      </c>
    </row>
    <row r="21" customFormat="false" ht="12.75" hidden="false" customHeight="false" outlineLevel="0" collapsed="false">
      <c r="A21" s="44"/>
      <c r="B21" s="44" t="s">
        <v>216</v>
      </c>
      <c r="C21" s="44" t="s">
        <v>217</v>
      </c>
      <c r="D21" s="75" t="n">
        <f aca="false">'[1]Stavební rozpočet'!H51</f>
        <v>0</v>
      </c>
      <c r="E21" s="75" t="n">
        <f aca="false">'[1]Stavební rozpočet'!I51</f>
        <v>0</v>
      </c>
      <c r="F21" s="75" t="n">
        <f aca="false">D21+E21</f>
        <v>0</v>
      </c>
      <c r="G21" s="75" t="n">
        <f aca="false">'[1]Stavební rozpočet'!L51</f>
        <v>34.41795</v>
      </c>
      <c r="H21" s="75" t="s">
        <v>283</v>
      </c>
      <c r="I21" s="75" t="n">
        <f aca="false">IF(H21="F",0,F21)</f>
        <v>0</v>
      </c>
    </row>
    <row r="22" customFormat="false" ht="12.75" hidden="false" customHeight="false" outlineLevel="0" collapsed="false">
      <c r="A22" s="44"/>
      <c r="B22" s="44" t="s">
        <v>229</v>
      </c>
      <c r="C22" s="44" t="s">
        <v>230</v>
      </c>
      <c r="D22" s="75" t="n">
        <f aca="false">'[1]Stavební rozpočet'!H55</f>
        <v>0</v>
      </c>
      <c r="E22" s="75" t="n">
        <f aca="false">'[1]Stavební rozpočet'!I55</f>
        <v>0</v>
      </c>
      <c r="F22" s="75" t="n">
        <f aca="false">D22+E22</f>
        <v>0</v>
      </c>
      <c r="G22" s="75" t="n">
        <f aca="false">'[1]Stavební rozpočet'!L55</f>
        <v>0.3066375</v>
      </c>
      <c r="H22" s="75" t="s">
        <v>283</v>
      </c>
      <c r="I22" s="75" t="n">
        <f aca="false">IF(H22="F",0,F22)</f>
        <v>0</v>
      </c>
    </row>
    <row r="23" customFormat="false" ht="12.75" hidden="false" customHeight="false" outlineLevel="0" collapsed="false">
      <c r="A23" s="44"/>
      <c r="B23" s="44" t="s">
        <v>238</v>
      </c>
      <c r="C23" s="44" t="s">
        <v>239</v>
      </c>
      <c r="D23" s="75" t="n">
        <f aca="false">'[1]Stavební rozpočet'!H58</f>
        <v>0</v>
      </c>
      <c r="E23" s="75" t="n">
        <f aca="false">'[1]Stavební rozpočet'!I58</f>
        <v>0</v>
      </c>
      <c r="F23" s="75" t="n">
        <f aca="false">D23+E23</f>
        <v>0</v>
      </c>
      <c r="G23" s="75" t="n">
        <f aca="false">'[1]Stavební rozpočet'!L58</f>
        <v>0</v>
      </c>
      <c r="H23" s="75" t="s">
        <v>283</v>
      </c>
      <c r="I23" s="75" t="n">
        <f aca="false">IF(H23="F",0,F23)</f>
        <v>0</v>
      </c>
    </row>
    <row r="24" customFormat="false" ht="12.75" hidden="false" customHeight="false" outlineLevel="0" collapsed="false">
      <c r="A24" s="44"/>
      <c r="B24" s="44" t="s">
        <v>246</v>
      </c>
      <c r="C24" s="44" t="s">
        <v>247</v>
      </c>
      <c r="D24" s="75" t="n">
        <f aca="false">'[1]Stavební rozpočet'!H60</f>
        <v>0</v>
      </c>
      <c r="E24" s="75" t="n">
        <f aca="false">'[1]Stavební rozpočet'!I60</f>
        <v>0</v>
      </c>
      <c r="F24" s="75" t="n">
        <f aca="false">D24+E24</f>
        <v>0</v>
      </c>
      <c r="G24" s="75" t="n">
        <f aca="false">'[1]Stavební rozpočet'!L60</f>
        <v>0</v>
      </c>
      <c r="H24" s="75" t="s">
        <v>283</v>
      </c>
      <c r="I24" s="75" t="n">
        <f aca="false">IF(H24="F",0,F24)</f>
        <v>0</v>
      </c>
    </row>
    <row r="25" customFormat="false" ht="12.75" hidden="false" customHeight="false" outlineLevel="0" collapsed="false">
      <c r="A25" s="44"/>
      <c r="B25" s="44" t="s">
        <v>258</v>
      </c>
      <c r="C25" s="44" t="s">
        <v>259</v>
      </c>
      <c r="D25" s="75" t="n">
        <f aca="false">'[1]Stavební rozpočet'!H63</f>
        <v>0</v>
      </c>
      <c r="E25" s="75" t="n">
        <f aca="false">'[1]Stavební rozpočet'!I63</f>
        <v>0</v>
      </c>
      <c r="F25" s="75" t="n">
        <f aca="false">D25+E25</f>
        <v>0</v>
      </c>
      <c r="G25" s="75" t="n">
        <f aca="false">'[1]Stavební rozpočet'!L63</f>
        <v>0</v>
      </c>
      <c r="H25" s="75" t="s">
        <v>283</v>
      </c>
      <c r="I25" s="75" t="n">
        <f aca="false">IF(H25="F",0,F25)</f>
        <v>0</v>
      </c>
    </row>
    <row r="27" customFormat="false" ht="12.75" hidden="false" customHeight="false" outlineLevel="0" collapsed="false">
      <c r="E27" s="89" t="s">
        <v>265</v>
      </c>
      <c r="F27" s="90" t="n">
        <f aca="false">SUM(I11:I25)</f>
        <v>0</v>
      </c>
    </row>
  </sheetData>
  <mergeCells count="17">
    <mergeCell ref="A1:G1"/>
    <mergeCell ref="A2:A3"/>
    <mergeCell ref="B2:C3"/>
    <mergeCell ref="D2:D3"/>
    <mergeCell ref="E2:G3"/>
    <mergeCell ref="A4:A5"/>
    <mergeCell ref="B4:C5"/>
    <mergeCell ref="D4:D5"/>
    <mergeCell ref="E4:G5"/>
    <mergeCell ref="A6:A7"/>
    <mergeCell ref="B6:C7"/>
    <mergeCell ref="D6:D7"/>
    <mergeCell ref="E6:G7"/>
    <mergeCell ref="A8:A9"/>
    <mergeCell ref="B8:C9"/>
    <mergeCell ref="D8:D9"/>
    <mergeCell ref="E8:G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12.578125" defaultRowHeight="12.75" zeroHeight="false" outlineLevelRow="0" outlineLevelCol="0"/>
  <cols>
    <col collapsed="false" customWidth="true" hidden="false" outlineLevel="0" max="2" min="1" style="34" width="10.02"/>
    <col collapsed="false" customWidth="true" hidden="false" outlineLevel="0" max="3" min="3" style="34" width="14.58"/>
    <col collapsed="false" customWidth="true" hidden="false" outlineLevel="0" max="4" min="4" style="34" width="67.68"/>
    <col collapsed="false" customWidth="true" hidden="false" outlineLevel="0" max="5" min="5" style="34" width="15.97"/>
    <col collapsed="false" customWidth="true" hidden="false" outlineLevel="0" max="6" min="6" style="34" width="26.52"/>
    <col collapsed="false" customWidth="true" hidden="false" outlineLevel="0" max="7" min="7" style="34" width="22.43"/>
    <col collapsed="false" customWidth="true" hidden="false" outlineLevel="0" max="8" min="8" style="34" width="18.03"/>
    <col collapsed="false" customWidth="true" hidden="false" outlineLevel="0" max="257" min="9" style="34" width="12.7"/>
  </cols>
  <sheetData>
    <row r="1" customFormat="false" ht="72.95" hidden="false" customHeight="true" outlineLevel="0" collapsed="false">
      <c r="A1" s="35" t="s">
        <v>284</v>
      </c>
      <c r="B1" s="35"/>
      <c r="C1" s="35"/>
      <c r="D1" s="35"/>
      <c r="E1" s="35"/>
      <c r="F1" s="35"/>
      <c r="G1" s="35"/>
      <c r="H1" s="35"/>
    </row>
    <row r="2" customFormat="false" ht="12.75" hidden="false" customHeight="true" outlineLevel="0" collapsed="false">
      <c r="A2" s="36" t="s">
        <v>38</v>
      </c>
      <c r="B2" s="36"/>
      <c r="C2" s="37" t="s">
        <v>7</v>
      </c>
      <c r="D2" s="37"/>
      <c r="E2" s="39" t="s">
        <v>40</v>
      </c>
      <c r="F2" s="40" t="s">
        <v>41</v>
      </c>
      <c r="G2" s="40"/>
      <c r="H2" s="40"/>
      <c r="I2" s="41"/>
    </row>
    <row r="3" customFormat="false" ht="12.75" hidden="false" customHeight="false" outlineLevel="0" collapsed="false">
      <c r="A3" s="36"/>
      <c r="B3" s="36"/>
      <c r="C3" s="37"/>
      <c r="D3" s="37"/>
      <c r="E3" s="39"/>
      <c r="F3" s="39"/>
      <c r="G3" s="40"/>
      <c r="H3" s="40"/>
      <c r="I3" s="41"/>
    </row>
    <row r="4" customFormat="false" ht="12.75" hidden="false" customHeight="true" outlineLevel="0" collapsed="false">
      <c r="A4" s="42" t="s">
        <v>42</v>
      </c>
      <c r="B4" s="42"/>
      <c r="C4" s="43" t="s">
        <v>43</v>
      </c>
      <c r="D4" s="43"/>
      <c r="E4" s="46" t="s">
        <v>45</v>
      </c>
      <c r="F4" s="47"/>
      <c r="G4" s="47"/>
      <c r="H4" s="47"/>
      <c r="I4" s="41"/>
    </row>
    <row r="5" customFormat="false" ht="12.75" hidden="false" customHeight="false" outlineLevel="0" collapsed="false">
      <c r="A5" s="42"/>
      <c r="B5" s="42"/>
      <c r="C5" s="43"/>
      <c r="D5" s="43"/>
      <c r="E5" s="46"/>
      <c r="F5" s="46"/>
      <c r="G5" s="47"/>
      <c r="H5" s="47"/>
      <c r="I5" s="41"/>
    </row>
    <row r="6" customFormat="false" ht="12.75" hidden="false" customHeight="true" outlineLevel="0" collapsed="false">
      <c r="A6" s="42" t="s">
        <v>46</v>
      </c>
      <c r="B6" s="42"/>
      <c r="C6" s="46" t="s">
        <v>47</v>
      </c>
      <c r="D6" s="46"/>
      <c r="E6" s="46" t="s">
        <v>49</v>
      </c>
      <c r="F6" s="47"/>
      <c r="G6" s="47"/>
      <c r="H6" s="47"/>
      <c r="I6" s="41"/>
    </row>
    <row r="7" customFormat="false" ht="12.75" hidden="false" customHeight="false" outlineLevel="0" collapsed="false">
      <c r="A7" s="42"/>
      <c r="B7" s="42"/>
      <c r="C7" s="46"/>
      <c r="D7" s="46"/>
      <c r="E7" s="46"/>
      <c r="F7" s="46"/>
      <c r="G7" s="47"/>
      <c r="H7" s="47"/>
      <c r="I7" s="41"/>
    </row>
    <row r="8" customFormat="false" ht="12.75" hidden="false" customHeight="true" outlineLevel="0" collapsed="false">
      <c r="A8" s="48" t="s">
        <v>52</v>
      </c>
      <c r="B8" s="48"/>
      <c r="C8" s="49"/>
      <c r="D8" s="49"/>
      <c r="E8" s="50" t="s">
        <v>51</v>
      </c>
      <c r="F8" s="91"/>
      <c r="G8" s="91"/>
      <c r="H8" s="91"/>
      <c r="I8" s="41"/>
    </row>
    <row r="9" customFormat="false" ht="14.65" hidden="false" customHeight="false" outlineLevel="0" collapsed="false">
      <c r="A9" s="48"/>
      <c r="B9" s="48"/>
      <c r="C9" s="49"/>
      <c r="D9" s="49"/>
      <c r="E9" s="50"/>
      <c r="F9" s="50"/>
      <c r="G9" s="91"/>
      <c r="H9" s="91"/>
      <c r="I9" s="41"/>
    </row>
    <row r="10" customFormat="false" ht="12.75" hidden="false" customHeight="false" outlineLevel="0" collapsed="false">
      <c r="A10" s="87" t="s">
        <v>53</v>
      </c>
      <c r="B10" s="93" t="s">
        <v>54</v>
      </c>
      <c r="C10" s="93" t="s">
        <v>55</v>
      </c>
      <c r="D10" s="93" t="s">
        <v>56</v>
      </c>
      <c r="E10" s="93" t="s">
        <v>57</v>
      </c>
      <c r="F10" s="93" t="s">
        <v>64</v>
      </c>
      <c r="G10" s="98" t="s">
        <v>58</v>
      </c>
      <c r="H10" s="92" t="s">
        <v>285</v>
      </c>
      <c r="I10" s="59"/>
    </row>
    <row r="11" customFormat="false" ht="23.85" hidden="false" customHeight="false" outlineLevel="0" collapsed="false">
      <c r="A11" s="96" t="s">
        <v>81</v>
      </c>
      <c r="B11" s="96"/>
      <c r="C11" s="96" t="s">
        <v>82</v>
      </c>
      <c r="D11" s="99" t="s">
        <v>286</v>
      </c>
      <c r="E11" s="96" t="s">
        <v>84</v>
      </c>
      <c r="F11" s="100"/>
      <c r="G11" s="97" t="n">
        <v>54.68</v>
      </c>
      <c r="H11" s="101" t="s">
        <v>85</v>
      </c>
    </row>
    <row r="12" customFormat="false" ht="12.75" hidden="false" customHeight="false" outlineLevel="0" collapsed="false">
      <c r="A12" s="44" t="s">
        <v>92</v>
      </c>
      <c r="B12" s="44"/>
      <c r="C12" s="44" t="s">
        <v>93</v>
      </c>
      <c r="D12" s="44" t="s">
        <v>94</v>
      </c>
      <c r="E12" s="44" t="s">
        <v>84</v>
      </c>
      <c r="G12" s="75" t="n">
        <v>204</v>
      </c>
      <c r="H12" s="76" t="s">
        <v>85</v>
      </c>
    </row>
    <row r="13" customFormat="false" ht="12.75" hidden="false" customHeight="false" outlineLevel="0" collapsed="false">
      <c r="A13" s="44" t="s">
        <v>98</v>
      </c>
      <c r="B13" s="44"/>
      <c r="C13" s="44" t="s">
        <v>102</v>
      </c>
      <c r="D13" s="44" t="s">
        <v>103</v>
      </c>
      <c r="E13" s="44" t="s">
        <v>104</v>
      </c>
      <c r="G13" s="75" t="n">
        <v>34</v>
      </c>
      <c r="H13" s="76" t="s">
        <v>85</v>
      </c>
    </row>
    <row r="14" customFormat="false" ht="12.75" hidden="false" customHeight="false" outlineLevel="0" collapsed="false">
      <c r="A14" s="44" t="s">
        <v>101</v>
      </c>
      <c r="B14" s="44"/>
      <c r="C14" s="44" t="s">
        <v>110</v>
      </c>
      <c r="D14" s="44" t="s">
        <v>287</v>
      </c>
      <c r="E14" s="44" t="s">
        <v>84</v>
      </c>
      <c r="G14" s="75" t="n">
        <v>94.86</v>
      </c>
      <c r="H14" s="76" t="s">
        <v>85</v>
      </c>
    </row>
    <row r="15" customFormat="false" ht="12.75" hidden="false" customHeight="false" outlineLevel="0" collapsed="false">
      <c r="A15" s="44" t="s">
        <v>105</v>
      </c>
      <c r="B15" s="44"/>
      <c r="C15" s="44" t="s">
        <v>115</v>
      </c>
      <c r="D15" s="44" t="s">
        <v>116</v>
      </c>
      <c r="E15" s="44" t="s">
        <v>84</v>
      </c>
      <c r="G15" s="75" t="n">
        <v>94.86</v>
      </c>
      <c r="H15" s="76" t="s">
        <v>85</v>
      </c>
    </row>
    <row r="16" customFormat="false" ht="12.75" hidden="false" customHeight="false" outlineLevel="0" collapsed="false">
      <c r="A16" s="44" t="s">
        <v>109</v>
      </c>
      <c r="B16" s="44"/>
      <c r="C16" s="44" t="s">
        <v>122</v>
      </c>
      <c r="D16" s="44" t="s">
        <v>288</v>
      </c>
      <c r="E16" s="44" t="s">
        <v>104</v>
      </c>
      <c r="G16" s="75" t="n">
        <v>34</v>
      </c>
      <c r="H16" s="76" t="s">
        <v>85</v>
      </c>
    </row>
    <row r="17" customFormat="false" ht="12.75" hidden="false" customHeight="false" outlineLevel="0" collapsed="false">
      <c r="A17" s="44" t="s">
        <v>114</v>
      </c>
      <c r="B17" s="44"/>
      <c r="C17" s="44" t="s">
        <v>128</v>
      </c>
      <c r="D17" s="44" t="s">
        <v>289</v>
      </c>
      <c r="E17" s="44" t="s">
        <v>104</v>
      </c>
      <c r="G17" s="75" t="n">
        <v>34</v>
      </c>
      <c r="H17" s="76" t="s">
        <v>85</v>
      </c>
    </row>
    <row r="18" customFormat="false" ht="23.85" hidden="false" customHeight="false" outlineLevel="0" collapsed="false">
      <c r="A18" s="44" t="s">
        <v>121</v>
      </c>
      <c r="B18" s="44"/>
      <c r="C18" s="44" t="s">
        <v>140</v>
      </c>
      <c r="D18" s="74" t="s">
        <v>290</v>
      </c>
      <c r="E18" s="44" t="s">
        <v>108</v>
      </c>
      <c r="G18" s="75" t="n">
        <v>90</v>
      </c>
      <c r="H18" s="76" t="s">
        <v>85</v>
      </c>
    </row>
    <row r="19" customFormat="false" ht="46.25" hidden="false" customHeight="false" outlineLevel="0" collapsed="false">
      <c r="A19" s="44" t="s">
        <v>127</v>
      </c>
      <c r="B19" s="44"/>
      <c r="C19" s="44" t="s">
        <v>146</v>
      </c>
      <c r="D19" s="74" t="s">
        <v>291</v>
      </c>
      <c r="E19" s="44" t="s">
        <v>148</v>
      </c>
      <c r="G19" s="75" t="n">
        <v>1</v>
      </c>
      <c r="H19" s="76" t="s">
        <v>85</v>
      </c>
    </row>
    <row r="20" customFormat="false" ht="12.75" hidden="false" customHeight="false" outlineLevel="0" collapsed="false">
      <c r="A20" s="44" t="s">
        <v>132</v>
      </c>
      <c r="B20" s="44"/>
      <c r="C20" s="44" t="s">
        <v>159</v>
      </c>
      <c r="D20" s="44" t="s">
        <v>160</v>
      </c>
      <c r="E20" s="44" t="s">
        <v>104</v>
      </c>
      <c r="G20" s="75" t="n">
        <v>34</v>
      </c>
      <c r="H20" s="76" t="s">
        <v>85</v>
      </c>
    </row>
    <row r="21" customFormat="false" ht="12.75" hidden="false" customHeight="false" outlineLevel="0" collapsed="false">
      <c r="A21" s="44" t="s">
        <v>139</v>
      </c>
      <c r="B21" s="44"/>
      <c r="C21" s="44" t="s">
        <v>171</v>
      </c>
      <c r="D21" s="44" t="s">
        <v>172</v>
      </c>
      <c r="E21" s="44" t="s">
        <v>104</v>
      </c>
      <c r="G21" s="75" t="n">
        <v>31</v>
      </c>
      <c r="H21" s="76" t="s">
        <v>85</v>
      </c>
    </row>
    <row r="22" customFormat="false" ht="12.75" hidden="false" customHeight="false" outlineLevel="0" collapsed="false">
      <c r="A22" s="44" t="s">
        <v>145</v>
      </c>
      <c r="B22" s="44"/>
      <c r="C22" s="44" t="s">
        <v>175</v>
      </c>
      <c r="D22" s="44" t="s">
        <v>176</v>
      </c>
      <c r="E22" s="44" t="s">
        <v>104</v>
      </c>
      <c r="G22" s="75" t="n">
        <v>18</v>
      </c>
      <c r="H22" s="76" t="s">
        <v>85</v>
      </c>
    </row>
    <row r="23" customFormat="false" ht="12.75" hidden="false" customHeight="false" outlineLevel="0" collapsed="false">
      <c r="A23" s="44" t="s">
        <v>151</v>
      </c>
      <c r="B23" s="44"/>
      <c r="C23" s="44" t="s">
        <v>175</v>
      </c>
      <c r="D23" s="44" t="s">
        <v>178</v>
      </c>
      <c r="E23" s="44" t="s">
        <v>104</v>
      </c>
      <c r="G23" s="75" t="n">
        <v>18</v>
      </c>
      <c r="H23" s="76" t="s">
        <v>85</v>
      </c>
    </row>
    <row r="24" customFormat="false" ht="12.75" hidden="false" customHeight="false" outlineLevel="0" collapsed="false">
      <c r="A24" s="44" t="s">
        <v>155</v>
      </c>
      <c r="B24" s="44"/>
      <c r="C24" s="44" t="s">
        <v>180</v>
      </c>
      <c r="D24" s="44" t="s">
        <v>181</v>
      </c>
      <c r="E24" s="44" t="s">
        <v>104</v>
      </c>
      <c r="G24" s="75" t="n">
        <v>31</v>
      </c>
      <c r="H24" s="76" t="s">
        <v>85</v>
      </c>
    </row>
    <row r="25" customFormat="false" ht="12.75" hidden="false" customHeight="false" outlineLevel="0" collapsed="false">
      <c r="A25" s="44" t="s">
        <v>158</v>
      </c>
      <c r="B25" s="44"/>
      <c r="C25" s="44" t="s">
        <v>186</v>
      </c>
      <c r="D25" s="44" t="s">
        <v>187</v>
      </c>
      <c r="E25" s="44" t="s">
        <v>104</v>
      </c>
      <c r="G25" s="75" t="n">
        <v>31</v>
      </c>
      <c r="H25" s="76" t="s">
        <v>85</v>
      </c>
    </row>
    <row r="26" customFormat="false" ht="12.75" hidden="false" customHeight="false" outlineLevel="0" collapsed="false">
      <c r="A26" s="44" t="s">
        <v>164</v>
      </c>
      <c r="B26" s="44"/>
      <c r="C26" s="44" t="s">
        <v>189</v>
      </c>
      <c r="D26" s="44" t="s">
        <v>190</v>
      </c>
      <c r="E26" s="44" t="s">
        <v>104</v>
      </c>
      <c r="G26" s="75" t="n">
        <v>31</v>
      </c>
      <c r="H26" s="76" t="s">
        <v>85</v>
      </c>
    </row>
    <row r="27" customFormat="false" ht="12.75" hidden="false" customHeight="false" outlineLevel="0" collapsed="false">
      <c r="A27" s="44" t="s">
        <v>168</v>
      </c>
      <c r="B27" s="44"/>
      <c r="C27" s="44" t="s">
        <v>192</v>
      </c>
      <c r="D27" s="44" t="s">
        <v>193</v>
      </c>
      <c r="E27" s="44" t="s">
        <v>104</v>
      </c>
      <c r="G27" s="75" t="n">
        <v>31</v>
      </c>
      <c r="H27" s="76" t="s">
        <v>85</v>
      </c>
    </row>
    <row r="28" customFormat="false" ht="12.75" hidden="false" customHeight="false" outlineLevel="0" collapsed="false">
      <c r="A28" s="44" t="s">
        <v>170</v>
      </c>
      <c r="B28" s="44"/>
      <c r="C28" s="44" t="s">
        <v>197</v>
      </c>
      <c r="D28" s="44" t="s">
        <v>198</v>
      </c>
      <c r="E28" s="44" t="s">
        <v>104</v>
      </c>
      <c r="G28" s="75" t="n">
        <v>6</v>
      </c>
      <c r="H28" s="76" t="s">
        <v>85</v>
      </c>
    </row>
    <row r="29" customFormat="false" ht="12.75" hidden="false" customHeight="false" outlineLevel="0" collapsed="false">
      <c r="A29" s="44" t="s">
        <v>174</v>
      </c>
      <c r="B29" s="44"/>
      <c r="C29" s="44" t="s">
        <v>210</v>
      </c>
      <c r="D29" s="44" t="s">
        <v>211</v>
      </c>
      <c r="E29" s="44" t="s">
        <v>84</v>
      </c>
      <c r="G29" s="75" t="n">
        <v>204</v>
      </c>
      <c r="H29" s="76" t="s">
        <v>85</v>
      </c>
    </row>
    <row r="30" customFormat="false" ht="12.75" hidden="false" customHeight="false" outlineLevel="0" collapsed="false">
      <c r="A30" s="44" t="s">
        <v>177</v>
      </c>
      <c r="B30" s="44"/>
      <c r="C30" s="44" t="s">
        <v>219</v>
      </c>
      <c r="D30" s="44" t="s">
        <v>220</v>
      </c>
      <c r="E30" s="44" t="s">
        <v>84</v>
      </c>
      <c r="G30" s="75" t="n">
        <v>330</v>
      </c>
      <c r="H30" s="76" t="s">
        <v>85</v>
      </c>
    </row>
    <row r="31" customFormat="false" ht="12.75" hidden="false" customHeight="false" outlineLevel="0" collapsed="false">
      <c r="A31" s="44" t="s">
        <v>179</v>
      </c>
      <c r="B31" s="44"/>
      <c r="C31" s="44" t="s">
        <v>227</v>
      </c>
      <c r="D31" s="44" t="s">
        <v>228</v>
      </c>
      <c r="E31" s="44" t="s">
        <v>84</v>
      </c>
      <c r="G31" s="75" t="n">
        <v>315</v>
      </c>
      <c r="H31" s="76" t="s">
        <v>85</v>
      </c>
    </row>
    <row r="32" customFormat="false" ht="12.75" hidden="false" customHeight="false" outlineLevel="0" collapsed="false">
      <c r="A32" s="44" t="s">
        <v>182</v>
      </c>
      <c r="B32" s="44"/>
      <c r="C32" s="44" t="s">
        <v>232</v>
      </c>
      <c r="D32" s="44" t="s">
        <v>233</v>
      </c>
      <c r="E32" s="44" t="s">
        <v>84</v>
      </c>
      <c r="G32" s="75" t="n">
        <v>408.85</v>
      </c>
      <c r="H32" s="76" t="s">
        <v>85</v>
      </c>
    </row>
    <row r="33" customFormat="false" ht="12.75" hidden="false" customHeight="false" outlineLevel="0" collapsed="false">
      <c r="A33" s="44" t="s">
        <v>185</v>
      </c>
      <c r="B33" s="44"/>
      <c r="C33" s="44" t="s">
        <v>236</v>
      </c>
      <c r="D33" s="44" t="s">
        <v>237</v>
      </c>
      <c r="E33" s="44" t="s">
        <v>84</v>
      </c>
      <c r="G33" s="75" t="n">
        <v>408.85</v>
      </c>
      <c r="H33" s="76" t="s">
        <v>85</v>
      </c>
    </row>
    <row r="34" customFormat="false" ht="12.75" hidden="false" customHeight="false" outlineLevel="0" collapsed="false">
      <c r="A34" s="44" t="s">
        <v>188</v>
      </c>
      <c r="B34" s="44"/>
      <c r="C34" s="44" t="s">
        <v>241</v>
      </c>
      <c r="D34" s="44" t="s">
        <v>242</v>
      </c>
      <c r="E34" s="44" t="s">
        <v>243</v>
      </c>
      <c r="G34" s="75" t="n">
        <v>100</v>
      </c>
      <c r="H34" s="76" t="s">
        <v>85</v>
      </c>
    </row>
    <row r="35" customFormat="false" ht="12.75" hidden="false" customHeight="false" outlineLevel="0" collapsed="false">
      <c r="A35" s="44" t="s">
        <v>191</v>
      </c>
      <c r="B35" s="44"/>
      <c r="C35" s="44" t="s">
        <v>249</v>
      </c>
      <c r="D35" s="44" t="s">
        <v>250</v>
      </c>
      <c r="E35" s="44" t="s">
        <v>251</v>
      </c>
      <c r="G35" s="75" t="n">
        <v>2652</v>
      </c>
      <c r="H35" s="76" t="s">
        <v>85</v>
      </c>
    </row>
    <row r="36" customFormat="false" ht="12.75" hidden="false" customHeight="false" outlineLevel="0" collapsed="false">
      <c r="A36" s="44" t="s">
        <v>196</v>
      </c>
      <c r="B36" s="44"/>
      <c r="C36" s="44" t="s">
        <v>255</v>
      </c>
      <c r="D36" s="44" t="s">
        <v>256</v>
      </c>
      <c r="E36" s="44" t="s">
        <v>257</v>
      </c>
      <c r="G36" s="75" t="n">
        <v>59.42</v>
      </c>
      <c r="H36" s="76" t="s">
        <v>85</v>
      </c>
    </row>
    <row r="37" customFormat="false" ht="12.75" hidden="false" customHeight="false" outlineLevel="0" collapsed="false">
      <c r="A37" s="44" t="s">
        <v>204</v>
      </c>
      <c r="B37" s="44"/>
      <c r="C37" s="44" t="s">
        <v>261</v>
      </c>
      <c r="D37" s="44" t="s">
        <v>262</v>
      </c>
      <c r="E37" s="44" t="s">
        <v>257</v>
      </c>
      <c r="G37" s="75" t="n">
        <v>42.5</v>
      </c>
      <c r="H37" s="76" t="s">
        <v>85</v>
      </c>
    </row>
    <row r="39" customFormat="false" ht="11.25" hidden="false" customHeight="true" outlineLevel="0" collapsed="false">
      <c r="A39" s="85" t="s">
        <v>266</v>
      </c>
    </row>
    <row r="40" customFormat="false" ht="409.6" hidden="true" customHeight="true" outlineLevel="0" collapsed="false">
      <c r="A40" s="46"/>
      <c r="B40" s="46"/>
      <c r="C40" s="46"/>
      <c r="D40" s="46"/>
      <c r="E40" s="46"/>
      <c r="F40" s="46"/>
      <c r="G40" s="46"/>
    </row>
  </sheetData>
  <mergeCells count="18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A6:B7"/>
    <mergeCell ref="C6:D7"/>
    <mergeCell ref="E6:E7"/>
    <mergeCell ref="F6:H7"/>
    <mergeCell ref="A8:B9"/>
    <mergeCell ref="C8:D9"/>
    <mergeCell ref="E8:E9"/>
    <mergeCell ref="F8:H9"/>
    <mergeCell ref="A40:G4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AE66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D28" activeCellId="0" sqref="D28"/>
    </sheetView>
  </sheetViews>
  <sheetFormatPr defaultColWidth="12.578125" defaultRowHeight="12.75" zeroHeight="false" outlineLevelRow="0" outlineLevelCol="0"/>
  <cols>
    <col collapsed="false" customWidth="true" hidden="false" outlineLevel="0" max="1" min="1" style="34" width="15.97"/>
    <col collapsed="false" customWidth="true" hidden="false" outlineLevel="0" max="2" min="2" style="34" width="11.44"/>
    <col collapsed="false" customWidth="true" hidden="false" outlineLevel="0" max="3" min="3" style="34" width="15.97"/>
    <col collapsed="false" customWidth="true" hidden="false" outlineLevel="0" max="4" min="4" style="34" width="43.64"/>
    <col collapsed="false" customWidth="true" hidden="false" outlineLevel="0" max="5" min="5" style="34" width="17.72"/>
    <col collapsed="false" customWidth="true" hidden="false" outlineLevel="0" max="6" min="6" style="34" width="25.58"/>
    <col collapsed="false" customWidth="true" hidden="false" outlineLevel="0" max="7" min="7" style="34" width="23.39"/>
    <col collapsed="false" customWidth="true" hidden="false" outlineLevel="0" max="8" min="8" style="34" width="21.47"/>
    <col collapsed="false" customWidth="false" hidden="false" outlineLevel="0" max="9" min="9" style="34" width="12.53"/>
    <col collapsed="false" customWidth="true" hidden="false" outlineLevel="0" max="12" min="10" style="34" width="21.96"/>
    <col collapsed="false" customWidth="true" hidden="false" outlineLevel="0" max="30" min="13" style="34" width="12.7"/>
    <col collapsed="false" customWidth="true" hidden="true" outlineLevel="0" max="31" min="31" style="34" width="13.32"/>
    <col collapsed="false" customWidth="true" hidden="false" outlineLevel="0" max="257" min="32" style="34" width="12.7"/>
  </cols>
  <sheetData>
    <row r="1" customFormat="false" ht="72.95" hidden="false" customHeight="true" outlineLevel="0" collapsed="false">
      <c r="A1" s="35" t="s">
        <v>292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customFormat="false" ht="12.75" hidden="false" customHeight="true" outlineLevel="0" collapsed="false">
      <c r="A2" s="36" t="s">
        <v>38</v>
      </c>
      <c r="B2" s="37" t="s">
        <v>7</v>
      </c>
      <c r="C2" s="37"/>
      <c r="D2" s="37"/>
      <c r="E2" s="38" t="s">
        <v>39</v>
      </c>
      <c r="F2" s="38"/>
      <c r="G2" s="39" t="s">
        <v>40</v>
      </c>
      <c r="H2" s="40" t="s">
        <v>41</v>
      </c>
      <c r="I2" s="40"/>
      <c r="J2" s="40"/>
      <c r="K2" s="40"/>
      <c r="L2" s="40"/>
      <c r="M2" s="41"/>
    </row>
    <row r="3" customFormat="false" ht="14.65" hidden="false" customHeight="false" outlineLevel="0" collapsed="false">
      <c r="A3" s="36"/>
      <c r="B3" s="37"/>
      <c r="C3" s="37"/>
      <c r="D3" s="37"/>
      <c r="E3" s="38"/>
      <c r="F3" s="38"/>
      <c r="G3" s="38"/>
      <c r="H3" s="38"/>
      <c r="I3" s="40"/>
      <c r="J3" s="40"/>
      <c r="K3" s="40"/>
      <c r="L3" s="40"/>
      <c r="M3" s="41"/>
    </row>
    <row r="4" customFormat="false" ht="12.75" hidden="false" customHeight="true" outlineLevel="0" collapsed="false">
      <c r="A4" s="42" t="s">
        <v>42</v>
      </c>
      <c r="B4" s="43" t="s">
        <v>43</v>
      </c>
      <c r="C4" s="43"/>
      <c r="D4" s="43"/>
      <c r="E4" s="44" t="s">
        <v>44</v>
      </c>
      <c r="F4" s="45"/>
      <c r="G4" s="46" t="s">
        <v>45</v>
      </c>
      <c r="H4" s="47"/>
      <c r="I4" s="47"/>
      <c r="J4" s="47"/>
      <c r="K4" s="47"/>
      <c r="L4" s="47"/>
      <c r="M4" s="41"/>
    </row>
    <row r="5" customFormat="false" ht="14.65" hidden="false" customHeight="false" outlineLevel="0" collapsed="false">
      <c r="A5" s="42"/>
      <c r="B5" s="43"/>
      <c r="C5" s="43"/>
      <c r="D5" s="43"/>
      <c r="E5" s="44"/>
      <c r="F5" s="44"/>
      <c r="G5" s="44"/>
      <c r="H5" s="44"/>
      <c r="I5" s="47"/>
      <c r="J5" s="47"/>
      <c r="K5" s="47"/>
      <c r="L5" s="47"/>
      <c r="M5" s="41"/>
    </row>
    <row r="6" customFormat="false" ht="12.75" hidden="false" customHeight="true" outlineLevel="0" collapsed="false">
      <c r="A6" s="42" t="s">
        <v>46</v>
      </c>
      <c r="B6" s="46" t="s">
        <v>47</v>
      </c>
      <c r="C6" s="46"/>
      <c r="D6" s="46"/>
      <c r="E6" s="44" t="s">
        <v>48</v>
      </c>
      <c r="F6" s="45"/>
      <c r="G6" s="46" t="s">
        <v>49</v>
      </c>
      <c r="H6" s="47"/>
      <c r="I6" s="47"/>
      <c r="J6" s="47"/>
      <c r="K6" s="47"/>
      <c r="L6" s="47"/>
      <c r="M6" s="41"/>
    </row>
    <row r="7" customFormat="false" ht="14.65" hidden="false" customHeight="false" outlineLevel="0" collapsed="false">
      <c r="A7" s="42"/>
      <c r="B7" s="46"/>
      <c r="C7" s="46"/>
      <c r="D7" s="46"/>
      <c r="E7" s="44"/>
      <c r="F7" s="44"/>
      <c r="G7" s="44"/>
      <c r="H7" s="44"/>
      <c r="I7" s="47"/>
      <c r="J7" s="47"/>
      <c r="K7" s="47"/>
      <c r="L7" s="47"/>
      <c r="M7" s="41"/>
    </row>
    <row r="8" customFormat="false" ht="12.75" hidden="false" customHeight="true" outlineLevel="0" collapsed="false">
      <c r="A8" s="48" t="s">
        <v>50</v>
      </c>
      <c r="B8" s="49"/>
      <c r="C8" s="49"/>
      <c r="D8" s="49"/>
      <c r="E8" s="50" t="s">
        <v>51</v>
      </c>
      <c r="F8" s="51"/>
      <c r="G8" s="49" t="s">
        <v>52</v>
      </c>
      <c r="H8" s="52"/>
      <c r="I8" s="52"/>
      <c r="J8" s="52"/>
      <c r="K8" s="52"/>
      <c r="L8" s="52"/>
      <c r="M8" s="41"/>
    </row>
    <row r="9" customFormat="false" ht="14.65" hidden="false" customHeight="false" outlineLevel="0" collapsed="false">
      <c r="A9" s="48"/>
      <c r="B9" s="49"/>
      <c r="C9" s="49"/>
      <c r="D9" s="49"/>
      <c r="E9" s="50"/>
      <c r="F9" s="50"/>
      <c r="G9" s="50"/>
      <c r="H9" s="50"/>
      <c r="I9" s="52"/>
      <c r="J9" s="52"/>
      <c r="K9" s="52"/>
      <c r="L9" s="52"/>
      <c r="M9" s="41"/>
    </row>
    <row r="10" customFormat="false" ht="12.75" hidden="false" customHeight="true" outlineLevel="0" collapsed="false">
      <c r="A10" s="86" t="s">
        <v>53</v>
      </c>
      <c r="B10" s="86" t="s">
        <v>54</v>
      </c>
      <c r="C10" s="87" t="s">
        <v>55</v>
      </c>
      <c r="D10" s="102" t="s">
        <v>56</v>
      </c>
      <c r="E10" s="102"/>
      <c r="F10" s="98" t="s">
        <v>293</v>
      </c>
      <c r="G10" s="98" t="s">
        <v>294</v>
      </c>
      <c r="H10" s="98" t="s">
        <v>295</v>
      </c>
      <c r="I10" s="103" t="s">
        <v>296</v>
      </c>
      <c r="J10" s="104" t="s">
        <v>297</v>
      </c>
      <c r="K10" s="98" t="s">
        <v>298</v>
      </c>
      <c r="L10" s="103" t="s">
        <v>299</v>
      </c>
      <c r="M10" s="59"/>
    </row>
    <row r="11" customFormat="false" ht="12.75" hidden="false" customHeight="true" outlineLevel="0" collapsed="false">
      <c r="A11" s="70"/>
      <c r="B11" s="70"/>
      <c r="C11" s="70" t="s">
        <v>79</v>
      </c>
      <c r="D11" s="105" t="s">
        <v>80</v>
      </c>
      <c r="E11" s="105"/>
      <c r="F11" s="71" t="n">
        <f aca="false">SUM(F12:F12)</f>
        <v>0</v>
      </c>
      <c r="G11" s="71" t="n">
        <f aca="false">SUM(G12:G12)</f>
        <v>0</v>
      </c>
      <c r="H11" s="71" t="n">
        <f aca="false">G11-F11</f>
        <v>0</v>
      </c>
      <c r="I11" s="106" t="n">
        <f aca="false">IF(F11=0,0,H11/F11*100)</f>
        <v>0</v>
      </c>
      <c r="J11" s="107" t="str">
        <f aca="false">IF(G11=0,"Nefakturováno",AE11)</f>
        <v>Nefakturováno</v>
      </c>
      <c r="K11" s="71" t="n">
        <f aca="false">AE11-G11</f>
        <v>0</v>
      </c>
      <c r="L11" s="71" t="n">
        <f aca="false">IF(G11&lt;&gt;0,K11/G11*100,-100)</f>
        <v>-100</v>
      </c>
      <c r="AE11" s="75" t="n">
        <v>0</v>
      </c>
    </row>
    <row r="12" customFormat="false" ht="25.35" hidden="false" customHeight="true" outlineLevel="0" collapsed="false">
      <c r="A12" s="44" t="s">
        <v>81</v>
      </c>
      <c r="B12" s="44"/>
      <c r="C12" s="44" t="s">
        <v>82</v>
      </c>
      <c r="D12" s="74" t="s">
        <v>83</v>
      </c>
      <c r="E12" s="74"/>
      <c r="F12" s="75" t="n">
        <f aca="false">'[1]Stavební rozpočet'!J13</f>
        <v>0</v>
      </c>
      <c r="G12" s="75" t="n">
        <v>0</v>
      </c>
      <c r="H12" s="75" t="n">
        <f aca="false">G12-F12</f>
        <v>0</v>
      </c>
      <c r="I12" s="108" t="n">
        <f aca="false">IF(F12=0,0,H12/F12*100)</f>
        <v>0</v>
      </c>
      <c r="J12" s="109" t="str">
        <f aca="false">IF(G12=0,"Nefakturováno",AE12)</f>
        <v>Nefakturováno</v>
      </c>
      <c r="K12" s="75" t="n">
        <f aca="false">AE12-G12</f>
        <v>0</v>
      </c>
      <c r="L12" s="75" t="n">
        <f aca="false">IF(G12&lt;&gt;0,K12/G12*100,-100)</f>
        <v>-100</v>
      </c>
      <c r="AE12" s="75" t="n">
        <v>0</v>
      </c>
    </row>
    <row r="13" customFormat="false" ht="12.75" hidden="false" customHeight="true" outlineLevel="0" collapsed="false">
      <c r="A13" s="78"/>
      <c r="B13" s="78"/>
      <c r="C13" s="78" t="s">
        <v>90</v>
      </c>
      <c r="D13" s="110" t="s">
        <v>91</v>
      </c>
      <c r="E13" s="110"/>
      <c r="F13" s="73" t="n">
        <f aca="false">SUM(F14:F18)</f>
        <v>0</v>
      </c>
      <c r="G13" s="73" t="n">
        <f aca="false">SUM(G14:G18)</f>
        <v>0</v>
      </c>
      <c r="H13" s="73" t="n">
        <f aca="false">G13-F13</f>
        <v>0</v>
      </c>
      <c r="I13" s="111" t="n">
        <f aca="false">IF(F13=0,0,H13/F13*100)</f>
        <v>0</v>
      </c>
      <c r="J13" s="112" t="str">
        <f aca="false">IF(G13=0,"Nefakturováno",AE13)</f>
        <v>Nefakturováno</v>
      </c>
      <c r="K13" s="73" t="n">
        <f aca="false">AE13-G13</f>
        <v>0</v>
      </c>
      <c r="L13" s="73" t="n">
        <f aca="false">IF(G13&lt;&gt;0,K13/G13*100,-100)</f>
        <v>-100</v>
      </c>
      <c r="AE13" s="75" t="n">
        <v>0</v>
      </c>
    </row>
    <row r="14" customFormat="false" ht="14.65" hidden="false" customHeight="true" outlineLevel="0" collapsed="false">
      <c r="A14" s="44" t="s">
        <v>92</v>
      </c>
      <c r="B14" s="44"/>
      <c r="C14" s="44" t="s">
        <v>93</v>
      </c>
      <c r="D14" s="74" t="s">
        <v>94</v>
      </c>
      <c r="E14" s="74"/>
      <c r="F14" s="75" t="n">
        <f aca="false">'[1]Stavební rozpočet'!J15</f>
        <v>0</v>
      </c>
      <c r="G14" s="75" t="n">
        <v>0</v>
      </c>
      <c r="H14" s="75" t="n">
        <f aca="false">G14-F14</f>
        <v>0</v>
      </c>
      <c r="I14" s="108" t="n">
        <f aca="false">IF(F14=0,0,H14/F14*100)</f>
        <v>0</v>
      </c>
      <c r="J14" s="109" t="str">
        <f aca="false">IF(G14=0,"Nefakturováno",AE14)</f>
        <v>Nefakturováno</v>
      </c>
      <c r="K14" s="75" t="n">
        <f aca="false">AE14-G14</f>
        <v>0</v>
      </c>
      <c r="L14" s="75" t="n">
        <f aca="false">IF(G14&lt;&gt;0,K14/G14*100,-100)</f>
        <v>-100</v>
      </c>
      <c r="AE14" s="75" t="n">
        <v>0</v>
      </c>
    </row>
    <row r="15" customFormat="false" ht="14.65" hidden="false" customHeight="true" outlineLevel="0" collapsed="false">
      <c r="A15" s="44" t="s">
        <v>98</v>
      </c>
      <c r="B15" s="44"/>
      <c r="C15" s="44" t="s">
        <v>99</v>
      </c>
      <c r="D15" s="74" t="s">
        <v>100</v>
      </c>
      <c r="E15" s="74"/>
      <c r="F15" s="75" t="n">
        <f aca="false">'[1]Stavební rozpočet'!J16</f>
        <v>0</v>
      </c>
      <c r="G15" s="75" t="n">
        <v>0</v>
      </c>
      <c r="H15" s="75" t="n">
        <f aca="false">G15-F15</f>
        <v>0</v>
      </c>
      <c r="I15" s="108" t="n">
        <f aca="false">IF(F15=0,0,H15/F15*100)</f>
        <v>0</v>
      </c>
      <c r="J15" s="109" t="str">
        <f aca="false">IF(G15=0,"Nefakturováno",AE15)</f>
        <v>Nefakturováno</v>
      </c>
      <c r="K15" s="75" t="n">
        <f aca="false">AE15-G15</f>
        <v>0</v>
      </c>
      <c r="L15" s="75" t="n">
        <f aca="false">IF(G15&lt;&gt;0,K15/G15*100,-100)</f>
        <v>-100</v>
      </c>
      <c r="AE15" s="75" t="n">
        <v>0</v>
      </c>
    </row>
    <row r="16" customFormat="false" ht="14.65" hidden="false" customHeight="true" outlineLevel="0" collapsed="false">
      <c r="A16" s="44" t="s">
        <v>101</v>
      </c>
      <c r="B16" s="44"/>
      <c r="C16" s="44" t="s">
        <v>102</v>
      </c>
      <c r="D16" s="74" t="s">
        <v>103</v>
      </c>
      <c r="E16" s="74"/>
      <c r="F16" s="75" t="n">
        <f aca="false">'[1]Stavební rozpočet'!J17</f>
        <v>0</v>
      </c>
      <c r="G16" s="75" t="n">
        <v>0</v>
      </c>
      <c r="H16" s="75" t="n">
        <f aca="false">G16-F16</f>
        <v>0</v>
      </c>
      <c r="I16" s="108" t="n">
        <f aca="false">IF(F16=0,0,H16/F16*100)</f>
        <v>0</v>
      </c>
      <c r="J16" s="109" t="str">
        <f aca="false">IF(G16=0,"Nefakturováno",AE16)</f>
        <v>Nefakturováno</v>
      </c>
      <c r="K16" s="75" t="n">
        <f aca="false">AE16-G16</f>
        <v>0</v>
      </c>
      <c r="L16" s="75" t="n">
        <f aca="false">IF(G16&lt;&gt;0,K16/G16*100,-100)</f>
        <v>-100</v>
      </c>
      <c r="AE16" s="75" t="n">
        <v>0</v>
      </c>
    </row>
    <row r="17" customFormat="false" ht="14.65" hidden="false" customHeight="true" outlineLevel="0" collapsed="false">
      <c r="A17" s="44" t="s">
        <v>105</v>
      </c>
      <c r="B17" s="44"/>
      <c r="C17" s="44" t="s">
        <v>106</v>
      </c>
      <c r="D17" s="74" t="s">
        <v>107</v>
      </c>
      <c r="E17" s="74"/>
      <c r="F17" s="75" t="n">
        <f aca="false">'[1]Stavební rozpočet'!J18</f>
        <v>0</v>
      </c>
      <c r="G17" s="75" t="n">
        <v>0</v>
      </c>
      <c r="H17" s="75" t="n">
        <f aca="false">G17-F17</f>
        <v>0</v>
      </c>
      <c r="I17" s="108" t="n">
        <f aca="false">IF(F17=0,0,H17/F17*100)</f>
        <v>0</v>
      </c>
      <c r="J17" s="109" t="str">
        <f aca="false">IF(G17=0,"Nefakturováno",AE17)</f>
        <v>Nefakturováno</v>
      </c>
      <c r="K17" s="75" t="n">
        <f aca="false">AE17-G17</f>
        <v>0</v>
      </c>
      <c r="L17" s="75" t="n">
        <f aca="false">IF(G17&lt;&gt;0,K17/G17*100,-100)</f>
        <v>-100</v>
      </c>
      <c r="AE17" s="75" t="n">
        <v>0</v>
      </c>
    </row>
    <row r="18" customFormat="false" ht="12.75" hidden="false" customHeight="true" outlineLevel="0" collapsed="false">
      <c r="A18" s="44" t="s">
        <v>109</v>
      </c>
      <c r="B18" s="44"/>
      <c r="C18" s="44" t="s">
        <v>110</v>
      </c>
      <c r="D18" s="74" t="s">
        <v>111</v>
      </c>
      <c r="E18" s="74"/>
      <c r="F18" s="75" t="n">
        <f aca="false">'[1]Stavební rozpočet'!J19</f>
        <v>0</v>
      </c>
      <c r="G18" s="75" t="n">
        <v>0</v>
      </c>
      <c r="H18" s="75" t="n">
        <f aca="false">G18-F18</f>
        <v>0</v>
      </c>
      <c r="I18" s="108" t="n">
        <f aca="false">IF(F18=0,0,H18/F18*100)</f>
        <v>0</v>
      </c>
      <c r="J18" s="109" t="str">
        <f aca="false">IF(G18=0,"Nefakturováno",AE18)</f>
        <v>Nefakturováno</v>
      </c>
      <c r="K18" s="75" t="n">
        <f aca="false">AE18-G18</f>
        <v>0</v>
      </c>
      <c r="L18" s="75" t="n">
        <f aca="false">IF(G18&lt;&gt;0,K18/G18*100,-100)</f>
        <v>-100</v>
      </c>
      <c r="AE18" s="75" t="n">
        <v>0</v>
      </c>
    </row>
    <row r="19" customFormat="false" ht="12.75" hidden="false" customHeight="true" outlineLevel="0" collapsed="false">
      <c r="A19" s="78"/>
      <c r="B19" s="78"/>
      <c r="C19" s="78" t="s">
        <v>112</v>
      </c>
      <c r="D19" s="78" t="s">
        <v>113</v>
      </c>
      <c r="E19" s="78"/>
      <c r="F19" s="73" t="n">
        <f aca="false">SUM(F20:F20)</f>
        <v>0</v>
      </c>
      <c r="G19" s="73" t="n">
        <f aca="false">SUM(G20:G20)</f>
        <v>0</v>
      </c>
      <c r="H19" s="73" t="n">
        <f aca="false">G19-F19</f>
        <v>0</v>
      </c>
      <c r="I19" s="111" t="n">
        <f aca="false">IF(F19=0,0,H19/F19*100)</f>
        <v>0</v>
      </c>
      <c r="J19" s="112" t="str">
        <f aca="false">IF(G19=0,"Nefakturováno",AE19)</f>
        <v>Nefakturováno</v>
      </c>
      <c r="K19" s="73" t="n">
        <f aca="false">AE19-G19</f>
        <v>0</v>
      </c>
      <c r="L19" s="73" t="n">
        <f aca="false">IF(G19&lt;&gt;0,K19/G19*100,-100)</f>
        <v>-100</v>
      </c>
      <c r="AE19" s="75" t="n">
        <v>0</v>
      </c>
    </row>
    <row r="20" customFormat="false" ht="12.75" hidden="false" customHeight="true" outlineLevel="0" collapsed="false">
      <c r="A20" s="44" t="s">
        <v>114</v>
      </c>
      <c r="B20" s="44"/>
      <c r="C20" s="44" t="s">
        <v>115</v>
      </c>
      <c r="D20" s="44" t="s">
        <v>116</v>
      </c>
      <c r="E20" s="44"/>
      <c r="F20" s="75" t="n">
        <f aca="false">'[1]Stavební rozpočet'!J21</f>
        <v>0</v>
      </c>
      <c r="G20" s="75" t="n">
        <v>0</v>
      </c>
      <c r="H20" s="75" t="n">
        <f aca="false">G20-F20</f>
        <v>0</v>
      </c>
      <c r="I20" s="108" t="n">
        <f aca="false">IF(F20=0,0,H20/F20*100)</f>
        <v>0</v>
      </c>
      <c r="J20" s="109" t="str">
        <f aca="false">IF(G20=0,"Nefakturováno",AE20)</f>
        <v>Nefakturováno</v>
      </c>
      <c r="K20" s="75" t="n">
        <f aca="false">AE20-G20</f>
        <v>0</v>
      </c>
      <c r="L20" s="75" t="n">
        <f aca="false">IF(G20&lt;&gt;0,K20/G20*100,-100)</f>
        <v>-100</v>
      </c>
      <c r="AE20" s="75" t="n">
        <v>0</v>
      </c>
    </row>
    <row r="21" customFormat="false" ht="12.75" hidden="false" customHeight="true" outlineLevel="0" collapsed="false">
      <c r="A21" s="78"/>
      <c r="B21" s="78"/>
      <c r="C21" s="78" t="s">
        <v>119</v>
      </c>
      <c r="D21" s="78" t="s">
        <v>120</v>
      </c>
      <c r="E21" s="78"/>
      <c r="F21" s="73" t="n">
        <f aca="false">SUM(F22:F23)</f>
        <v>0</v>
      </c>
      <c r="G21" s="73" t="n">
        <f aca="false">SUM(G22:G23)</f>
        <v>0</v>
      </c>
      <c r="H21" s="73" t="n">
        <f aca="false">G21-F21</f>
        <v>0</v>
      </c>
      <c r="I21" s="111" t="n">
        <f aca="false">IF(F21=0,0,H21/F21*100)</f>
        <v>0</v>
      </c>
      <c r="J21" s="112" t="str">
        <f aca="false">IF(G21=0,"Nefakturováno",AE21)</f>
        <v>Nefakturováno</v>
      </c>
      <c r="K21" s="73" t="n">
        <f aca="false">AE21-G21</f>
        <v>0</v>
      </c>
      <c r="L21" s="73" t="n">
        <f aca="false">IF(G21&lt;&gt;0,K21/G21*100,-100)</f>
        <v>-100</v>
      </c>
      <c r="AE21" s="75" t="n">
        <v>0</v>
      </c>
    </row>
    <row r="22" customFormat="false" ht="28.35" hidden="false" customHeight="true" outlineLevel="0" collapsed="false">
      <c r="A22" s="44" t="s">
        <v>121</v>
      </c>
      <c r="B22" s="44"/>
      <c r="C22" s="44" t="s">
        <v>122</v>
      </c>
      <c r="D22" s="74" t="s">
        <v>123</v>
      </c>
      <c r="E22" s="74"/>
      <c r="F22" s="75" t="n">
        <f aca="false">'[1]Stavební rozpočet'!J23</f>
        <v>0</v>
      </c>
      <c r="G22" s="75" t="n">
        <v>0</v>
      </c>
      <c r="H22" s="75" t="n">
        <f aca="false">G22-F22</f>
        <v>0</v>
      </c>
      <c r="I22" s="108" t="n">
        <f aca="false">IF(F22=0,0,H22/F22*100)</f>
        <v>0</v>
      </c>
      <c r="J22" s="109" t="str">
        <f aca="false">IF(G22=0,"Nefakturováno",AE22)</f>
        <v>Nefakturováno</v>
      </c>
      <c r="K22" s="75" t="n">
        <f aca="false">AE22-G22</f>
        <v>0</v>
      </c>
      <c r="L22" s="75" t="n">
        <f aca="false">IF(G22&lt;&gt;0,K22/G22*100,-100)</f>
        <v>-100</v>
      </c>
      <c r="AE22" s="75" t="n">
        <v>0</v>
      </c>
    </row>
    <row r="23" customFormat="false" ht="25.35" hidden="false" customHeight="true" outlineLevel="0" collapsed="false">
      <c r="A23" s="44" t="s">
        <v>127</v>
      </c>
      <c r="B23" s="44"/>
      <c r="C23" s="44" t="s">
        <v>128</v>
      </c>
      <c r="D23" s="74" t="s">
        <v>129</v>
      </c>
      <c r="E23" s="74"/>
      <c r="F23" s="75" t="n">
        <f aca="false">'[1]Stavební rozpočet'!J24</f>
        <v>0</v>
      </c>
      <c r="G23" s="75" t="n">
        <v>0</v>
      </c>
      <c r="H23" s="75" t="n">
        <f aca="false">G23-F23</f>
        <v>0</v>
      </c>
      <c r="I23" s="108" t="n">
        <f aca="false">IF(F23=0,0,H23/F23*100)</f>
        <v>0</v>
      </c>
      <c r="J23" s="109" t="str">
        <f aca="false">IF(G23=0,"Nefakturováno",AE23)</f>
        <v>Nefakturováno</v>
      </c>
      <c r="K23" s="75" t="n">
        <f aca="false">AE23-G23</f>
        <v>0</v>
      </c>
      <c r="L23" s="75" t="n">
        <f aca="false">IF(G23&lt;&gt;0,K23/G23*100,-100)</f>
        <v>-100</v>
      </c>
      <c r="AE23" s="75" t="n">
        <v>0</v>
      </c>
    </row>
    <row r="24" customFormat="false" ht="12.75" hidden="false" customHeight="true" outlineLevel="0" collapsed="false">
      <c r="A24" s="78"/>
      <c r="B24" s="78"/>
      <c r="C24" s="78" t="s">
        <v>130</v>
      </c>
      <c r="D24" s="78" t="s">
        <v>131</v>
      </c>
      <c r="E24" s="78"/>
      <c r="F24" s="73" t="n">
        <f aca="false">SUM(F25:F25)</f>
        <v>0</v>
      </c>
      <c r="G24" s="73" t="n">
        <f aca="false">SUM(G25:G25)</f>
        <v>0</v>
      </c>
      <c r="H24" s="73" t="n">
        <f aca="false">G24-F24</f>
        <v>0</v>
      </c>
      <c r="I24" s="111" t="n">
        <f aca="false">IF(F24=0,0,H24/F24*100)</f>
        <v>0</v>
      </c>
      <c r="J24" s="112" t="str">
        <f aca="false">IF(G24=0,"Nefakturováno",AE24)</f>
        <v>Nefakturováno</v>
      </c>
      <c r="K24" s="73" t="n">
        <f aca="false">AE24-G24</f>
        <v>0</v>
      </c>
      <c r="L24" s="73" t="n">
        <f aca="false">IF(G24&lt;&gt;0,K24/G24*100,-100)</f>
        <v>-100</v>
      </c>
      <c r="AE24" s="75" t="n">
        <v>0</v>
      </c>
    </row>
    <row r="25" customFormat="false" ht="12.75" hidden="false" customHeight="true" outlineLevel="0" collapsed="false">
      <c r="A25" s="44" t="s">
        <v>132</v>
      </c>
      <c r="B25" s="44"/>
      <c r="C25" s="44" t="s">
        <v>133</v>
      </c>
      <c r="D25" s="44" t="s">
        <v>134</v>
      </c>
      <c r="E25" s="44"/>
      <c r="F25" s="75" t="n">
        <f aca="false">'[1]Stavební rozpočet'!J26</f>
        <v>0</v>
      </c>
      <c r="G25" s="75" t="n">
        <v>0</v>
      </c>
      <c r="H25" s="75" t="n">
        <f aca="false">G25-F25</f>
        <v>0</v>
      </c>
      <c r="I25" s="108" t="n">
        <f aca="false">IF(F25=0,0,H25/F25*100)</f>
        <v>0</v>
      </c>
      <c r="J25" s="109" t="str">
        <f aca="false">IF(G25=0,"Nefakturováno",AE25)</f>
        <v>Nefakturováno</v>
      </c>
      <c r="K25" s="75" t="n">
        <f aca="false">AE25-G25</f>
        <v>0</v>
      </c>
      <c r="L25" s="75" t="n">
        <f aca="false">IF(G25&lt;&gt;0,K25/G25*100,-100)</f>
        <v>-100</v>
      </c>
      <c r="AE25" s="75" t="n">
        <v>0</v>
      </c>
    </row>
    <row r="26" customFormat="false" ht="12.75" hidden="false" customHeight="true" outlineLevel="0" collapsed="false">
      <c r="A26" s="78"/>
      <c r="B26" s="78"/>
      <c r="C26" s="78" t="s">
        <v>137</v>
      </c>
      <c r="D26" s="78" t="s">
        <v>138</v>
      </c>
      <c r="E26" s="78"/>
      <c r="F26" s="73" t="n">
        <f aca="false">SUM(F27:F28)</f>
        <v>0</v>
      </c>
      <c r="G26" s="73" t="n">
        <f aca="false">SUM(G27:G28)</f>
        <v>0</v>
      </c>
      <c r="H26" s="73" t="n">
        <f aca="false">G26-F26</f>
        <v>0</v>
      </c>
      <c r="I26" s="111" t="n">
        <f aca="false">IF(F26=0,0,H26/F26*100)</f>
        <v>0</v>
      </c>
      <c r="J26" s="112" t="str">
        <f aca="false">IF(G26=0,"Nefakturováno",AE26)</f>
        <v>Nefakturováno</v>
      </c>
      <c r="K26" s="73" t="n">
        <f aca="false">AE26-G26</f>
        <v>0</v>
      </c>
      <c r="L26" s="73" t="n">
        <f aca="false">IF(G26&lt;&gt;0,K26/G26*100,-100)</f>
        <v>-100</v>
      </c>
      <c r="AE26" s="75" t="n">
        <v>0</v>
      </c>
    </row>
    <row r="27" customFormat="false" ht="23.85" hidden="false" customHeight="true" outlineLevel="0" collapsed="false">
      <c r="A27" s="44" t="s">
        <v>139</v>
      </c>
      <c r="B27" s="44"/>
      <c r="C27" s="44" t="s">
        <v>140</v>
      </c>
      <c r="D27" s="74" t="s">
        <v>141</v>
      </c>
      <c r="E27" s="74"/>
      <c r="F27" s="75" t="n">
        <f aca="false">'[1]Stavební rozpočet'!J28</f>
        <v>0</v>
      </c>
      <c r="G27" s="75" t="n">
        <v>0</v>
      </c>
      <c r="H27" s="75" t="n">
        <f aca="false">G27-F27</f>
        <v>0</v>
      </c>
      <c r="I27" s="108" t="n">
        <f aca="false">IF(F27=0,0,H27/F27*100)</f>
        <v>0</v>
      </c>
      <c r="J27" s="109" t="str">
        <f aca="false">IF(G27=0,"Nefakturováno",AE27)</f>
        <v>Nefakturováno</v>
      </c>
      <c r="K27" s="75" t="n">
        <f aca="false">AE27-G27</f>
        <v>0</v>
      </c>
      <c r="L27" s="75" t="n">
        <f aca="false">IF(G27&lt;&gt;0,K27/G27*100,-100)</f>
        <v>-100</v>
      </c>
      <c r="AE27" s="75" t="n">
        <v>0</v>
      </c>
    </row>
    <row r="28" customFormat="false" ht="49.25" hidden="false" customHeight="true" outlineLevel="0" collapsed="false">
      <c r="A28" s="44" t="s">
        <v>145</v>
      </c>
      <c r="B28" s="44"/>
      <c r="C28" s="44" t="s">
        <v>146</v>
      </c>
      <c r="D28" s="74" t="s">
        <v>291</v>
      </c>
      <c r="E28" s="74"/>
      <c r="F28" s="75" t="n">
        <f aca="false">'[1]Stavební rozpočet'!J29</f>
        <v>0</v>
      </c>
      <c r="G28" s="75" t="n">
        <v>0</v>
      </c>
      <c r="H28" s="75" t="n">
        <f aca="false">G28-F28</f>
        <v>0</v>
      </c>
      <c r="I28" s="108" t="n">
        <f aca="false">IF(F28=0,0,H28/F28*100)</f>
        <v>0</v>
      </c>
      <c r="J28" s="109" t="str">
        <f aca="false">IF(G28=0,"Nefakturováno",AE28)</f>
        <v>Nefakturováno</v>
      </c>
      <c r="K28" s="75" t="n">
        <f aca="false">AE28-G28</f>
        <v>0</v>
      </c>
      <c r="L28" s="75" t="n">
        <f aca="false">IF(G28&lt;&gt;0,K28/G28*100,-100)</f>
        <v>-100</v>
      </c>
      <c r="AE28" s="75" t="n">
        <v>0</v>
      </c>
    </row>
    <row r="29" customFormat="false" ht="12.75" hidden="false" customHeight="true" outlineLevel="0" collapsed="false">
      <c r="A29" s="78"/>
      <c r="B29" s="78"/>
      <c r="C29" s="78" t="s">
        <v>149</v>
      </c>
      <c r="D29" s="78" t="s">
        <v>150</v>
      </c>
      <c r="E29" s="78"/>
      <c r="F29" s="73" t="n">
        <f aca="false">SUM(F30:F32)</f>
        <v>0</v>
      </c>
      <c r="G29" s="73" t="n">
        <f aca="false">SUM(G30:G32)</f>
        <v>0</v>
      </c>
      <c r="H29" s="73" t="n">
        <f aca="false">G29-F29</f>
        <v>0</v>
      </c>
      <c r="I29" s="111" t="n">
        <f aca="false">IF(F29=0,0,H29/F29*100)</f>
        <v>0</v>
      </c>
      <c r="J29" s="112" t="str">
        <f aca="false">IF(G29=0,"Nefakturováno",AE29)</f>
        <v>Nefakturováno</v>
      </c>
      <c r="K29" s="73" t="n">
        <f aca="false">AE29-G29</f>
        <v>0</v>
      </c>
      <c r="L29" s="73" t="n">
        <f aca="false">IF(G29&lt;&gt;0,K29/G29*100,-100)</f>
        <v>-100</v>
      </c>
      <c r="AE29" s="75" t="n">
        <v>0</v>
      </c>
    </row>
    <row r="30" customFormat="false" ht="12.75" hidden="false" customHeight="false" outlineLevel="0" collapsed="false">
      <c r="A30" s="44" t="s">
        <v>151</v>
      </c>
      <c r="B30" s="44"/>
      <c r="C30" s="44" t="s">
        <v>152</v>
      </c>
      <c r="D30" s="44" t="s">
        <v>153</v>
      </c>
      <c r="E30" s="44"/>
      <c r="F30" s="75" t="n">
        <f aca="false">'[1]Stavební rozpočet'!J31</f>
        <v>0</v>
      </c>
      <c r="G30" s="75" t="n">
        <v>0</v>
      </c>
      <c r="H30" s="75" t="n">
        <f aca="false">G30-F30</f>
        <v>0</v>
      </c>
      <c r="I30" s="108" t="n">
        <f aca="false">IF(F30=0,0,H30/F30*100)</f>
        <v>0</v>
      </c>
      <c r="J30" s="109" t="str">
        <f aca="false">IF(G30=0,"Nefakturováno",AE30)</f>
        <v>Nefakturováno</v>
      </c>
      <c r="K30" s="75" t="n">
        <f aca="false">AE30-G30</f>
        <v>0</v>
      </c>
      <c r="L30" s="75" t="n">
        <f aca="false">IF(G30&lt;&gt;0,K30/G30*100,-100)</f>
        <v>-100</v>
      </c>
      <c r="AE30" s="75" t="n">
        <v>0</v>
      </c>
    </row>
    <row r="31" customFormat="false" ht="12.75" hidden="false" customHeight="true" outlineLevel="0" collapsed="false">
      <c r="A31" s="44" t="s">
        <v>155</v>
      </c>
      <c r="B31" s="44"/>
      <c r="C31" s="44" t="s">
        <v>156</v>
      </c>
      <c r="D31" s="44" t="s">
        <v>157</v>
      </c>
      <c r="E31" s="44"/>
      <c r="F31" s="75" t="n">
        <f aca="false">'[1]Stavební rozpočet'!J32</f>
        <v>0</v>
      </c>
      <c r="G31" s="75" t="n">
        <v>0</v>
      </c>
      <c r="H31" s="75" t="n">
        <f aca="false">G31-F31</f>
        <v>0</v>
      </c>
      <c r="I31" s="108" t="n">
        <f aca="false">IF(F31=0,0,H31/F31*100)</f>
        <v>0</v>
      </c>
      <c r="J31" s="109" t="str">
        <f aca="false">IF(G31=0,"Nefakturováno",AE31)</f>
        <v>Nefakturováno</v>
      </c>
      <c r="K31" s="75" t="n">
        <f aca="false">AE31-G31</f>
        <v>0</v>
      </c>
      <c r="L31" s="75" t="n">
        <f aca="false">IF(G31&lt;&gt;0,K31/G31*100,-100)</f>
        <v>-100</v>
      </c>
      <c r="AE31" s="75" t="n">
        <v>0</v>
      </c>
    </row>
    <row r="32" customFormat="false" ht="12.75" hidden="false" customHeight="false" outlineLevel="0" collapsed="false">
      <c r="A32" s="44" t="s">
        <v>158</v>
      </c>
      <c r="B32" s="44"/>
      <c r="C32" s="44" t="s">
        <v>159</v>
      </c>
      <c r="D32" s="44" t="s">
        <v>160</v>
      </c>
      <c r="E32" s="44"/>
      <c r="F32" s="75" t="n">
        <f aca="false">'[1]Stavební rozpočet'!J33</f>
        <v>0</v>
      </c>
      <c r="G32" s="75" t="n">
        <v>0</v>
      </c>
      <c r="H32" s="75" t="n">
        <f aca="false">G32-F32</f>
        <v>0</v>
      </c>
      <c r="I32" s="108" t="n">
        <f aca="false">IF(F32=0,0,H32/F32*100)</f>
        <v>0</v>
      </c>
      <c r="J32" s="109" t="str">
        <f aca="false">IF(G32=0,"Nefakturováno",AE32)</f>
        <v>Nefakturováno</v>
      </c>
      <c r="K32" s="75" t="n">
        <f aca="false">AE32-G32</f>
        <v>0</v>
      </c>
      <c r="L32" s="75" t="n">
        <f aca="false">IF(G32&lt;&gt;0,K32/G32*100,-100)</f>
        <v>-100</v>
      </c>
      <c r="AE32" s="75" t="n">
        <v>0</v>
      </c>
    </row>
    <row r="33" customFormat="false" ht="12.75" hidden="false" customHeight="false" outlineLevel="0" collapsed="false">
      <c r="A33" s="78"/>
      <c r="B33" s="78"/>
      <c r="C33" s="78" t="s">
        <v>162</v>
      </c>
      <c r="D33" s="78" t="s">
        <v>163</v>
      </c>
      <c r="E33" s="78"/>
      <c r="F33" s="73" t="n">
        <f aca="false">SUM(F34:F43)</f>
        <v>0</v>
      </c>
      <c r="G33" s="73" t="n">
        <f aca="false">SUM(G34:G43)</f>
        <v>0</v>
      </c>
      <c r="H33" s="73" t="n">
        <f aca="false">G33-F33</f>
        <v>0</v>
      </c>
      <c r="I33" s="111" t="n">
        <f aca="false">IF(F33=0,0,H33/F33*100)</f>
        <v>0</v>
      </c>
      <c r="J33" s="112" t="str">
        <f aca="false">IF(G33=0,"Nefakturováno",AE33)</f>
        <v>Nefakturováno</v>
      </c>
      <c r="K33" s="73" t="n">
        <f aca="false">AE33-G33</f>
        <v>0</v>
      </c>
      <c r="L33" s="73" t="n">
        <f aca="false">IF(G33&lt;&gt;0,K33/G33*100,-100)</f>
        <v>-100</v>
      </c>
      <c r="AE33" s="75" t="n">
        <v>0</v>
      </c>
    </row>
    <row r="34" customFormat="false" ht="12.75" hidden="false" customHeight="false" outlineLevel="0" collapsed="false">
      <c r="A34" s="44" t="s">
        <v>164</v>
      </c>
      <c r="B34" s="44"/>
      <c r="C34" s="44" t="s">
        <v>165</v>
      </c>
      <c r="D34" s="44" t="s">
        <v>166</v>
      </c>
      <c r="E34" s="44"/>
      <c r="F34" s="75" t="n">
        <f aca="false">'[1]Stavební rozpočet'!J35</f>
        <v>0</v>
      </c>
      <c r="G34" s="75" t="n">
        <v>0</v>
      </c>
      <c r="H34" s="75" t="n">
        <f aca="false">G34-F34</f>
        <v>0</v>
      </c>
      <c r="I34" s="108" t="n">
        <f aca="false">IF(F34=0,0,H34/F34*100)</f>
        <v>0</v>
      </c>
      <c r="J34" s="109" t="str">
        <f aca="false">IF(G34=0,"Nefakturováno",AE34)</f>
        <v>Nefakturováno</v>
      </c>
      <c r="K34" s="75" t="n">
        <f aca="false">AE34-G34</f>
        <v>0</v>
      </c>
      <c r="L34" s="75" t="n">
        <f aca="false">IF(G34&lt;&gt;0,K34/G34*100,-100)</f>
        <v>-100</v>
      </c>
      <c r="AE34" s="75" t="n">
        <v>0</v>
      </c>
    </row>
    <row r="35" customFormat="false" ht="12.75" hidden="false" customHeight="false" outlineLevel="0" collapsed="false">
      <c r="A35" s="44" t="s">
        <v>168</v>
      </c>
      <c r="B35" s="44"/>
      <c r="C35" s="44" t="s">
        <v>165</v>
      </c>
      <c r="D35" s="44" t="s">
        <v>169</v>
      </c>
      <c r="E35" s="44"/>
      <c r="F35" s="75" t="n">
        <f aca="false">'[1]Stavební rozpočet'!J36</f>
        <v>0</v>
      </c>
      <c r="G35" s="75" t="n">
        <v>0</v>
      </c>
      <c r="H35" s="75" t="n">
        <f aca="false">G35-F35</f>
        <v>0</v>
      </c>
      <c r="I35" s="108" t="n">
        <f aca="false">IF(F35=0,0,H35/F35*100)</f>
        <v>0</v>
      </c>
      <c r="J35" s="109" t="str">
        <f aca="false">IF(G35=0,"Nefakturováno",AE35)</f>
        <v>Nefakturováno</v>
      </c>
      <c r="K35" s="75" t="n">
        <f aca="false">AE35-G35</f>
        <v>0</v>
      </c>
      <c r="L35" s="75" t="n">
        <f aca="false">IF(G35&lt;&gt;0,K35/G35*100,-100)</f>
        <v>-100</v>
      </c>
      <c r="AE35" s="75" t="n">
        <v>0</v>
      </c>
    </row>
    <row r="36" customFormat="false" ht="12.75" hidden="false" customHeight="true" outlineLevel="0" collapsed="false">
      <c r="A36" s="44" t="s">
        <v>170</v>
      </c>
      <c r="B36" s="44"/>
      <c r="C36" s="44" t="s">
        <v>171</v>
      </c>
      <c r="D36" s="44" t="s">
        <v>172</v>
      </c>
      <c r="E36" s="44"/>
      <c r="F36" s="75" t="n">
        <f aca="false">'[1]Stavební rozpočet'!J37</f>
        <v>0</v>
      </c>
      <c r="G36" s="75" t="n">
        <v>0</v>
      </c>
      <c r="H36" s="75" t="n">
        <f aca="false">G36-F36</f>
        <v>0</v>
      </c>
      <c r="I36" s="108" t="n">
        <f aca="false">IF(F36=0,0,H36/F36*100)</f>
        <v>0</v>
      </c>
      <c r="J36" s="109" t="str">
        <f aca="false">IF(G36=0,"Nefakturováno",AE36)</f>
        <v>Nefakturováno</v>
      </c>
      <c r="K36" s="75" t="n">
        <f aca="false">AE36-G36</f>
        <v>0</v>
      </c>
      <c r="L36" s="75" t="n">
        <f aca="false">IF(G36&lt;&gt;0,K36/G36*100,-100)</f>
        <v>-100</v>
      </c>
      <c r="AE36" s="75" t="n">
        <v>0</v>
      </c>
    </row>
    <row r="37" customFormat="false" ht="12.75" hidden="false" customHeight="true" outlineLevel="0" collapsed="false">
      <c r="A37" s="44" t="s">
        <v>174</v>
      </c>
      <c r="B37" s="44"/>
      <c r="C37" s="44" t="s">
        <v>175</v>
      </c>
      <c r="D37" s="44" t="s">
        <v>176</v>
      </c>
      <c r="E37" s="44"/>
      <c r="F37" s="75" t="n">
        <f aca="false">'[1]Stavební rozpočet'!J38</f>
        <v>0</v>
      </c>
      <c r="G37" s="75" t="n">
        <v>0</v>
      </c>
      <c r="H37" s="75" t="n">
        <f aca="false">G37-F37</f>
        <v>0</v>
      </c>
      <c r="I37" s="108" t="n">
        <f aca="false">IF(F37=0,0,H37/F37*100)</f>
        <v>0</v>
      </c>
      <c r="J37" s="109" t="str">
        <f aca="false">IF(G37=0,"Nefakturováno",AE37)</f>
        <v>Nefakturováno</v>
      </c>
      <c r="K37" s="75" t="n">
        <f aca="false">AE37-G37</f>
        <v>0</v>
      </c>
      <c r="L37" s="75" t="n">
        <f aca="false">IF(G37&lt;&gt;0,K37/G37*100,-100)</f>
        <v>-100</v>
      </c>
      <c r="AE37" s="75" t="n">
        <v>0</v>
      </c>
    </row>
    <row r="38" customFormat="false" ht="12.75" hidden="false" customHeight="true" outlineLevel="0" collapsed="false">
      <c r="A38" s="44" t="s">
        <v>177</v>
      </c>
      <c r="B38" s="44"/>
      <c r="C38" s="44" t="s">
        <v>175</v>
      </c>
      <c r="D38" s="44" t="s">
        <v>178</v>
      </c>
      <c r="E38" s="44"/>
      <c r="F38" s="75" t="n">
        <f aca="false">'[1]Stavební rozpočet'!J39</f>
        <v>0</v>
      </c>
      <c r="G38" s="75" t="n">
        <v>0</v>
      </c>
      <c r="H38" s="75" t="n">
        <f aca="false">G38-F38</f>
        <v>0</v>
      </c>
      <c r="I38" s="108" t="n">
        <f aca="false">IF(F38=0,0,H38/F38*100)</f>
        <v>0</v>
      </c>
      <c r="J38" s="109" t="str">
        <f aca="false">IF(G38=0,"Nefakturováno",AE38)</f>
        <v>Nefakturováno</v>
      </c>
      <c r="K38" s="75" t="n">
        <f aca="false">AE38-G38</f>
        <v>0</v>
      </c>
      <c r="L38" s="75" t="n">
        <f aca="false">IF(G38&lt;&gt;0,K38/G38*100,-100)</f>
        <v>-100</v>
      </c>
      <c r="AE38" s="75" t="n">
        <v>0</v>
      </c>
    </row>
    <row r="39" customFormat="false" ht="12.75" hidden="false" customHeight="false" outlineLevel="0" collapsed="false">
      <c r="A39" s="44" t="s">
        <v>179</v>
      </c>
      <c r="B39" s="44"/>
      <c r="C39" s="44" t="s">
        <v>180</v>
      </c>
      <c r="D39" s="44" t="s">
        <v>181</v>
      </c>
      <c r="E39" s="44"/>
      <c r="F39" s="75" t="n">
        <f aca="false">'[1]Stavební rozpočet'!J40</f>
        <v>0</v>
      </c>
      <c r="G39" s="75" t="n">
        <v>0</v>
      </c>
      <c r="H39" s="75" t="n">
        <f aca="false">G39-F39</f>
        <v>0</v>
      </c>
      <c r="I39" s="108" t="n">
        <f aca="false">IF(F39=0,0,H39/F39*100)</f>
        <v>0</v>
      </c>
      <c r="J39" s="109" t="str">
        <f aca="false">IF(G39=0,"Nefakturováno",AE39)</f>
        <v>Nefakturováno</v>
      </c>
      <c r="K39" s="75" t="n">
        <f aca="false">AE39-G39</f>
        <v>0</v>
      </c>
      <c r="L39" s="75" t="n">
        <f aca="false">IF(G39&lt;&gt;0,K39/G39*100,-100)</f>
        <v>-100</v>
      </c>
      <c r="AE39" s="75" t="n">
        <v>0</v>
      </c>
    </row>
    <row r="40" customFormat="false" ht="12.75" hidden="false" customHeight="false" outlineLevel="0" collapsed="false">
      <c r="A40" s="44" t="s">
        <v>182</v>
      </c>
      <c r="B40" s="44"/>
      <c r="C40" s="44" t="s">
        <v>183</v>
      </c>
      <c r="D40" s="44" t="s">
        <v>184</v>
      </c>
      <c r="E40" s="44"/>
      <c r="F40" s="75" t="n">
        <f aca="false">'[1]Stavební rozpočet'!J41</f>
        <v>0</v>
      </c>
      <c r="G40" s="75" t="n">
        <v>0</v>
      </c>
      <c r="H40" s="75" t="n">
        <f aca="false">G40-F40</f>
        <v>0</v>
      </c>
      <c r="I40" s="108" t="n">
        <f aca="false">IF(F40=0,0,H40/F40*100)</f>
        <v>0</v>
      </c>
      <c r="J40" s="109" t="str">
        <f aca="false">IF(G40=0,"Nefakturováno",AE40)</f>
        <v>Nefakturováno</v>
      </c>
      <c r="K40" s="75" t="n">
        <f aca="false">AE40-G40</f>
        <v>0</v>
      </c>
      <c r="L40" s="75" t="n">
        <f aca="false">IF(G40&lt;&gt;0,K40/G40*100,-100)</f>
        <v>-100</v>
      </c>
      <c r="AE40" s="75" t="n">
        <v>0</v>
      </c>
    </row>
    <row r="41" customFormat="false" ht="12.75" hidden="false" customHeight="false" outlineLevel="0" collapsed="false">
      <c r="A41" s="44" t="s">
        <v>185</v>
      </c>
      <c r="B41" s="44"/>
      <c r="C41" s="44" t="s">
        <v>186</v>
      </c>
      <c r="D41" s="44" t="s">
        <v>187</v>
      </c>
      <c r="E41" s="44"/>
      <c r="F41" s="75" t="n">
        <f aca="false">'[1]Stavební rozpočet'!J42</f>
        <v>0</v>
      </c>
      <c r="G41" s="75" t="n">
        <v>0</v>
      </c>
      <c r="H41" s="75" t="n">
        <f aca="false">G41-F41</f>
        <v>0</v>
      </c>
      <c r="I41" s="108" t="n">
        <f aca="false">IF(F41=0,0,H41/F41*100)</f>
        <v>0</v>
      </c>
      <c r="J41" s="109" t="str">
        <f aca="false">IF(G41=0,"Nefakturováno",AE41)</f>
        <v>Nefakturováno</v>
      </c>
      <c r="K41" s="75" t="n">
        <f aca="false">AE41-G41</f>
        <v>0</v>
      </c>
      <c r="L41" s="75" t="n">
        <f aca="false">IF(G41&lt;&gt;0,K41/G41*100,-100)</f>
        <v>-100</v>
      </c>
      <c r="AE41" s="75" t="n">
        <v>0</v>
      </c>
    </row>
    <row r="42" customFormat="false" ht="12.75" hidden="false" customHeight="false" outlineLevel="0" collapsed="false">
      <c r="A42" s="44" t="s">
        <v>188</v>
      </c>
      <c r="B42" s="44"/>
      <c r="C42" s="44" t="s">
        <v>189</v>
      </c>
      <c r="D42" s="44" t="s">
        <v>190</v>
      </c>
      <c r="E42" s="44"/>
      <c r="F42" s="75" t="n">
        <f aca="false">'[1]Stavební rozpočet'!J43</f>
        <v>0</v>
      </c>
      <c r="G42" s="75" t="n">
        <v>0</v>
      </c>
      <c r="H42" s="75" t="n">
        <f aca="false">G42-F42</f>
        <v>0</v>
      </c>
      <c r="I42" s="108" t="n">
        <f aca="false">IF(F42=0,0,H42/F42*100)</f>
        <v>0</v>
      </c>
      <c r="J42" s="109" t="str">
        <f aca="false">IF(G42=0,"Nefakturováno",AE42)</f>
        <v>Nefakturováno</v>
      </c>
      <c r="K42" s="75" t="n">
        <f aca="false">AE42-G42</f>
        <v>0</v>
      </c>
      <c r="L42" s="75" t="n">
        <f aca="false">IF(G42&lt;&gt;0,K42/G42*100,-100)</f>
        <v>-100</v>
      </c>
      <c r="AE42" s="75" t="n">
        <v>0</v>
      </c>
    </row>
    <row r="43" customFormat="false" ht="12.75" hidden="false" customHeight="false" outlineLevel="0" collapsed="false">
      <c r="A43" s="44" t="s">
        <v>191</v>
      </c>
      <c r="B43" s="44"/>
      <c r="C43" s="44" t="s">
        <v>192</v>
      </c>
      <c r="D43" s="44" t="s">
        <v>193</v>
      </c>
      <c r="E43" s="44"/>
      <c r="F43" s="75" t="n">
        <f aca="false">'[1]Stavební rozpočet'!J44</f>
        <v>0</v>
      </c>
      <c r="G43" s="75" t="n">
        <v>0</v>
      </c>
      <c r="H43" s="75" t="n">
        <f aca="false">G43-F43</f>
        <v>0</v>
      </c>
      <c r="I43" s="108" t="n">
        <f aca="false">IF(F43=0,0,H43/F43*100)</f>
        <v>0</v>
      </c>
      <c r="J43" s="109" t="str">
        <f aca="false">IF(G43=0,"Nefakturováno",AE43)</f>
        <v>Nefakturováno</v>
      </c>
      <c r="K43" s="75" t="n">
        <f aca="false">AE43-G43</f>
        <v>0</v>
      </c>
      <c r="L43" s="75" t="n">
        <f aca="false">IF(G43&lt;&gt;0,K43/G43*100,-100)</f>
        <v>-100</v>
      </c>
      <c r="AE43" s="75" t="n">
        <v>0</v>
      </c>
    </row>
    <row r="44" customFormat="false" ht="12.75" hidden="false" customHeight="false" outlineLevel="0" collapsed="false">
      <c r="A44" s="78"/>
      <c r="B44" s="78"/>
      <c r="C44" s="78" t="s">
        <v>194</v>
      </c>
      <c r="D44" s="78" t="s">
        <v>195</v>
      </c>
      <c r="E44" s="78"/>
      <c r="F44" s="73" t="n">
        <f aca="false">SUM(F45:F45)</f>
        <v>0</v>
      </c>
      <c r="G44" s="73" t="n">
        <f aca="false">SUM(G45:G45)</f>
        <v>0</v>
      </c>
      <c r="H44" s="73" t="n">
        <f aca="false">G44-F44</f>
        <v>0</v>
      </c>
      <c r="I44" s="111" t="n">
        <f aca="false">IF(F44=0,0,H44/F44*100)</f>
        <v>0</v>
      </c>
      <c r="J44" s="112" t="str">
        <f aca="false">IF(G44=0,"Nefakturováno",AE44)</f>
        <v>Nefakturováno</v>
      </c>
      <c r="K44" s="73" t="n">
        <f aca="false">AE44-G44</f>
        <v>0</v>
      </c>
      <c r="L44" s="73" t="n">
        <f aca="false">IF(G44&lt;&gt;0,K44/G44*100,-100)</f>
        <v>-100</v>
      </c>
      <c r="AE44" s="75" t="n">
        <v>0</v>
      </c>
    </row>
    <row r="45" customFormat="false" ht="12.75" hidden="false" customHeight="false" outlineLevel="0" collapsed="false">
      <c r="A45" s="44" t="s">
        <v>196</v>
      </c>
      <c r="B45" s="44"/>
      <c r="C45" s="44" t="s">
        <v>197</v>
      </c>
      <c r="D45" s="44" t="s">
        <v>198</v>
      </c>
      <c r="E45" s="44"/>
      <c r="F45" s="75" t="n">
        <f aca="false">'[1]Stavební rozpočet'!J46</f>
        <v>0</v>
      </c>
      <c r="G45" s="75" t="n">
        <v>0</v>
      </c>
      <c r="H45" s="75" t="n">
        <f aca="false">G45-F45</f>
        <v>0</v>
      </c>
      <c r="I45" s="108" t="n">
        <f aca="false">IF(F45=0,0,H45/F45*100)</f>
        <v>0</v>
      </c>
      <c r="J45" s="109" t="str">
        <f aca="false">IF(G45=0,"Nefakturováno",AE45)</f>
        <v>Nefakturováno</v>
      </c>
      <c r="K45" s="75" t="n">
        <f aca="false">AE45-G45</f>
        <v>0</v>
      </c>
      <c r="L45" s="75" t="n">
        <f aca="false">IF(G45&lt;&gt;0,K45/G45*100,-100)</f>
        <v>-100</v>
      </c>
      <c r="AE45" s="75" t="n">
        <v>0</v>
      </c>
    </row>
    <row r="46" customFormat="false" ht="12.75" hidden="false" customHeight="false" outlineLevel="0" collapsed="false">
      <c r="A46" s="78"/>
      <c r="B46" s="78"/>
      <c r="C46" s="78" t="s">
        <v>202</v>
      </c>
      <c r="D46" s="78" t="s">
        <v>203</v>
      </c>
      <c r="E46" s="78"/>
      <c r="F46" s="73" t="n">
        <f aca="false">SUM(F47:F49)</f>
        <v>0</v>
      </c>
      <c r="G46" s="73" t="n">
        <f aca="false">SUM(G47:G49)</f>
        <v>0</v>
      </c>
      <c r="H46" s="73" t="n">
        <f aca="false">G46-F46</f>
        <v>0</v>
      </c>
      <c r="I46" s="111" t="n">
        <f aca="false">IF(F46=0,0,H46/F46*100)</f>
        <v>0</v>
      </c>
      <c r="J46" s="112" t="str">
        <f aca="false">IF(G46=0,"Nefakturováno",AE46)</f>
        <v>Nefakturováno</v>
      </c>
      <c r="K46" s="73" t="n">
        <f aca="false">AE46-G46</f>
        <v>0</v>
      </c>
      <c r="L46" s="73" t="n">
        <f aca="false">IF(G46&lt;&gt;0,K46/G46*100,-100)</f>
        <v>-100</v>
      </c>
      <c r="AE46" s="75" t="n">
        <v>0</v>
      </c>
    </row>
    <row r="47" customFormat="false" ht="12.75" hidden="false" customHeight="false" outlineLevel="0" collapsed="false">
      <c r="A47" s="44" t="s">
        <v>204</v>
      </c>
      <c r="B47" s="44"/>
      <c r="C47" s="44" t="s">
        <v>205</v>
      </c>
      <c r="D47" s="44" t="s">
        <v>206</v>
      </c>
      <c r="E47" s="44"/>
      <c r="F47" s="75" t="n">
        <f aca="false">'[1]Stavební rozpočet'!J48</f>
        <v>0</v>
      </c>
      <c r="G47" s="75" t="n">
        <v>0</v>
      </c>
      <c r="H47" s="75" t="n">
        <f aca="false">G47-F47</f>
        <v>0</v>
      </c>
      <c r="I47" s="108" t="n">
        <f aca="false">IF(F47=0,0,H47/F47*100)</f>
        <v>0</v>
      </c>
      <c r="J47" s="109" t="str">
        <f aca="false">IF(G47=0,"Nefakturováno",AE47)</f>
        <v>Nefakturováno</v>
      </c>
      <c r="K47" s="75" t="n">
        <f aca="false">AE47-G47</f>
        <v>0</v>
      </c>
      <c r="L47" s="75" t="n">
        <f aca="false">IF(G47&lt;&gt;0,K47/G47*100,-100)</f>
        <v>-100</v>
      </c>
      <c r="AE47" s="75" t="n">
        <v>0</v>
      </c>
    </row>
    <row r="48" customFormat="false" ht="12.75" hidden="false" customHeight="false" outlineLevel="0" collapsed="false">
      <c r="A48" s="44" t="s">
        <v>209</v>
      </c>
      <c r="B48" s="44"/>
      <c r="C48" s="44" t="s">
        <v>210</v>
      </c>
      <c r="D48" s="44" t="s">
        <v>211</v>
      </c>
      <c r="E48" s="44"/>
      <c r="F48" s="75" t="n">
        <f aca="false">'[1]Stavební rozpočet'!J49</f>
        <v>0</v>
      </c>
      <c r="G48" s="75" t="n">
        <v>0</v>
      </c>
      <c r="H48" s="75" t="n">
        <f aca="false">G48-F48</f>
        <v>0</v>
      </c>
      <c r="I48" s="108" t="n">
        <f aca="false">IF(F48=0,0,H48/F48*100)</f>
        <v>0</v>
      </c>
      <c r="J48" s="109" t="str">
        <f aca="false">IF(G48=0,"Nefakturováno",AE48)</f>
        <v>Nefakturováno</v>
      </c>
      <c r="K48" s="75" t="n">
        <f aca="false">AE48-G48</f>
        <v>0</v>
      </c>
      <c r="L48" s="75" t="n">
        <f aca="false">IF(G48&lt;&gt;0,K48/G48*100,-100)</f>
        <v>-100</v>
      </c>
      <c r="AE48" s="75" t="n">
        <v>0</v>
      </c>
    </row>
    <row r="49" customFormat="false" ht="12.75" hidden="false" customHeight="false" outlineLevel="0" collapsed="false">
      <c r="A49" s="44" t="s">
        <v>213</v>
      </c>
      <c r="B49" s="44"/>
      <c r="C49" s="44" t="s">
        <v>214</v>
      </c>
      <c r="D49" s="44" t="s">
        <v>215</v>
      </c>
      <c r="E49" s="44"/>
      <c r="F49" s="75" t="n">
        <f aca="false">'[1]Stavební rozpočet'!J50</f>
        <v>0</v>
      </c>
      <c r="G49" s="75" t="n">
        <v>0</v>
      </c>
      <c r="H49" s="75" t="n">
        <f aca="false">G49-F49</f>
        <v>0</v>
      </c>
      <c r="I49" s="108" t="n">
        <f aca="false">IF(F49=0,0,H49/F49*100)</f>
        <v>0</v>
      </c>
      <c r="J49" s="109" t="str">
        <f aca="false">IF(G49=0,"Nefakturováno",AE49)</f>
        <v>Nefakturováno</v>
      </c>
      <c r="K49" s="75" t="n">
        <f aca="false">AE49-G49</f>
        <v>0</v>
      </c>
      <c r="L49" s="75" t="n">
        <f aca="false">IF(G49&lt;&gt;0,K49/G49*100,-100)</f>
        <v>-100</v>
      </c>
      <c r="AE49" s="75" t="n">
        <v>0</v>
      </c>
    </row>
    <row r="50" customFormat="false" ht="12.75" hidden="false" customHeight="false" outlineLevel="0" collapsed="false">
      <c r="A50" s="78"/>
      <c r="B50" s="78"/>
      <c r="C50" s="78" t="s">
        <v>216</v>
      </c>
      <c r="D50" s="78" t="s">
        <v>217</v>
      </c>
      <c r="E50" s="78"/>
      <c r="F50" s="73" t="n">
        <f aca="false">SUM(F51:F53)</f>
        <v>0</v>
      </c>
      <c r="G50" s="73" t="n">
        <f aca="false">SUM(G51:G53)</f>
        <v>0</v>
      </c>
      <c r="H50" s="73" t="n">
        <f aca="false">G50-F50</f>
        <v>0</v>
      </c>
      <c r="I50" s="111" t="n">
        <f aca="false">IF(F50=0,0,H50/F50*100)</f>
        <v>0</v>
      </c>
      <c r="J50" s="112" t="str">
        <f aca="false">IF(G50=0,"Nefakturováno",AE50)</f>
        <v>Nefakturováno</v>
      </c>
      <c r="K50" s="73" t="n">
        <f aca="false">AE50-G50</f>
        <v>0</v>
      </c>
      <c r="L50" s="73" t="n">
        <f aca="false">IF(G50&lt;&gt;0,K50/G50*100,-100)</f>
        <v>-100</v>
      </c>
      <c r="AE50" s="75" t="n">
        <v>0</v>
      </c>
    </row>
    <row r="51" customFormat="false" ht="12.75" hidden="false" customHeight="false" outlineLevel="0" collapsed="false">
      <c r="A51" s="44" t="s">
        <v>218</v>
      </c>
      <c r="B51" s="44"/>
      <c r="C51" s="44" t="s">
        <v>219</v>
      </c>
      <c r="D51" s="44" t="s">
        <v>220</v>
      </c>
      <c r="E51" s="44"/>
      <c r="F51" s="75" t="n">
        <f aca="false">'[1]Stavební rozpočet'!J52</f>
        <v>0</v>
      </c>
      <c r="G51" s="75" t="n">
        <v>0</v>
      </c>
      <c r="H51" s="75" t="n">
        <f aca="false">G51-F51</f>
        <v>0</v>
      </c>
      <c r="I51" s="108" t="n">
        <f aca="false">IF(F51=0,0,H51/F51*100)</f>
        <v>0</v>
      </c>
      <c r="J51" s="109" t="str">
        <f aca="false">IF(G51=0,"Nefakturováno",AE51)</f>
        <v>Nefakturováno</v>
      </c>
      <c r="K51" s="75" t="n">
        <f aca="false">AE51-G51</f>
        <v>0</v>
      </c>
      <c r="L51" s="75" t="n">
        <f aca="false">IF(G51&lt;&gt;0,K51/G51*100,-100)</f>
        <v>-100</v>
      </c>
      <c r="AE51" s="75" t="n">
        <v>0</v>
      </c>
    </row>
    <row r="52" customFormat="false" ht="12.75" hidden="false" customHeight="false" outlineLevel="0" collapsed="false">
      <c r="A52" s="44" t="s">
        <v>79</v>
      </c>
      <c r="B52" s="44"/>
      <c r="C52" s="44" t="s">
        <v>224</v>
      </c>
      <c r="D52" s="44" t="s">
        <v>225</v>
      </c>
      <c r="E52" s="44"/>
      <c r="F52" s="75" t="n">
        <f aca="false">'[1]Stavební rozpočet'!J53</f>
        <v>0</v>
      </c>
      <c r="G52" s="75" t="n">
        <v>0</v>
      </c>
      <c r="H52" s="75" t="n">
        <f aca="false">G52-F52</f>
        <v>0</v>
      </c>
      <c r="I52" s="108" t="n">
        <f aca="false">IF(F52=0,0,H52/F52*100)</f>
        <v>0</v>
      </c>
      <c r="J52" s="109" t="str">
        <f aca="false">IF(G52=0,"Nefakturováno",AE52)</f>
        <v>Nefakturováno</v>
      </c>
      <c r="K52" s="75" t="n">
        <f aca="false">AE52-G52</f>
        <v>0</v>
      </c>
      <c r="L52" s="75" t="n">
        <f aca="false">IF(G52&lt;&gt;0,K52/G52*100,-100)</f>
        <v>-100</v>
      </c>
      <c r="AE52" s="75" t="n">
        <v>0</v>
      </c>
    </row>
    <row r="53" customFormat="false" ht="12.75" hidden="false" customHeight="false" outlineLevel="0" collapsed="false">
      <c r="A53" s="44" t="s">
        <v>226</v>
      </c>
      <c r="B53" s="44"/>
      <c r="C53" s="44" t="s">
        <v>227</v>
      </c>
      <c r="D53" s="44" t="s">
        <v>228</v>
      </c>
      <c r="E53" s="44"/>
      <c r="F53" s="75" t="n">
        <f aca="false">'[1]Stavební rozpočet'!J54</f>
        <v>0</v>
      </c>
      <c r="G53" s="75" t="n">
        <v>0</v>
      </c>
      <c r="H53" s="75" t="n">
        <f aca="false">G53-F53</f>
        <v>0</v>
      </c>
      <c r="I53" s="108" t="n">
        <f aca="false">IF(F53=0,0,H53/F53*100)</f>
        <v>0</v>
      </c>
      <c r="J53" s="109" t="str">
        <f aca="false">IF(G53=0,"Nefakturováno",AE53)</f>
        <v>Nefakturováno</v>
      </c>
      <c r="K53" s="75" t="n">
        <f aca="false">AE53-G53</f>
        <v>0</v>
      </c>
      <c r="L53" s="75" t="n">
        <f aca="false">IF(G53&lt;&gt;0,K53/G53*100,-100)</f>
        <v>-100</v>
      </c>
      <c r="AE53" s="75" t="n">
        <v>0</v>
      </c>
    </row>
    <row r="54" customFormat="false" ht="12.75" hidden="false" customHeight="false" outlineLevel="0" collapsed="false">
      <c r="A54" s="78"/>
      <c r="B54" s="78"/>
      <c r="C54" s="78" t="s">
        <v>229</v>
      </c>
      <c r="D54" s="78" t="s">
        <v>230</v>
      </c>
      <c r="E54" s="78"/>
      <c r="F54" s="73" t="n">
        <f aca="false">SUM(F55:F56)</f>
        <v>0</v>
      </c>
      <c r="G54" s="73" t="n">
        <f aca="false">SUM(G55:G56)</f>
        <v>0</v>
      </c>
      <c r="H54" s="73" t="n">
        <f aca="false">G54-F54</f>
        <v>0</v>
      </c>
      <c r="I54" s="111" t="n">
        <f aca="false">IF(F54=0,0,H54/F54*100)</f>
        <v>0</v>
      </c>
      <c r="J54" s="112" t="str">
        <f aca="false">IF(G54=0,"Nefakturováno",AE54)</f>
        <v>Nefakturováno</v>
      </c>
      <c r="K54" s="73" t="n">
        <f aca="false">AE54-G54</f>
        <v>0</v>
      </c>
      <c r="L54" s="73" t="n">
        <f aca="false">IF(G54&lt;&gt;0,K54/G54*100,-100)</f>
        <v>-100</v>
      </c>
      <c r="AE54" s="75" t="n">
        <v>0</v>
      </c>
    </row>
    <row r="55" customFormat="false" ht="12.75" hidden="false" customHeight="false" outlineLevel="0" collapsed="false">
      <c r="A55" s="44" t="s">
        <v>231</v>
      </c>
      <c r="B55" s="44"/>
      <c r="C55" s="44" t="s">
        <v>232</v>
      </c>
      <c r="D55" s="44" t="s">
        <v>233</v>
      </c>
      <c r="E55" s="44"/>
      <c r="F55" s="75" t="n">
        <f aca="false">'[1]Stavební rozpočet'!J56</f>
        <v>0</v>
      </c>
      <c r="G55" s="75" t="n">
        <v>0</v>
      </c>
      <c r="H55" s="75" t="n">
        <f aca="false">G55-F55</f>
        <v>0</v>
      </c>
      <c r="I55" s="108" t="n">
        <f aca="false">IF(F55=0,0,H55/F55*100)</f>
        <v>0</v>
      </c>
      <c r="J55" s="109" t="str">
        <f aca="false">IF(G55=0,"Nefakturováno",AE55)</f>
        <v>Nefakturováno</v>
      </c>
      <c r="K55" s="75" t="n">
        <f aca="false">AE55-G55</f>
        <v>0</v>
      </c>
      <c r="L55" s="75" t="n">
        <f aca="false">IF(G55&lt;&gt;0,K55/G55*100,-100)</f>
        <v>-100</v>
      </c>
      <c r="AE55" s="75" t="n">
        <v>0</v>
      </c>
    </row>
    <row r="56" customFormat="false" ht="12.75" hidden="false" customHeight="false" outlineLevel="0" collapsed="false">
      <c r="A56" s="44" t="s">
        <v>112</v>
      </c>
      <c r="B56" s="44"/>
      <c r="C56" s="44" t="s">
        <v>236</v>
      </c>
      <c r="D56" s="44" t="s">
        <v>237</v>
      </c>
      <c r="E56" s="44"/>
      <c r="F56" s="75" t="n">
        <f aca="false">'[1]Stavební rozpočet'!J57</f>
        <v>0</v>
      </c>
      <c r="G56" s="75" t="n">
        <v>0</v>
      </c>
      <c r="H56" s="75" t="n">
        <f aca="false">G56-F56</f>
        <v>0</v>
      </c>
      <c r="I56" s="108" t="n">
        <f aca="false">IF(F56=0,0,H56/F56*100)</f>
        <v>0</v>
      </c>
      <c r="J56" s="109" t="str">
        <f aca="false">IF(G56=0,"Nefakturováno",AE56)</f>
        <v>Nefakturováno</v>
      </c>
      <c r="K56" s="75" t="n">
        <f aca="false">AE56-G56</f>
        <v>0</v>
      </c>
      <c r="L56" s="75" t="n">
        <f aca="false">IF(G56&lt;&gt;0,K56/G56*100,-100)</f>
        <v>-100</v>
      </c>
      <c r="AE56" s="75" t="n">
        <v>0</v>
      </c>
    </row>
    <row r="57" customFormat="false" ht="12.75" hidden="false" customHeight="false" outlineLevel="0" collapsed="false">
      <c r="A57" s="78"/>
      <c r="B57" s="78"/>
      <c r="C57" s="78" t="s">
        <v>238</v>
      </c>
      <c r="D57" s="78" t="s">
        <v>239</v>
      </c>
      <c r="E57" s="78"/>
      <c r="F57" s="73" t="n">
        <f aca="false">SUM(F58:F58)</f>
        <v>0</v>
      </c>
      <c r="G57" s="73" t="n">
        <f aca="false">SUM(G58:G58)</f>
        <v>0</v>
      </c>
      <c r="H57" s="73" t="n">
        <f aca="false">G57-F57</f>
        <v>0</v>
      </c>
      <c r="I57" s="111" t="n">
        <f aca="false">IF(F57=0,0,H57/F57*100)</f>
        <v>0</v>
      </c>
      <c r="J57" s="112" t="str">
        <f aca="false">IF(G57=0,"Nefakturováno",AE57)</f>
        <v>Nefakturováno</v>
      </c>
      <c r="K57" s="73" t="n">
        <f aca="false">AE57-G57</f>
        <v>0</v>
      </c>
      <c r="L57" s="73" t="n">
        <f aca="false">IF(G57&lt;&gt;0,K57/G57*100,-100)</f>
        <v>-100</v>
      </c>
      <c r="AE57" s="75" t="n">
        <v>0</v>
      </c>
    </row>
    <row r="58" customFormat="false" ht="12.75" hidden="false" customHeight="false" outlineLevel="0" collapsed="false">
      <c r="A58" s="44" t="s">
        <v>240</v>
      </c>
      <c r="B58" s="44"/>
      <c r="C58" s="44" t="s">
        <v>241</v>
      </c>
      <c r="D58" s="44" t="s">
        <v>242</v>
      </c>
      <c r="E58" s="44"/>
      <c r="F58" s="75" t="n">
        <f aca="false">'[1]Stavební rozpočet'!J59</f>
        <v>0</v>
      </c>
      <c r="G58" s="75" t="n">
        <v>0</v>
      </c>
      <c r="H58" s="75" t="n">
        <f aca="false">G58-F58</f>
        <v>0</v>
      </c>
      <c r="I58" s="108" t="n">
        <f aca="false">IF(F58=0,0,H58/F58*100)</f>
        <v>0</v>
      </c>
      <c r="J58" s="109" t="str">
        <f aca="false">IF(G58=0,"Nefakturováno",AE58)</f>
        <v>Nefakturováno</v>
      </c>
      <c r="K58" s="75" t="n">
        <f aca="false">AE58-G58</f>
        <v>0</v>
      </c>
      <c r="L58" s="75" t="n">
        <f aca="false">IF(G58&lt;&gt;0,K58/G58*100,-100)</f>
        <v>-100</v>
      </c>
      <c r="AE58" s="75" t="n">
        <v>0</v>
      </c>
    </row>
    <row r="59" customFormat="false" ht="12.75" hidden="false" customHeight="false" outlineLevel="0" collapsed="false">
      <c r="A59" s="78"/>
      <c r="B59" s="78"/>
      <c r="C59" s="78" t="s">
        <v>246</v>
      </c>
      <c r="D59" s="78" t="s">
        <v>247</v>
      </c>
      <c r="E59" s="78"/>
      <c r="F59" s="73" t="n">
        <f aca="false">SUM(F60:F61)</f>
        <v>0</v>
      </c>
      <c r="G59" s="73" t="n">
        <f aca="false">SUM(G60:G61)</f>
        <v>0</v>
      </c>
      <c r="H59" s="73" t="n">
        <f aca="false">G59-F59</f>
        <v>0</v>
      </c>
      <c r="I59" s="111" t="n">
        <f aca="false">IF(F59=0,0,H59/F59*100)</f>
        <v>0</v>
      </c>
      <c r="J59" s="112" t="str">
        <f aca="false">IF(G59=0,"Nefakturováno",AE59)</f>
        <v>Nefakturováno</v>
      </c>
      <c r="K59" s="73" t="n">
        <f aca="false">AE59-G59</f>
        <v>0</v>
      </c>
      <c r="L59" s="73" t="n">
        <f aca="false">IF(G59&lt;&gt;0,K59/G59*100,-100)</f>
        <v>-100</v>
      </c>
      <c r="AE59" s="75" t="n">
        <v>0</v>
      </c>
    </row>
    <row r="60" customFormat="false" ht="12.75" hidden="false" customHeight="false" outlineLevel="0" collapsed="false">
      <c r="A60" s="44" t="s">
        <v>248</v>
      </c>
      <c r="B60" s="44"/>
      <c r="C60" s="44" t="s">
        <v>249</v>
      </c>
      <c r="D60" s="44" t="s">
        <v>250</v>
      </c>
      <c r="E60" s="44"/>
      <c r="F60" s="75" t="n">
        <f aca="false">'[1]Stavební rozpočet'!J61</f>
        <v>0</v>
      </c>
      <c r="G60" s="75" t="n">
        <v>0</v>
      </c>
      <c r="H60" s="75" t="n">
        <f aca="false">G60-F60</f>
        <v>0</v>
      </c>
      <c r="I60" s="108" t="n">
        <f aca="false">IF(F60=0,0,H60/F60*100)</f>
        <v>0</v>
      </c>
      <c r="J60" s="109" t="str">
        <f aca="false">IF(G60=0,"Nefakturováno",AE60)</f>
        <v>Nefakturováno</v>
      </c>
      <c r="K60" s="75" t="n">
        <f aca="false">AE60-G60</f>
        <v>0</v>
      </c>
      <c r="L60" s="75" t="n">
        <f aca="false">IF(G60&lt;&gt;0,K60/G60*100,-100)</f>
        <v>-100</v>
      </c>
      <c r="AE60" s="75" t="n">
        <v>0</v>
      </c>
    </row>
    <row r="61" customFormat="false" ht="12.75" hidden="false" customHeight="false" outlineLevel="0" collapsed="false">
      <c r="A61" s="44" t="s">
        <v>254</v>
      </c>
      <c r="B61" s="44"/>
      <c r="C61" s="44" t="s">
        <v>255</v>
      </c>
      <c r="D61" s="44" t="s">
        <v>256</v>
      </c>
      <c r="E61" s="44"/>
      <c r="F61" s="75" t="n">
        <f aca="false">'[1]Stavební rozpočet'!J62</f>
        <v>0</v>
      </c>
      <c r="G61" s="75" t="n">
        <v>0</v>
      </c>
      <c r="H61" s="75" t="n">
        <f aca="false">G61-F61</f>
        <v>0</v>
      </c>
      <c r="I61" s="108" t="n">
        <f aca="false">IF(F61=0,0,H61/F61*100)</f>
        <v>0</v>
      </c>
      <c r="J61" s="109" t="str">
        <f aca="false">IF(G61=0,"Nefakturováno",AE61)</f>
        <v>Nefakturováno</v>
      </c>
      <c r="K61" s="75" t="n">
        <f aca="false">AE61-G61</f>
        <v>0</v>
      </c>
      <c r="L61" s="75" t="n">
        <f aca="false">IF(G61&lt;&gt;0,K61/G61*100,-100)</f>
        <v>-100</v>
      </c>
      <c r="AE61" s="75" t="n">
        <v>0</v>
      </c>
    </row>
    <row r="62" customFormat="false" ht="12.75" hidden="false" customHeight="false" outlineLevel="0" collapsed="false">
      <c r="A62" s="78"/>
      <c r="B62" s="78"/>
      <c r="C62" s="78" t="s">
        <v>258</v>
      </c>
      <c r="D62" s="78" t="s">
        <v>259</v>
      </c>
      <c r="E62" s="78"/>
      <c r="F62" s="73" t="n">
        <f aca="false">SUM(F63:F63)</f>
        <v>0</v>
      </c>
      <c r="G62" s="73" t="n">
        <f aca="false">SUM(G63:G63)</f>
        <v>0</v>
      </c>
      <c r="H62" s="73" t="n">
        <f aca="false">G62-F62</f>
        <v>0</v>
      </c>
      <c r="I62" s="111" t="n">
        <f aca="false">IF(F62=0,0,H62/F62*100)</f>
        <v>0</v>
      </c>
      <c r="J62" s="112" t="str">
        <f aca="false">IF(G62=0,"Nefakturováno",AE62)</f>
        <v>Nefakturováno</v>
      </c>
      <c r="K62" s="73" t="n">
        <f aca="false">AE62-G62</f>
        <v>0</v>
      </c>
      <c r="L62" s="73" t="n">
        <f aca="false">IF(G62&lt;&gt;0,K62/G62*100,-100)</f>
        <v>-100</v>
      </c>
      <c r="AE62" s="75" t="n">
        <v>0</v>
      </c>
    </row>
    <row r="63" customFormat="false" ht="12.75" hidden="false" customHeight="false" outlineLevel="0" collapsed="false">
      <c r="A63" s="44" t="s">
        <v>260</v>
      </c>
      <c r="B63" s="44"/>
      <c r="C63" s="44" t="s">
        <v>261</v>
      </c>
      <c r="D63" s="44" t="s">
        <v>262</v>
      </c>
      <c r="E63" s="44"/>
      <c r="F63" s="75" t="n">
        <f aca="false">'[1]Stavební rozpočet'!J64</f>
        <v>0</v>
      </c>
      <c r="G63" s="75" t="n">
        <v>0</v>
      </c>
      <c r="H63" s="75" t="n">
        <f aca="false">G63-F63</f>
        <v>0</v>
      </c>
      <c r="I63" s="108" t="n">
        <f aca="false">IF(F63=0,0,H63/F63*100)</f>
        <v>0</v>
      </c>
      <c r="J63" s="109" t="str">
        <f aca="false">IF(G63=0,"Nefakturováno",AE63)</f>
        <v>Nefakturováno</v>
      </c>
      <c r="K63" s="75" t="n">
        <f aca="false">AE63-G63</f>
        <v>0</v>
      </c>
      <c r="L63" s="75" t="n">
        <f aca="false">IF(G63&lt;&gt;0,K63/G63*100,-100)</f>
        <v>-100</v>
      </c>
      <c r="AE63" s="75" t="n">
        <v>0</v>
      </c>
    </row>
    <row r="65" customFormat="false" ht="11.25" hidden="false" customHeight="true" outlineLevel="0" collapsed="false">
      <c r="A65" s="85" t="s">
        <v>266</v>
      </c>
    </row>
    <row r="66" customFormat="false" ht="409.6" hidden="true" customHeight="true" outlineLevel="0" collapsed="false">
      <c r="A66" s="46"/>
      <c r="B66" s="46"/>
      <c r="C66" s="46"/>
      <c r="D66" s="46"/>
      <c r="E66" s="46"/>
      <c r="F66" s="46"/>
      <c r="G66" s="46"/>
      <c r="H66" s="46"/>
      <c r="I66" s="46"/>
      <c r="J66" s="46"/>
    </row>
  </sheetData>
  <mergeCells count="80">
    <mergeCell ref="A1:L1"/>
    <mergeCell ref="A2:A3"/>
    <mergeCell ref="B2:D3"/>
    <mergeCell ref="E2:E3"/>
    <mergeCell ref="F2:F3"/>
    <mergeCell ref="G2:G3"/>
    <mergeCell ref="H2:L3"/>
    <mergeCell ref="A4:A5"/>
    <mergeCell ref="B4:D5"/>
    <mergeCell ref="E4:E5"/>
    <mergeCell ref="F4:F5"/>
    <mergeCell ref="G4:G5"/>
    <mergeCell ref="H4:L5"/>
    <mergeCell ref="A6:A7"/>
    <mergeCell ref="B6:D7"/>
    <mergeCell ref="E6:E7"/>
    <mergeCell ref="F6:F7"/>
    <mergeCell ref="G6:G7"/>
    <mergeCell ref="H6:L7"/>
    <mergeCell ref="A8:A9"/>
    <mergeCell ref="B8:D9"/>
    <mergeCell ref="E8:E9"/>
    <mergeCell ref="F8:F9"/>
    <mergeCell ref="G8:G9"/>
    <mergeCell ref="H8:L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A66:J6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7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J18" activeCellId="0" sqref="J18"/>
    </sheetView>
  </sheetViews>
  <sheetFormatPr defaultColWidth="12.578125" defaultRowHeight="12.75" zeroHeight="false" outlineLevelRow="0" outlineLevelCol="0"/>
  <cols>
    <col collapsed="false" customWidth="true" hidden="false" outlineLevel="0" max="1" min="1" style="34" width="10.02"/>
    <col collapsed="false" customWidth="true" hidden="false" outlineLevel="0" max="2" min="2" style="34" width="14.1"/>
    <col collapsed="false" customWidth="true" hidden="false" outlineLevel="0" max="3" min="3" style="34" width="25.1"/>
    <col collapsed="false" customWidth="true" hidden="false" outlineLevel="0" max="4" min="4" style="34" width="10.96"/>
    <col collapsed="false" customWidth="true" hidden="false" outlineLevel="0" max="5" min="5" style="34" width="15.36"/>
    <col collapsed="false" customWidth="true" hidden="false" outlineLevel="0" max="6" min="6" style="34" width="25.1"/>
    <col collapsed="false" customWidth="true" hidden="false" outlineLevel="0" max="7" min="7" style="34" width="10.02"/>
    <col collapsed="false" customWidth="true" hidden="false" outlineLevel="0" max="8" min="8" style="34" width="14.1"/>
    <col collapsed="false" customWidth="true" hidden="false" outlineLevel="0" max="9" min="9" style="34" width="25.1"/>
    <col collapsed="false" customWidth="true" hidden="false" outlineLevel="0" max="257" min="10" style="34" width="12.7"/>
  </cols>
  <sheetData>
    <row r="1" customFormat="false" ht="72.95" hidden="false" customHeight="true" outlineLevel="0" collapsed="false">
      <c r="A1" s="113"/>
      <c r="B1" s="114"/>
      <c r="C1" s="115" t="s">
        <v>300</v>
      </c>
      <c r="D1" s="115"/>
      <c r="E1" s="115"/>
      <c r="F1" s="115"/>
      <c r="G1" s="115"/>
      <c r="H1" s="115"/>
      <c r="I1" s="115"/>
    </row>
    <row r="2" customFormat="false" ht="12.75" hidden="false" customHeight="true" outlineLevel="0" collapsed="false">
      <c r="A2" s="36" t="s">
        <v>38</v>
      </c>
      <c r="B2" s="36"/>
      <c r="C2" s="37" t="s">
        <v>7</v>
      </c>
      <c r="D2" s="37"/>
      <c r="E2" s="39" t="s">
        <v>40</v>
      </c>
      <c r="F2" s="39" t="s">
        <v>41</v>
      </c>
      <c r="G2" s="39"/>
      <c r="H2" s="39" t="s">
        <v>301</v>
      </c>
      <c r="I2" s="116" t="s">
        <v>302</v>
      </c>
      <c r="J2" s="41"/>
    </row>
    <row r="3" customFormat="false" ht="12.75" hidden="false" customHeight="false" outlineLevel="0" collapsed="false">
      <c r="A3" s="36"/>
      <c r="B3" s="36"/>
      <c r="C3" s="37"/>
      <c r="D3" s="37"/>
      <c r="E3" s="39"/>
      <c r="F3" s="39"/>
      <c r="G3" s="39"/>
      <c r="H3" s="39"/>
      <c r="I3" s="116"/>
      <c r="J3" s="41"/>
    </row>
    <row r="4" customFormat="false" ht="17.9" hidden="false" customHeight="true" outlineLevel="0" collapsed="false">
      <c r="A4" s="42" t="s">
        <v>42</v>
      </c>
      <c r="B4" s="42"/>
      <c r="C4" s="43" t="s">
        <v>43</v>
      </c>
      <c r="D4" s="43"/>
      <c r="E4" s="46" t="s">
        <v>45</v>
      </c>
      <c r="F4" s="46"/>
      <c r="G4" s="46"/>
      <c r="H4" s="46" t="s">
        <v>301</v>
      </c>
      <c r="I4" s="117"/>
      <c r="J4" s="41"/>
    </row>
    <row r="5" customFormat="false" ht="21.6" hidden="false" customHeight="true" outlineLevel="0" collapsed="false">
      <c r="A5" s="42"/>
      <c r="B5" s="42"/>
      <c r="C5" s="43"/>
      <c r="D5" s="43"/>
      <c r="E5" s="46"/>
      <c r="F5" s="46"/>
      <c r="G5" s="46"/>
      <c r="H5" s="46"/>
      <c r="I5" s="117"/>
      <c r="J5" s="41"/>
    </row>
    <row r="6" customFormat="false" ht="12.75" hidden="false" customHeight="true" outlineLevel="0" collapsed="false">
      <c r="A6" s="42" t="s">
        <v>46</v>
      </c>
      <c r="B6" s="42"/>
      <c r="C6" s="46" t="s">
        <v>47</v>
      </c>
      <c r="D6" s="46"/>
      <c r="E6" s="46" t="s">
        <v>49</v>
      </c>
      <c r="F6" s="46"/>
      <c r="G6" s="46"/>
      <c r="H6" s="46" t="s">
        <v>301</v>
      </c>
      <c r="I6" s="117"/>
      <c r="J6" s="41"/>
    </row>
    <row r="7" customFormat="false" ht="12.75" hidden="false" customHeight="false" outlineLevel="0" collapsed="false">
      <c r="A7" s="42"/>
      <c r="B7" s="42"/>
      <c r="C7" s="46"/>
      <c r="D7" s="46"/>
      <c r="E7" s="46"/>
      <c r="F7" s="46"/>
      <c r="G7" s="46"/>
      <c r="H7" s="46"/>
      <c r="I7" s="117"/>
      <c r="J7" s="41"/>
    </row>
    <row r="8" customFormat="false" ht="12.75" hidden="false" customHeight="true" outlineLevel="0" collapsed="false">
      <c r="A8" s="42" t="s">
        <v>44</v>
      </c>
      <c r="B8" s="42"/>
      <c r="C8" s="45"/>
      <c r="D8" s="45"/>
      <c r="E8" s="46" t="s">
        <v>48</v>
      </c>
      <c r="F8" s="45"/>
      <c r="G8" s="45"/>
      <c r="H8" s="44" t="s">
        <v>303</v>
      </c>
      <c r="I8" s="117" t="s">
        <v>260</v>
      </c>
      <c r="J8" s="41"/>
    </row>
    <row r="9" customFormat="false" ht="14.65" hidden="false" customHeight="false" outlineLevel="0" collapsed="false">
      <c r="A9" s="42"/>
      <c r="B9" s="42"/>
      <c r="C9" s="45"/>
      <c r="D9" s="45"/>
      <c r="E9" s="46"/>
      <c r="F9" s="46"/>
      <c r="G9" s="45"/>
      <c r="H9" s="44"/>
      <c r="I9" s="117"/>
      <c r="J9" s="41"/>
    </row>
    <row r="10" customFormat="false" ht="12.75" hidden="false" customHeight="true" outlineLevel="0" collapsed="false">
      <c r="A10" s="118" t="s">
        <v>50</v>
      </c>
      <c r="B10" s="118"/>
      <c r="C10" s="119"/>
      <c r="D10" s="119"/>
      <c r="E10" s="119" t="s">
        <v>52</v>
      </c>
      <c r="F10" s="119"/>
      <c r="G10" s="119"/>
      <c r="H10" s="79" t="s">
        <v>304</v>
      </c>
      <c r="I10" s="120"/>
      <c r="J10" s="41"/>
    </row>
    <row r="11" customFormat="false" ht="14.65" hidden="false" customHeight="false" outlineLevel="0" collapsed="false">
      <c r="A11" s="118"/>
      <c r="B11" s="118"/>
      <c r="C11" s="119"/>
      <c r="D11" s="119"/>
      <c r="E11" s="119"/>
      <c r="F11" s="119"/>
      <c r="G11" s="119"/>
      <c r="H11" s="79"/>
      <c r="I11" s="120"/>
      <c r="J11" s="41"/>
    </row>
    <row r="12" customFormat="false" ht="23.45" hidden="false" customHeight="true" outlineLevel="0" collapsed="false">
      <c r="A12" s="121" t="s">
        <v>305</v>
      </c>
      <c r="B12" s="121"/>
      <c r="C12" s="121"/>
      <c r="D12" s="121"/>
      <c r="E12" s="121"/>
      <c r="F12" s="121"/>
      <c r="G12" s="121"/>
      <c r="H12" s="121"/>
      <c r="I12" s="121"/>
    </row>
    <row r="13" customFormat="false" ht="26.45" hidden="false" customHeight="true" outlineLevel="0" collapsed="false">
      <c r="A13" s="122" t="s">
        <v>306</v>
      </c>
      <c r="B13" s="123" t="s">
        <v>307</v>
      </c>
      <c r="C13" s="123"/>
      <c r="D13" s="122" t="s">
        <v>308</v>
      </c>
      <c r="E13" s="123" t="s">
        <v>309</v>
      </c>
      <c r="F13" s="123"/>
      <c r="G13" s="122" t="s">
        <v>310</v>
      </c>
      <c r="H13" s="123" t="s">
        <v>311</v>
      </c>
      <c r="I13" s="123"/>
      <c r="J13" s="41"/>
    </row>
    <row r="14" customFormat="false" ht="15.2" hidden="false" customHeight="true" outlineLevel="0" collapsed="false">
      <c r="A14" s="124" t="s">
        <v>312</v>
      </c>
      <c r="B14" s="125" t="s">
        <v>313</v>
      </c>
      <c r="C14" s="126" t="n">
        <f aca="false">SUM('[1]Stavební rozpočet'!R12:R64)</f>
        <v>0</v>
      </c>
      <c r="D14" s="125" t="s">
        <v>314</v>
      </c>
      <c r="E14" s="125"/>
      <c r="F14" s="126" t="n">
        <f aca="false">[1]VORN!I15</f>
        <v>0</v>
      </c>
      <c r="G14" s="125" t="s">
        <v>315</v>
      </c>
      <c r="H14" s="125"/>
      <c r="I14" s="126" t="n">
        <f aca="false">[1]VORN!I21</f>
        <v>0</v>
      </c>
      <c r="J14" s="41"/>
    </row>
    <row r="15" customFormat="false" ht="15.2" hidden="false" customHeight="true" outlineLevel="0" collapsed="false">
      <c r="A15" s="127"/>
      <c r="B15" s="125" t="s">
        <v>67</v>
      </c>
      <c r="C15" s="126" t="n">
        <f aca="false">SUM('[1]Stavební rozpočet'!S12:S64)</f>
        <v>0</v>
      </c>
      <c r="D15" s="125" t="s">
        <v>316</v>
      </c>
      <c r="E15" s="125"/>
      <c r="F15" s="126" t="n">
        <f aca="false">[1]VORN!I16</f>
        <v>0</v>
      </c>
      <c r="G15" s="125" t="s">
        <v>317</v>
      </c>
      <c r="H15" s="125"/>
      <c r="I15" s="126" t="n">
        <f aca="false">[1]VORN!I22</f>
        <v>0</v>
      </c>
      <c r="J15" s="41"/>
    </row>
    <row r="16" customFormat="false" ht="15.2" hidden="false" customHeight="true" outlineLevel="0" collapsed="false">
      <c r="A16" s="124" t="s">
        <v>318</v>
      </c>
      <c r="B16" s="125" t="s">
        <v>313</v>
      </c>
      <c r="C16" s="126" t="n">
        <f aca="false">SUM('[1]Stavební rozpočet'!T12:T64)</f>
        <v>0</v>
      </c>
      <c r="D16" s="125" t="s">
        <v>319</v>
      </c>
      <c r="E16" s="125"/>
      <c r="F16" s="126" t="n">
        <f aca="false">[1]VORN!I17</f>
        <v>0</v>
      </c>
      <c r="G16" s="125" t="s">
        <v>320</v>
      </c>
      <c r="H16" s="125"/>
      <c r="I16" s="126" t="n">
        <f aca="false">[1]VORN!I23</f>
        <v>0</v>
      </c>
      <c r="J16" s="41"/>
    </row>
    <row r="17" customFormat="false" ht="15.2" hidden="false" customHeight="true" outlineLevel="0" collapsed="false">
      <c r="A17" s="127"/>
      <c r="B17" s="125" t="s">
        <v>67</v>
      </c>
      <c r="C17" s="126" t="n">
        <f aca="false">SUM('[1]Stavební rozpočet'!U12:U64)</f>
        <v>0</v>
      </c>
      <c r="D17" s="125"/>
      <c r="E17" s="125"/>
      <c r="F17" s="128"/>
      <c r="G17" s="125" t="s">
        <v>321</v>
      </c>
      <c r="H17" s="125"/>
      <c r="I17" s="126" t="n">
        <f aca="false">[1]VORN!I24</f>
        <v>0</v>
      </c>
      <c r="J17" s="41"/>
    </row>
    <row r="18" customFormat="false" ht="15.2" hidden="false" customHeight="true" outlineLevel="0" collapsed="false">
      <c r="A18" s="124" t="s">
        <v>322</v>
      </c>
      <c r="B18" s="125" t="s">
        <v>313</v>
      </c>
      <c r="C18" s="126" t="n">
        <f aca="false">SUM('[1]Stavební rozpočet'!V12:V64)</f>
        <v>0</v>
      </c>
      <c r="D18" s="125"/>
      <c r="E18" s="125"/>
      <c r="F18" s="128"/>
      <c r="G18" s="125" t="s">
        <v>323</v>
      </c>
      <c r="H18" s="125"/>
      <c r="I18" s="126" t="n">
        <f aca="false">[1]VORN!I25</f>
        <v>0</v>
      </c>
      <c r="J18" s="41"/>
    </row>
    <row r="19" customFormat="false" ht="15.2" hidden="false" customHeight="true" outlineLevel="0" collapsed="false">
      <c r="A19" s="127"/>
      <c r="B19" s="125" t="s">
        <v>67</v>
      </c>
      <c r="C19" s="126" t="n">
        <f aca="false">SUM('[1]Stavební rozpočet'!W12:W64)</f>
        <v>0</v>
      </c>
      <c r="D19" s="125"/>
      <c r="E19" s="125"/>
      <c r="F19" s="128"/>
      <c r="G19" s="125" t="s">
        <v>324</v>
      </c>
      <c r="H19" s="125"/>
      <c r="I19" s="126" t="n">
        <f aca="false">[1]VORN!I26</f>
        <v>0</v>
      </c>
      <c r="J19" s="41"/>
    </row>
    <row r="20" customFormat="false" ht="15.2" hidden="false" customHeight="true" outlineLevel="0" collapsed="false">
      <c r="A20" s="129" t="s">
        <v>325</v>
      </c>
      <c r="B20" s="129"/>
      <c r="C20" s="126" t="n">
        <f aca="false">SUM('[1]Stavební rozpočet'!X12:X64)</f>
        <v>0</v>
      </c>
      <c r="D20" s="125"/>
      <c r="E20" s="125"/>
      <c r="F20" s="128"/>
      <c r="G20" s="125"/>
      <c r="H20" s="125"/>
      <c r="I20" s="128"/>
      <c r="J20" s="41"/>
    </row>
    <row r="21" customFormat="false" ht="15.2" hidden="false" customHeight="true" outlineLevel="0" collapsed="false">
      <c r="A21" s="129" t="s">
        <v>326</v>
      </c>
      <c r="B21" s="129"/>
      <c r="C21" s="126" t="n">
        <f aca="false">SUM('[1]Stavební rozpočet'!P12:P64)</f>
        <v>0</v>
      </c>
      <c r="D21" s="125"/>
      <c r="E21" s="125"/>
      <c r="F21" s="128"/>
      <c r="G21" s="125"/>
      <c r="H21" s="125"/>
      <c r="I21" s="128"/>
      <c r="J21" s="41"/>
    </row>
    <row r="22" customFormat="false" ht="16.7" hidden="false" customHeight="true" outlineLevel="0" collapsed="false">
      <c r="A22" s="129" t="s">
        <v>327</v>
      </c>
      <c r="B22" s="129"/>
      <c r="C22" s="126" t="n">
        <f aca="false">SUM(C14:C21)</f>
        <v>0</v>
      </c>
      <c r="D22" s="129" t="s">
        <v>328</v>
      </c>
      <c r="E22" s="129"/>
      <c r="F22" s="126" t="n">
        <f aca="false">SUM(F14:F21)</f>
        <v>0</v>
      </c>
      <c r="G22" s="129" t="s">
        <v>329</v>
      </c>
      <c r="H22" s="129"/>
      <c r="I22" s="126" t="n">
        <f aca="false">SUM(I14:I21)</f>
        <v>0</v>
      </c>
      <c r="J22" s="41"/>
    </row>
    <row r="23" customFormat="false" ht="15.2" hidden="false" customHeight="true" outlineLevel="0" collapsed="false">
      <c r="A23" s="82"/>
      <c r="B23" s="82"/>
      <c r="C23" s="130"/>
      <c r="D23" s="129" t="s">
        <v>330</v>
      </c>
      <c r="E23" s="129"/>
      <c r="F23" s="131" t="n">
        <v>0</v>
      </c>
      <c r="G23" s="129" t="s">
        <v>331</v>
      </c>
      <c r="H23" s="129"/>
      <c r="I23" s="126" t="n">
        <v>0</v>
      </c>
      <c r="J23" s="41"/>
    </row>
    <row r="24" customFormat="false" ht="15.2" hidden="false" customHeight="true" outlineLevel="0" collapsed="false">
      <c r="D24" s="82"/>
      <c r="E24" s="82"/>
      <c r="F24" s="132"/>
      <c r="G24" s="129" t="s">
        <v>332</v>
      </c>
      <c r="H24" s="129"/>
      <c r="I24" s="126" t="n">
        <f aca="false">vorn_sum</f>
        <v>0</v>
      </c>
      <c r="J24" s="41"/>
    </row>
    <row r="25" customFormat="false" ht="15.2" hidden="false" customHeight="true" outlineLevel="0" collapsed="false">
      <c r="F25" s="133"/>
      <c r="G25" s="129" t="s">
        <v>333</v>
      </c>
      <c r="H25" s="129"/>
      <c r="I25" s="126" t="n">
        <v>0</v>
      </c>
      <c r="J25" s="41"/>
    </row>
    <row r="26" customFormat="false" ht="12.75" hidden="false" customHeight="false" outlineLevel="0" collapsed="false">
      <c r="A26" s="114"/>
      <c r="B26" s="114"/>
      <c r="C26" s="114"/>
      <c r="G26" s="82"/>
      <c r="H26" s="82"/>
      <c r="I26" s="82"/>
    </row>
    <row r="27" customFormat="false" ht="15.2" hidden="false" customHeight="true" outlineLevel="0" collapsed="false">
      <c r="A27" s="134" t="s">
        <v>334</v>
      </c>
      <c r="B27" s="134"/>
      <c r="C27" s="135" t="n">
        <f aca="false">SUM('[1]Stavební rozpočet'!Z12:Z64)</f>
        <v>0</v>
      </c>
      <c r="D27" s="136"/>
      <c r="E27" s="114"/>
      <c r="F27" s="114"/>
      <c r="G27" s="114"/>
      <c r="H27" s="114"/>
      <c r="I27" s="114"/>
    </row>
    <row r="28" customFormat="false" ht="15.2" hidden="false" customHeight="true" outlineLevel="0" collapsed="false">
      <c r="A28" s="134" t="s">
        <v>335</v>
      </c>
      <c r="B28" s="134"/>
      <c r="C28" s="135" t="n">
        <f aca="false">SUM('[1]Stavební rozpočet'!AA12:AA64)</f>
        <v>0</v>
      </c>
      <c r="D28" s="134" t="s">
        <v>336</v>
      </c>
      <c r="E28" s="134"/>
      <c r="F28" s="135" t="n">
        <f aca="false">ROUND(C28*(15/100),2)</f>
        <v>0</v>
      </c>
      <c r="G28" s="134" t="s">
        <v>337</v>
      </c>
      <c r="H28" s="134"/>
      <c r="I28" s="135" t="n">
        <f aca="false">SUM(C27:C29)</f>
        <v>0</v>
      </c>
      <c r="J28" s="41"/>
    </row>
    <row r="29" customFormat="false" ht="15.2" hidden="false" customHeight="true" outlineLevel="0" collapsed="false">
      <c r="A29" s="134" t="s">
        <v>338</v>
      </c>
      <c r="B29" s="134"/>
      <c r="C29" s="135" t="n">
        <f aca="false">SUM('[1]Stavební rozpočet'!AB12:AB64)+(F22+I22+F23+I23+I24+I25)</f>
        <v>0</v>
      </c>
      <c r="D29" s="134" t="s">
        <v>339</v>
      </c>
      <c r="E29" s="134"/>
      <c r="F29" s="135" t="n">
        <f aca="false">ROUND(C29*(21/100),2)</f>
        <v>0</v>
      </c>
      <c r="G29" s="134" t="s">
        <v>340</v>
      </c>
      <c r="H29" s="134"/>
      <c r="I29" s="135" t="n">
        <f aca="false">SUM(F28:F29)+I28</f>
        <v>0</v>
      </c>
      <c r="J29" s="41"/>
    </row>
    <row r="30" customFormat="false" ht="12.75" hidden="false" customHeight="false" outlineLevel="0" collapsed="false">
      <c r="A30" s="137"/>
      <c r="B30" s="137"/>
      <c r="C30" s="137"/>
      <c r="D30" s="137"/>
      <c r="E30" s="137"/>
      <c r="F30" s="137"/>
      <c r="G30" s="137"/>
      <c r="H30" s="137"/>
      <c r="I30" s="137"/>
    </row>
    <row r="31" customFormat="false" ht="14.45" hidden="false" customHeight="true" outlineLevel="0" collapsed="false">
      <c r="A31" s="138" t="s">
        <v>341</v>
      </c>
      <c r="B31" s="138"/>
      <c r="C31" s="138"/>
      <c r="D31" s="138" t="s">
        <v>342</v>
      </c>
      <c r="E31" s="138"/>
      <c r="F31" s="138"/>
      <c r="G31" s="138" t="s">
        <v>343</v>
      </c>
      <c r="H31" s="138"/>
      <c r="I31" s="138"/>
      <c r="J31" s="59"/>
    </row>
    <row r="32" customFormat="false" ht="14.45" hidden="false" customHeight="true" outlineLevel="0" collapsed="false">
      <c r="A32" s="139"/>
      <c r="B32" s="139"/>
      <c r="C32" s="139"/>
      <c r="D32" s="139"/>
      <c r="E32" s="139"/>
      <c r="F32" s="139"/>
      <c r="G32" s="139"/>
      <c r="H32" s="139"/>
      <c r="I32" s="139"/>
      <c r="J32" s="59"/>
    </row>
    <row r="33" customFormat="false" ht="14.45" hidden="false" customHeight="true" outlineLevel="0" collapsed="false">
      <c r="A33" s="139"/>
      <c r="B33" s="139"/>
      <c r="C33" s="139"/>
      <c r="D33" s="139"/>
      <c r="E33" s="139"/>
      <c r="F33" s="139"/>
      <c r="G33" s="139"/>
      <c r="H33" s="139"/>
      <c r="I33" s="139"/>
      <c r="J33" s="59"/>
    </row>
    <row r="34" customFormat="false" ht="14.45" hidden="false" customHeight="true" outlineLevel="0" collapsed="false">
      <c r="A34" s="139"/>
      <c r="B34" s="139"/>
      <c r="C34" s="139"/>
      <c r="D34" s="139"/>
      <c r="E34" s="139"/>
      <c r="F34" s="139"/>
      <c r="G34" s="139"/>
      <c r="H34" s="139"/>
      <c r="I34" s="139"/>
      <c r="J34" s="59"/>
    </row>
    <row r="35" customFormat="false" ht="14.45" hidden="false" customHeight="true" outlineLevel="0" collapsed="false">
      <c r="A35" s="140" t="s">
        <v>344</v>
      </c>
      <c r="B35" s="140"/>
      <c r="C35" s="140"/>
      <c r="D35" s="140" t="s">
        <v>344</v>
      </c>
      <c r="E35" s="140"/>
      <c r="F35" s="140"/>
      <c r="G35" s="140" t="s">
        <v>344</v>
      </c>
      <c r="H35" s="140"/>
      <c r="I35" s="140"/>
      <c r="J35" s="59"/>
    </row>
    <row r="36" customFormat="false" ht="12.65" hidden="false" customHeight="true" outlineLevel="0" collapsed="false">
      <c r="A36" s="141" t="s">
        <v>266</v>
      </c>
      <c r="B36" s="100"/>
      <c r="C36" s="100"/>
      <c r="D36" s="100"/>
      <c r="E36" s="100"/>
      <c r="F36" s="100"/>
      <c r="G36" s="100"/>
      <c r="H36" s="100"/>
      <c r="I36" s="100"/>
    </row>
    <row r="37" customFormat="false" ht="409.6" hidden="true" customHeight="true" outlineLevel="0" collapsed="false">
      <c r="A37" s="46"/>
      <c r="B37" s="46"/>
      <c r="C37" s="46"/>
      <c r="D37" s="46"/>
      <c r="E37" s="46"/>
      <c r="F37" s="46"/>
      <c r="G37" s="46"/>
      <c r="H37" s="46"/>
      <c r="I37" s="46"/>
    </row>
  </sheetData>
  <mergeCells count="83"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6:I7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10:I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4:C34"/>
    <mergeCell ref="D34:F34"/>
    <mergeCell ref="G34:I34"/>
    <mergeCell ref="A35:C35"/>
    <mergeCell ref="D35:F35"/>
    <mergeCell ref="G35:I35"/>
    <mergeCell ref="A37:I3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ColWidth="12.578125" defaultRowHeight="12.75" zeroHeight="false" outlineLevelRow="0" outlineLevelCol="0"/>
  <cols>
    <col collapsed="false" customWidth="true" hidden="false" outlineLevel="0" max="1" min="1" style="34" width="10.02"/>
    <col collapsed="false" customWidth="true" hidden="false" outlineLevel="0" max="2" min="2" style="34" width="14.1"/>
    <col collapsed="false" customWidth="true" hidden="false" outlineLevel="0" max="3" min="3" style="34" width="25.1"/>
    <col collapsed="false" customWidth="true" hidden="false" outlineLevel="0" max="4" min="4" style="34" width="10.96"/>
    <col collapsed="false" customWidth="true" hidden="false" outlineLevel="0" max="5" min="5" style="34" width="15.36"/>
    <col collapsed="false" customWidth="true" hidden="false" outlineLevel="0" max="6" min="6" style="34" width="25.1"/>
    <col collapsed="false" customWidth="true" hidden="false" outlineLevel="0" max="7" min="7" style="34" width="10.02"/>
    <col collapsed="false" customWidth="true" hidden="false" outlineLevel="0" max="8" min="8" style="34" width="18.82"/>
    <col collapsed="false" customWidth="true" hidden="false" outlineLevel="0" max="9" min="9" style="34" width="25.1"/>
    <col collapsed="false" customWidth="true" hidden="false" outlineLevel="0" max="257" min="10" style="34" width="12.7"/>
  </cols>
  <sheetData>
    <row r="1" customFormat="false" ht="67.9" hidden="false" customHeight="true" outlineLevel="0" collapsed="false">
      <c r="A1" s="113"/>
      <c r="B1" s="114"/>
      <c r="C1" s="115" t="s">
        <v>345</v>
      </c>
      <c r="D1" s="115"/>
      <c r="E1" s="115"/>
      <c r="F1" s="115"/>
      <c r="G1" s="115"/>
      <c r="H1" s="115"/>
      <c r="I1" s="115"/>
    </row>
    <row r="2" customFormat="false" ht="12.75" hidden="false" customHeight="true" outlineLevel="0" collapsed="false">
      <c r="A2" s="36" t="s">
        <v>38</v>
      </c>
      <c r="B2" s="36"/>
      <c r="C2" s="37" t="s">
        <v>7</v>
      </c>
      <c r="D2" s="37"/>
      <c r="E2" s="39" t="s">
        <v>40</v>
      </c>
      <c r="F2" s="39" t="s">
        <v>41</v>
      </c>
      <c r="G2" s="39"/>
      <c r="H2" s="39" t="s">
        <v>301</v>
      </c>
      <c r="I2" s="116" t="s">
        <v>302</v>
      </c>
      <c r="J2" s="41"/>
    </row>
    <row r="3" customFormat="false" ht="12.75" hidden="false" customHeight="false" outlineLevel="0" collapsed="false">
      <c r="A3" s="36"/>
      <c r="B3" s="36"/>
      <c r="C3" s="37"/>
      <c r="D3" s="37"/>
      <c r="E3" s="39"/>
      <c r="F3" s="39"/>
      <c r="G3" s="39"/>
      <c r="H3" s="39"/>
      <c r="I3" s="116"/>
      <c r="J3" s="41"/>
    </row>
    <row r="4" customFormat="false" ht="17.9" hidden="false" customHeight="true" outlineLevel="0" collapsed="false">
      <c r="A4" s="42" t="s">
        <v>42</v>
      </c>
      <c r="B4" s="42"/>
      <c r="C4" s="43" t="s">
        <v>43</v>
      </c>
      <c r="D4" s="43"/>
      <c r="E4" s="46" t="s">
        <v>45</v>
      </c>
      <c r="F4" s="46"/>
      <c r="G4" s="46"/>
      <c r="H4" s="46" t="s">
        <v>301</v>
      </c>
      <c r="I4" s="117"/>
      <c r="J4" s="41"/>
    </row>
    <row r="5" customFormat="false" ht="20.85" hidden="false" customHeight="true" outlineLevel="0" collapsed="false">
      <c r="A5" s="42"/>
      <c r="B5" s="42"/>
      <c r="C5" s="43"/>
      <c r="D5" s="43"/>
      <c r="E5" s="46"/>
      <c r="F5" s="46"/>
      <c r="G5" s="46"/>
      <c r="H5" s="46"/>
      <c r="I5" s="117"/>
      <c r="J5" s="41"/>
    </row>
    <row r="6" customFormat="false" ht="12.75" hidden="false" customHeight="true" outlineLevel="0" collapsed="false">
      <c r="A6" s="42" t="s">
        <v>46</v>
      </c>
      <c r="B6" s="42"/>
      <c r="C6" s="46" t="s">
        <v>47</v>
      </c>
      <c r="D6" s="46"/>
      <c r="E6" s="46" t="s">
        <v>49</v>
      </c>
      <c r="F6" s="46"/>
      <c r="G6" s="46"/>
      <c r="H6" s="46" t="s">
        <v>301</v>
      </c>
      <c r="I6" s="117"/>
      <c r="J6" s="41"/>
    </row>
    <row r="7" customFormat="false" ht="12.75" hidden="false" customHeight="false" outlineLevel="0" collapsed="false">
      <c r="A7" s="42"/>
      <c r="B7" s="42"/>
      <c r="C7" s="46"/>
      <c r="D7" s="46"/>
      <c r="E7" s="46"/>
      <c r="F7" s="46"/>
      <c r="G7" s="46"/>
      <c r="H7" s="46"/>
      <c r="I7" s="117"/>
      <c r="J7" s="41"/>
    </row>
    <row r="8" customFormat="false" ht="12.75" hidden="false" customHeight="true" outlineLevel="0" collapsed="false">
      <c r="A8" s="42" t="s">
        <v>44</v>
      </c>
      <c r="B8" s="42"/>
      <c r="C8" s="45"/>
      <c r="D8" s="45"/>
      <c r="E8" s="46" t="s">
        <v>48</v>
      </c>
      <c r="F8" s="45"/>
      <c r="G8" s="45"/>
      <c r="H8" s="44" t="s">
        <v>303</v>
      </c>
      <c r="I8" s="117" t="s">
        <v>260</v>
      </c>
      <c r="J8" s="41"/>
    </row>
    <row r="9" customFormat="false" ht="14.65" hidden="false" customHeight="false" outlineLevel="0" collapsed="false">
      <c r="A9" s="42"/>
      <c r="B9" s="42"/>
      <c r="C9" s="45"/>
      <c r="D9" s="45"/>
      <c r="E9" s="46"/>
      <c r="F9" s="46"/>
      <c r="G9" s="45"/>
      <c r="H9" s="44"/>
      <c r="I9" s="117"/>
      <c r="J9" s="41"/>
    </row>
    <row r="10" customFormat="false" ht="12.75" hidden="false" customHeight="true" outlineLevel="0" collapsed="false">
      <c r="A10" s="118" t="s">
        <v>50</v>
      </c>
      <c r="B10" s="118"/>
      <c r="C10" s="119"/>
      <c r="D10" s="119"/>
      <c r="E10" s="119" t="s">
        <v>52</v>
      </c>
      <c r="F10" s="119"/>
      <c r="G10" s="119"/>
      <c r="H10" s="79" t="s">
        <v>304</v>
      </c>
      <c r="I10" s="120"/>
      <c r="J10" s="41"/>
    </row>
    <row r="11" customFormat="false" ht="14.65" hidden="false" customHeight="false" outlineLevel="0" collapsed="false">
      <c r="A11" s="118"/>
      <c r="B11" s="118"/>
      <c r="C11" s="119"/>
      <c r="D11" s="119"/>
      <c r="E11" s="119"/>
      <c r="F11" s="119"/>
      <c r="G11" s="119"/>
      <c r="H11" s="79"/>
      <c r="I11" s="120"/>
      <c r="J11" s="41"/>
    </row>
    <row r="12" customFormat="false" ht="12.75" hidden="false" customHeight="false" outlineLevel="0" collapsed="false">
      <c r="A12" s="82"/>
      <c r="B12" s="82"/>
      <c r="C12" s="82"/>
      <c r="D12" s="82"/>
      <c r="E12" s="82"/>
      <c r="F12" s="82"/>
      <c r="G12" s="82"/>
      <c r="H12" s="82"/>
      <c r="I12" s="82"/>
    </row>
    <row r="13" customFormat="false" ht="15.2" hidden="false" customHeight="true" outlineLevel="0" collapsed="false">
      <c r="A13" s="142" t="s">
        <v>346</v>
      </c>
      <c r="B13" s="142"/>
      <c r="C13" s="142"/>
      <c r="D13" s="142"/>
      <c r="E13" s="142"/>
      <c r="F13" s="143"/>
      <c r="G13" s="143"/>
      <c r="H13" s="143"/>
      <c r="I13" s="143"/>
    </row>
    <row r="14" customFormat="false" ht="12.75" hidden="false" customHeight="false" outlineLevel="0" collapsed="false">
      <c r="A14" s="144" t="s">
        <v>347</v>
      </c>
      <c r="B14" s="144"/>
      <c r="C14" s="144"/>
      <c r="D14" s="144"/>
      <c r="E14" s="144"/>
      <c r="F14" s="145" t="s">
        <v>348</v>
      </c>
      <c r="G14" s="145" t="s">
        <v>251</v>
      </c>
      <c r="H14" s="145" t="s">
        <v>349</v>
      </c>
      <c r="I14" s="145" t="s">
        <v>348</v>
      </c>
      <c r="J14" s="59"/>
    </row>
    <row r="15" customFormat="false" ht="12.75" hidden="false" customHeight="false" outlineLevel="0" collapsed="false">
      <c r="A15" s="146" t="s">
        <v>314</v>
      </c>
      <c r="B15" s="146"/>
      <c r="C15" s="146"/>
      <c r="D15" s="146"/>
      <c r="E15" s="146"/>
      <c r="F15" s="147" t="n">
        <v>0</v>
      </c>
      <c r="G15" s="146"/>
      <c r="H15" s="146"/>
      <c r="I15" s="147" t="n">
        <f aca="false">F15</f>
        <v>0</v>
      </c>
      <c r="J15" s="41"/>
    </row>
    <row r="16" customFormat="false" ht="12.75" hidden="false" customHeight="false" outlineLevel="0" collapsed="false">
      <c r="A16" s="146" t="s">
        <v>316</v>
      </c>
      <c r="B16" s="146"/>
      <c r="C16" s="146"/>
      <c r="D16" s="146"/>
      <c r="E16" s="146"/>
      <c r="F16" s="147" t="n">
        <v>0</v>
      </c>
      <c r="G16" s="146"/>
      <c r="H16" s="146"/>
      <c r="I16" s="147" t="n">
        <f aca="false">F16</f>
        <v>0</v>
      </c>
      <c r="J16" s="41"/>
    </row>
    <row r="17" customFormat="false" ht="12.75" hidden="false" customHeight="false" outlineLevel="0" collapsed="false">
      <c r="A17" s="148" t="s">
        <v>319</v>
      </c>
      <c r="B17" s="148"/>
      <c r="C17" s="148"/>
      <c r="D17" s="148"/>
      <c r="E17" s="148"/>
      <c r="F17" s="149" t="n">
        <v>0</v>
      </c>
      <c r="G17" s="148"/>
      <c r="H17" s="148"/>
      <c r="I17" s="149" t="n">
        <f aca="false">F17</f>
        <v>0</v>
      </c>
      <c r="J17" s="41"/>
    </row>
    <row r="18" customFormat="false" ht="12.75" hidden="false" customHeight="false" outlineLevel="0" collapsed="false">
      <c r="A18" s="86" t="s">
        <v>350</v>
      </c>
      <c r="B18" s="86"/>
      <c r="C18" s="86"/>
      <c r="D18" s="86"/>
      <c r="E18" s="86"/>
      <c r="F18" s="86"/>
      <c r="G18" s="150"/>
      <c r="H18" s="150"/>
      <c r="I18" s="151" t="n">
        <f aca="false">SUM(I15:I17)</f>
        <v>0</v>
      </c>
      <c r="J18" s="59"/>
    </row>
    <row r="19" customFormat="false" ht="12.75" hidden="false" customHeight="false" outlineLevel="0" collapsed="false">
      <c r="A19" s="152"/>
      <c r="B19" s="152"/>
      <c r="C19" s="152"/>
      <c r="D19" s="152"/>
      <c r="E19" s="152"/>
      <c r="F19" s="152"/>
      <c r="G19" s="152"/>
      <c r="H19" s="152"/>
      <c r="I19" s="152"/>
    </row>
    <row r="20" customFormat="false" ht="12.75" hidden="false" customHeight="false" outlineLevel="0" collapsed="false">
      <c r="A20" s="144" t="s">
        <v>311</v>
      </c>
      <c r="B20" s="144"/>
      <c r="C20" s="144"/>
      <c r="D20" s="144"/>
      <c r="E20" s="144"/>
      <c r="F20" s="145" t="s">
        <v>348</v>
      </c>
      <c r="G20" s="145" t="s">
        <v>251</v>
      </c>
      <c r="H20" s="145" t="s">
        <v>349</v>
      </c>
      <c r="I20" s="145" t="s">
        <v>348</v>
      </c>
      <c r="J20" s="59"/>
    </row>
    <row r="21" customFormat="false" ht="12.75" hidden="false" customHeight="false" outlineLevel="0" collapsed="false">
      <c r="A21" s="146" t="s">
        <v>315</v>
      </c>
      <c r="B21" s="146"/>
      <c r="C21" s="146"/>
      <c r="D21" s="146"/>
      <c r="E21" s="146"/>
      <c r="F21" s="147" t="n">
        <v>0</v>
      </c>
      <c r="G21" s="146"/>
      <c r="H21" s="146"/>
      <c r="I21" s="147" t="n">
        <f aca="false">F21</f>
        <v>0</v>
      </c>
      <c r="J21" s="41"/>
    </row>
    <row r="22" customFormat="false" ht="12.75" hidden="false" customHeight="false" outlineLevel="0" collapsed="false">
      <c r="A22" s="146" t="s">
        <v>317</v>
      </c>
      <c r="B22" s="146"/>
      <c r="C22" s="146"/>
      <c r="D22" s="146"/>
      <c r="E22" s="146"/>
      <c r="F22" s="147" t="n">
        <v>0</v>
      </c>
      <c r="G22" s="146"/>
      <c r="H22" s="146"/>
      <c r="I22" s="147" t="n">
        <f aca="false">F22</f>
        <v>0</v>
      </c>
      <c r="J22" s="41"/>
    </row>
    <row r="23" customFormat="false" ht="12.75" hidden="false" customHeight="false" outlineLevel="0" collapsed="false">
      <c r="A23" s="146" t="s">
        <v>320</v>
      </c>
      <c r="B23" s="146"/>
      <c r="C23" s="146"/>
      <c r="D23" s="146"/>
      <c r="E23" s="146"/>
      <c r="F23" s="147" t="n">
        <v>0</v>
      </c>
      <c r="G23" s="146"/>
      <c r="H23" s="146"/>
      <c r="I23" s="147" t="n">
        <f aca="false">F23</f>
        <v>0</v>
      </c>
      <c r="J23" s="41"/>
    </row>
    <row r="24" customFormat="false" ht="12.75" hidden="false" customHeight="false" outlineLevel="0" collapsed="false">
      <c r="A24" s="146" t="s">
        <v>321</v>
      </c>
      <c r="B24" s="146"/>
      <c r="C24" s="146"/>
      <c r="D24" s="146"/>
      <c r="E24" s="146"/>
      <c r="F24" s="147" t="n">
        <v>0</v>
      </c>
      <c r="G24" s="146"/>
      <c r="H24" s="146"/>
      <c r="I24" s="147" t="n">
        <f aca="false">F24</f>
        <v>0</v>
      </c>
      <c r="J24" s="41"/>
    </row>
    <row r="25" customFormat="false" ht="12.75" hidden="false" customHeight="false" outlineLevel="0" collapsed="false">
      <c r="A25" s="146" t="s">
        <v>323</v>
      </c>
      <c r="B25" s="146"/>
      <c r="C25" s="146"/>
      <c r="D25" s="146"/>
      <c r="E25" s="146"/>
      <c r="F25" s="147" t="n">
        <v>0</v>
      </c>
      <c r="G25" s="146"/>
      <c r="H25" s="146"/>
      <c r="I25" s="147" t="n">
        <f aca="false">F25</f>
        <v>0</v>
      </c>
      <c r="J25" s="41"/>
    </row>
    <row r="26" customFormat="false" ht="12.75" hidden="false" customHeight="false" outlineLevel="0" collapsed="false">
      <c r="A26" s="148" t="s">
        <v>324</v>
      </c>
      <c r="B26" s="148"/>
      <c r="C26" s="148"/>
      <c r="D26" s="148"/>
      <c r="E26" s="148"/>
      <c r="F26" s="149" t="n">
        <v>0</v>
      </c>
      <c r="G26" s="148"/>
      <c r="H26" s="148"/>
      <c r="I26" s="149" t="n">
        <f aca="false">F26</f>
        <v>0</v>
      </c>
      <c r="J26" s="41"/>
    </row>
    <row r="27" customFormat="false" ht="12.75" hidden="false" customHeight="false" outlineLevel="0" collapsed="false">
      <c r="A27" s="86" t="s">
        <v>351</v>
      </c>
      <c r="B27" s="86"/>
      <c r="C27" s="86"/>
      <c r="D27" s="86"/>
      <c r="E27" s="86"/>
      <c r="F27" s="86"/>
      <c r="G27" s="150"/>
      <c r="H27" s="150"/>
      <c r="I27" s="151" t="n">
        <f aca="false">SUM(I21:I26)</f>
        <v>0</v>
      </c>
      <c r="J27" s="59"/>
    </row>
    <row r="28" customFormat="false" ht="12.75" hidden="false" customHeight="false" outlineLevel="0" collapsed="false">
      <c r="A28" s="152"/>
      <c r="B28" s="152"/>
      <c r="C28" s="152"/>
      <c r="D28" s="152"/>
      <c r="E28" s="152"/>
      <c r="F28" s="152"/>
      <c r="G28" s="152"/>
      <c r="H28" s="152"/>
      <c r="I28" s="152"/>
    </row>
    <row r="29" customFormat="false" ht="15.2" hidden="false" customHeight="true" outlineLevel="0" collapsed="false">
      <c r="A29" s="153" t="s">
        <v>352</v>
      </c>
      <c r="B29" s="153"/>
      <c r="C29" s="153"/>
      <c r="D29" s="153"/>
      <c r="E29" s="153"/>
      <c r="F29" s="154" t="n">
        <f aca="false">I18+I27</f>
        <v>0</v>
      </c>
      <c r="G29" s="154"/>
      <c r="H29" s="154"/>
      <c r="I29" s="154"/>
      <c r="J29" s="59"/>
    </row>
    <row r="30" customFormat="false" ht="12.75" hidden="false" customHeight="false" outlineLevel="0" collapsed="false">
      <c r="A30" s="100"/>
      <c r="B30" s="100"/>
      <c r="C30" s="100"/>
      <c r="D30" s="100"/>
      <c r="E30" s="100"/>
      <c r="F30" s="100"/>
      <c r="G30" s="100"/>
      <c r="H30" s="100"/>
      <c r="I30" s="100"/>
    </row>
    <row r="33" customFormat="false" ht="15.2" hidden="false" customHeight="true" outlineLevel="0" collapsed="false">
      <c r="A33" s="142" t="s">
        <v>353</v>
      </c>
      <c r="B33" s="142"/>
      <c r="C33" s="142"/>
      <c r="D33" s="142"/>
      <c r="E33" s="142"/>
      <c r="F33" s="143"/>
      <c r="G33" s="143"/>
      <c r="H33" s="143"/>
      <c r="I33" s="143"/>
    </row>
    <row r="34" customFormat="false" ht="12.75" hidden="false" customHeight="false" outlineLevel="0" collapsed="false">
      <c r="A34" s="144" t="s">
        <v>354</v>
      </c>
      <c r="B34" s="144"/>
      <c r="C34" s="144"/>
      <c r="D34" s="144"/>
      <c r="E34" s="144"/>
      <c r="F34" s="145" t="s">
        <v>348</v>
      </c>
      <c r="G34" s="145" t="s">
        <v>251</v>
      </c>
      <c r="H34" s="145" t="s">
        <v>349</v>
      </c>
      <c r="I34" s="145" t="s">
        <v>348</v>
      </c>
      <c r="J34" s="59"/>
    </row>
    <row r="35" customFormat="false" ht="12.75" hidden="false" customHeight="false" outlineLevel="0" collapsed="false">
      <c r="A35" s="148"/>
      <c r="B35" s="148"/>
      <c r="C35" s="148"/>
      <c r="D35" s="148"/>
      <c r="E35" s="148"/>
      <c r="F35" s="149" t="n">
        <v>0</v>
      </c>
      <c r="G35" s="148"/>
      <c r="H35" s="148"/>
      <c r="I35" s="149" t="n">
        <f aca="false">F35</f>
        <v>0</v>
      </c>
      <c r="J35" s="41"/>
    </row>
    <row r="36" customFormat="false" ht="12.75" hidden="false" customHeight="true" outlineLevel="0" collapsed="false">
      <c r="A36" s="86" t="s">
        <v>355</v>
      </c>
      <c r="B36" s="86"/>
      <c r="C36" s="86"/>
      <c r="D36" s="86"/>
      <c r="E36" s="86"/>
      <c r="F36" s="86"/>
      <c r="G36" s="150"/>
      <c r="H36" s="150"/>
      <c r="I36" s="151" t="n">
        <f aca="false">SUM(I35:I35)</f>
        <v>0</v>
      </c>
      <c r="J36" s="59"/>
    </row>
    <row r="37" customFormat="false" ht="12.75" hidden="false" customHeight="false" outlineLevel="0" collapsed="false">
      <c r="A37" s="100"/>
      <c r="B37" s="100"/>
      <c r="C37" s="100"/>
      <c r="D37" s="100"/>
      <c r="E37" s="100"/>
      <c r="F37" s="100"/>
      <c r="G37" s="100"/>
      <c r="H37" s="100"/>
      <c r="I37" s="100"/>
    </row>
  </sheetData>
  <mergeCells count="51"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6:I7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10:I11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1416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dcterms:modified xsi:type="dcterms:W3CDTF">2023-06-13T18:43:44Z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