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500" activeTab="0"/>
  </bookViews>
  <sheets>
    <sheet name="Stavební rozpočet" sheetId="1" r:id="rId1"/>
    <sheet name="Výkaz výměr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<sst xmlns="http://schemas.openxmlformats.org/spreadsheetml/2006/main" count="1176" uniqueCount="448">
  <si>
    <t>Slepý stavební rozpočet</t>
  </si>
  <si>
    <t>Název stavby:</t>
  </si>
  <si>
    <t>Odvlhčení a sanace 1.PP objektu DD ŠD Kralupy n.Vlt.</t>
  </si>
  <si>
    <t>Doba výstavby:</t>
  </si>
  <si>
    <t xml:space="preserve"> </t>
  </si>
  <si>
    <t>Objednatel:</t>
  </si>
  <si>
    <t> </t>
  </si>
  <si>
    <t>Druh stavby:</t>
  </si>
  <si>
    <t>Začátek výstavby:</t>
  </si>
  <si>
    <t>11.05.2023</t>
  </si>
  <si>
    <t>Projektant:</t>
  </si>
  <si>
    <t>Lokalita:</t>
  </si>
  <si>
    <t>U Sociálního domu 438, 278 01 Kralupy nad Vltavou</t>
  </si>
  <si>
    <t>Konec výstavby:</t>
  </si>
  <si>
    <t>Zhotovitel:</t>
  </si>
  <si>
    <t>JKSO:</t>
  </si>
  <si>
    <t>Zpracováno dne:</t>
  </si>
  <si>
    <t>Zpracoval:</t>
  </si>
  <si>
    <t>Ing.Petr Listík</t>
  </si>
  <si>
    <t>Č</t>
  </si>
  <si>
    <t>Kód</t>
  </si>
  <si>
    <t>Zkrácený popis / Varianta</t>
  </si>
  <si>
    <t>MJ</t>
  </si>
  <si>
    <t>Množství</t>
  </si>
  <si>
    <t>Cena/MJ</t>
  </si>
  <si>
    <t>Náklady (Kč)</t>
  </si>
  <si>
    <t>Cenová</t>
  </si>
  <si>
    <t>ISWORK</t>
  </si>
  <si>
    <t>GROUPCODE</t>
  </si>
  <si>
    <t>Rozměry</t>
  </si>
  <si>
    <t>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</si>
  <si>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</si>
  <si>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</si>
  <si>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</si>
  <si>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</si>
  <si>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</si>
  <si>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</si>
  <si>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</si>
  <si>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</si>
  <si>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</si>
  <si>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</si>
  <si>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</si>
  <si>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</si>
  <si>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</si>
  <si>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</si>
  <si>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</si>
  <si>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</si>
  <si>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13</t>
  </si>
  <si>
    <t>Hloubené vykopávky</t>
  </si>
  <si>
    <t>1</t>
  </si>
  <si>
    <t>132102521R00</t>
  </si>
  <si>
    <t>Hloubení rýh š. 60-200 cm vedle suterení zdi v hor.2</t>
  </si>
  <si>
    <t>m3</t>
  </si>
  <si>
    <t>RTS I / 2021</t>
  </si>
  <si>
    <t>13_</t>
  </si>
  <si>
    <t>1_</t>
  </si>
  <si>
    <t>_</t>
  </si>
  <si>
    <t>P</t>
  </si>
  <si>
    <t>2</t>
  </si>
  <si>
    <t>132101110R00</t>
  </si>
  <si>
    <t>Hloubení rýh š.do 60 cm v hor.2 do 50 m3, STROJNĚ</t>
  </si>
  <si>
    <t>3</t>
  </si>
  <si>
    <t>131101110R00</t>
  </si>
  <si>
    <t>Hloubení nezapaž. jam hor.2 do 50 m3, STROJNĚ</t>
  </si>
  <si>
    <t>16</t>
  </si>
  <si>
    <t>Přemístění výkopku</t>
  </si>
  <si>
    <t>4</t>
  </si>
  <si>
    <t>161101101R00</t>
  </si>
  <si>
    <t>Svislé přemístění výkopku z hor.1-4 do 2,5 m</t>
  </si>
  <si>
    <t>16_</t>
  </si>
  <si>
    <t>5</t>
  </si>
  <si>
    <t>162701105RT3</t>
  </si>
  <si>
    <t>Vodorovné přemístění výkopku z hor.1-4 do 10000 m</t>
  </si>
  <si>
    <t>Varianta:</t>
  </si>
  <si>
    <t>nosnost 12 t</t>
  </si>
  <si>
    <t>6</t>
  </si>
  <si>
    <t>162201102R00</t>
  </si>
  <si>
    <t>Vodorovné přemístění výkopku z hor.1-4 do 50 m</t>
  </si>
  <si>
    <t>17</t>
  </si>
  <si>
    <t>Konstrukce ze zemin</t>
  </si>
  <si>
    <t>7</t>
  </si>
  <si>
    <t>172102101R00</t>
  </si>
  <si>
    <t>Zřízení těsnící výplně se zhutněním do 100% PS</t>
  </si>
  <si>
    <t>17_</t>
  </si>
  <si>
    <t>těsnící jílová vrstva min.tl.150 mm</t>
  </si>
  <si>
    <t>8</t>
  </si>
  <si>
    <t>174101102R00</t>
  </si>
  <si>
    <t>Zásyp ruční se zhutněním</t>
  </si>
  <si>
    <t>9</t>
  </si>
  <si>
    <t>175101101RT2</t>
  </si>
  <si>
    <t>Obsyp potrubí bez prohození sypaniny</t>
  </si>
  <si>
    <t>s dodáním štěrkopísku frakce 16 - 32 mm</t>
  </si>
  <si>
    <t>27</t>
  </si>
  <si>
    <t>Základy</t>
  </si>
  <si>
    <t>10</t>
  </si>
  <si>
    <t>273321321R00</t>
  </si>
  <si>
    <t>Železobeton základových desek C 20/25</t>
  </si>
  <si>
    <t>27_</t>
  </si>
  <si>
    <t>2_</t>
  </si>
  <si>
    <t>11</t>
  </si>
  <si>
    <t>273361921RT9</t>
  </si>
  <si>
    <t>Výztuž základových desek ze svařovaných sítí</t>
  </si>
  <si>
    <t>t</t>
  </si>
  <si>
    <t>průměr drátu  8,0, oka 150/150 mm KY80</t>
  </si>
  <si>
    <t>12</t>
  </si>
  <si>
    <t>273313511R00</t>
  </si>
  <si>
    <t>Beton základových desek prostý C 12/15</t>
  </si>
  <si>
    <t>podkladní beton s korýtkem tl.150-200 mm</t>
  </si>
  <si>
    <t>45</t>
  </si>
  <si>
    <t>Podkladní a vedlejší konstrukce (kromě vozovek a železničního svršku)</t>
  </si>
  <si>
    <t>451313511R00</t>
  </si>
  <si>
    <t>Podklad betonový pod dlažbu tl. do 100 mm - vláknobeton</t>
  </si>
  <si>
    <t>m2</t>
  </si>
  <si>
    <t>45_</t>
  </si>
  <si>
    <t>4_</t>
  </si>
  <si>
    <t>56</t>
  </si>
  <si>
    <t>Podkladní vrstvy komunikací, letišť a ploch</t>
  </si>
  <si>
    <t>14</t>
  </si>
  <si>
    <t>564851111R00</t>
  </si>
  <si>
    <t>Podklad ze štěrkodrti po zhutnění tloušťky 15 cm</t>
  </si>
  <si>
    <t>56_</t>
  </si>
  <si>
    <t>5_</t>
  </si>
  <si>
    <t>59</t>
  </si>
  <si>
    <t>Kryty pozemních komunikací, letišť a ploch dlážděných (předlažby)</t>
  </si>
  <si>
    <t>15</t>
  </si>
  <si>
    <t>596811111RT5</t>
  </si>
  <si>
    <t>Kladení dlaždic kom.pro pěší, lože z kameniva těž.</t>
  </si>
  <si>
    <t>59_</t>
  </si>
  <si>
    <t>včetně dlaždic betonových HBB 50/50/6 cm</t>
  </si>
  <si>
    <t>60</t>
  </si>
  <si>
    <t>Omítky ze suchých směsí</t>
  </si>
  <si>
    <t>602016201R00</t>
  </si>
  <si>
    <t>Postřik sanační stěn cementový proti solím S05</t>
  </si>
  <si>
    <t>60_</t>
  </si>
  <si>
    <t>6_</t>
  </si>
  <si>
    <t>61</t>
  </si>
  <si>
    <t>Úprava povrchů vnitřní</t>
  </si>
  <si>
    <t>619450163R00</t>
  </si>
  <si>
    <t>Tlaková injektáž silikonové mikroemulze v rozteči vrtů 100-150 mm S02</t>
  </si>
  <si>
    <t>61_</t>
  </si>
  <si>
    <t>18</t>
  </si>
  <si>
    <t>612433311RT1</t>
  </si>
  <si>
    <t>Omítka sanační vnitřní, vysoké zasolení, tl.30 mm S05</t>
  </si>
  <si>
    <t>penetrace podkladu, podhoz, omítka jádrová; štuk</t>
  </si>
  <si>
    <t>62</t>
  </si>
  <si>
    <t>Úprava povrchů vnější</t>
  </si>
  <si>
    <t>19</t>
  </si>
  <si>
    <t>622451122R00</t>
  </si>
  <si>
    <t>Omítka vnější stěn, MC, hrubá zatřená S03</t>
  </si>
  <si>
    <t>62_</t>
  </si>
  <si>
    <t>711</t>
  </si>
  <si>
    <t>Izolace proti vodě</t>
  </si>
  <si>
    <t>20</t>
  </si>
  <si>
    <t>711111001RZ2</t>
  </si>
  <si>
    <t>Izolace proti vlhkosti vodor. nátěr ALP za studena</t>
  </si>
  <si>
    <t>711_</t>
  </si>
  <si>
    <t>71_</t>
  </si>
  <si>
    <t>1x nátěr - včetně dodávky penetračního laku ALP-M</t>
  </si>
  <si>
    <t>21</t>
  </si>
  <si>
    <t>711141559RT1</t>
  </si>
  <si>
    <t>Izolace proti vlhk. vodorovná pásy přitavením</t>
  </si>
  <si>
    <t>1 vrstva - materiál ve specifikaci</t>
  </si>
  <si>
    <t>22</t>
  </si>
  <si>
    <t>711212129R00</t>
  </si>
  <si>
    <t>Plošná hydroizol.obvodového zdiva 1.PP z výkopu nástřikem asf.izolace S03</t>
  </si>
  <si>
    <t>23</t>
  </si>
  <si>
    <t>711212321R00</t>
  </si>
  <si>
    <t>Plošná hydroizolace obvodového zdiva 1.PP z vnější strany provedená z interieru injektáží S04</t>
  </si>
  <si>
    <t>24</t>
  </si>
  <si>
    <t>711191272RT2</t>
  </si>
  <si>
    <t>Izolace proti zem.vlhkosti,ochran.textilie,svislá</t>
  </si>
  <si>
    <t>včetně dodávky textílie Netex A PP/300, 300 g/m2</t>
  </si>
  <si>
    <t>721</t>
  </si>
  <si>
    <t>Vnitřní kanalizace</t>
  </si>
  <si>
    <t>25</t>
  </si>
  <si>
    <t>721176224R00</t>
  </si>
  <si>
    <t>Potrubí KG svodné (ležaté) v zemi D 160 x 4,0 mm</t>
  </si>
  <si>
    <t>m</t>
  </si>
  <si>
    <t>721_</t>
  </si>
  <si>
    <t>72_</t>
  </si>
  <si>
    <t>26</t>
  </si>
  <si>
    <t>721176225R00</t>
  </si>
  <si>
    <t>Potrubí KG svodné (ležaté) v zemi D 200 x 4,9 mm</t>
  </si>
  <si>
    <t>728</t>
  </si>
  <si>
    <t>Vzduchotechnika</t>
  </si>
  <si>
    <t>728611213R00</t>
  </si>
  <si>
    <t>Mtž ventilátoru radiál.nízkotl.potrub.do d 300 mm reverzní větrací jednotka S06</t>
  </si>
  <si>
    <t>kus</t>
  </si>
  <si>
    <t>728_</t>
  </si>
  <si>
    <t>28</t>
  </si>
  <si>
    <t>728415123R00</t>
  </si>
  <si>
    <t>Montáž mřížky větrací nebo ventilační do d 300 mm</t>
  </si>
  <si>
    <t>29</t>
  </si>
  <si>
    <t>728112112R00</t>
  </si>
  <si>
    <t>Montáž potrubí plechového kruhového do d 200 mm</t>
  </si>
  <si>
    <t>771</t>
  </si>
  <si>
    <t>Podlahy z dlaždic</t>
  </si>
  <si>
    <t>30</t>
  </si>
  <si>
    <t>771101210RT1</t>
  </si>
  <si>
    <t>Penetrace podkladu pod dlažby</t>
  </si>
  <si>
    <t>771_</t>
  </si>
  <si>
    <t>77_</t>
  </si>
  <si>
    <t>penetrační nátěr Primer G</t>
  </si>
  <si>
    <t>31</t>
  </si>
  <si>
    <t>771212112R00</t>
  </si>
  <si>
    <t>Kladení dlažby keramické do TM, vel. do 200x200 mm</t>
  </si>
  <si>
    <t>784</t>
  </si>
  <si>
    <t>Malby</t>
  </si>
  <si>
    <t>32</t>
  </si>
  <si>
    <t>784422271R00</t>
  </si>
  <si>
    <t>Malba vápenná 2x, pačok 2x,1barva, místn. do 3,8 m</t>
  </si>
  <si>
    <t>784_</t>
  </si>
  <si>
    <t>78_</t>
  </si>
  <si>
    <t>malba odpovídající parametrům prodyšnosti sanační omítky</t>
  </si>
  <si>
    <t>87</t>
  </si>
  <si>
    <t>Potrubí z trub plastických, skleněných a čedičových</t>
  </si>
  <si>
    <t>33</t>
  </si>
  <si>
    <t>871318111R00</t>
  </si>
  <si>
    <t>Kladení drenážního potrubí z plastických hmot DN 125 mm</t>
  </si>
  <si>
    <t>87_</t>
  </si>
  <si>
    <t>8_</t>
  </si>
  <si>
    <t>34</t>
  </si>
  <si>
    <t>871311111R00</t>
  </si>
  <si>
    <t>Montáž trubek z tvrdého PVC ve výkopu DN 150 mm</t>
  </si>
  <si>
    <t>35</t>
  </si>
  <si>
    <t>871351111R00</t>
  </si>
  <si>
    <t>Montáž trubek z tvrdého PVC ve výkopu DN 200 mm</t>
  </si>
  <si>
    <t>89</t>
  </si>
  <si>
    <t>Ostatní konstrukce a práce na trubním vedení</t>
  </si>
  <si>
    <t>36</t>
  </si>
  <si>
    <t>893151111R00</t>
  </si>
  <si>
    <t>Montáž šachty revizní plastové kruhové</t>
  </si>
  <si>
    <t>89_</t>
  </si>
  <si>
    <t>96</t>
  </si>
  <si>
    <t>Bourání konstrukcí</t>
  </si>
  <si>
    <t>37</t>
  </si>
  <si>
    <t>965042141RT4</t>
  </si>
  <si>
    <t>Bourání mazanin betonových tl. 10 cm, nad 4 m2</t>
  </si>
  <si>
    <t>96_</t>
  </si>
  <si>
    <t>9_</t>
  </si>
  <si>
    <t>pneumat. kladivo, tl. mazaniny 8 - 10 cm</t>
  </si>
  <si>
    <t>38</t>
  </si>
  <si>
    <t>960111221R00</t>
  </si>
  <si>
    <t>Bourání konstrukcí z dílců prefa. betonových a ŽB - odvodňovací žlab</t>
  </si>
  <si>
    <t>39</t>
  </si>
  <si>
    <t>960321271R00</t>
  </si>
  <si>
    <t>Bourání konstrukcí ze železobetonu - stávající jímka</t>
  </si>
  <si>
    <t>40</t>
  </si>
  <si>
    <t>965081923R00</t>
  </si>
  <si>
    <t>Bourání dlažeb beton.,čedič.tl.40 mm, pl.nad 1 m2</t>
  </si>
  <si>
    <t>97</t>
  </si>
  <si>
    <t>Prorážení otvorů a ostatní bourací práce</t>
  </si>
  <si>
    <t>41</t>
  </si>
  <si>
    <t>978021191R00</t>
  </si>
  <si>
    <t>Otlučení cementových omítek vnitřních stěn do 100%</t>
  </si>
  <si>
    <t>97_</t>
  </si>
  <si>
    <t>42</t>
  </si>
  <si>
    <t>971033351R00</t>
  </si>
  <si>
    <t>Vybourání otv. zeď cihel. pl.0,09 m2, tl.45cm, MVC</t>
  </si>
  <si>
    <t>43</t>
  </si>
  <si>
    <t>971033361R00</t>
  </si>
  <si>
    <t>Vybourání otv. zeď cihel. pl.0,09 m2, tl.60cm, MVC</t>
  </si>
  <si>
    <t>M23</t>
  </si>
  <si>
    <t>Montáže potrubí</t>
  </si>
  <si>
    <t>44</t>
  </si>
  <si>
    <t>230060002R00</t>
  </si>
  <si>
    <t>Montáž železobetonové nádrže do 10 m3</t>
  </si>
  <si>
    <t>M23_</t>
  </si>
  <si>
    <t>899000002RA0</t>
  </si>
  <si>
    <t>Jímka dešťová železobetonová 250x200x160 cm</t>
  </si>
  <si>
    <t>m3 OP</t>
  </si>
  <si>
    <t>Ostatní materiál</t>
  </si>
  <si>
    <t>46</t>
  </si>
  <si>
    <t>62856000</t>
  </si>
  <si>
    <t>Pás asfalt. modifikovaný  Radonelast</t>
  </si>
  <si>
    <t>0</t>
  </si>
  <si>
    <t>Z99999_</t>
  </si>
  <si>
    <t>Z_</t>
  </si>
  <si>
    <t>M</t>
  </si>
  <si>
    <t>47</t>
  </si>
  <si>
    <t>429117810</t>
  </si>
  <si>
    <t>Větrací jednotka reverzní do DN 200 mm</t>
  </si>
  <si>
    <t>48</t>
  </si>
  <si>
    <t>42972762</t>
  </si>
  <si>
    <t>Mřížka nerezová kruhová pr.200.30, do zdi</t>
  </si>
  <si>
    <t>49</t>
  </si>
  <si>
    <t>42981186</t>
  </si>
  <si>
    <t>Spiro roura hladká d 200, délka 1 m</t>
  </si>
  <si>
    <t>50</t>
  </si>
  <si>
    <t>28611055</t>
  </si>
  <si>
    <t>Trubka drenážní PVC DN 125</t>
  </si>
  <si>
    <t>51</t>
  </si>
  <si>
    <t>28695824</t>
  </si>
  <si>
    <t>Šachta DN 400/200mm dno sběrné, D400</t>
  </si>
  <si>
    <t>VORN - Vedlejší a ostatní rozpočtové náklady</t>
  </si>
  <si>
    <t>02VRN</t>
  </si>
  <si>
    <t>Příprava staveniště</t>
  </si>
  <si>
    <t>52</t>
  </si>
  <si>
    <t>020001VRN</t>
  </si>
  <si>
    <t>Soubor</t>
  </si>
  <si>
    <t>99</t>
  </si>
  <si>
    <t>02VRN_</t>
  </si>
  <si>
    <t> _</t>
  </si>
  <si>
    <t>Celkem:</t>
  </si>
  <si>
    <t>Poznámka:</t>
  </si>
  <si>
    <t>Výkaz výměr</t>
  </si>
  <si>
    <t>Objekt</t>
  </si>
  <si>
    <t>Potřebné množství</t>
  </si>
  <si>
    <t>0,6*1,2*2</t>
  </si>
  <si>
    <t>dešťová kanalizace DN 150</t>
  </si>
  <si>
    <t>0,6*1,4*20</t>
  </si>
  <si>
    <t>dešťová kanalizace DN 200</t>
  </si>
  <si>
    <t>3*3*2</t>
  </si>
  <si>
    <t>dešťová kanalizace, jímací nádrž</t>
  </si>
  <si>
    <t>1,8*(1,1+0,6)*0,5*(4+3,8)</t>
  </si>
  <si>
    <t>západní strana</t>
  </si>
  <si>
    <t>1,8*(1,1+0,6)*0,5*(6+2+0,3)</t>
  </si>
  <si>
    <t>jižní strana</t>
  </si>
  <si>
    <t>-(0,6+0,9)*0,5*0,9*(6,24+1+1,42+5,615+3,6)</t>
  </si>
  <si>
    <t>zásyp S03</t>
  </si>
  <si>
    <t>0,6*0,6*22</t>
  </si>
  <si>
    <t>potrubí dešťová kanalizace</t>
  </si>
  <si>
    <t>2,5*2*1,8</t>
  </si>
  <si>
    <t>jímka na dešťovou vodu</t>
  </si>
  <si>
    <t>0,9*(6,24+1+1,42+5,615+3,6)*0,15</t>
  </si>
  <si>
    <t>sanační opatření S03</t>
  </si>
  <si>
    <t>(0,6+0,9)*0,5*0,9*(6,24+1+1,42+5,615+3,6)</t>
  </si>
  <si>
    <t>0,95*0,0,1*(6,24+1+1,42+5,615+3,6)</t>
  </si>
  <si>
    <t>sanační opatření S03, hutněný vyrovnávací zásyp</t>
  </si>
  <si>
    <t>0,6*0,6*2+0,6*0,8*20</t>
  </si>
  <si>
    <t>vedení dešťové kanalizace</t>
  </si>
  <si>
    <t>18-2,5*2*1,8</t>
  </si>
  <si>
    <t>obsyp sběrné jímky</t>
  </si>
  <si>
    <t>0,95*0,3*(6,24+1+1,42+5,615+3,6)</t>
  </si>
  <si>
    <t>potrubí dešťové kanalizace</t>
  </si>
  <si>
    <t>(9+2,5+2,7+4,4+14,9+11,95+10,3)*0,15</t>
  </si>
  <si>
    <t>podkladní beton tl.150 mm</t>
  </si>
  <si>
    <t>(9+2,5+2,7+4,4+14,9+11,95+10,3)*0,0054*1,1</t>
  </si>
  <si>
    <t>0,9*(6,24+1+1,42+5,615+3,6)*0,175</t>
  </si>
  <si>
    <t>1,1*(6,24+1+1,42+5,6+3,6)</t>
  </si>
  <si>
    <t>ŠD 8-16 mm tl.120-150 mm</t>
  </si>
  <si>
    <t>sanační opatření S05, vyškrabání spár</t>
  </si>
  <si>
    <t>2,05*(2,085+3,5+0,5+0,6*2+0,75+4,3)</t>
  </si>
  <si>
    <t>m.č.0.01</t>
  </si>
  <si>
    <t>m.č.0.02</t>
  </si>
  <si>
    <t>m.č.0.03</t>
  </si>
  <si>
    <t>0,45*4,9+0,6*(2,4+2,4)</t>
  </si>
  <si>
    <t>sanační opatření S02 m.č.0.07</t>
  </si>
  <si>
    <t>0,6*(1,21+3,28)+0,395*1,1+0,6*0,75</t>
  </si>
  <si>
    <t>sanační opatření S02 m.č.0.05</t>
  </si>
  <si>
    <t>0,32*2+0,38*5+0,6*(1,38+1+1,42+3,8)</t>
  </si>
  <si>
    <t>sanační opatření S02 m.č.0.06</t>
  </si>
  <si>
    <t>0,6*1,3*2+0,32*3,5+0,12*4</t>
  </si>
  <si>
    <t>sanační opatření S02 m.č.0.01</t>
  </si>
  <si>
    <t>0,45*3,45+0,3*3,5</t>
  </si>
  <si>
    <t>sanační opatření S02 m.č.0.02</t>
  </si>
  <si>
    <t>0,45*(0,9+3,5)</t>
  </si>
  <si>
    <t>sanační opatření S02 m.č.0.03</t>
  </si>
  <si>
    <t>0,6*(3,9+1,34)+0,33*2,6</t>
  </si>
  <si>
    <t>sanační opatření S02 m.č.0.04</t>
  </si>
  <si>
    <t>sanační opatření S05 včetně vyškrabání spár</t>
  </si>
  <si>
    <t>2,05*(0,5+1,1+2,25+1,1+0,9)-0,8*2-0,7*2-0,83*2</t>
  </si>
  <si>
    <t>2,05*(0,9*2+3*2)-0,7*2</t>
  </si>
  <si>
    <t>2,05*(1,34*2+3,27*2)-0,7*2</t>
  </si>
  <si>
    <t>m.č.0.04</t>
  </si>
  <si>
    <t>2,05*(4,7*2+3,28*2)+0,2*5+0,3*5-0,8*2-0,7*2</t>
  </si>
  <si>
    <t>m.č.0.05</t>
  </si>
  <si>
    <t>2,05*(2,8*2+4,7*2)-0,8*2</t>
  </si>
  <si>
    <t>m.č.0.06</t>
  </si>
  <si>
    <t>2,05*(2,4*2+4,3*2)-0,8*2</t>
  </si>
  <si>
    <t>m.č.0,07</t>
  </si>
  <si>
    <t>2*(6,24+1+1,42+5,615+3,6)</t>
  </si>
  <si>
    <t>sanační opatření S03, očištění stávajícího zdiva, vyrovnání zdiva omítkou</t>
  </si>
  <si>
    <t>(9+2,5+2,7+4,4+14,9+11,95+10,3)</t>
  </si>
  <si>
    <t>m.č.0.01 až 0.07</t>
  </si>
  <si>
    <t>2,1*(4,9+2,4+3,45+3,03+0,9+0,92+3,27+1,67+1,21)</t>
  </si>
  <si>
    <t>sanační opatření S04</t>
  </si>
  <si>
    <t>sanační opatření S03 - ochrana izolace</t>
  </si>
  <si>
    <t>(0,3*2+1*2)*(6,24+1+1,42+5,615+3,6)</t>
  </si>
  <si>
    <t>sanační opatření S03 - drenážní vrstva</t>
  </si>
  <si>
    <t>větrací řízený systém s akumulací tepla v keramické vložce sanační opatření S06</t>
  </si>
  <si>
    <t>4*0,4</t>
  </si>
  <si>
    <t>m.č. 0.01 až 0.07</t>
  </si>
  <si>
    <t>m.č.0.07</t>
  </si>
  <si>
    <t>9+2,5+2,7+4,4+14,9+11,95+10,3</t>
  </si>
  <si>
    <t>stropy</t>
  </si>
  <si>
    <t>1,15*(6,24+1+1,42+5,6+1+3,6)</t>
  </si>
  <si>
    <t>dešťová kanalizace</t>
  </si>
  <si>
    <t>dešťová kanalizace, PVC 400-200/200 mm</t>
  </si>
  <si>
    <t>0,6*(1+0,9+0,8+4,8+0,9+1,1)*0,1</t>
  </si>
  <si>
    <t>betonové žlabovky</t>
  </si>
  <si>
    <t>3,14*1,5*3*0,1</t>
  </si>
  <si>
    <t>železobetonové skruže odpadní jímky</t>
  </si>
  <si>
    <t>(6,24+1+1,42+2,5+3,6)*0,5</t>
  </si>
  <si>
    <t>stávající okapový chodník z betonových dlaždic</t>
  </si>
  <si>
    <t>2,05*(2*2,085+2*4,3)-3*0,8*1,95+0,3*(2+1+2)+0,2*(2+1+2)</t>
  </si>
  <si>
    <t>2,05*(2*0,6+0,9+2*1,1+2,25)-2*0,8*1,95-0,7*1,9</t>
  </si>
  <si>
    <t>2,05*(2*0,9+2*3)-0,7*1,95</t>
  </si>
  <si>
    <t>2,05*(2*1,34+2*3,27)-0,7*1,95</t>
  </si>
  <si>
    <t>2,05*(0,3+0,6+0,75+2*0,25+2,8+3,28+4,7+1,1+0,3+0,75+0,4)</t>
  </si>
  <si>
    <t>2,05*(2,8+4,75+1,38+1+1,42+3,775)-0,8*1,95</t>
  </si>
  <si>
    <t>2,05*(2*2,4+2*4,3)-0,8*1,95</t>
  </si>
  <si>
    <t>jádrové vývrty DN 200mm</t>
  </si>
  <si>
    <t>2,5*2,0*1,6</t>
  </si>
  <si>
    <t>zabezpečení proti vstupu nepovolaných osob</t>
  </si>
  <si>
    <t>Krycí list slepého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</si>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</sst>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6">
    <font>
      <sz val="10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8"/>
      <color indexed="8"/>
      <name val="Arial"/>
      <family val="0"/>
    </font>
    <font>
      <i/>
      <sz val="9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2" fillId="33" borderId="23" xfId="0" applyNumberFormat="1" applyFont="1" applyFill="1" applyBorder="1" applyAlignment="1" applyProtection="1">
      <alignment horizontal="left" vertical="center"/>
      <protection/>
    </xf>
    <xf numFmtId="49" fontId="3" fillId="33" borderId="24" xfId="0" applyNumberFormat="1" applyFont="1" applyFill="1" applyBorder="1" applyAlignment="1" applyProtection="1">
      <alignment horizontal="left" vertical="center"/>
      <protection/>
    </xf>
    <xf numFmtId="49" fontId="2" fillId="33" borderId="24" xfId="0" applyNumberFormat="1" applyFont="1" applyFill="1" applyBorder="1" applyAlignment="1" applyProtection="1">
      <alignment horizontal="left" vertical="center"/>
      <protection/>
    </xf>
    <xf numFmtId="4" fontId="3" fillId="33" borderId="24" xfId="0" applyNumberFormat="1" applyFont="1" applyFill="1" applyBorder="1" applyAlignment="1" applyProtection="1">
      <alignment horizontal="right" vertical="center"/>
      <protection/>
    </xf>
    <xf numFmtId="49" fontId="3" fillId="33" borderId="25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26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26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49" fontId="2" fillId="0" borderId="27" xfId="0" applyNumberFormat="1" applyFont="1" applyFill="1" applyBorder="1" applyAlignment="1" applyProtection="1">
      <alignment horizontal="left" vertical="center"/>
      <protection/>
    </xf>
    <xf numFmtId="49" fontId="2" fillId="0" borderId="28" xfId="0" applyNumberFormat="1" applyFont="1" applyFill="1" applyBorder="1" applyAlignment="1" applyProtection="1">
      <alignment horizontal="left" vertical="center"/>
      <protection/>
    </xf>
    <xf numFmtId="4" fontId="2" fillId="0" borderId="28" xfId="0" applyNumberFormat="1" applyFont="1" applyFill="1" applyBorder="1" applyAlignment="1" applyProtection="1">
      <alignment horizontal="right" vertical="center"/>
      <protection/>
    </xf>
    <xf numFmtId="49" fontId="2" fillId="0" borderId="29" xfId="0" applyNumberFormat="1" applyFont="1" applyFill="1" applyBorder="1" applyAlignment="1" applyProtection="1">
      <alignment horizontal="right" vertical="center"/>
      <protection/>
    </xf>
    <xf numFmtId="0" fontId="2" fillId="0" borderId="30" xfId="0" applyNumberFormat="1" applyFont="1" applyFill="1" applyBorder="1" applyAlignment="1" applyProtection="1">
      <alignment vertical="center"/>
      <protection/>
    </xf>
    <xf numFmtId="4" fontId="3" fillId="0" borderId="3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3" fillId="33" borderId="23" xfId="0" applyNumberFormat="1" applyFont="1" applyFill="1" applyBorder="1" applyAlignment="1" applyProtection="1">
      <alignment horizontal="left" vertical="center"/>
      <protection/>
    </xf>
    <xf numFmtId="49" fontId="3" fillId="33" borderId="24" xfId="0" applyNumberFormat="1" applyFont="1" applyFill="1" applyBorder="1" applyAlignment="1" applyProtection="1">
      <alignment horizontal="right" vertical="center"/>
      <protection/>
    </xf>
    <xf numFmtId="4" fontId="2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6" xfId="0" applyNumberFormat="1" applyFont="1" applyFill="1" applyBorder="1" applyAlignment="1" applyProtection="1">
      <alignment vertical="center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0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NumberFormat="1" applyFont="1" applyFill="1" applyBorder="1" applyAlignment="1" applyProtection="1">
      <alignment vertical="center"/>
      <protection/>
    </xf>
    <xf numFmtId="49" fontId="6" fillId="0" borderId="28" xfId="0" applyNumberFormat="1" applyFont="1" applyFill="1" applyBorder="1" applyAlignment="1" applyProtection="1">
      <alignment horizontal="lef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0" fontId="2" fillId="0" borderId="29" xfId="0" applyNumberFormat="1" applyFont="1" applyFill="1" applyBorder="1" applyAlignment="1" applyProtection="1">
      <alignment vertical="center"/>
      <protection/>
    </xf>
    <xf numFmtId="0" fontId="2" fillId="0" borderId="28" xfId="0" applyNumberFormat="1" applyFont="1" applyFill="1" applyBorder="1" applyAlignment="1" applyProtection="1">
      <alignment/>
      <protection/>
    </xf>
    <xf numFmtId="49" fontId="8" fillId="33" borderId="34" xfId="0" applyNumberFormat="1" applyFont="1" applyFill="1" applyBorder="1" applyAlignment="1" applyProtection="1">
      <alignment horizontal="center" vertical="center"/>
      <protection/>
    </xf>
    <xf numFmtId="49" fontId="10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4" fontId="11" fillId="0" borderId="34" xfId="0" applyNumberFormat="1" applyFont="1" applyFill="1" applyBorder="1" applyAlignment="1" applyProtection="1">
      <alignment horizontal="right" vertical="center"/>
      <protection/>
    </xf>
    <xf numFmtId="49" fontId="11" fillId="0" borderId="34" xfId="0" applyNumberFormat="1" applyFont="1" applyFill="1" applyBorder="1" applyAlignment="1" applyProtection="1">
      <alignment horizontal="right" vertical="center"/>
      <protection/>
    </xf>
    <xf numFmtId="49" fontId="10" fillId="0" borderId="36" xfId="0" applyNumberFormat="1" applyFont="1" applyFill="1" applyBorder="1" applyAlignment="1" applyProtection="1">
      <alignment horizontal="left" vertical="center"/>
      <protection/>
    </xf>
    <xf numFmtId="0" fontId="2" fillId="0" borderId="37" xfId="0" applyNumberFormat="1" applyFont="1" applyFill="1" applyBorder="1" applyAlignment="1" applyProtection="1">
      <alignment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2" fillId="0" borderId="38" xfId="0" applyNumberFormat="1" applyFont="1" applyFill="1" applyBorder="1" applyAlignment="1" applyProtection="1">
      <alignment vertical="center"/>
      <protection/>
    </xf>
    <xf numFmtId="4" fontId="10" fillId="33" borderId="39" xfId="0" applyNumberFormat="1" applyFont="1" applyFill="1" applyBorder="1" applyAlignment="1" applyProtection="1">
      <alignment horizontal="right" vertical="center"/>
      <protection/>
    </xf>
    <xf numFmtId="0" fontId="2" fillId="0" borderId="40" xfId="0" applyNumberFormat="1" applyFont="1" applyFill="1" applyBorder="1" applyAlignment="1" applyProtection="1">
      <alignment vertical="center"/>
      <protection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49" fontId="1" fillId="0" borderId="28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49" fontId="2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49" fontId="2" fillId="0" borderId="37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6" xfId="0" applyNumberFormat="1" applyFont="1" applyFill="1" applyBorder="1" applyAlignment="1" applyProtection="1">
      <alignment horizontal="left" vertical="center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49" fontId="2" fillId="0" borderId="43" xfId="0" applyNumberFormat="1" applyFont="1" applyFill="1" applyBorder="1" applyAlignment="1" applyProtection="1">
      <alignment horizontal="left" vertical="center"/>
      <protection/>
    </xf>
    <xf numFmtId="49" fontId="2" fillId="0" borderId="4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33" borderId="24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49" fontId="2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44" xfId="0" applyNumberFormat="1" applyFont="1" applyFill="1" applyBorder="1" applyAlignment="1" applyProtection="1">
      <alignment horizontal="left" vertical="center" wrapText="1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49" fontId="10" fillId="33" borderId="38" xfId="0" applyNumberFormat="1" applyFont="1" applyFill="1" applyBorder="1" applyAlignment="1" applyProtection="1">
      <alignment horizontal="left" vertical="center"/>
      <protection/>
    </xf>
    <xf numFmtId="49" fontId="11" fillId="0" borderId="14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left" vertical="center"/>
      <protection/>
    </xf>
    <xf numFmtId="49" fontId="11" fillId="0" borderId="22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2"/>
  <sheetViews>
    <sheetView tabSelected="1" zoomScalePageLayoutView="0" workbookViewId="0" topLeftCell="A1">
      <pane ySplit="11" topLeftCell="A96" activePane="bottomLeft" state="frozen"/>
      <selection pane="topLeft" activeCell="A1" sqref="A1"/>
      <selection pane="bottomLeft" activeCell="J8" sqref="J8:M9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76.8515625" style="0" customWidth="1"/>
    <col min="5" max="6" width="11.57421875" style="0" customWidth="1"/>
    <col min="7" max="7" width="6.710937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2.75" customHeight="1">
      <c r="A2" s="72" t="s">
        <v>1</v>
      </c>
      <c r="B2" s="72"/>
      <c r="C2" s="73" t="s">
        <v>2</v>
      </c>
      <c r="D2" s="73"/>
      <c r="E2" s="74" t="s">
        <v>3</v>
      </c>
      <c r="F2" s="74"/>
      <c r="G2" s="74" t="s">
        <v>4</v>
      </c>
      <c r="H2" s="74"/>
      <c r="I2" s="75" t="s">
        <v>5</v>
      </c>
      <c r="J2" s="76" t="s">
        <v>6</v>
      </c>
      <c r="K2" s="76"/>
      <c r="L2" s="76"/>
      <c r="M2" s="76"/>
      <c r="N2" s="1"/>
    </row>
    <row r="3" spans="1:14" ht="12.75">
      <c r="A3" s="72"/>
      <c r="B3" s="72"/>
      <c r="C3" s="73"/>
      <c r="D3" s="73"/>
      <c r="E3" s="74"/>
      <c r="F3" s="74"/>
      <c r="G3" s="74"/>
      <c r="H3" s="74"/>
      <c r="I3" s="75"/>
      <c r="J3" s="75"/>
      <c r="K3" s="76"/>
      <c r="L3" s="76"/>
      <c r="M3" s="76"/>
      <c r="N3" s="1"/>
    </row>
    <row r="4" spans="1:14" ht="12.75" customHeight="1">
      <c r="A4" s="77" t="s">
        <v>7</v>
      </c>
      <c r="B4" s="77"/>
      <c r="C4" s="78" t="s">
        <v>4</v>
      </c>
      <c r="D4" s="78"/>
      <c r="E4" s="79" t="s">
        <v>8</v>
      </c>
      <c r="F4" s="79"/>
      <c r="G4" s="79" t="s">
        <v>9</v>
      </c>
      <c r="H4" s="79"/>
      <c r="I4" s="78" t="s">
        <v>10</v>
      </c>
      <c r="J4" s="80" t="s">
        <v>6</v>
      </c>
      <c r="K4" s="80"/>
      <c r="L4" s="80"/>
      <c r="M4" s="80"/>
      <c r="N4" s="1"/>
    </row>
    <row r="5" spans="1:14" ht="12.75">
      <c r="A5" s="77"/>
      <c r="B5" s="77"/>
      <c r="C5" s="78"/>
      <c r="D5" s="78"/>
      <c r="E5" s="79"/>
      <c r="F5" s="79"/>
      <c r="G5" s="79"/>
      <c r="H5" s="79"/>
      <c r="I5" s="78"/>
      <c r="J5" s="78"/>
      <c r="K5" s="80"/>
      <c r="L5" s="80"/>
      <c r="M5" s="80"/>
      <c r="N5" s="1"/>
    </row>
    <row r="6" spans="1:14" ht="12.75" customHeight="1">
      <c r="A6" s="77" t="s">
        <v>11</v>
      </c>
      <c r="B6" s="77"/>
      <c r="C6" s="78" t="s">
        <v>12</v>
      </c>
      <c r="D6" s="78"/>
      <c r="E6" s="79" t="s">
        <v>13</v>
      </c>
      <c r="F6" s="79"/>
      <c r="G6" s="79" t="s">
        <v>4</v>
      </c>
      <c r="H6" s="79"/>
      <c r="I6" s="78" t="s">
        <v>14</v>
      </c>
      <c r="J6" s="80" t="s">
        <v>6</v>
      </c>
      <c r="K6" s="80"/>
      <c r="L6" s="80"/>
      <c r="M6" s="80"/>
      <c r="N6" s="1"/>
    </row>
    <row r="7" spans="1:14" ht="12.75">
      <c r="A7" s="77"/>
      <c r="B7" s="77"/>
      <c r="C7" s="78"/>
      <c r="D7" s="78"/>
      <c r="E7" s="79"/>
      <c r="F7" s="79"/>
      <c r="G7" s="79"/>
      <c r="H7" s="79"/>
      <c r="I7" s="78"/>
      <c r="J7" s="78"/>
      <c r="K7" s="80"/>
      <c r="L7" s="80"/>
      <c r="M7" s="80"/>
      <c r="N7" s="1"/>
    </row>
    <row r="8" spans="1:14" ht="12.75" customHeight="1">
      <c r="A8" s="81" t="s">
        <v>15</v>
      </c>
      <c r="B8" s="81"/>
      <c r="C8" s="82">
        <v>8013613</v>
      </c>
      <c r="D8" s="82"/>
      <c r="E8" s="83" t="s">
        <v>16</v>
      </c>
      <c r="F8" s="83"/>
      <c r="G8" s="83" t="s">
        <v>9</v>
      </c>
      <c r="H8" s="83"/>
      <c r="I8" s="82" t="s">
        <v>17</v>
      </c>
      <c r="J8" s="84" t="s">
        <v>18</v>
      </c>
      <c r="K8" s="84"/>
      <c r="L8" s="84"/>
      <c r="M8" s="84"/>
      <c r="N8" s="1"/>
    </row>
    <row r="9" spans="1:14" ht="12.75">
      <c r="A9" s="81"/>
      <c r="B9" s="81"/>
      <c r="C9" s="82"/>
      <c r="D9" s="82"/>
      <c r="E9" s="83"/>
      <c r="F9" s="83"/>
      <c r="G9" s="83"/>
      <c r="H9" s="83"/>
      <c r="I9" s="82"/>
      <c r="J9" s="82"/>
      <c r="K9" s="84"/>
      <c r="L9" s="84"/>
      <c r="M9" s="84"/>
      <c r="N9" s="1"/>
    </row>
    <row r="10" spans="1:64" ht="12.75">
      <c r="A10" s="3" t="s">
        <v>19</v>
      </c>
      <c r="B10" s="4" t="s">
        <v>20</v>
      </c>
      <c r="C10" s="85" t="s">
        <v>21</v>
      </c>
      <c r="D10" s="85"/>
      <c r="E10" s="85"/>
      <c r="F10" s="85"/>
      <c r="G10" s="4" t="s">
        <v>22</v>
      </c>
      <c r="H10" s="5" t="s">
        <v>23</v>
      </c>
      <c r="I10" s="6" t="s">
        <v>24</v>
      </c>
      <c r="J10" s="86" t="s">
        <v>25</v>
      </c>
      <c r="K10" s="86"/>
      <c r="L10" s="86"/>
      <c r="M10" s="7" t="s">
        <v>26</v>
      </c>
      <c r="N10" s="8"/>
      <c r="BK10" s="9" t="s">
        <v>27</v>
      </c>
      <c r="BL10" s="10" t="s">
        <v>28</v>
      </c>
    </row>
    <row r="11" spans="1:62" ht="12.75">
      <c r="A11" s="11" t="s">
        <v>4</v>
      </c>
      <c r="B11" s="12" t="s">
        <v>4</v>
      </c>
      <c r="C11" s="87" t="s">
        <v>29</v>
      </c>
      <c r="D11" s="87"/>
      <c r="E11" s="87"/>
      <c r="F11" s="87"/>
      <c r="G11" s="12" t="s">
        <v>4</v>
      </c>
      <c r="H11" s="12" t="s">
        <v>4</v>
      </c>
      <c r="I11" s="13" t="s">
        <v>30</v>
      </c>
      <c r="J11" s="14" t="s">
        <v>31</v>
      </c>
      <c r="K11" s="15" t="s">
        <v>32</v>
      </c>
      <c r="L11" s="16" t="s">
        <v>33</v>
      </c>
      <c r="M11" s="17" t="s">
        <v>34</v>
      </c>
      <c r="N11" s="8"/>
      <c r="Z11" s="9" t="s">
        <v>35</v>
      </c>
      <c r="AA11" s="9" t="s">
        <v>36</v>
      </c>
      <c r="AB11" s="9" t="s">
        <v>37</v>
      </c>
      <c r="AC11" s="9" t="s">
        <v>38</v>
      </c>
      <c r="AD11" s="9" t="s">
        <v>39</v>
      </c>
      <c r="AE11" s="9" t="s">
        <v>40</v>
      </c>
      <c r="AF11" s="9" t="s">
        <v>41</v>
      </c>
      <c r="AG11" s="9" t="s">
        <v>42</v>
      </c>
      <c r="AH11" s="9" t="s">
        <v>43</v>
      </c>
      <c r="BH11" s="9" t="s">
        <v>44</v>
      </c>
      <c r="BI11" s="9" t="s">
        <v>45</v>
      </c>
      <c r="BJ11" s="9" t="s">
        <v>46</v>
      </c>
    </row>
    <row r="12" spans="1:47" ht="12.75">
      <c r="A12" s="18"/>
      <c r="B12" s="19" t="s">
        <v>47</v>
      </c>
      <c r="C12" s="88" t="s">
        <v>48</v>
      </c>
      <c r="D12" s="88"/>
      <c r="E12" s="88"/>
      <c r="F12" s="88"/>
      <c r="G12" s="20" t="s">
        <v>4</v>
      </c>
      <c r="H12" s="20" t="s">
        <v>4</v>
      </c>
      <c r="I12" s="20" t="s">
        <v>4</v>
      </c>
      <c r="J12" s="21">
        <f>SUM(J13:J15)</f>
        <v>0</v>
      </c>
      <c r="K12" s="21">
        <f>SUM(K13:K15)</f>
        <v>0</v>
      </c>
      <c r="L12" s="21">
        <f>SUM(L13:L15)</f>
        <v>0</v>
      </c>
      <c r="M12" s="22"/>
      <c r="N12" s="1"/>
      <c r="AI12" s="9"/>
      <c r="AS12" s="23">
        <f>SUM(AJ13:AJ15)</f>
        <v>0</v>
      </c>
      <c r="AT12" s="23">
        <f>SUM(AK13:AK15)</f>
        <v>0</v>
      </c>
      <c r="AU12" s="23">
        <f>SUM(AL13:AL15)</f>
        <v>0</v>
      </c>
    </row>
    <row r="13" spans="1:64" ht="12.75">
      <c r="A13" s="24" t="s">
        <v>49</v>
      </c>
      <c r="B13" s="2" t="s">
        <v>50</v>
      </c>
      <c r="C13" s="79" t="s">
        <v>51</v>
      </c>
      <c r="D13" s="79"/>
      <c r="E13" s="79"/>
      <c r="F13" s="79"/>
      <c r="G13" s="2" t="s">
        <v>52</v>
      </c>
      <c r="H13" s="25">
        <v>24.633</v>
      </c>
      <c r="I13" s="25">
        <v>0</v>
      </c>
      <c r="J13" s="25">
        <f>H13*AO13</f>
        <v>0</v>
      </c>
      <c r="K13" s="25">
        <f>H13*AP13</f>
        <v>0</v>
      </c>
      <c r="L13" s="25">
        <f>H13*I13</f>
        <v>0</v>
      </c>
      <c r="M13" s="26" t="s">
        <v>53</v>
      </c>
      <c r="N13" s="1"/>
      <c r="Z13" s="25">
        <f>IF(AQ13="5",BJ13,0)</f>
        <v>0</v>
      </c>
      <c r="AB13" s="25">
        <f>IF(AQ13="1",BH13,0)</f>
        <v>0</v>
      </c>
      <c r="AC13" s="25">
        <f>IF(AQ13="1",BI13,0)</f>
        <v>0</v>
      </c>
      <c r="AD13" s="25">
        <f>IF(AQ13="7",BH13,0)</f>
        <v>0</v>
      </c>
      <c r="AE13" s="25">
        <f>IF(AQ13="7",BI13,0)</f>
        <v>0</v>
      </c>
      <c r="AF13" s="25">
        <f>IF(AQ13="2",BH13,0)</f>
        <v>0</v>
      </c>
      <c r="AG13" s="25">
        <f>IF(AQ13="2",BI13,0)</f>
        <v>0</v>
      </c>
      <c r="AH13" s="25">
        <f>IF(AQ13="0",BJ13,0)</f>
        <v>0</v>
      </c>
      <c r="AI13" s="9"/>
      <c r="AJ13" s="25">
        <f>IF(AN13=0,L13,0)</f>
        <v>0</v>
      </c>
      <c r="AK13" s="25">
        <f>IF(AN13=15,L13,0)</f>
        <v>0</v>
      </c>
      <c r="AL13" s="25">
        <f>IF(AN13=21,L13,0)</f>
        <v>0</v>
      </c>
      <c r="AN13" s="25">
        <v>15</v>
      </c>
      <c r="AO13" s="25">
        <f>I13*0</f>
        <v>0</v>
      </c>
      <c r="AP13" s="25">
        <f>I13*(1-0)</f>
        <v>0</v>
      </c>
      <c r="AQ13" s="27" t="s">
        <v>49</v>
      </c>
      <c r="AV13" s="25">
        <f>AW13+AX13</f>
        <v>0</v>
      </c>
      <c r="AW13" s="25">
        <f>H13*AO13</f>
        <v>0</v>
      </c>
      <c r="AX13" s="25">
        <f>H13*AP13</f>
        <v>0</v>
      </c>
      <c r="AY13" s="27" t="s">
        <v>54</v>
      </c>
      <c r="AZ13" s="27" t="s">
        <v>55</v>
      </c>
      <c r="BA13" s="9" t="s">
        <v>56</v>
      </c>
      <c r="BC13" s="25">
        <f>AW13+AX13</f>
        <v>0</v>
      </c>
      <c r="BD13" s="25">
        <f>I13/(100-BE13)*100</f>
        <v>0</v>
      </c>
      <c r="BE13" s="25">
        <v>0</v>
      </c>
      <c r="BF13" s="25">
        <f>13</f>
        <v>13</v>
      </c>
      <c r="BH13" s="25">
        <f>H13*AO13</f>
        <v>0</v>
      </c>
      <c r="BI13" s="25">
        <f>H13*AP13</f>
        <v>0</v>
      </c>
      <c r="BJ13" s="25">
        <f>H13*I13</f>
        <v>0</v>
      </c>
      <c r="BK13" s="25" t="s">
        <v>57</v>
      </c>
      <c r="BL13" s="25">
        <v>13</v>
      </c>
    </row>
    <row r="14" spans="1:64" ht="12.75">
      <c r="A14" s="24" t="s">
        <v>58</v>
      </c>
      <c r="B14" s="2" t="s">
        <v>59</v>
      </c>
      <c r="C14" s="79" t="s">
        <v>60</v>
      </c>
      <c r="D14" s="79"/>
      <c r="E14" s="79"/>
      <c r="F14" s="79"/>
      <c r="G14" s="2" t="s">
        <v>52</v>
      </c>
      <c r="H14" s="25">
        <v>18.24</v>
      </c>
      <c r="I14" s="25">
        <v>0</v>
      </c>
      <c r="J14" s="25">
        <f>H14*AO14</f>
        <v>0</v>
      </c>
      <c r="K14" s="25">
        <f>H14*AP14</f>
        <v>0</v>
      </c>
      <c r="L14" s="25">
        <f>H14*I14</f>
        <v>0</v>
      </c>
      <c r="M14" s="26" t="s">
        <v>53</v>
      </c>
      <c r="N14" s="1"/>
      <c r="Z14" s="25">
        <f>IF(AQ14="5",BJ14,0)</f>
        <v>0</v>
      </c>
      <c r="AB14" s="25">
        <f>IF(AQ14="1",BH14,0)</f>
        <v>0</v>
      </c>
      <c r="AC14" s="25">
        <f>IF(AQ14="1",BI14,0)</f>
        <v>0</v>
      </c>
      <c r="AD14" s="25">
        <f>IF(AQ14="7",BH14,0)</f>
        <v>0</v>
      </c>
      <c r="AE14" s="25">
        <f>IF(AQ14="7",BI14,0)</f>
        <v>0</v>
      </c>
      <c r="AF14" s="25">
        <f>IF(AQ14="2",BH14,0)</f>
        <v>0</v>
      </c>
      <c r="AG14" s="25">
        <f>IF(AQ14="2",BI14,0)</f>
        <v>0</v>
      </c>
      <c r="AH14" s="25">
        <f>IF(AQ14="0",BJ14,0)</f>
        <v>0</v>
      </c>
      <c r="AI14" s="9"/>
      <c r="AJ14" s="25">
        <f>IF(AN14=0,L14,0)</f>
        <v>0</v>
      </c>
      <c r="AK14" s="25">
        <f>IF(AN14=15,L14,0)</f>
        <v>0</v>
      </c>
      <c r="AL14" s="25">
        <f>IF(AN14=21,L14,0)</f>
        <v>0</v>
      </c>
      <c r="AN14" s="25">
        <v>15</v>
      </c>
      <c r="AO14" s="25">
        <f>I14*0</f>
        <v>0</v>
      </c>
      <c r="AP14" s="25">
        <f>I14*(1-0)</f>
        <v>0</v>
      </c>
      <c r="AQ14" s="27" t="s">
        <v>49</v>
      </c>
      <c r="AV14" s="25">
        <f>AW14+AX14</f>
        <v>0</v>
      </c>
      <c r="AW14" s="25">
        <f>H14*AO14</f>
        <v>0</v>
      </c>
      <c r="AX14" s="25">
        <f>H14*AP14</f>
        <v>0</v>
      </c>
      <c r="AY14" s="27" t="s">
        <v>54</v>
      </c>
      <c r="AZ14" s="27" t="s">
        <v>55</v>
      </c>
      <c r="BA14" s="9" t="s">
        <v>56</v>
      </c>
      <c r="BC14" s="25">
        <f>AW14+AX14</f>
        <v>0</v>
      </c>
      <c r="BD14" s="25">
        <f>I14/(100-BE14)*100</f>
        <v>0</v>
      </c>
      <c r="BE14" s="25">
        <v>0</v>
      </c>
      <c r="BF14" s="25">
        <f>14</f>
        <v>14</v>
      </c>
      <c r="BH14" s="25">
        <f>H14*AO14</f>
        <v>0</v>
      </c>
      <c r="BI14" s="25">
        <f>H14*AP14</f>
        <v>0</v>
      </c>
      <c r="BJ14" s="25">
        <f>H14*I14</f>
        <v>0</v>
      </c>
      <c r="BK14" s="25" t="s">
        <v>57</v>
      </c>
      <c r="BL14" s="25">
        <v>13</v>
      </c>
    </row>
    <row r="15" spans="1:64" ht="12.75">
      <c r="A15" s="24" t="s">
        <v>61</v>
      </c>
      <c r="B15" s="2" t="s">
        <v>62</v>
      </c>
      <c r="C15" s="79" t="s">
        <v>63</v>
      </c>
      <c r="D15" s="79"/>
      <c r="E15" s="79"/>
      <c r="F15" s="79"/>
      <c r="G15" s="2" t="s">
        <v>52</v>
      </c>
      <c r="H15" s="25">
        <v>18</v>
      </c>
      <c r="I15" s="25">
        <v>0</v>
      </c>
      <c r="J15" s="25">
        <f>H15*AO15</f>
        <v>0</v>
      </c>
      <c r="K15" s="25">
        <f>H15*AP15</f>
        <v>0</v>
      </c>
      <c r="L15" s="25">
        <f>H15*I15</f>
        <v>0</v>
      </c>
      <c r="M15" s="26" t="s">
        <v>53</v>
      </c>
      <c r="N15" s="1"/>
      <c r="Z15" s="25">
        <f>IF(AQ15="5",BJ15,0)</f>
        <v>0</v>
      </c>
      <c r="AB15" s="25">
        <f>IF(AQ15="1",BH15,0)</f>
        <v>0</v>
      </c>
      <c r="AC15" s="25">
        <f>IF(AQ15="1",BI15,0)</f>
        <v>0</v>
      </c>
      <c r="AD15" s="25">
        <f>IF(AQ15="7",BH15,0)</f>
        <v>0</v>
      </c>
      <c r="AE15" s="25">
        <f>IF(AQ15="7",BI15,0)</f>
        <v>0</v>
      </c>
      <c r="AF15" s="25">
        <f>IF(AQ15="2",BH15,0)</f>
        <v>0</v>
      </c>
      <c r="AG15" s="25">
        <f>IF(AQ15="2",BI15,0)</f>
        <v>0</v>
      </c>
      <c r="AH15" s="25">
        <f>IF(AQ15="0",BJ15,0)</f>
        <v>0</v>
      </c>
      <c r="AI15" s="9"/>
      <c r="AJ15" s="25">
        <f>IF(AN15=0,L15,0)</f>
        <v>0</v>
      </c>
      <c r="AK15" s="25">
        <f>IF(AN15=15,L15,0)</f>
        <v>0</v>
      </c>
      <c r="AL15" s="25">
        <f>IF(AN15=21,L15,0)</f>
        <v>0</v>
      </c>
      <c r="AN15" s="25">
        <v>15</v>
      </c>
      <c r="AO15" s="25">
        <f>I15*0</f>
        <v>0</v>
      </c>
      <c r="AP15" s="25">
        <f>I15*(1-0)</f>
        <v>0</v>
      </c>
      <c r="AQ15" s="27" t="s">
        <v>49</v>
      </c>
      <c r="AV15" s="25">
        <f>AW15+AX15</f>
        <v>0</v>
      </c>
      <c r="AW15" s="25">
        <f>H15*AO15</f>
        <v>0</v>
      </c>
      <c r="AX15" s="25">
        <f>H15*AP15</f>
        <v>0</v>
      </c>
      <c r="AY15" s="27" t="s">
        <v>54</v>
      </c>
      <c r="AZ15" s="27" t="s">
        <v>55</v>
      </c>
      <c r="BA15" s="9" t="s">
        <v>56</v>
      </c>
      <c r="BC15" s="25">
        <f>AW15+AX15</f>
        <v>0</v>
      </c>
      <c r="BD15" s="25">
        <f>I15/(100-BE15)*100</f>
        <v>0</v>
      </c>
      <c r="BE15" s="25">
        <v>0</v>
      </c>
      <c r="BF15" s="25">
        <f>15</f>
        <v>15</v>
      </c>
      <c r="BH15" s="25">
        <f>H15*AO15</f>
        <v>0</v>
      </c>
      <c r="BI15" s="25">
        <f>H15*AP15</f>
        <v>0</v>
      </c>
      <c r="BJ15" s="25">
        <f>H15*I15</f>
        <v>0</v>
      </c>
      <c r="BK15" s="25" t="s">
        <v>57</v>
      </c>
      <c r="BL15" s="25">
        <v>13</v>
      </c>
    </row>
    <row r="16" spans="1:47" ht="12.75">
      <c r="A16" s="28"/>
      <c r="B16" s="29" t="s">
        <v>64</v>
      </c>
      <c r="C16" s="89" t="s">
        <v>65</v>
      </c>
      <c r="D16" s="89"/>
      <c r="E16" s="89"/>
      <c r="F16" s="89"/>
      <c r="G16" s="30" t="s">
        <v>4</v>
      </c>
      <c r="H16" s="30" t="s">
        <v>4</v>
      </c>
      <c r="I16" s="30" t="s">
        <v>4</v>
      </c>
      <c r="J16" s="23">
        <f>SUM(J17:J20)</f>
        <v>0</v>
      </c>
      <c r="K16" s="23">
        <f>SUM(K17:K20)</f>
        <v>0</v>
      </c>
      <c r="L16" s="23">
        <f>SUM(L17:L20)</f>
        <v>0</v>
      </c>
      <c r="M16" s="31"/>
      <c r="N16" s="1"/>
      <c r="AI16" s="9"/>
      <c r="AS16" s="23">
        <f>SUM(AJ17:AJ20)</f>
        <v>0</v>
      </c>
      <c r="AT16" s="23">
        <f>SUM(AK17:AK20)</f>
        <v>0</v>
      </c>
      <c r="AU16" s="23">
        <f>SUM(AL17:AL20)</f>
        <v>0</v>
      </c>
    </row>
    <row r="17" spans="1:64" ht="12.75">
      <c r="A17" s="24" t="s">
        <v>66</v>
      </c>
      <c r="B17" s="2" t="s">
        <v>67</v>
      </c>
      <c r="C17" s="79" t="s">
        <v>68</v>
      </c>
      <c r="D17" s="79"/>
      <c r="E17" s="79"/>
      <c r="F17" s="79"/>
      <c r="G17" s="2" t="s">
        <v>52</v>
      </c>
      <c r="H17" s="25">
        <v>24.633</v>
      </c>
      <c r="I17" s="25">
        <v>0</v>
      </c>
      <c r="J17" s="25">
        <f>H17*AO17</f>
        <v>0</v>
      </c>
      <c r="K17" s="25">
        <f>H17*AP17</f>
        <v>0</v>
      </c>
      <c r="L17" s="25">
        <f>H17*I17</f>
        <v>0</v>
      </c>
      <c r="M17" s="26" t="s">
        <v>53</v>
      </c>
      <c r="N17" s="1"/>
      <c r="Z17" s="25">
        <f>IF(AQ17="5",BJ17,0)</f>
        <v>0</v>
      </c>
      <c r="AB17" s="25">
        <f>IF(AQ17="1",BH17,0)</f>
        <v>0</v>
      </c>
      <c r="AC17" s="25">
        <f>IF(AQ17="1",BI17,0)</f>
        <v>0</v>
      </c>
      <c r="AD17" s="25">
        <f>IF(AQ17="7",BH17,0)</f>
        <v>0</v>
      </c>
      <c r="AE17" s="25">
        <f>IF(AQ17="7",BI17,0)</f>
        <v>0</v>
      </c>
      <c r="AF17" s="25">
        <f>IF(AQ17="2",BH17,0)</f>
        <v>0</v>
      </c>
      <c r="AG17" s="25">
        <f>IF(AQ17="2",BI17,0)</f>
        <v>0</v>
      </c>
      <c r="AH17" s="25">
        <f>IF(AQ17="0",BJ17,0)</f>
        <v>0</v>
      </c>
      <c r="AI17" s="9"/>
      <c r="AJ17" s="25">
        <f>IF(AN17=0,L17,0)</f>
        <v>0</v>
      </c>
      <c r="AK17" s="25">
        <f>IF(AN17=15,L17,0)</f>
        <v>0</v>
      </c>
      <c r="AL17" s="25">
        <f>IF(AN17=21,L17,0)</f>
        <v>0</v>
      </c>
      <c r="AN17" s="25">
        <v>15</v>
      </c>
      <c r="AO17" s="25">
        <f>I17*0</f>
        <v>0</v>
      </c>
      <c r="AP17" s="25">
        <f>I17*(1-0)</f>
        <v>0</v>
      </c>
      <c r="AQ17" s="27" t="s">
        <v>49</v>
      </c>
      <c r="AV17" s="25">
        <f>AW17+AX17</f>
        <v>0</v>
      </c>
      <c r="AW17" s="25">
        <f>H17*AO17</f>
        <v>0</v>
      </c>
      <c r="AX17" s="25">
        <f>H17*AP17</f>
        <v>0</v>
      </c>
      <c r="AY17" s="27" t="s">
        <v>69</v>
      </c>
      <c r="AZ17" s="27" t="s">
        <v>55</v>
      </c>
      <c r="BA17" s="9" t="s">
        <v>56</v>
      </c>
      <c r="BC17" s="25">
        <f>AW17+AX17</f>
        <v>0</v>
      </c>
      <c r="BD17" s="25">
        <f>I17/(100-BE17)*100</f>
        <v>0</v>
      </c>
      <c r="BE17" s="25">
        <v>0</v>
      </c>
      <c r="BF17" s="25">
        <f>17</f>
        <v>17</v>
      </c>
      <c r="BH17" s="25">
        <f>H17*AO17</f>
        <v>0</v>
      </c>
      <c r="BI17" s="25">
        <f>H17*AP17</f>
        <v>0</v>
      </c>
      <c r="BJ17" s="25">
        <f>H17*I17</f>
        <v>0</v>
      </c>
      <c r="BK17" s="25" t="s">
        <v>57</v>
      </c>
      <c r="BL17" s="25">
        <v>16</v>
      </c>
    </row>
    <row r="18" spans="1:64" ht="12.75">
      <c r="A18" s="24" t="s">
        <v>70</v>
      </c>
      <c r="B18" s="2" t="s">
        <v>71</v>
      </c>
      <c r="C18" s="79" t="s">
        <v>72</v>
      </c>
      <c r="D18" s="79"/>
      <c r="E18" s="79"/>
      <c r="F18" s="79"/>
      <c r="G18" s="2" t="s">
        <v>52</v>
      </c>
      <c r="H18" s="25">
        <v>29.48737</v>
      </c>
      <c r="I18" s="25">
        <v>0</v>
      </c>
      <c r="J18" s="25">
        <f>H18*AO18</f>
        <v>0</v>
      </c>
      <c r="K18" s="25">
        <f>H18*AP18</f>
        <v>0</v>
      </c>
      <c r="L18" s="25">
        <f>H18*I18</f>
        <v>0</v>
      </c>
      <c r="M18" s="26" t="s">
        <v>53</v>
      </c>
      <c r="N18" s="1"/>
      <c r="Z18" s="25">
        <f>IF(AQ18="5",BJ18,0)</f>
        <v>0</v>
      </c>
      <c r="AB18" s="25">
        <f>IF(AQ18="1",BH18,0)</f>
        <v>0</v>
      </c>
      <c r="AC18" s="25">
        <f>IF(AQ18="1",BI18,0)</f>
        <v>0</v>
      </c>
      <c r="AD18" s="25">
        <f>IF(AQ18="7",BH18,0)</f>
        <v>0</v>
      </c>
      <c r="AE18" s="25">
        <f>IF(AQ18="7",BI18,0)</f>
        <v>0</v>
      </c>
      <c r="AF18" s="25">
        <f>IF(AQ18="2",BH18,0)</f>
        <v>0</v>
      </c>
      <c r="AG18" s="25">
        <f>IF(AQ18="2",BI18,0)</f>
        <v>0</v>
      </c>
      <c r="AH18" s="25">
        <f>IF(AQ18="0",BJ18,0)</f>
        <v>0</v>
      </c>
      <c r="AI18" s="9"/>
      <c r="AJ18" s="25">
        <f>IF(AN18=0,L18,0)</f>
        <v>0</v>
      </c>
      <c r="AK18" s="25">
        <f>IF(AN18=15,L18,0)</f>
        <v>0</v>
      </c>
      <c r="AL18" s="25">
        <f>IF(AN18=21,L18,0)</f>
        <v>0</v>
      </c>
      <c r="AN18" s="25">
        <v>15</v>
      </c>
      <c r="AO18" s="25">
        <f>I18*0</f>
        <v>0</v>
      </c>
      <c r="AP18" s="25">
        <f>I18*(1-0)</f>
        <v>0</v>
      </c>
      <c r="AQ18" s="27" t="s">
        <v>49</v>
      </c>
      <c r="AV18" s="25">
        <f>AW18+AX18</f>
        <v>0</v>
      </c>
      <c r="AW18" s="25">
        <f>H18*AO18</f>
        <v>0</v>
      </c>
      <c r="AX18" s="25">
        <f>H18*AP18</f>
        <v>0</v>
      </c>
      <c r="AY18" s="27" t="s">
        <v>69</v>
      </c>
      <c r="AZ18" s="27" t="s">
        <v>55</v>
      </c>
      <c r="BA18" s="9" t="s">
        <v>56</v>
      </c>
      <c r="BC18" s="25">
        <f>AW18+AX18</f>
        <v>0</v>
      </c>
      <c r="BD18" s="25">
        <f>I18/(100-BE18)*100</f>
        <v>0</v>
      </c>
      <c r="BE18" s="25">
        <v>0</v>
      </c>
      <c r="BF18" s="25">
        <f>18</f>
        <v>18</v>
      </c>
      <c r="BH18" s="25">
        <f>H18*AO18</f>
        <v>0</v>
      </c>
      <c r="BI18" s="25">
        <f>H18*AP18</f>
        <v>0</v>
      </c>
      <c r="BJ18" s="25">
        <f>H18*I18</f>
        <v>0</v>
      </c>
      <c r="BK18" s="25" t="s">
        <v>57</v>
      </c>
      <c r="BL18" s="25">
        <v>16</v>
      </c>
    </row>
    <row r="19" spans="1:14" ht="12.75" customHeight="1">
      <c r="A19" s="1"/>
      <c r="B19" s="32" t="s">
        <v>73</v>
      </c>
      <c r="C19" s="90" t="s">
        <v>74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1"/>
    </row>
    <row r="20" spans="1:64" ht="12.75">
      <c r="A20" s="24" t="s">
        <v>75</v>
      </c>
      <c r="B20" s="2" t="s">
        <v>76</v>
      </c>
      <c r="C20" s="79" t="s">
        <v>77</v>
      </c>
      <c r="D20" s="79"/>
      <c r="E20" s="79"/>
      <c r="F20" s="79"/>
      <c r="G20" s="2" t="s">
        <v>52</v>
      </c>
      <c r="H20" s="25">
        <v>24.633</v>
      </c>
      <c r="I20" s="25">
        <v>0</v>
      </c>
      <c r="J20" s="25">
        <f>H20*AO20</f>
        <v>0</v>
      </c>
      <c r="K20" s="25">
        <f>H20*AP20</f>
        <v>0</v>
      </c>
      <c r="L20" s="25">
        <f>H20*I20</f>
        <v>0</v>
      </c>
      <c r="M20" s="26" t="s">
        <v>53</v>
      </c>
      <c r="N20" s="1"/>
      <c r="Z20" s="25">
        <f>IF(AQ20="5",BJ20,0)</f>
        <v>0</v>
      </c>
      <c r="AB20" s="25">
        <f>IF(AQ20="1",BH20,0)</f>
        <v>0</v>
      </c>
      <c r="AC20" s="25">
        <f>IF(AQ20="1",BI20,0)</f>
        <v>0</v>
      </c>
      <c r="AD20" s="25">
        <f>IF(AQ20="7",BH20,0)</f>
        <v>0</v>
      </c>
      <c r="AE20" s="25">
        <f>IF(AQ20="7",BI20,0)</f>
        <v>0</v>
      </c>
      <c r="AF20" s="25">
        <f>IF(AQ20="2",BH20,0)</f>
        <v>0</v>
      </c>
      <c r="AG20" s="25">
        <f>IF(AQ20="2",BI20,0)</f>
        <v>0</v>
      </c>
      <c r="AH20" s="25">
        <f>IF(AQ20="0",BJ20,0)</f>
        <v>0</v>
      </c>
      <c r="AI20" s="9"/>
      <c r="AJ20" s="25">
        <f>IF(AN20=0,L20,0)</f>
        <v>0</v>
      </c>
      <c r="AK20" s="25">
        <f>IF(AN20=15,L20,0)</f>
        <v>0</v>
      </c>
      <c r="AL20" s="25">
        <f>IF(AN20=21,L20,0)</f>
        <v>0</v>
      </c>
      <c r="AN20" s="25">
        <v>15</v>
      </c>
      <c r="AO20" s="25">
        <f>I20*0</f>
        <v>0</v>
      </c>
      <c r="AP20" s="25">
        <f>I20*(1-0)</f>
        <v>0</v>
      </c>
      <c r="AQ20" s="27" t="s">
        <v>49</v>
      </c>
      <c r="AV20" s="25">
        <f>AW20+AX20</f>
        <v>0</v>
      </c>
      <c r="AW20" s="25">
        <f>H20*AO20</f>
        <v>0</v>
      </c>
      <c r="AX20" s="25">
        <f>H20*AP20</f>
        <v>0</v>
      </c>
      <c r="AY20" s="27" t="s">
        <v>69</v>
      </c>
      <c r="AZ20" s="27" t="s">
        <v>55</v>
      </c>
      <c r="BA20" s="9" t="s">
        <v>56</v>
      </c>
      <c r="BC20" s="25">
        <f>AW20+AX20</f>
        <v>0</v>
      </c>
      <c r="BD20" s="25">
        <f>I20/(100-BE20)*100</f>
        <v>0</v>
      </c>
      <c r="BE20" s="25">
        <v>0</v>
      </c>
      <c r="BF20" s="25">
        <f>20</f>
        <v>20</v>
      </c>
      <c r="BH20" s="25">
        <f>H20*AO20</f>
        <v>0</v>
      </c>
      <c r="BI20" s="25">
        <f>H20*AP20</f>
        <v>0</v>
      </c>
      <c r="BJ20" s="25">
        <f>H20*I20</f>
        <v>0</v>
      </c>
      <c r="BK20" s="25" t="s">
        <v>57</v>
      </c>
      <c r="BL20" s="25">
        <v>16</v>
      </c>
    </row>
    <row r="21" spans="1:47" ht="12.75">
      <c r="A21" s="28"/>
      <c r="B21" s="29" t="s">
        <v>78</v>
      </c>
      <c r="C21" s="89" t="s">
        <v>79</v>
      </c>
      <c r="D21" s="89"/>
      <c r="E21" s="89"/>
      <c r="F21" s="89"/>
      <c r="G21" s="30" t="s">
        <v>4</v>
      </c>
      <c r="H21" s="30" t="s">
        <v>4</v>
      </c>
      <c r="I21" s="30" t="s">
        <v>4</v>
      </c>
      <c r="J21" s="23">
        <f>SUM(J22:J25)</f>
        <v>0</v>
      </c>
      <c r="K21" s="23">
        <f>SUM(K22:K25)</f>
        <v>0</v>
      </c>
      <c r="L21" s="23">
        <f>SUM(L22:L25)</f>
        <v>0</v>
      </c>
      <c r="M21" s="31"/>
      <c r="N21" s="1"/>
      <c r="AI21" s="9"/>
      <c r="AS21" s="23">
        <f>SUM(AJ22:AJ25)</f>
        <v>0</v>
      </c>
      <c r="AT21" s="23">
        <f>SUM(AK22:AK25)</f>
        <v>0</v>
      </c>
      <c r="AU21" s="23">
        <f>SUM(AL22:AL25)</f>
        <v>0</v>
      </c>
    </row>
    <row r="22" spans="1:64" ht="12.75">
      <c r="A22" s="24" t="s">
        <v>80</v>
      </c>
      <c r="B22" s="2" t="s">
        <v>81</v>
      </c>
      <c r="C22" s="79" t="s">
        <v>82</v>
      </c>
      <c r="D22" s="79"/>
      <c r="E22" s="79"/>
      <c r="F22" s="79"/>
      <c r="G22" s="2" t="s">
        <v>52</v>
      </c>
      <c r="H22" s="25">
        <v>2.41313</v>
      </c>
      <c r="I22" s="25">
        <v>0</v>
      </c>
      <c r="J22" s="25">
        <f>H22*AO22</f>
        <v>0</v>
      </c>
      <c r="K22" s="25">
        <f>H22*AP22</f>
        <v>0</v>
      </c>
      <c r="L22" s="25">
        <f>H22*I22</f>
        <v>0</v>
      </c>
      <c r="M22" s="26" t="s">
        <v>53</v>
      </c>
      <c r="N22" s="1"/>
      <c r="Z22" s="25">
        <f>IF(AQ22="5",BJ22,0)</f>
        <v>0</v>
      </c>
      <c r="AB22" s="25">
        <f>IF(AQ22="1",BH22,0)</f>
        <v>0</v>
      </c>
      <c r="AC22" s="25">
        <f>IF(AQ22="1",BI22,0)</f>
        <v>0</v>
      </c>
      <c r="AD22" s="25">
        <f>IF(AQ22="7",BH22,0)</f>
        <v>0</v>
      </c>
      <c r="AE22" s="25">
        <f>IF(AQ22="7",BI22,0)</f>
        <v>0</v>
      </c>
      <c r="AF22" s="25">
        <f>IF(AQ22="2",BH22,0)</f>
        <v>0</v>
      </c>
      <c r="AG22" s="25">
        <f>IF(AQ22="2",BI22,0)</f>
        <v>0</v>
      </c>
      <c r="AH22" s="25">
        <f>IF(AQ22="0",BJ22,0)</f>
        <v>0</v>
      </c>
      <c r="AI22" s="9"/>
      <c r="AJ22" s="25">
        <f>IF(AN22=0,L22,0)</f>
        <v>0</v>
      </c>
      <c r="AK22" s="25">
        <f>IF(AN22=15,L22,0)</f>
        <v>0</v>
      </c>
      <c r="AL22" s="25">
        <f>IF(AN22=21,L22,0)</f>
        <v>0</v>
      </c>
      <c r="AN22" s="25">
        <v>15</v>
      </c>
      <c r="AO22" s="25">
        <f>I22*0.001120709993641</f>
        <v>0</v>
      </c>
      <c r="AP22" s="25">
        <f>I22*(1-0.001120709993641)</f>
        <v>0</v>
      </c>
      <c r="AQ22" s="27" t="s">
        <v>49</v>
      </c>
      <c r="AV22" s="25">
        <f>AW22+AX22</f>
        <v>0</v>
      </c>
      <c r="AW22" s="25">
        <f>H22*AO22</f>
        <v>0</v>
      </c>
      <c r="AX22" s="25">
        <f>H22*AP22</f>
        <v>0</v>
      </c>
      <c r="AY22" s="27" t="s">
        <v>83</v>
      </c>
      <c r="AZ22" s="27" t="s">
        <v>55</v>
      </c>
      <c r="BA22" s="9" t="s">
        <v>56</v>
      </c>
      <c r="BC22" s="25">
        <f>AW22+AX22</f>
        <v>0</v>
      </c>
      <c r="BD22" s="25">
        <f>I22/(100-BE22)*100</f>
        <v>0</v>
      </c>
      <c r="BE22" s="25">
        <v>0</v>
      </c>
      <c r="BF22" s="25">
        <f>22</f>
        <v>22</v>
      </c>
      <c r="BH22" s="25">
        <f>H22*AO22</f>
        <v>0</v>
      </c>
      <c r="BI22" s="25">
        <f>H22*AP22</f>
        <v>0</v>
      </c>
      <c r="BJ22" s="25">
        <f>H22*I22</f>
        <v>0</v>
      </c>
      <c r="BK22" s="25" t="s">
        <v>57</v>
      </c>
      <c r="BL22" s="25">
        <v>17</v>
      </c>
    </row>
    <row r="23" spans="1:14" ht="12.75" customHeight="1">
      <c r="A23" s="1"/>
      <c r="B23" s="32" t="s">
        <v>73</v>
      </c>
      <c r="C23" s="90" t="s">
        <v>84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1"/>
    </row>
    <row r="24" spans="1:64" ht="12.75">
      <c r="A24" s="24" t="s">
        <v>85</v>
      </c>
      <c r="B24" s="2" t="s">
        <v>86</v>
      </c>
      <c r="C24" s="79" t="s">
        <v>87</v>
      </c>
      <c r="D24" s="79"/>
      <c r="E24" s="79"/>
      <c r="F24" s="79"/>
      <c r="G24" s="2" t="s">
        <v>52</v>
      </c>
      <c r="H24" s="25">
        <v>31.38563</v>
      </c>
      <c r="I24" s="25">
        <v>0</v>
      </c>
      <c r="J24" s="25">
        <f>H24*AO24</f>
        <v>0</v>
      </c>
      <c r="K24" s="25">
        <f>H24*AP24</f>
        <v>0</v>
      </c>
      <c r="L24" s="25">
        <f>H24*I24</f>
        <v>0</v>
      </c>
      <c r="M24" s="26" t="s">
        <v>53</v>
      </c>
      <c r="N24" s="1"/>
      <c r="Z24" s="25">
        <f>IF(AQ24="5",BJ24,0)</f>
        <v>0</v>
      </c>
      <c r="AB24" s="25">
        <f>IF(AQ24="1",BH24,0)</f>
        <v>0</v>
      </c>
      <c r="AC24" s="25">
        <f>IF(AQ24="1",BI24,0)</f>
        <v>0</v>
      </c>
      <c r="AD24" s="25">
        <f>IF(AQ24="7",BH24,0)</f>
        <v>0</v>
      </c>
      <c r="AE24" s="25">
        <f>IF(AQ24="7",BI24,0)</f>
        <v>0</v>
      </c>
      <c r="AF24" s="25">
        <f>IF(AQ24="2",BH24,0)</f>
        <v>0</v>
      </c>
      <c r="AG24" s="25">
        <f>IF(AQ24="2",BI24,0)</f>
        <v>0</v>
      </c>
      <c r="AH24" s="25">
        <f>IF(AQ24="0",BJ24,0)</f>
        <v>0</v>
      </c>
      <c r="AI24" s="9"/>
      <c r="AJ24" s="25">
        <f>IF(AN24=0,L24,0)</f>
        <v>0</v>
      </c>
      <c r="AK24" s="25">
        <f>IF(AN24=15,L24,0)</f>
        <v>0</v>
      </c>
      <c r="AL24" s="25">
        <f>IF(AN24=21,L24,0)</f>
        <v>0</v>
      </c>
      <c r="AN24" s="25">
        <v>15</v>
      </c>
      <c r="AO24" s="25">
        <f>I24*0</f>
        <v>0</v>
      </c>
      <c r="AP24" s="25">
        <f>I24*(1-0)</f>
        <v>0</v>
      </c>
      <c r="AQ24" s="27" t="s">
        <v>49</v>
      </c>
      <c r="AV24" s="25">
        <f>AW24+AX24</f>
        <v>0</v>
      </c>
      <c r="AW24" s="25">
        <f>H24*AO24</f>
        <v>0</v>
      </c>
      <c r="AX24" s="25">
        <f>H24*AP24</f>
        <v>0</v>
      </c>
      <c r="AY24" s="27" t="s">
        <v>83</v>
      </c>
      <c r="AZ24" s="27" t="s">
        <v>55</v>
      </c>
      <c r="BA24" s="9" t="s">
        <v>56</v>
      </c>
      <c r="BC24" s="25">
        <f>AW24+AX24</f>
        <v>0</v>
      </c>
      <c r="BD24" s="25">
        <f>I24/(100-BE24)*100</f>
        <v>0</v>
      </c>
      <c r="BE24" s="25">
        <v>0</v>
      </c>
      <c r="BF24" s="25">
        <f>24</f>
        <v>24</v>
      </c>
      <c r="BH24" s="25">
        <f>H24*AO24</f>
        <v>0</v>
      </c>
      <c r="BI24" s="25">
        <f>H24*AP24</f>
        <v>0</v>
      </c>
      <c r="BJ24" s="25">
        <f>H24*I24</f>
        <v>0</v>
      </c>
      <c r="BK24" s="25" t="s">
        <v>57</v>
      </c>
      <c r="BL24" s="25">
        <v>17</v>
      </c>
    </row>
    <row r="25" spans="1:64" ht="12.75">
      <c r="A25" s="24" t="s">
        <v>88</v>
      </c>
      <c r="B25" s="2" t="s">
        <v>89</v>
      </c>
      <c r="C25" s="79" t="s">
        <v>90</v>
      </c>
      <c r="D25" s="79"/>
      <c r="E25" s="79"/>
      <c r="F25" s="79"/>
      <c r="G25" s="2" t="s">
        <v>52</v>
      </c>
      <c r="H25" s="25">
        <v>13.01438</v>
      </c>
      <c r="I25" s="25">
        <v>0</v>
      </c>
      <c r="J25" s="25">
        <f>H25*AO25</f>
        <v>0</v>
      </c>
      <c r="K25" s="25">
        <f>H25*AP25</f>
        <v>0</v>
      </c>
      <c r="L25" s="25">
        <f>H25*I25</f>
        <v>0</v>
      </c>
      <c r="M25" s="26" t="s">
        <v>53</v>
      </c>
      <c r="N25" s="1"/>
      <c r="Z25" s="25">
        <f>IF(AQ25="5",BJ25,0)</f>
        <v>0</v>
      </c>
      <c r="AB25" s="25">
        <f>IF(AQ25="1",BH25,0)</f>
        <v>0</v>
      </c>
      <c r="AC25" s="25">
        <f>IF(AQ25="1",BI25,0)</f>
        <v>0</v>
      </c>
      <c r="AD25" s="25">
        <f>IF(AQ25="7",BH25,0)</f>
        <v>0</v>
      </c>
      <c r="AE25" s="25">
        <f>IF(AQ25="7",BI25,0)</f>
        <v>0</v>
      </c>
      <c r="AF25" s="25">
        <f>IF(AQ25="2",BH25,0)</f>
        <v>0</v>
      </c>
      <c r="AG25" s="25">
        <f>IF(AQ25="2",BI25,0)</f>
        <v>0</v>
      </c>
      <c r="AH25" s="25">
        <f>IF(AQ25="0",BJ25,0)</f>
        <v>0</v>
      </c>
      <c r="AI25" s="9"/>
      <c r="AJ25" s="25">
        <f>IF(AN25=0,L25,0)</f>
        <v>0</v>
      </c>
      <c r="AK25" s="25">
        <f>IF(AN25=15,L25,0)</f>
        <v>0</v>
      </c>
      <c r="AL25" s="25">
        <f>IF(AN25=21,L25,0)</f>
        <v>0</v>
      </c>
      <c r="AN25" s="25">
        <v>15</v>
      </c>
      <c r="AO25" s="25">
        <f>I25*0.456007366513369</f>
        <v>0</v>
      </c>
      <c r="AP25" s="25">
        <f>I25*(1-0.456007366513369)</f>
        <v>0</v>
      </c>
      <c r="AQ25" s="27" t="s">
        <v>49</v>
      </c>
      <c r="AV25" s="25">
        <f>AW25+AX25</f>
        <v>0</v>
      </c>
      <c r="AW25" s="25">
        <f>H25*AO25</f>
        <v>0</v>
      </c>
      <c r="AX25" s="25">
        <f>H25*AP25</f>
        <v>0</v>
      </c>
      <c r="AY25" s="27" t="s">
        <v>83</v>
      </c>
      <c r="AZ25" s="27" t="s">
        <v>55</v>
      </c>
      <c r="BA25" s="9" t="s">
        <v>56</v>
      </c>
      <c r="BC25" s="25">
        <f>AW25+AX25</f>
        <v>0</v>
      </c>
      <c r="BD25" s="25">
        <f>I25/(100-BE25)*100</f>
        <v>0</v>
      </c>
      <c r="BE25" s="25">
        <v>0</v>
      </c>
      <c r="BF25" s="25">
        <f>25</f>
        <v>25</v>
      </c>
      <c r="BH25" s="25">
        <f>H25*AO25</f>
        <v>0</v>
      </c>
      <c r="BI25" s="25">
        <f>H25*AP25</f>
        <v>0</v>
      </c>
      <c r="BJ25" s="25">
        <f>H25*I25</f>
        <v>0</v>
      </c>
      <c r="BK25" s="25" t="s">
        <v>57</v>
      </c>
      <c r="BL25" s="25">
        <v>17</v>
      </c>
    </row>
    <row r="26" spans="1:14" ht="12.75" customHeight="1">
      <c r="A26" s="1"/>
      <c r="B26" s="32" t="s">
        <v>73</v>
      </c>
      <c r="C26" s="90" t="s">
        <v>91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1"/>
    </row>
    <row r="27" spans="1:47" ht="12.75">
      <c r="A27" s="28"/>
      <c r="B27" s="29" t="s">
        <v>92</v>
      </c>
      <c r="C27" s="89" t="s">
        <v>93</v>
      </c>
      <c r="D27" s="89"/>
      <c r="E27" s="89"/>
      <c r="F27" s="89"/>
      <c r="G27" s="30" t="s">
        <v>4</v>
      </c>
      <c r="H27" s="30" t="s">
        <v>4</v>
      </c>
      <c r="I27" s="30" t="s">
        <v>4</v>
      </c>
      <c r="J27" s="23">
        <f>SUM(J28:J31)</f>
        <v>0</v>
      </c>
      <c r="K27" s="23">
        <f>SUM(K28:K31)</f>
        <v>0</v>
      </c>
      <c r="L27" s="23">
        <f>SUM(L28:L31)</f>
        <v>0</v>
      </c>
      <c r="M27" s="31"/>
      <c r="N27" s="1"/>
      <c r="AI27" s="9"/>
      <c r="AS27" s="23">
        <f>SUM(AJ28:AJ31)</f>
        <v>0</v>
      </c>
      <c r="AT27" s="23">
        <f>SUM(AK28:AK31)</f>
        <v>0</v>
      </c>
      <c r="AU27" s="23">
        <f>SUM(AL28:AL31)</f>
        <v>0</v>
      </c>
    </row>
    <row r="28" spans="1:64" ht="12.75">
      <c r="A28" s="24" t="s">
        <v>94</v>
      </c>
      <c r="B28" s="2" t="s">
        <v>95</v>
      </c>
      <c r="C28" s="79" t="s">
        <v>96</v>
      </c>
      <c r="D28" s="79"/>
      <c r="E28" s="79"/>
      <c r="F28" s="79"/>
      <c r="G28" s="2" t="s">
        <v>52</v>
      </c>
      <c r="H28" s="25">
        <v>8.3625</v>
      </c>
      <c r="I28" s="25">
        <v>0</v>
      </c>
      <c r="J28" s="25">
        <f>H28*AO28</f>
        <v>0</v>
      </c>
      <c r="K28" s="25">
        <f>H28*AP28</f>
        <v>0</v>
      </c>
      <c r="L28" s="25">
        <f>H28*I28</f>
        <v>0</v>
      </c>
      <c r="M28" s="26" t="s">
        <v>53</v>
      </c>
      <c r="N28" s="1"/>
      <c r="Z28" s="25">
        <f>IF(AQ28="5",BJ28,0)</f>
        <v>0</v>
      </c>
      <c r="AB28" s="25">
        <f>IF(AQ28="1",BH28,0)</f>
        <v>0</v>
      </c>
      <c r="AC28" s="25">
        <f>IF(AQ28="1",BI28,0)</f>
        <v>0</v>
      </c>
      <c r="AD28" s="25">
        <f>IF(AQ28="7",BH28,0)</f>
        <v>0</v>
      </c>
      <c r="AE28" s="25">
        <f>IF(AQ28="7",BI28,0)</f>
        <v>0</v>
      </c>
      <c r="AF28" s="25">
        <f>IF(AQ28="2",BH28,0)</f>
        <v>0</v>
      </c>
      <c r="AG28" s="25">
        <f>IF(AQ28="2",BI28,0)</f>
        <v>0</v>
      </c>
      <c r="AH28" s="25">
        <f>IF(AQ28="0",BJ28,0)</f>
        <v>0</v>
      </c>
      <c r="AI28" s="9"/>
      <c r="AJ28" s="25">
        <f>IF(AN28=0,L28,0)</f>
        <v>0</v>
      </c>
      <c r="AK28" s="25">
        <f>IF(AN28=15,L28,0)</f>
        <v>0</v>
      </c>
      <c r="AL28" s="25">
        <f>IF(AN28=21,L28,0)</f>
        <v>0</v>
      </c>
      <c r="AN28" s="25">
        <v>15</v>
      </c>
      <c r="AO28" s="25">
        <f>I28*0.902045454545454</f>
        <v>0</v>
      </c>
      <c r="AP28" s="25">
        <f>I28*(1-0.902045454545454)</f>
        <v>0</v>
      </c>
      <c r="AQ28" s="27" t="s">
        <v>49</v>
      </c>
      <c r="AV28" s="25">
        <f>AW28+AX28</f>
        <v>0</v>
      </c>
      <c r="AW28" s="25">
        <f>H28*AO28</f>
        <v>0</v>
      </c>
      <c r="AX28" s="25">
        <f>H28*AP28</f>
        <v>0</v>
      </c>
      <c r="AY28" s="27" t="s">
        <v>97</v>
      </c>
      <c r="AZ28" s="27" t="s">
        <v>98</v>
      </c>
      <c r="BA28" s="9" t="s">
        <v>56</v>
      </c>
      <c r="BC28" s="25">
        <f>AW28+AX28</f>
        <v>0</v>
      </c>
      <c r="BD28" s="25">
        <f>I28/(100-BE28)*100</f>
        <v>0</v>
      </c>
      <c r="BE28" s="25">
        <v>0</v>
      </c>
      <c r="BF28" s="25">
        <f>28</f>
        <v>28</v>
      </c>
      <c r="BH28" s="25">
        <f>H28*AO28</f>
        <v>0</v>
      </c>
      <c r="BI28" s="25">
        <f>H28*AP28</f>
        <v>0</v>
      </c>
      <c r="BJ28" s="25">
        <f>H28*I28</f>
        <v>0</v>
      </c>
      <c r="BK28" s="25" t="s">
        <v>57</v>
      </c>
      <c r="BL28" s="25">
        <v>27</v>
      </c>
    </row>
    <row r="29" spans="1:64" ht="12.75">
      <c r="A29" s="24" t="s">
        <v>99</v>
      </c>
      <c r="B29" s="2" t="s">
        <v>100</v>
      </c>
      <c r="C29" s="79" t="s">
        <v>101</v>
      </c>
      <c r="D29" s="79"/>
      <c r="E29" s="79"/>
      <c r="F29" s="79"/>
      <c r="G29" s="2" t="s">
        <v>102</v>
      </c>
      <c r="H29" s="25">
        <v>0.33116</v>
      </c>
      <c r="I29" s="25">
        <v>0</v>
      </c>
      <c r="J29" s="25">
        <f>H29*AO29</f>
        <v>0</v>
      </c>
      <c r="K29" s="25">
        <f>H29*AP29</f>
        <v>0</v>
      </c>
      <c r="L29" s="25">
        <f>H29*I29</f>
        <v>0</v>
      </c>
      <c r="M29" s="26" t="s">
        <v>53</v>
      </c>
      <c r="N29" s="1"/>
      <c r="Z29" s="25">
        <f>IF(AQ29="5",BJ29,0)</f>
        <v>0</v>
      </c>
      <c r="AB29" s="25">
        <f>IF(AQ29="1",BH29,0)</f>
        <v>0</v>
      </c>
      <c r="AC29" s="25">
        <f>IF(AQ29="1",BI29,0)</f>
        <v>0</v>
      </c>
      <c r="AD29" s="25">
        <f>IF(AQ29="7",BH29,0)</f>
        <v>0</v>
      </c>
      <c r="AE29" s="25">
        <f>IF(AQ29="7",BI29,0)</f>
        <v>0</v>
      </c>
      <c r="AF29" s="25">
        <f>IF(AQ29="2",BH29,0)</f>
        <v>0</v>
      </c>
      <c r="AG29" s="25">
        <f>IF(AQ29="2",BI29,0)</f>
        <v>0</v>
      </c>
      <c r="AH29" s="25">
        <f>IF(AQ29="0",BJ29,0)</f>
        <v>0</v>
      </c>
      <c r="AI29" s="9"/>
      <c r="AJ29" s="25">
        <f>IF(AN29=0,L29,0)</f>
        <v>0</v>
      </c>
      <c r="AK29" s="25">
        <f>IF(AN29=15,L29,0)</f>
        <v>0</v>
      </c>
      <c r="AL29" s="25">
        <f>IF(AN29=21,L29,0)</f>
        <v>0</v>
      </c>
      <c r="AN29" s="25">
        <v>15</v>
      </c>
      <c r="AO29" s="25">
        <f>I29*0.782882984877506</f>
        <v>0</v>
      </c>
      <c r="AP29" s="25">
        <f>I29*(1-0.782882984877506)</f>
        <v>0</v>
      </c>
      <c r="AQ29" s="27" t="s">
        <v>49</v>
      </c>
      <c r="AV29" s="25">
        <f>AW29+AX29</f>
        <v>0</v>
      </c>
      <c r="AW29" s="25">
        <f>H29*AO29</f>
        <v>0</v>
      </c>
      <c r="AX29" s="25">
        <f>H29*AP29</f>
        <v>0</v>
      </c>
      <c r="AY29" s="27" t="s">
        <v>97</v>
      </c>
      <c r="AZ29" s="27" t="s">
        <v>98</v>
      </c>
      <c r="BA29" s="9" t="s">
        <v>56</v>
      </c>
      <c r="BC29" s="25">
        <f>AW29+AX29</f>
        <v>0</v>
      </c>
      <c r="BD29" s="25">
        <f>I29/(100-BE29)*100</f>
        <v>0</v>
      </c>
      <c r="BE29" s="25">
        <v>0</v>
      </c>
      <c r="BF29" s="25">
        <f>29</f>
        <v>29</v>
      </c>
      <c r="BH29" s="25">
        <f>H29*AO29</f>
        <v>0</v>
      </c>
      <c r="BI29" s="25">
        <f>H29*AP29</f>
        <v>0</v>
      </c>
      <c r="BJ29" s="25">
        <f>H29*I29</f>
        <v>0</v>
      </c>
      <c r="BK29" s="25" t="s">
        <v>57</v>
      </c>
      <c r="BL29" s="25">
        <v>27</v>
      </c>
    </row>
    <row r="30" spans="1:14" ht="12.75" customHeight="1">
      <c r="A30" s="1"/>
      <c r="B30" s="32" t="s">
        <v>73</v>
      </c>
      <c r="C30" s="90" t="s">
        <v>103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1"/>
    </row>
    <row r="31" spans="1:64" ht="12.75">
      <c r="A31" s="24" t="s">
        <v>104</v>
      </c>
      <c r="B31" s="2" t="s">
        <v>105</v>
      </c>
      <c r="C31" s="79" t="s">
        <v>106</v>
      </c>
      <c r="D31" s="79"/>
      <c r="E31" s="79"/>
      <c r="F31" s="79"/>
      <c r="G31" s="2" t="s">
        <v>52</v>
      </c>
      <c r="H31" s="25">
        <v>2.81531</v>
      </c>
      <c r="I31" s="25">
        <v>0</v>
      </c>
      <c r="J31" s="25">
        <f>H31*AO31</f>
        <v>0</v>
      </c>
      <c r="K31" s="25">
        <f>H31*AP31</f>
        <v>0</v>
      </c>
      <c r="L31" s="25">
        <f>H31*I31</f>
        <v>0</v>
      </c>
      <c r="M31" s="26" t="s">
        <v>53</v>
      </c>
      <c r="N31" s="1"/>
      <c r="Z31" s="25">
        <f>IF(AQ31="5",BJ31,0)</f>
        <v>0</v>
      </c>
      <c r="AB31" s="25">
        <f>IF(AQ31="1",BH31,0)</f>
        <v>0</v>
      </c>
      <c r="AC31" s="25">
        <f>IF(AQ31="1",BI31,0)</f>
        <v>0</v>
      </c>
      <c r="AD31" s="25">
        <f>IF(AQ31="7",BH31,0)</f>
        <v>0</v>
      </c>
      <c r="AE31" s="25">
        <f>IF(AQ31="7",BI31,0)</f>
        <v>0</v>
      </c>
      <c r="AF31" s="25">
        <f>IF(AQ31="2",BH31,0)</f>
        <v>0</v>
      </c>
      <c r="AG31" s="25">
        <f>IF(AQ31="2",BI31,0)</f>
        <v>0</v>
      </c>
      <c r="AH31" s="25">
        <f>IF(AQ31="0",BJ31,0)</f>
        <v>0</v>
      </c>
      <c r="AI31" s="9"/>
      <c r="AJ31" s="25">
        <f>IF(AN31=0,L31,0)</f>
        <v>0</v>
      </c>
      <c r="AK31" s="25">
        <f>IF(AN31=15,L31,0)</f>
        <v>0</v>
      </c>
      <c r="AL31" s="25">
        <f>IF(AN31=21,L31,0)</f>
        <v>0</v>
      </c>
      <c r="AN31" s="25">
        <v>15</v>
      </c>
      <c r="AO31" s="25">
        <f>I31*0.891821680870104</f>
        <v>0</v>
      </c>
      <c r="AP31" s="25">
        <f>I31*(1-0.891821680870104)</f>
        <v>0</v>
      </c>
      <c r="AQ31" s="27" t="s">
        <v>49</v>
      </c>
      <c r="AV31" s="25">
        <f>AW31+AX31</f>
        <v>0</v>
      </c>
      <c r="AW31" s="25">
        <f>H31*AO31</f>
        <v>0</v>
      </c>
      <c r="AX31" s="25">
        <f>H31*AP31</f>
        <v>0</v>
      </c>
      <c r="AY31" s="27" t="s">
        <v>97</v>
      </c>
      <c r="AZ31" s="27" t="s">
        <v>98</v>
      </c>
      <c r="BA31" s="9" t="s">
        <v>56</v>
      </c>
      <c r="BC31" s="25">
        <f>AW31+AX31</f>
        <v>0</v>
      </c>
      <c r="BD31" s="25">
        <f>I31/(100-BE31)*100</f>
        <v>0</v>
      </c>
      <c r="BE31" s="25">
        <v>0</v>
      </c>
      <c r="BF31" s="25">
        <f>31</f>
        <v>31</v>
      </c>
      <c r="BH31" s="25">
        <f>H31*AO31</f>
        <v>0</v>
      </c>
      <c r="BI31" s="25">
        <f>H31*AP31</f>
        <v>0</v>
      </c>
      <c r="BJ31" s="25">
        <f>H31*I31</f>
        <v>0</v>
      </c>
      <c r="BK31" s="25" t="s">
        <v>57</v>
      </c>
      <c r="BL31" s="25">
        <v>27</v>
      </c>
    </row>
    <row r="32" spans="1:14" ht="12.75" customHeight="1">
      <c r="A32" s="1"/>
      <c r="B32" s="32" t="s">
        <v>73</v>
      </c>
      <c r="C32" s="90" t="s">
        <v>107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1"/>
    </row>
    <row r="33" spans="1:47" ht="12.75">
      <c r="A33" s="28"/>
      <c r="B33" s="29" t="s">
        <v>108</v>
      </c>
      <c r="C33" s="89" t="s">
        <v>109</v>
      </c>
      <c r="D33" s="89"/>
      <c r="E33" s="89"/>
      <c r="F33" s="89"/>
      <c r="G33" s="30" t="s">
        <v>4</v>
      </c>
      <c r="H33" s="30" t="s">
        <v>4</v>
      </c>
      <c r="I33" s="30" t="s">
        <v>4</v>
      </c>
      <c r="J33" s="23">
        <f>SUM(J34:J34)</f>
        <v>0</v>
      </c>
      <c r="K33" s="23">
        <f>SUM(K34:K34)</f>
        <v>0</v>
      </c>
      <c r="L33" s="23">
        <f>SUM(L34:L34)</f>
        <v>0</v>
      </c>
      <c r="M33" s="31"/>
      <c r="N33" s="1"/>
      <c r="AI33" s="9"/>
      <c r="AS33" s="23">
        <f>SUM(AJ34:AJ34)</f>
        <v>0</v>
      </c>
      <c r="AT33" s="23">
        <f>SUM(AK34:AK34)</f>
        <v>0</v>
      </c>
      <c r="AU33" s="23">
        <f>SUM(AL34:AL34)</f>
        <v>0</v>
      </c>
    </row>
    <row r="34" spans="1:64" ht="12.75">
      <c r="A34" s="24" t="s">
        <v>47</v>
      </c>
      <c r="B34" s="2" t="s">
        <v>110</v>
      </c>
      <c r="C34" s="79" t="s">
        <v>111</v>
      </c>
      <c r="D34" s="79"/>
      <c r="E34" s="79"/>
      <c r="F34" s="79"/>
      <c r="G34" s="2" t="s">
        <v>112</v>
      </c>
      <c r="H34" s="25">
        <v>55.75</v>
      </c>
      <c r="I34" s="25">
        <v>0</v>
      </c>
      <c r="J34" s="25">
        <f>H34*AO34</f>
        <v>0</v>
      </c>
      <c r="K34" s="25">
        <f>H34*AP34</f>
        <v>0</v>
      </c>
      <c r="L34" s="25">
        <f>H34*I34</f>
        <v>0</v>
      </c>
      <c r="M34" s="26" t="s">
        <v>53</v>
      </c>
      <c r="N34" s="1"/>
      <c r="Z34" s="25">
        <f>IF(AQ34="5",BJ34,0)</f>
        <v>0</v>
      </c>
      <c r="AB34" s="25">
        <f>IF(AQ34="1",BH34,0)</f>
        <v>0</v>
      </c>
      <c r="AC34" s="25">
        <f>IF(AQ34="1",BI34,0)</f>
        <v>0</v>
      </c>
      <c r="AD34" s="25">
        <f>IF(AQ34="7",BH34,0)</f>
        <v>0</v>
      </c>
      <c r="AE34" s="25">
        <f>IF(AQ34="7",BI34,0)</f>
        <v>0</v>
      </c>
      <c r="AF34" s="25">
        <f>IF(AQ34="2",BH34,0)</f>
        <v>0</v>
      </c>
      <c r="AG34" s="25">
        <f>IF(AQ34="2",BI34,0)</f>
        <v>0</v>
      </c>
      <c r="AH34" s="25">
        <f>IF(AQ34="0",BJ34,0)</f>
        <v>0</v>
      </c>
      <c r="AI34" s="9"/>
      <c r="AJ34" s="25">
        <f>IF(AN34=0,L34,0)</f>
        <v>0</v>
      </c>
      <c r="AK34" s="25">
        <f>IF(AN34=15,L34,0)</f>
        <v>0</v>
      </c>
      <c r="AL34" s="25">
        <f>IF(AN34=21,L34,0)</f>
        <v>0</v>
      </c>
      <c r="AN34" s="25">
        <v>15</v>
      </c>
      <c r="AO34" s="25">
        <f>I34*0.746199174670984</f>
        <v>0</v>
      </c>
      <c r="AP34" s="25">
        <f>I34*(1-0.746199174670984)</f>
        <v>0</v>
      </c>
      <c r="AQ34" s="27" t="s">
        <v>49</v>
      </c>
      <c r="AV34" s="25">
        <f>AW34+AX34</f>
        <v>0</v>
      </c>
      <c r="AW34" s="25">
        <f>H34*AO34</f>
        <v>0</v>
      </c>
      <c r="AX34" s="25">
        <f>H34*AP34</f>
        <v>0</v>
      </c>
      <c r="AY34" s="27" t="s">
        <v>113</v>
      </c>
      <c r="AZ34" s="27" t="s">
        <v>114</v>
      </c>
      <c r="BA34" s="9" t="s">
        <v>56</v>
      </c>
      <c r="BC34" s="25">
        <f>AW34+AX34</f>
        <v>0</v>
      </c>
      <c r="BD34" s="25">
        <f>I34/(100-BE34)*100</f>
        <v>0</v>
      </c>
      <c r="BE34" s="25">
        <v>0</v>
      </c>
      <c r="BF34" s="25">
        <f>34</f>
        <v>34</v>
      </c>
      <c r="BH34" s="25">
        <f>H34*AO34</f>
        <v>0</v>
      </c>
      <c r="BI34" s="25">
        <f>H34*AP34</f>
        <v>0</v>
      </c>
      <c r="BJ34" s="25">
        <f>H34*I34</f>
        <v>0</v>
      </c>
      <c r="BK34" s="25" t="s">
        <v>57</v>
      </c>
      <c r="BL34" s="25">
        <v>45</v>
      </c>
    </row>
    <row r="35" spans="1:47" ht="12.75">
      <c r="A35" s="28"/>
      <c r="B35" s="29" t="s">
        <v>115</v>
      </c>
      <c r="C35" s="89" t="s">
        <v>116</v>
      </c>
      <c r="D35" s="89"/>
      <c r="E35" s="89"/>
      <c r="F35" s="89"/>
      <c r="G35" s="30" t="s">
        <v>4</v>
      </c>
      <c r="H35" s="30" t="s">
        <v>4</v>
      </c>
      <c r="I35" s="30" t="s">
        <v>4</v>
      </c>
      <c r="J35" s="23">
        <f>SUM(J36:J36)</f>
        <v>0</v>
      </c>
      <c r="K35" s="23">
        <f>SUM(K36:K36)</f>
        <v>0</v>
      </c>
      <c r="L35" s="23">
        <f>SUM(L36:L36)</f>
        <v>0</v>
      </c>
      <c r="M35" s="31"/>
      <c r="N35" s="1"/>
      <c r="AI35" s="9"/>
      <c r="AS35" s="23">
        <f>SUM(AJ36:AJ36)</f>
        <v>0</v>
      </c>
      <c r="AT35" s="23">
        <f>SUM(AK36:AK36)</f>
        <v>0</v>
      </c>
      <c r="AU35" s="23">
        <f>SUM(AL36:AL36)</f>
        <v>0</v>
      </c>
    </row>
    <row r="36" spans="1:64" ht="12.75">
      <c r="A36" s="24" t="s">
        <v>117</v>
      </c>
      <c r="B36" s="2" t="s">
        <v>118</v>
      </c>
      <c r="C36" s="79" t="s">
        <v>119</v>
      </c>
      <c r="D36" s="79"/>
      <c r="E36" s="79"/>
      <c r="F36" s="79"/>
      <c r="G36" s="2" t="s">
        <v>112</v>
      </c>
      <c r="H36" s="25">
        <v>19.646</v>
      </c>
      <c r="I36" s="25">
        <v>0</v>
      </c>
      <c r="J36" s="25">
        <f>H36*AO36</f>
        <v>0</v>
      </c>
      <c r="K36" s="25">
        <f>H36*AP36</f>
        <v>0</v>
      </c>
      <c r="L36" s="25">
        <f>H36*I36</f>
        <v>0</v>
      </c>
      <c r="M36" s="26" t="s">
        <v>53</v>
      </c>
      <c r="N36" s="1"/>
      <c r="Z36" s="25">
        <f>IF(AQ36="5",BJ36,0)</f>
        <v>0</v>
      </c>
      <c r="AB36" s="25">
        <f>IF(AQ36="1",BH36,0)</f>
        <v>0</v>
      </c>
      <c r="AC36" s="25">
        <f>IF(AQ36="1",BI36,0)</f>
        <v>0</v>
      </c>
      <c r="AD36" s="25">
        <f>IF(AQ36="7",BH36,0)</f>
        <v>0</v>
      </c>
      <c r="AE36" s="25">
        <f>IF(AQ36="7",BI36,0)</f>
        <v>0</v>
      </c>
      <c r="AF36" s="25">
        <f>IF(AQ36="2",BH36,0)</f>
        <v>0</v>
      </c>
      <c r="AG36" s="25">
        <f>IF(AQ36="2",BI36,0)</f>
        <v>0</v>
      </c>
      <c r="AH36" s="25">
        <f>IF(AQ36="0",BJ36,0)</f>
        <v>0</v>
      </c>
      <c r="AI36" s="9"/>
      <c r="AJ36" s="25">
        <f>IF(AN36=0,L36,0)</f>
        <v>0</v>
      </c>
      <c r="AK36" s="25">
        <f>IF(AN36=15,L36,0)</f>
        <v>0</v>
      </c>
      <c r="AL36" s="25">
        <f>IF(AN36=21,L36,0)</f>
        <v>0</v>
      </c>
      <c r="AN36" s="25">
        <v>15</v>
      </c>
      <c r="AO36" s="25">
        <f>I36*0.854846182142745</f>
        <v>0</v>
      </c>
      <c r="AP36" s="25">
        <f>I36*(1-0.854846182142745)</f>
        <v>0</v>
      </c>
      <c r="AQ36" s="27" t="s">
        <v>49</v>
      </c>
      <c r="AV36" s="25">
        <f>AW36+AX36</f>
        <v>0</v>
      </c>
      <c r="AW36" s="25">
        <f>H36*AO36</f>
        <v>0</v>
      </c>
      <c r="AX36" s="25">
        <f>H36*AP36</f>
        <v>0</v>
      </c>
      <c r="AY36" s="27" t="s">
        <v>120</v>
      </c>
      <c r="AZ36" s="27" t="s">
        <v>121</v>
      </c>
      <c r="BA36" s="9" t="s">
        <v>56</v>
      </c>
      <c r="BC36" s="25">
        <f>AW36+AX36</f>
        <v>0</v>
      </c>
      <c r="BD36" s="25">
        <f>I36/(100-BE36)*100</f>
        <v>0</v>
      </c>
      <c r="BE36" s="25">
        <v>0</v>
      </c>
      <c r="BF36" s="25">
        <f>36</f>
        <v>36</v>
      </c>
      <c r="BH36" s="25">
        <f>H36*AO36</f>
        <v>0</v>
      </c>
      <c r="BI36" s="25">
        <f>H36*AP36</f>
        <v>0</v>
      </c>
      <c r="BJ36" s="25">
        <f>H36*I36</f>
        <v>0</v>
      </c>
      <c r="BK36" s="25" t="s">
        <v>57</v>
      </c>
      <c r="BL36" s="25">
        <v>56</v>
      </c>
    </row>
    <row r="37" spans="1:47" ht="12.75">
      <c r="A37" s="28"/>
      <c r="B37" s="29" t="s">
        <v>122</v>
      </c>
      <c r="C37" s="89" t="s">
        <v>123</v>
      </c>
      <c r="D37" s="89"/>
      <c r="E37" s="89"/>
      <c r="F37" s="89"/>
      <c r="G37" s="30" t="s">
        <v>4</v>
      </c>
      <c r="H37" s="30" t="s">
        <v>4</v>
      </c>
      <c r="I37" s="30" t="s">
        <v>4</v>
      </c>
      <c r="J37" s="23">
        <f>SUM(J38:J38)</f>
        <v>0</v>
      </c>
      <c r="K37" s="23">
        <f>SUM(K38:K38)</f>
        <v>0</v>
      </c>
      <c r="L37" s="23">
        <f>SUM(L38:L38)</f>
        <v>0</v>
      </c>
      <c r="M37" s="31"/>
      <c r="N37" s="1"/>
      <c r="AI37" s="9"/>
      <c r="AS37" s="23">
        <f>SUM(AJ38:AJ38)</f>
        <v>0</v>
      </c>
      <c r="AT37" s="23">
        <f>SUM(AK38:AK38)</f>
        <v>0</v>
      </c>
      <c r="AU37" s="23">
        <f>SUM(AL38:AL38)</f>
        <v>0</v>
      </c>
    </row>
    <row r="38" spans="1:64" ht="12.75">
      <c r="A38" s="24" t="s">
        <v>124</v>
      </c>
      <c r="B38" s="2" t="s">
        <v>125</v>
      </c>
      <c r="C38" s="79" t="s">
        <v>126</v>
      </c>
      <c r="D38" s="79"/>
      <c r="E38" s="79"/>
      <c r="F38" s="79"/>
      <c r="G38" s="2" t="s">
        <v>112</v>
      </c>
      <c r="H38" s="25">
        <v>19.646</v>
      </c>
      <c r="I38" s="25">
        <v>0</v>
      </c>
      <c r="J38" s="25">
        <f>H38*AO38</f>
        <v>0</v>
      </c>
      <c r="K38" s="25">
        <f>H38*AP38</f>
        <v>0</v>
      </c>
      <c r="L38" s="25">
        <f>H38*I38</f>
        <v>0</v>
      </c>
      <c r="M38" s="26" t="s">
        <v>53</v>
      </c>
      <c r="N38" s="1"/>
      <c r="Z38" s="25">
        <f>IF(AQ38="5",BJ38,0)</f>
        <v>0</v>
      </c>
      <c r="AB38" s="25">
        <f>IF(AQ38="1",BH38,0)</f>
        <v>0</v>
      </c>
      <c r="AC38" s="25">
        <f>IF(AQ38="1",BI38,0)</f>
        <v>0</v>
      </c>
      <c r="AD38" s="25">
        <f>IF(AQ38="7",BH38,0)</f>
        <v>0</v>
      </c>
      <c r="AE38" s="25">
        <f>IF(AQ38="7",BI38,0)</f>
        <v>0</v>
      </c>
      <c r="AF38" s="25">
        <f>IF(AQ38="2",BH38,0)</f>
        <v>0</v>
      </c>
      <c r="AG38" s="25">
        <f>IF(AQ38="2",BI38,0)</f>
        <v>0</v>
      </c>
      <c r="AH38" s="25">
        <f>IF(AQ38="0",BJ38,0)</f>
        <v>0</v>
      </c>
      <c r="AI38" s="9"/>
      <c r="AJ38" s="25">
        <f>IF(AN38=0,L38,0)</f>
        <v>0</v>
      </c>
      <c r="AK38" s="25">
        <f>IF(AN38=15,L38,0)</f>
        <v>0</v>
      </c>
      <c r="AL38" s="25">
        <f>IF(AN38=21,L38,0)</f>
        <v>0</v>
      </c>
      <c r="AN38" s="25">
        <v>15</v>
      </c>
      <c r="AO38" s="25">
        <f>I38*0.717314312540465</f>
        <v>0</v>
      </c>
      <c r="AP38" s="25">
        <f>I38*(1-0.717314312540465)</f>
        <v>0</v>
      </c>
      <c r="AQ38" s="27" t="s">
        <v>49</v>
      </c>
      <c r="AV38" s="25">
        <f>AW38+AX38</f>
        <v>0</v>
      </c>
      <c r="AW38" s="25">
        <f>H38*AO38</f>
        <v>0</v>
      </c>
      <c r="AX38" s="25">
        <f>H38*AP38</f>
        <v>0</v>
      </c>
      <c r="AY38" s="27" t="s">
        <v>127</v>
      </c>
      <c r="AZ38" s="27" t="s">
        <v>121</v>
      </c>
      <c r="BA38" s="9" t="s">
        <v>56</v>
      </c>
      <c r="BC38" s="25">
        <f>AW38+AX38</f>
        <v>0</v>
      </c>
      <c r="BD38" s="25">
        <f>I38/(100-BE38)*100</f>
        <v>0</v>
      </c>
      <c r="BE38" s="25">
        <v>0</v>
      </c>
      <c r="BF38" s="25">
        <f>38</f>
        <v>38</v>
      </c>
      <c r="BH38" s="25">
        <f>H38*AO38</f>
        <v>0</v>
      </c>
      <c r="BI38" s="25">
        <f>H38*AP38</f>
        <v>0</v>
      </c>
      <c r="BJ38" s="25">
        <f>H38*I38</f>
        <v>0</v>
      </c>
      <c r="BK38" s="25" t="s">
        <v>57</v>
      </c>
      <c r="BL38" s="25">
        <v>59</v>
      </c>
    </row>
    <row r="39" spans="1:14" ht="12.75" customHeight="1">
      <c r="A39" s="1"/>
      <c r="B39" s="32" t="s">
        <v>73</v>
      </c>
      <c r="C39" s="90" t="s">
        <v>128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1"/>
    </row>
    <row r="40" spans="1:47" ht="12.75">
      <c r="A40" s="28"/>
      <c r="B40" s="29" t="s">
        <v>129</v>
      </c>
      <c r="C40" s="89" t="s">
        <v>130</v>
      </c>
      <c r="D40" s="89"/>
      <c r="E40" s="89"/>
      <c r="F40" s="89"/>
      <c r="G40" s="30" t="s">
        <v>4</v>
      </c>
      <c r="H40" s="30" t="s">
        <v>4</v>
      </c>
      <c r="I40" s="30" t="s">
        <v>4</v>
      </c>
      <c r="J40" s="23">
        <f>SUM(J41:J41)</f>
        <v>0</v>
      </c>
      <c r="K40" s="23">
        <f>SUM(K41:K41)</f>
        <v>0</v>
      </c>
      <c r="L40" s="23">
        <f>SUM(L41:L41)</f>
        <v>0</v>
      </c>
      <c r="M40" s="31"/>
      <c r="N40" s="1"/>
      <c r="AI40" s="9"/>
      <c r="AS40" s="23">
        <f>SUM(AJ41:AJ41)</f>
        <v>0</v>
      </c>
      <c r="AT40" s="23">
        <f>SUM(AK41:AK41)</f>
        <v>0</v>
      </c>
      <c r="AU40" s="23">
        <f>SUM(AL41:AL41)</f>
        <v>0</v>
      </c>
    </row>
    <row r="41" spans="1:64" ht="12.75">
      <c r="A41" s="24" t="s">
        <v>64</v>
      </c>
      <c r="B41" s="2" t="s">
        <v>131</v>
      </c>
      <c r="C41" s="79" t="s">
        <v>132</v>
      </c>
      <c r="D41" s="79"/>
      <c r="E41" s="79"/>
      <c r="F41" s="79"/>
      <c r="G41" s="2" t="s">
        <v>112</v>
      </c>
      <c r="H41" s="25">
        <v>25.28675</v>
      </c>
      <c r="I41" s="25">
        <v>0</v>
      </c>
      <c r="J41" s="25">
        <f>H41*AO41</f>
        <v>0</v>
      </c>
      <c r="K41" s="25">
        <f>H41*AP41</f>
        <v>0</v>
      </c>
      <c r="L41" s="25">
        <f>H41*I41</f>
        <v>0</v>
      </c>
      <c r="M41" s="26" t="s">
        <v>53</v>
      </c>
      <c r="N41" s="1"/>
      <c r="Z41" s="25">
        <f>IF(AQ41="5",BJ41,0)</f>
        <v>0</v>
      </c>
      <c r="AB41" s="25">
        <f>IF(AQ41="1",BH41,0)</f>
        <v>0</v>
      </c>
      <c r="AC41" s="25">
        <f>IF(AQ41="1",BI41,0)</f>
        <v>0</v>
      </c>
      <c r="AD41" s="25">
        <f>IF(AQ41="7",BH41,0)</f>
        <v>0</v>
      </c>
      <c r="AE41" s="25">
        <f>IF(AQ41="7",BI41,0)</f>
        <v>0</v>
      </c>
      <c r="AF41" s="25">
        <f>IF(AQ41="2",BH41,0)</f>
        <v>0</v>
      </c>
      <c r="AG41" s="25">
        <f>IF(AQ41="2",BI41,0)</f>
        <v>0</v>
      </c>
      <c r="AH41" s="25">
        <f>IF(AQ41="0",BJ41,0)</f>
        <v>0</v>
      </c>
      <c r="AI41" s="9"/>
      <c r="AJ41" s="25">
        <f>IF(AN41=0,L41,0)</f>
        <v>0</v>
      </c>
      <c r="AK41" s="25">
        <f>IF(AN41=15,L41,0)</f>
        <v>0</v>
      </c>
      <c r="AL41" s="25">
        <f>IF(AN41=21,L41,0)</f>
        <v>0</v>
      </c>
      <c r="AN41" s="25">
        <v>15</v>
      </c>
      <c r="AO41" s="25">
        <f>I41*0.373032295768071</f>
        <v>0</v>
      </c>
      <c r="AP41" s="25">
        <f>I41*(1-0.373032295768071)</f>
        <v>0</v>
      </c>
      <c r="AQ41" s="27" t="s">
        <v>49</v>
      </c>
      <c r="AV41" s="25">
        <f>AW41+AX41</f>
        <v>0</v>
      </c>
      <c r="AW41" s="25">
        <f>H41*AO41</f>
        <v>0</v>
      </c>
      <c r="AX41" s="25">
        <f>H41*AP41</f>
        <v>0</v>
      </c>
      <c r="AY41" s="27" t="s">
        <v>133</v>
      </c>
      <c r="AZ41" s="27" t="s">
        <v>134</v>
      </c>
      <c r="BA41" s="9" t="s">
        <v>56</v>
      </c>
      <c r="BC41" s="25">
        <f>AW41+AX41</f>
        <v>0</v>
      </c>
      <c r="BD41" s="25">
        <f>I41/(100-BE41)*100</f>
        <v>0</v>
      </c>
      <c r="BE41" s="25">
        <v>0</v>
      </c>
      <c r="BF41" s="25">
        <f>41</f>
        <v>41</v>
      </c>
      <c r="BH41" s="25">
        <f>H41*AO41</f>
        <v>0</v>
      </c>
      <c r="BI41" s="25">
        <f>H41*AP41</f>
        <v>0</v>
      </c>
      <c r="BJ41" s="25">
        <f>H41*I41</f>
        <v>0</v>
      </c>
      <c r="BK41" s="25" t="s">
        <v>57</v>
      </c>
      <c r="BL41" s="25">
        <v>60</v>
      </c>
    </row>
    <row r="42" spans="1:47" ht="12.75">
      <c r="A42" s="28"/>
      <c r="B42" s="29" t="s">
        <v>135</v>
      </c>
      <c r="C42" s="89" t="s">
        <v>136</v>
      </c>
      <c r="D42" s="89"/>
      <c r="E42" s="89"/>
      <c r="F42" s="89"/>
      <c r="G42" s="30" t="s">
        <v>4</v>
      </c>
      <c r="H42" s="30" t="s">
        <v>4</v>
      </c>
      <c r="I42" s="30" t="s">
        <v>4</v>
      </c>
      <c r="J42" s="23">
        <f>SUM(J43:J44)</f>
        <v>0</v>
      </c>
      <c r="K42" s="23">
        <f>SUM(K43:K44)</f>
        <v>0</v>
      </c>
      <c r="L42" s="23">
        <f>SUM(L43:L44)</f>
        <v>0</v>
      </c>
      <c r="M42" s="31"/>
      <c r="N42" s="1"/>
      <c r="AI42" s="9"/>
      <c r="AS42" s="23">
        <f>SUM(AJ43:AJ44)</f>
        <v>0</v>
      </c>
      <c r="AT42" s="23">
        <f>SUM(AK43:AK44)</f>
        <v>0</v>
      </c>
      <c r="AU42" s="23">
        <f>SUM(AL43:AL44)</f>
        <v>0</v>
      </c>
    </row>
    <row r="43" spans="1:64" ht="12.75">
      <c r="A43" s="24" t="s">
        <v>78</v>
      </c>
      <c r="B43" s="2" t="s">
        <v>137</v>
      </c>
      <c r="C43" s="79" t="s">
        <v>138</v>
      </c>
      <c r="D43" s="79"/>
      <c r="E43" s="79"/>
      <c r="F43" s="79"/>
      <c r="G43" s="2" t="s">
        <v>112</v>
      </c>
      <c r="H43" s="25">
        <v>27.508</v>
      </c>
      <c r="I43" s="25">
        <v>0</v>
      </c>
      <c r="J43" s="25">
        <f>H43*AO43</f>
        <v>0</v>
      </c>
      <c r="K43" s="25">
        <f>H43*AP43</f>
        <v>0</v>
      </c>
      <c r="L43" s="25">
        <f>H43*I43</f>
        <v>0</v>
      </c>
      <c r="M43" s="26" t="s">
        <v>53</v>
      </c>
      <c r="N43" s="1"/>
      <c r="Z43" s="25">
        <f>IF(AQ43="5",BJ43,0)</f>
        <v>0</v>
      </c>
      <c r="AB43" s="25">
        <f>IF(AQ43="1",BH43,0)</f>
        <v>0</v>
      </c>
      <c r="AC43" s="25">
        <f>IF(AQ43="1",BI43,0)</f>
        <v>0</v>
      </c>
      <c r="AD43" s="25">
        <f>IF(AQ43="7",BH43,0)</f>
        <v>0</v>
      </c>
      <c r="AE43" s="25">
        <f>IF(AQ43="7",BI43,0)</f>
        <v>0</v>
      </c>
      <c r="AF43" s="25">
        <f>IF(AQ43="2",BH43,0)</f>
        <v>0</v>
      </c>
      <c r="AG43" s="25">
        <f>IF(AQ43="2",BI43,0)</f>
        <v>0</v>
      </c>
      <c r="AH43" s="25">
        <f>IF(AQ43="0",BJ43,0)</f>
        <v>0</v>
      </c>
      <c r="AI43" s="9"/>
      <c r="AJ43" s="25">
        <f>IF(AN43=0,L43,0)</f>
        <v>0</v>
      </c>
      <c r="AK43" s="25">
        <f>IF(AN43=15,L43,0)</f>
        <v>0</v>
      </c>
      <c r="AL43" s="25">
        <f>IF(AN43=21,L43,0)</f>
        <v>0</v>
      </c>
      <c r="AN43" s="25">
        <v>15</v>
      </c>
      <c r="AO43" s="25">
        <f>I43*0.447925102300097</f>
        <v>0</v>
      </c>
      <c r="AP43" s="25">
        <f>I43*(1-0.447925102300097)</f>
        <v>0</v>
      </c>
      <c r="AQ43" s="27" t="s">
        <v>49</v>
      </c>
      <c r="AV43" s="25">
        <f>AW43+AX43</f>
        <v>0</v>
      </c>
      <c r="AW43" s="25">
        <f>H43*AO43</f>
        <v>0</v>
      </c>
      <c r="AX43" s="25">
        <f>H43*AP43</f>
        <v>0</v>
      </c>
      <c r="AY43" s="27" t="s">
        <v>139</v>
      </c>
      <c r="AZ43" s="27" t="s">
        <v>134</v>
      </c>
      <c r="BA43" s="9" t="s">
        <v>56</v>
      </c>
      <c r="BC43" s="25">
        <f>AW43+AX43</f>
        <v>0</v>
      </c>
      <c r="BD43" s="25">
        <f>I43/(100-BE43)*100</f>
        <v>0</v>
      </c>
      <c r="BE43" s="25">
        <v>0</v>
      </c>
      <c r="BF43" s="25">
        <f>43</f>
        <v>43</v>
      </c>
      <c r="BH43" s="25">
        <f>H43*AO43</f>
        <v>0</v>
      </c>
      <c r="BI43" s="25">
        <f>H43*AP43</f>
        <v>0</v>
      </c>
      <c r="BJ43" s="25">
        <f>H43*I43</f>
        <v>0</v>
      </c>
      <c r="BK43" s="25" t="s">
        <v>57</v>
      </c>
      <c r="BL43" s="25">
        <v>61</v>
      </c>
    </row>
    <row r="44" spans="1:64" ht="12.75">
      <c r="A44" s="24" t="s">
        <v>140</v>
      </c>
      <c r="B44" s="2" t="s">
        <v>141</v>
      </c>
      <c r="C44" s="79" t="s">
        <v>142</v>
      </c>
      <c r="D44" s="79"/>
      <c r="E44" s="79"/>
      <c r="F44" s="79"/>
      <c r="G44" s="2" t="s">
        <v>112</v>
      </c>
      <c r="H44" s="25">
        <v>151.94825</v>
      </c>
      <c r="I44" s="25">
        <v>0</v>
      </c>
      <c r="J44" s="25">
        <f>H44*AO44</f>
        <v>0</v>
      </c>
      <c r="K44" s="25">
        <f>H44*AP44</f>
        <v>0</v>
      </c>
      <c r="L44" s="25">
        <f>H44*I44</f>
        <v>0</v>
      </c>
      <c r="M44" s="26" t="s">
        <v>53</v>
      </c>
      <c r="N44" s="1"/>
      <c r="Z44" s="25">
        <f>IF(AQ44="5",BJ44,0)</f>
        <v>0</v>
      </c>
      <c r="AB44" s="25">
        <f>IF(AQ44="1",BH44,0)</f>
        <v>0</v>
      </c>
      <c r="AC44" s="25">
        <f>IF(AQ44="1",BI44,0)</f>
        <v>0</v>
      </c>
      <c r="AD44" s="25">
        <f>IF(AQ44="7",BH44,0)</f>
        <v>0</v>
      </c>
      <c r="AE44" s="25">
        <f>IF(AQ44="7",BI44,0)</f>
        <v>0</v>
      </c>
      <c r="AF44" s="25">
        <f>IF(AQ44="2",BH44,0)</f>
        <v>0</v>
      </c>
      <c r="AG44" s="25">
        <f>IF(AQ44="2",BI44,0)</f>
        <v>0</v>
      </c>
      <c r="AH44" s="25">
        <f>IF(AQ44="0",BJ44,0)</f>
        <v>0</v>
      </c>
      <c r="AI44" s="9"/>
      <c r="AJ44" s="25">
        <f>IF(AN44=0,L44,0)</f>
        <v>0</v>
      </c>
      <c r="AK44" s="25">
        <f>IF(AN44=15,L44,0)</f>
        <v>0</v>
      </c>
      <c r="AL44" s="25">
        <f>IF(AN44=21,L44,0)</f>
        <v>0</v>
      </c>
      <c r="AN44" s="25">
        <v>15</v>
      </c>
      <c r="AO44" s="25">
        <f>I44*0.43065648314078</f>
        <v>0</v>
      </c>
      <c r="AP44" s="25">
        <f>I44*(1-0.43065648314078)</f>
        <v>0</v>
      </c>
      <c r="AQ44" s="27" t="s">
        <v>49</v>
      </c>
      <c r="AV44" s="25">
        <f>AW44+AX44</f>
        <v>0</v>
      </c>
      <c r="AW44" s="25">
        <f>H44*AO44</f>
        <v>0</v>
      </c>
      <c r="AX44" s="25">
        <f>H44*AP44</f>
        <v>0</v>
      </c>
      <c r="AY44" s="27" t="s">
        <v>139</v>
      </c>
      <c r="AZ44" s="27" t="s">
        <v>134</v>
      </c>
      <c r="BA44" s="9" t="s">
        <v>56</v>
      </c>
      <c r="BC44" s="25">
        <f>AW44+AX44</f>
        <v>0</v>
      </c>
      <c r="BD44" s="25">
        <f>I44/(100-BE44)*100</f>
        <v>0</v>
      </c>
      <c r="BE44" s="25">
        <v>0</v>
      </c>
      <c r="BF44" s="25">
        <f>44</f>
        <v>44</v>
      </c>
      <c r="BH44" s="25">
        <f>H44*AO44</f>
        <v>0</v>
      </c>
      <c r="BI44" s="25">
        <f>H44*AP44</f>
        <v>0</v>
      </c>
      <c r="BJ44" s="25">
        <f>H44*I44</f>
        <v>0</v>
      </c>
      <c r="BK44" s="25" t="s">
        <v>57</v>
      </c>
      <c r="BL44" s="25">
        <v>61</v>
      </c>
    </row>
    <row r="45" spans="1:14" ht="12.75" customHeight="1">
      <c r="A45" s="1"/>
      <c r="B45" s="32" t="s">
        <v>73</v>
      </c>
      <c r="C45" s="90" t="s">
        <v>143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1"/>
    </row>
    <row r="46" spans="1:47" ht="12.75">
      <c r="A46" s="28"/>
      <c r="B46" s="29" t="s">
        <v>144</v>
      </c>
      <c r="C46" s="89" t="s">
        <v>145</v>
      </c>
      <c r="D46" s="89"/>
      <c r="E46" s="89"/>
      <c r="F46" s="89"/>
      <c r="G46" s="30" t="s">
        <v>4</v>
      </c>
      <c r="H46" s="30" t="s">
        <v>4</v>
      </c>
      <c r="I46" s="30" t="s">
        <v>4</v>
      </c>
      <c r="J46" s="23">
        <f>SUM(J47:J47)</f>
        <v>0</v>
      </c>
      <c r="K46" s="23">
        <f>SUM(K47:K47)</f>
        <v>0</v>
      </c>
      <c r="L46" s="23">
        <f>SUM(L47:L47)</f>
        <v>0</v>
      </c>
      <c r="M46" s="31"/>
      <c r="N46" s="1"/>
      <c r="AI46" s="9"/>
      <c r="AS46" s="23">
        <f>SUM(AJ47:AJ47)</f>
        <v>0</v>
      </c>
      <c r="AT46" s="23">
        <f>SUM(AK47:AK47)</f>
        <v>0</v>
      </c>
      <c r="AU46" s="23">
        <f>SUM(AL47:AL47)</f>
        <v>0</v>
      </c>
    </row>
    <row r="47" spans="1:64" ht="12.75">
      <c r="A47" s="24" t="s">
        <v>146</v>
      </c>
      <c r="B47" s="2" t="s">
        <v>147</v>
      </c>
      <c r="C47" s="79" t="s">
        <v>148</v>
      </c>
      <c r="D47" s="79"/>
      <c r="E47" s="79"/>
      <c r="F47" s="79"/>
      <c r="G47" s="2" t="s">
        <v>112</v>
      </c>
      <c r="H47" s="25">
        <v>35.75</v>
      </c>
      <c r="I47" s="25">
        <v>0</v>
      </c>
      <c r="J47" s="25">
        <f>H47*AO47</f>
        <v>0</v>
      </c>
      <c r="K47" s="25">
        <f>H47*AP47</f>
        <v>0</v>
      </c>
      <c r="L47" s="25">
        <f>H47*I47</f>
        <v>0</v>
      </c>
      <c r="M47" s="26" t="s">
        <v>53</v>
      </c>
      <c r="N47" s="1"/>
      <c r="Z47" s="25">
        <f>IF(AQ47="5",BJ47,0)</f>
        <v>0</v>
      </c>
      <c r="AB47" s="25">
        <f>IF(AQ47="1",BH47,0)</f>
        <v>0</v>
      </c>
      <c r="AC47" s="25">
        <f>IF(AQ47="1",BI47,0)</f>
        <v>0</v>
      </c>
      <c r="AD47" s="25">
        <f>IF(AQ47="7",BH47,0)</f>
        <v>0</v>
      </c>
      <c r="AE47" s="25">
        <f>IF(AQ47="7",BI47,0)</f>
        <v>0</v>
      </c>
      <c r="AF47" s="25">
        <f>IF(AQ47="2",BH47,0)</f>
        <v>0</v>
      </c>
      <c r="AG47" s="25">
        <f>IF(AQ47="2",BI47,0)</f>
        <v>0</v>
      </c>
      <c r="AH47" s="25">
        <f>IF(AQ47="0",BJ47,0)</f>
        <v>0</v>
      </c>
      <c r="AI47" s="9"/>
      <c r="AJ47" s="25">
        <f>IF(AN47=0,L47,0)</f>
        <v>0</v>
      </c>
      <c r="AK47" s="25">
        <f>IF(AN47=15,L47,0)</f>
        <v>0</v>
      </c>
      <c r="AL47" s="25">
        <f>IF(AN47=21,L47,0)</f>
        <v>0</v>
      </c>
      <c r="AN47" s="25">
        <v>15</v>
      </c>
      <c r="AO47" s="25">
        <f>I47*0.211290322580645</f>
        <v>0</v>
      </c>
      <c r="AP47" s="25">
        <f>I47*(1-0.211290322580645)</f>
        <v>0</v>
      </c>
      <c r="AQ47" s="27" t="s">
        <v>49</v>
      </c>
      <c r="AV47" s="25">
        <f>AW47+AX47</f>
        <v>0</v>
      </c>
      <c r="AW47" s="25">
        <f>H47*AO47</f>
        <v>0</v>
      </c>
      <c r="AX47" s="25">
        <f>H47*AP47</f>
        <v>0</v>
      </c>
      <c r="AY47" s="27" t="s">
        <v>149</v>
      </c>
      <c r="AZ47" s="27" t="s">
        <v>134</v>
      </c>
      <c r="BA47" s="9" t="s">
        <v>56</v>
      </c>
      <c r="BC47" s="25">
        <f>AW47+AX47</f>
        <v>0</v>
      </c>
      <c r="BD47" s="25">
        <f>I47/(100-BE47)*100</f>
        <v>0</v>
      </c>
      <c r="BE47" s="25">
        <v>0</v>
      </c>
      <c r="BF47" s="25">
        <f>47</f>
        <v>47</v>
      </c>
      <c r="BH47" s="25">
        <f>H47*AO47</f>
        <v>0</v>
      </c>
      <c r="BI47" s="25">
        <f>H47*AP47</f>
        <v>0</v>
      </c>
      <c r="BJ47" s="25">
        <f>H47*I47</f>
        <v>0</v>
      </c>
      <c r="BK47" s="25" t="s">
        <v>57</v>
      </c>
      <c r="BL47" s="25">
        <v>62</v>
      </c>
    </row>
    <row r="48" spans="1:47" ht="12.75">
      <c r="A48" s="28"/>
      <c r="B48" s="29" t="s">
        <v>150</v>
      </c>
      <c r="C48" s="89" t="s">
        <v>151</v>
      </c>
      <c r="D48" s="89"/>
      <c r="E48" s="89"/>
      <c r="F48" s="89"/>
      <c r="G48" s="30" t="s">
        <v>4</v>
      </c>
      <c r="H48" s="30" t="s">
        <v>4</v>
      </c>
      <c r="I48" s="30" t="s">
        <v>4</v>
      </c>
      <c r="J48" s="23">
        <f>SUM(J49:J55)</f>
        <v>0</v>
      </c>
      <c r="K48" s="23">
        <f>SUM(K49:K55)</f>
        <v>0</v>
      </c>
      <c r="L48" s="23">
        <f>SUM(L49:L55)</f>
        <v>0</v>
      </c>
      <c r="M48" s="31"/>
      <c r="N48" s="1"/>
      <c r="AI48" s="9"/>
      <c r="AS48" s="23">
        <f>SUM(AJ49:AJ55)</f>
        <v>0</v>
      </c>
      <c r="AT48" s="23">
        <f>SUM(AK49:AK55)</f>
        <v>0</v>
      </c>
      <c r="AU48" s="23">
        <f>SUM(AL49:AL55)</f>
        <v>0</v>
      </c>
    </row>
    <row r="49" spans="1:64" ht="12.75">
      <c r="A49" s="24" t="s">
        <v>152</v>
      </c>
      <c r="B49" s="2" t="s">
        <v>153</v>
      </c>
      <c r="C49" s="79" t="s">
        <v>154</v>
      </c>
      <c r="D49" s="79"/>
      <c r="E49" s="79"/>
      <c r="F49" s="79"/>
      <c r="G49" s="2" t="s">
        <v>112</v>
      </c>
      <c r="H49" s="25">
        <v>55.75</v>
      </c>
      <c r="I49" s="25">
        <v>0</v>
      </c>
      <c r="J49" s="25">
        <f>H49*AO49</f>
        <v>0</v>
      </c>
      <c r="K49" s="25">
        <f>H49*AP49</f>
        <v>0</v>
      </c>
      <c r="L49" s="25">
        <f>H49*I49</f>
        <v>0</v>
      </c>
      <c r="M49" s="26" t="s">
        <v>53</v>
      </c>
      <c r="N49" s="1"/>
      <c r="Z49" s="25">
        <f>IF(AQ49="5",BJ49,0)</f>
        <v>0</v>
      </c>
      <c r="AB49" s="25">
        <f>IF(AQ49="1",BH49,0)</f>
        <v>0</v>
      </c>
      <c r="AC49" s="25">
        <f>IF(AQ49="1",BI49,0)</f>
        <v>0</v>
      </c>
      <c r="AD49" s="25">
        <f>IF(AQ49="7",BH49,0)</f>
        <v>0</v>
      </c>
      <c r="AE49" s="25">
        <f>IF(AQ49="7",BI49,0)</f>
        <v>0</v>
      </c>
      <c r="AF49" s="25">
        <f>IF(AQ49="2",BH49,0)</f>
        <v>0</v>
      </c>
      <c r="AG49" s="25">
        <f>IF(AQ49="2",BI49,0)</f>
        <v>0</v>
      </c>
      <c r="AH49" s="25">
        <f>IF(AQ49="0",BJ49,0)</f>
        <v>0</v>
      </c>
      <c r="AI49" s="9"/>
      <c r="AJ49" s="25">
        <f>IF(AN49=0,L49,0)</f>
        <v>0</v>
      </c>
      <c r="AK49" s="25">
        <f>IF(AN49=15,L49,0)</f>
        <v>0</v>
      </c>
      <c r="AL49" s="25">
        <f>IF(AN49=21,L49,0)</f>
        <v>0</v>
      </c>
      <c r="AN49" s="25">
        <v>15</v>
      </c>
      <c r="AO49" s="25">
        <f>I49*0.623666604669482</f>
        <v>0</v>
      </c>
      <c r="AP49" s="25">
        <f>I49*(1-0.623666604669482)</f>
        <v>0</v>
      </c>
      <c r="AQ49" s="27" t="s">
        <v>80</v>
      </c>
      <c r="AV49" s="25">
        <f>AW49+AX49</f>
        <v>0</v>
      </c>
      <c r="AW49" s="25">
        <f>H49*AO49</f>
        <v>0</v>
      </c>
      <c r="AX49" s="25">
        <f>H49*AP49</f>
        <v>0</v>
      </c>
      <c r="AY49" s="27" t="s">
        <v>155</v>
      </c>
      <c r="AZ49" s="27" t="s">
        <v>156</v>
      </c>
      <c r="BA49" s="9" t="s">
        <v>56</v>
      </c>
      <c r="BC49" s="25">
        <f>AW49+AX49</f>
        <v>0</v>
      </c>
      <c r="BD49" s="25">
        <f>I49/(100-BE49)*100</f>
        <v>0</v>
      </c>
      <c r="BE49" s="25">
        <v>0</v>
      </c>
      <c r="BF49" s="25">
        <f>49</f>
        <v>49</v>
      </c>
      <c r="BH49" s="25">
        <f>H49*AO49</f>
        <v>0</v>
      </c>
      <c r="BI49" s="25">
        <f>H49*AP49</f>
        <v>0</v>
      </c>
      <c r="BJ49" s="25">
        <f>H49*I49</f>
        <v>0</v>
      </c>
      <c r="BK49" s="25" t="s">
        <v>57</v>
      </c>
      <c r="BL49" s="25">
        <v>711</v>
      </c>
    </row>
    <row r="50" spans="1:14" ht="12.75" customHeight="1">
      <c r="A50" s="1"/>
      <c r="B50" s="32" t="s">
        <v>73</v>
      </c>
      <c r="C50" s="90" t="s">
        <v>157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1"/>
    </row>
    <row r="51" spans="1:64" ht="12.75">
      <c r="A51" s="24" t="s">
        <v>158</v>
      </c>
      <c r="B51" s="2" t="s">
        <v>159</v>
      </c>
      <c r="C51" s="79" t="s">
        <v>160</v>
      </c>
      <c r="D51" s="79"/>
      <c r="E51" s="79"/>
      <c r="F51" s="79"/>
      <c r="G51" s="2" t="s">
        <v>112</v>
      </c>
      <c r="H51" s="25">
        <v>55.75</v>
      </c>
      <c r="I51" s="25">
        <v>0</v>
      </c>
      <c r="J51" s="25">
        <f>H51*AO51</f>
        <v>0</v>
      </c>
      <c r="K51" s="25">
        <f>H51*AP51</f>
        <v>0</v>
      </c>
      <c r="L51" s="25">
        <f>H51*I51</f>
        <v>0</v>
      </c>
      <c r="M51" s="26" t="s">
        <v>53</v>
      </c>
      <c r="N51" s="1"/>
      <c r="Z51" s="25">
        <f>IF(AQ51="5",BJ51,0)</f>
        <v>0</v>
      </c>
      <c r="AB51" s="25">
        <f>IF(AQ51="1",BH51,0)</f>
        <v>0</v>
      </c>
      <c r="AC51" s="25">
        <f>IF(AQ51="1",BI51,0)</f>
        <v>0</v>
      </c>
      <c r="AD51" s="25">
        <f>IF(AQ51="7",BH51,0)</f>
        <v>0</v>
      </c>
      <c r="AE51" s="25">
        <f>IF(AQ51="7",BI51,0)</f>
        <v>0</v>
      </c>
      <c r="AF51" s="25">
        <f>IF(AQ51="2",BH51,0)</f>
        <v>0</v>
      </c>
      <c r="AG51" s="25">
        <f>IF(AQ51="2",BI51,0)</f>
        <v>0</v>
      </c>
      <c r="AH51" s="25">
        <f>IF(AQ51="0",BJ51,0)</f>
        <v>0</v>
      </c>
      <c r="AI51" s="9"/>
      <c r="AJ51" s="25">
        <f>IF(AN51=0,L51,0)</f>
        <v>0</v>
      </c>
      <c r="AK51" s="25">
        <f>IF(AN51=15,L51,0)</f>
        <v>0</v>
      </c>
      <c r="AL51" s="25">
        <f>IF(AN51=21,L51,0)</f>
        <v>0</v>
      </c>
      <c r="AN51" s="25">
        <v>15</v>
      </c>
      <c r="AO51" s="25">
        <f>I51*0.0788322155604238</f>
        <v>0</v>
      </c>
      <c r="AP51" s="25">
        <f>I51*(1-0.0788322155604238)</f>
        <v>0</v>
      </c>
      <c r="AQ51" s="27" t="s">
        <v>80</v>
      </c>
      <c r="AV51" s="25">
        <f>AW51+AX51</f>
        <v>0</v>
      </c>
      <c r="AW51" s="25">
        <f>H51*AO51</f>
        <v>0</v>
      </c>
      <c r="AX51" s="25">
        <f>H51*AP51</f>
        <v>0</v>
      </c>
      <c r="AY51" s="27" t="s">
        <v>155</v>
      </c>
      <c r="AZ51" s="27" t="s">
        <v>156</v>
      </c>
      <c r="BA51" s="9" t="s">
        <v>56</v>
      </c>
      <c r="BC51" s="25">
        <f>AW51+AX51</f>
        <v>0</v>
      </c>
      <c r="BD51" s="25">
        <f>I51/(100-BE51)*100</f>
        <v>0</v>
      </c>
      <c r="BE51" s="25">
        <v>0</v>
      </c>
      <c r="BF51" s="25">
        <f>51</f>
        <v>51</v>
      </c>
      <c r="BH51" s="25">
        <f>H51*AO51</f>
        <v>0</v>
      </c>
      <c r="BI51" s="25">
        <f>H51*AP51</f>
        <v>0</v>
      </c>
      <c r="BJ51" s="25">
        <f>H51*I51</f>
        <v>0</v>
      </c>
      <c r="BK51" s="25" t="s">
        <v>57</v>
      </c>
      <c r="BL51" s="25">
        <v>711</v>
      </c>
    </row>
    <row r="52" spans="1:14" ht="12.75" customHeight="1">
      <c r="A52" s="1"/>
      <c r="B52" s="32" t="s">
        <v>73</v>
      </c>
      <c r="C52" s="90" t="s">
        <v>161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1"/>
    </row>
    <row r="53" spans="1:64" ht="12.75">
      <c r="A53" s="24" t="s">
        <v>162</v>
      </c>
      <c r="B53" s="2" t="s">
        <v>163</v>
      </c>
      <c r="C53" s="79" t="s">
        <v>164</v>
      </c>
      <c r="D53" s="79"/>
      <c r="E53" s="79"/>
      <c r="F53" s="79"/>
      <c r="G53" s="2" t="s">
        <v>112</v>
      </c>
      <c r="H53" s="25">
        <v>35.75</v>
      </c>
      <c r="I53" s="25">
        <v>0</v>
      </c>
      <c r="J53" s="25">
        <f>H53*AO53</f>
        <v>0</v>
      </c>
      <c r="K53" s="25">
        <f>H53*AP53</f>
        <v>0</v>
      </c>
      <c r="L53" s="25">
        <f>H53*I53</f>
        <v>0</v>
      </c>
      <c r="M53" s="26" t="s">
        <v>53</v>
      </c>
      <c r="N53" s="1"/>
      <c r="Z53" s="25">
        <f>IF(AQ53="5",BJ53,0)</f>
        <v>0</v>
      </c>
      <c r="AB53" s="25">
        <f>IF(AQ53="1",BH53,0)</f>
        <v>0</v>
      </c>
      <c r="AC53" s="25">
        <f>IF(AQ53="1",BI53,0)</f>
        <v>0</v>
      </c>
      <c r="AD53" s="25">
        <f>IF(AQ53="7",BH53,0)</f>
        <v>0</v>
      </c>
      <c r="AE53" s="25">
        <f>IF(AQ53="7",BI53,0)</f>
        <v>0</v>
      </c>
      <c r="AF53" s="25">
        <f>IF(AQ53="2",BH53,0)</f>
        <v>0</v>
      </c>
      <c r="AG53" s="25">
        <f>IF(AQ53="2",BI53,0)</f>
        <v>0</v>
      </c>
      <c r="AH53" s="25">
        <f>IF(AQ53="0",BJ53,0)</f>
        <v>0</v>
      </c>
      <c r="AI53" s="9"/>
      <c r="AJ53" s="25">
        <f>IF(AN53=0,L53,0)</f>
        <v>0</v>
      </c>
      <c r="AK53" s="25">
        <f>IF(AN53=15,L53,0)</f>
        <v>0</v>
      </c>
      <c r="AL53" s="25">
        <f>IF(AN53=21,L53,0)</f>
        <v>0</v>
      </c>
      <c r="AN53" s="25">
        <v>15</v>
      </c>
      <c r="AO53" s="25">
        <f>I53*0.622174757281553</f>
        <v>0</v>
      </c>
      <c r="AP53" s="25">
        <f>I53*(1-0.622174757281553)</f>
        <v>0</v>
      </c>
      <c r="AQ53" s="27" t="s">
        <v>80</v>
      </c>
      <c r="AV53" s="25">
        <f>AW53+AX53</f>
        <v>0</v>
      </c>
      <c r="AW53" s="25">
        <f>H53*AO53</f>
        <v>0</v>
      </c>
      <c r="AX53" s="25">
        <f>H53*AP53</f>
        <v>0</v>
      </c>
      <c r="AY53" s="27" t="s">
        <v>155</v>
      </c>
      <c r="AZ53" s="27" t="s">
        <v>156</v>
      </c>
      <c r="BA53" s="9" t="s">
        <v>56</v>
      </c>
      <c r="BC53" s="25">
        <f>AW53+AX53</f>
        <v>0</v>
      </c>
      <c r="BD53" s="25">
        <f>I53/(100-BE53)*100</f>
        <v>0</v>
      </c>
      <c r="BE53" s="25">
        <v>0</v>
      </c>
      <c r="BF53" s="25">
        <f>53</f>
        <v>53</v>
      </c>
      <c r="BH53" s="25">
        <f>H53*AO53</f>
        <v>0</v>
      </c>
      <c r="BI53" s="25">
        <f>H53*AP53</f>
        <v>0</v>
      </c>
      <c r="BJ53" s="25">
        <f>H53*I53</f>
        <v>0</v>
      </c>
      <c r="BK53" s="25" t="s">
        <v>57</v>
      </c>
      <c r="BL53" s="25">
        <v>711</v>
      </c>
    </row>
    <row r="54" spans="1:64" ht="12.75">
      <c r="A54" s="24" t="s">
        <v>165</v>
      </c>
      <c r="B54" s="2" t="s">
        <v>166</v>
      </c>
      <c r="C54" s="79" t="s">
        <v>167</v>
      </c>
      <c r="D54" s="79"/>
      <c r="E54" s="79"/>
      <c r="F54" s="79"/>
      <c r="G54" s="2" t="s">
        <v>112</v>
      </c>
      <c r="H54" s="25">
        <v>45.675</v>
      </c>
      <c r="I54" s="25">
        <v>0</v>
      </c>
      <c r="J54" s="25">
        <f>H54*AO54</f>
        <v>0</v>
      </c>
      <c r="K54" s="25">
        <f>H54*AP54</f>
        <v>0</v>
      </c>
      <c r="L54" s="25">
        <f>H54*I54</f>
        <v>0</v>
      </c>
      <c r="M54" s="26" t="s">
        <v>53</v>
      </c>
      <c r="N54" s="1"/>
      <c r="Z54" s="25">
        <f>IF(AQ54="5",BJ54,0)</f>
        <v>0</v>
      </c>
      <c r="AB54" s="25">
        <f>IF(AQ54="1",BH54,0)</f>
        <v>0</v>
      </c>
      <c r="AC54" s="25">
        <f>IF(AQ54="1",BI54,0)</f>
        <v>0</v>
      </c>
      <c r="AD54" s="25">
        <f>IF(AQ54="7",BH54,0)</f>
        <v>0</v>
      </c>
      <c r="AE54" s="25">
        <f>IF(AQ54="7",BI54,0)</f>
        <v>0</v>
      </c>
      <c r="AF54" s="25">
        <f>IF(AQ54="2",BH54,0)</f>
        <v>0</v>
      </c>
      <c r="AG54" s="25">
        <f>IF(AQ54="2",BI54,0)</f>
        <v>0</v>
      </c>
      <c r="AH54" s="25">
        <f>IF(AQ54="0",BJ54,0)</f>
        <v>0</v>
      </c>
      <c r="AI54" s="9"/>
      <c r="AJ54" s="25">
        <f>IF(AN54=0,L54,0)</f>
        <v>0</v>
      </c>
      <c r="AK54" s="25">
        <f>IF(AN54=15,L54,0)</f>
        <v>0</v>
      </c>
      <c r="AL54" s="25">
        <f>IF(AN54=21,L54,0)</f>
        <v>0</v>
      </c>
      <c r="AN54" s="25">
        <v>15</v>
      </c>
      <c r="AO54" s="25">
        <f>I54*0.51610987924681</f>
        <v>0</v>
      </c>
      <c r="AP54" s="25">
        <f>I54*(1-0.51610987924681)</f>
        <v>0</v>
      </c>
      <c r="AQ54" s="27" t="s">
        <v>80</v>
      </c>
      <c r="AV54" s="25">
        <f>AW54+AX54</f>
        <v>0</v>
      </c>
      <c r="AW54" s="25">
        <f>H54*AO54</f>
        <v>0</v>
      </c>
      <c r="AX54" s="25">
        <f>H54*AP54</f>
        <v>0</v>
      </c>
      <c r="AY54" s="27" t="s">
        <v>155</v>
      </c>
      <c r="AZ54" s="27" t="s">
        <v>156</v>
      </c>
      <c r="BA54" s="9" t="s">
        <v>56</v>
      </c>
      <c r="BC54" s="25">
        <f>AW54+AX54</f>
        <v>0</v>
      </c>
      <c r="BD54" s="25">
        <f>I54/(100-BE54)*100</f>
        <v>0</v>
      </c>
      <c r="BE54" s="25">
        <v>0</v>
      </c>
      <c r="BF54" s="25">
        <f>54</f>
        <v>54</v>
      </c>
      <c r="BH54" s="25">
        <f>H54*AO54</f>
        <v>0</v>
      </c>
      <c r="BI54" s="25">
        <f>H54*AP54</f>
        <v>0</v>
      </c>
      <c r="BJ54" s="25">
        <f>H54*I54</f>
        <v>0</v>
      </c>
      <c r="BK54" s="25" t="s">
        <v>57</v>
      </c>
      <c r="BL54" s="25">
        <v>711</v>
      </c>
    </row>
    <row r="55" spans="1:64" ht="12.75">
      <c r="A55" s="24" t="s">
        <v>168</v>
      </c>
      <c r="B55" s="2" t="s">
        <v>169</v>
      </c>
      <c r="C55" s="79" t="s">
        <v>170</v>
      </c>
      <c r="D55" s="79"/>
      <c r="E55" s="79"/>
      <c r="F55" s="79"/>
      <c r="G55" s="2" t="s">
        <v>112</v>
      </c>
      <c r="H55" s="25">
        <v>82.225</v>
      </c>
      <c r="I55" s="25">
        <v>0</v>
      </c>
      <c r="J55" s="25">
        <f>H55*AO55</f>
        <v>0</v>
      </c>
      <c r="K55" s="25">
        <f>H55*AP55</f>
        <v>0</v>
      </c>
      <c r="L55" s="25">
        <f>H55*I55</f>
        <v>0</v>
      </c>
      <c r="M55" s="26" t="s">
        <v>53</v>
      </c>
      <c r="N55" s="1"/>
      <c r="Z55" s="25">
        <f>IF(AQ55="5",BJ55,0)</f>
        <v>0</v>
      </c>
      <c r="AB55" s="25">
        <f>IF(AQ55="1",BH55,0)</f>
        <v>0</v>
      </c>
      <c r="AC55" s="25">
        <f>IF(AQ55="1",BI55,0)</f>
        <v>0</v>
      </c>
      <c r="AD55" s="25">
        <f>IF(AQ55="7",BH55,0)</f>
        <v>0</v>
      </c>
      <c r="AE55" s="25">
        <f>IF(AQ55="7",BI55,0)</f>
        <v>0</v>
      </c>
      <c r="AF55" s="25">
        <f>IF(AQ55="2",BH55,0)</f>
        <v>0</v>
      </c>
      <c r="AG55" s="25">
        <f>IF(AQ55="2",BI55,0)</f>
        <v>0</v>
      </c>
      <c r="AH55" s="25">
        <f>IF(AQ55="0",BJ55,0)</f>
        <v>0</v>
      </c>
      <c r="AI55" s="9"/>
      <c r="AJ55" s="25">
        <f>IF(AN55=0,L55,0)</f>
        <v>0</v>
      </c>
      <c r="AK55" s="25">
        <f>IF(AN55=15,L55,0)</f>
        <v>0</v>
      </c>
      <c r="AL55" s="25">
        <f>IF(AN55=21,L55,0)</f>
        <v>0</v>
      </c>
      <c r="AN55" s="25">
        <v>15</v>
      </c>
      <c r="AO55" s="25">
        <f>I55*0.322364435455269</f>
        <v>0</v>
      </c>
      <c r="AP55" s="25">
        <f>I55*(1-0.322364435455269)</f>
        <v>0</v>
      </c>
      <c r="AQ55" s="27" t="s">
        <v>80</v>
      </c>
      <c r="AV55" s="25">
        <f>AW55+AX55</f>
        <v>0</v>
      </c>
      <c r="AW55" s="25">
        <f>H55*AO55</f>
        <v>0</v>
      </c>
      <c r="AX55" s="25">
        <f>H55*AP55</f>
        <v>0</v>
      </c>
      <c r="AY55" s="27" t="s">
        <v>155</v>
      </c>
      <c r="AZ55" s="27" t="s">
        <v>156</v>
      </c>
      <c r="BA55" s="9" t="s">
        <v>56</v>
      </c>
      <c r="BC55" s="25">
        <f>AW55+AX55</f>
        <v>0</v>
      </c>
      <c r="BD55" s="25">
        <f>I55/(100-BE55)*100</f>
        <v>0</v>
      </c>
      <c r="BE55" s="25">
        <v>0</v>
      </c>
      <c r="BF55" s="25">
        <f>55</f>
        <v>55</v>
      </c>
      <c r="BH55" s="25">
        <f>H55*AO55</f>
        <v>0</v>
      </c>
      <c r="BI55" s="25">
        <f>H55*AP55</f>
        <v>0</v>
      </c>
      <c r="BJ55" s="25">
        <f>H55*I55</f>
        <v>0</v>
      </c>
      <c r="BK55" s="25" t="s">
        <v>57</v>
      </c>
      <c r="BL55" s="25">
        <v>711</v>
      </c>
    </row>
    <row r="56" spans="1:14" ht="12.75" customHeight="1">
      <c r="A56" s="1"/>
      <c r="B56" s="32" t="s">
        <v>73</v>
      </c>
      <c r="C56" s="90" t="s">
        <v>171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1"/>
    </row>
    <row r="57" spans="1:47" ht="12.75">
      <c r="A57" s="28"/>
      <c r="B57" s="29" t="s">
        <v>172</v>
      </c>
      <c r="C57" s="89" t="s">
        <v>173</v>
      </c>
      <c r="D57" s="89"/>
      <c r="E57" s="89"/>
      <c r="F57" s="89"/>
      <c r="G57" s="30" t="s">
        <v>4</v>
      </c>
      <c r="H57" s="30" t="s">
        <v>4</v>
      </c>
      <c r="I57" s="30" t="s">
        <v>4</v>
      </c>
      <c r="J57" s="23">
        <f>SUM(J58:J59)</f>
        <v>0</v>
      </c>
      <c r="K57" s="23">
        <f>SUM(K58:K59)</f>
        <v>0</v>
      </c>
      <c r="L57" s="23">
        <f>SUM(L58:L59)</f>
        <v>0</v>
      </c>
      <c r="M57" s="31"/>
      <c r="N57" s="1"/>
      <c r="AI57" s="9"/>
      <c r="AS57" s="23">
        <f>SUM(AJ58:AJ59)</f>
        <v>0</v>
      </c>
      <c r="AT57" s="23">
        <f>SUM(AK58:AK59)</f>
        <v>0</v>
      </c>
      <c r="AU57" s="23">
        <f>SUM(AL58:AL59)</f>
        <v>0</v>
      </c>
    </row>
    <row r="58" spans="1:64" ht="12.75">
      <c r="A58" s="24" t="s">
        <v>174</v>
      </c>
      <c r="B58" s="2" t="s">
        <v>175</v>
      </c>
      <c r="C58" s="79" t="s">
        <v>176</v>
      </c>
      <c r="D58" s="79"/>
      <c r="E58" s="79"/>
      <c r="F58" s="79"/>
      <c r="G58" s="2" t="s">
        <v>177</v>
      </c>
      <c r="H58" s="25">
        <v>2</v>
      </c>
      <c r="I58" s="25">
        <v>0</v>
      </c>
      <c r="J58" s="25">
        <f>H58*AO58</f>
        <v>0</v>
      </c>
      <c r="K58" s="25">
        <f>H58*AP58</f>
        <v>0</v>
      </c>
      <c r="L58" s="25">
        <f>H58*I58</f>
        <v>0</v>
      </c>
      <c r="M58" s="26" t="s">
        <v>53</v>
      </c>
      <c r="N58" s="1"/>
      <c r="Z58" s="25">
        <f>IF(AQ58="5",BJ58,0)</f>
        <v>0</v>
      </c>
      <c r="AB58" s="25">
        <f>IF(AQ58="1",BH58,0)</f>
        <v>0</v>
      </c>
      <c r="AC58" s="25">
        <f>IF(AQ58="1",BI58,0)</f>
        <v>0</v>
      </c>
      <c r="AD58" s="25">
        <f>IF(AQ58="7",BH58,0)</f>
        <v>0</v>
      </c>
      <c r="AE58" s="25">
        <f>IF(AQ58="7",BI58,0)</f>
        <v>0</v>
      </c>
      <c r="AF58" s="25">
        <f>IF(AQ58="2",BH58,0)</f>
        <v>0</v>
      </c>
      <c r="AG58" s="25">
        <f>IF(AQ58="2",BI58,0)</f>
        <v>0</v>
      </c>
      <c r="AH58" s="25">
        <f>IF(AQ58="0",BJ58,0)</f>
        <v>0</v>
      </c>
      <c r="AI58" s="9"/>
      <c r="AJ58" s="25">
        <f>IF(AN58=0,L58,0)</f>
        <v>0</v>
      </c>
      <c r="AK58" s="25">
        <f>IF(AN58=15,L58,0)</f>
        <v>0</v>
      </c>
      <c r="AL58" s="25">
        <f>IF(AN58=21,L58,0)</f>
        <v>0</v>
      </c>
      <c r="AN58" s="25">
        <v>15</v>
      </c>
      <c r="AO58" s="25">
        <f>I58*0.654437340153453</f>
        <v>0</v>
      </c>
      <c r="AP58" s="25">
        <f>I58*(1-0.654437340153453)</f>
        <v>0</v>
      </c>
      <c r="AQ58" s="27" t="s">
        <v>80</v>
      </c>
      <c r="AV58" s="25">
        <f>AW58+AX58</f>
        <v>0</v>
      </c>
      <c r="AW58" s="25">
        <f>H58*AO58</f>
        <v>0</v>
      </c>
      <c r="AX58" s="25">
        <f>H58*AP58</f>
        <v>0</v>
      </c>
      <c r="AY58" s="27" t="s">
        <v>178</v>
      </c>
      <c r="AZ58" s="27" t="s">
        <v>179</v>
      </c>
      <c r="BA58" s="9" t="s">
        <v>56</v>
      </c>
      <c r="BC58" s="25">
        <f>AW58+AX58</f>
        <v>0</v>
      </c>
      <c r="BD58" s="25">
        <f>I58/(100-BE58)*100</f>
        <v>0</v>
      </c>
      <c r="BE58" s="25">
        <v>0</v>
      </c>
      <c r="BF58" s="25">
        <f>58</f>
        <v>58</v>
      </c>
      <c r="BH58" s="25">
        <f>H58*AO58</f>
        <v>0</v>
      </c>
      <c r="BI58" s="25">
        <f>H58*AP58</f>
        <v>0</v>
      </c>
      <c r="BJ58" s="25">
        <f>H58*I58</f>
        <v>0</v>
      </c>
      <c r="BK58" s="25" t="s">
        <v>57</v>
      </c>
      <c r="BL58" s="25">
        <v>721</v>
      </c>
    </row>
    <row r="59" spans="1:64" ht="12.75">
      <c r="A59" s="24" t="s">
        <v>180</v>
      </c>
      <c r="B59" s="2" t="s">
        <v>181</v>
      </c>
      <c r="C59" s="79" t="s">
        <v>182</v>
      </c>
      <c r="D59" s="79"/>
      <c r="E59" s="79"/>
      <c r="F59" s="79"/>
      <c r="G59" s="2" t="s">
        <v>177</v>
      </c>
      <c r="H59" s="25">
        <v>20</v>
      </c>
      <c r="I59" s="25">
        <v>0</v>
      </c>
      <c r="J59" s="25">
        <f>H59*AO59</f>
        <v>0</v>
      </c>
      <c r="K59" s="25">
        <f>H59*AP59</f>
        <v>0</v>
      </c>
      <c r="L59" s="25">
        <f>H59*I59</f>
        <v>0</v>
      </c>
      <c r="M59" s="26" t="s">
        <v>53</v>
      </c>
      <c r="N59" s="1"/>
      <c r="Z59" s="25">
        <f>IF(AQ59="5",BJ59,0)</f>
        <v>0</v>
      </c>
      <c r="AB59" s="25">
        <f>IF(AQ59="1",BH59,0)</f>
        <v>0</v>
      </c>
      <c r="AC59" s="25">
        <f>IF(AQ59="1",BI59,0)</f>
        <v>0</v>
      </c>
      <c r="AD59" s="25">
        <f>IF(AQ59="7",BH59,0)</f>
        <v>0</v>
      </c>
      <c r="AE59" s="25">
        <f>IF(AQ59="7",BI59,0)</f>
        <v>0</v>
      </c>
      <c r="AF59" s="25">
        <f>IF(AQ59="2",BH59,0)</f>
        <v>0</v>
      </c>
      <c r="AG59" s="25">
        <f>IF(AQ59="2",BI59,0)</f>
        <v>0</v>
      </c>
      <c r="AH59" s="25">
        <f>IF(AQ59="0",BJ59,0)</f>
        <v>0</v>
      </c>
      <c r="AI59" s="9"/>
      <c r="AJ59" s="25">
        <f>IF(AN59=0,L59,0)</f>
        <v>0</v>
      </c>
      <c r="AK59" s="25">
        <f>IF(AN59=15,L59,0)</f>
        <v>0</v>
      </c>
      <c r="AL59" s="25">
        <f>IF(AN59=21,L59,0)</f>
        <v>0</v>
      </c>
      <c r="AN59" s="25">
        <v>15</v>
      </c>
      <c r="AO59" s="25">
        <f>I59*0.649476813317479</f>
        <v>0</v>
      </c>
      <c r="AP59" s="25">
        <f>I59*(1-0.649476813317479)</f>
        <v>0</v>
      </c>
      <c r="AQ59" s="27" t="s">
        <v>80</v>
      </c>
      <c r="AV59" s="25">
        <f>AW59+AX59</f>
        <v>0</v>
      </c>
      <c r="AW59" s="25">
        <f>H59*AO59</f>
        <v>0</v>
      </c>
      <c r="AX59" s="25">
        <f>H59*AP59</f>
        <v>0</v>
      </c>
      <c r="AY59" s="27" t="s">
        <v>178</v>
      </c>
      <c r="AZ59" s="27" t="s">
        <v>179</v>
      </c>
      <c r="BA59" s="9" t="s">
        <v>56</v>
      </c>
      <c r="BC59" s="25">
        <f>AW59+AX59</f>
        <v>0</v>
      </c>
      <c r="BD59" s="25">
        <f>I59/(100-BE59)*100</f>
        <v>0</v>
      </c>
      <c r="BE59" s="25">
        <v>0</v>
      </c>
      <c r="BF59" s="25">
        <f>59</f>
        <v>59</v>
      </c>
      <c r="BH59" s="25">
        <f>H59*AO59</f>
        <v>0</v>
      </c>
      <c r="BI59" s="25">
        <f>H59*AP59</f>
        <v>0</v>
      </c>
      <c r="BJ59" s="25">
        <f>H59*I59</f>
        <v>0</v>
      </c>
      <c r="BK59" s="25" t="s">
        <v>57</v>
      </c>
      <c r="BL59" s="25">
        <v>721</v>
      </c>
    </row>
    <row r="60" spans="1:47" ht="12.75">
      <c r="A60" s="28"/>
      <c r="B60" s="29" t="s">
        <v>183</v>
      </c>
      <c r="C60" s="89" t="s">
        <v>184</v>
      </c>
      <c r="D60" s="89"/>
      <c r="E60" s="89"/>
      <c r="F60" s="89"/>
      <c r="G60" s="30" t="s">
        <v>4</v>
      </c>
      <c r="H60" s="30" t="s">
        <v>4</v>
      </c>
      <c r="I60" s="30" t="s">
        <v>4</v>
      </c>
      <c r="J60" s="23">
        <f>SUM(J61:J63)</f>
        <v>0</v>
      </c>
      <c r="K60" s="23">
        <f>SUM(K61:K63)</f>
        <v>0</v>
      </c>
      <c r="L60" s="23">
        <f>SUM(L61:L63)</f>
        <v>0</v>
      </c>
      <c r="M60" s="31"/>
      <c r="N60" s="1"/>
      <c r="AI60" s="9"/>
      <c r="AS60" s="23">
        <f>SUM(AJ61:AJ63)</f>
        <v>0</v>
      </c>
      <c r="AT60" s="23">
        <f>SUM(AK61:AK63)</f>
        <v>0</v>
      </c>
      <c r="AU60" s="23">
        <f>SUM(AL61:AL63)</f>
        <v>0</v>
      </c>
    </row>
    <row r="61" spans="1:64" ht="12.75">
      <c r="A61" s="24" t="s">
        <v>92</v>
      </c>
      <c r="B61" s="2" t="s">
        <v>185</v>
      </c>
      <c r="C61" s="79" t="s">
        <v>186</v>
      </c>
      <c r="D61" s="79"/>
      <c r="E61" s="79"/>
      <c r="F61" s="79"/>
      <c r="G61" s="2" t="s">
        <v>187</v>
      </c>
      <c r="H61" s="25">
        <v>4</v>
      </c>
      <c r="I61" s="25">
        <v>0</v>
      </c>
      <c r="J61" s="25">
        <f>H61*AO61</f>
        <v>0</v>
      </c>
      <c r="K61" s="25">
        <f>H61*AP61</f>
        <v>0</v>
      </c>
      <c r="L61" s="25">
        <f>H61*I61</f>
        <v>0</v>
      </c>
      <c r="M61" s="26" t="s">
        <v>53</v>
      </c>
      <c r="N61" s="1"/>
      <c r="Z61" s="25">
        <f>IF(AQ61="5",BJ61,0)</f>
        <v>0</v>
      </c>
      <c r="AB61" s="25">
        <f>IF(AQ61="1",BH61,0)</f>
        <v>0</v>
      </c>
      <c r="AC61" s="25">
        <f>IF(AQ61="1",BI61,0)</f>
        <v>0</v>
      </c>
      <c r="AD61" s="25">
        <f>IF(AQ61="7",BH61,0)</f>
        <v>0</v>
      </c>
      <c r="AE61" s="25">
        <f>IF(AQ61="7",BI61,0)</f>
        <v>0</v>
      </c>
      <c r="AF61" s="25">
        <f>IF(AQ61="2",BH61,0)</f>
        <v>0</v>
      </c>
      <c r="AG61" s="25">
        <f>IF(AQ61="2",BI61,0)</f>
        <v>0</v>
      </c>
      <c r="AH61" s="25">
        <f>IF(AQ61="0",BJ61,0)</f>
        <v>0</v>
      </c>
      <c r="AI61" s="9"/>
      <c r="AJ61" s="25">
        <f>IF(AN61=0,L61,0)</f>
        <v>0</v>
      </c>
      <c r="AK61" s="25">
        <f>IF(AN61=15,L61,0)</f>
        <v>0</v>
      </c>
      <c r="AL61" s="25">
        <f>IF(AN61=21,L61,0)</f>
        <v>0</v>
      </c>
      <c r="AN61" s="25">
        <v>15</v>
      </c>
      <c r="AO61" s="25">
        <f>I61*0</f>
        <v>0</v>
      </c>
      <c r="AP61" s="25">
        <f>I61*(1-0)</f>
        <v>0</v>
      </c>
      <c r="AQ61" s="27" t="s">
        <v>80</v>
      </c>
      <c r="AV61" s="25">
        <f>AW61+AX61</f>
        <v>0</v>
      </c>
      <c r="AW61" s="25">
        <f>H61*AO61</f>
        <v>0</v>
      </c>
      <c r="AX61" s="25">
        <f>H61*AP61</f>
        <v>0</v>
      </c>
      <c r="AY61" s="27" t="s">
        <v>188</v>
      </c>
      <c r="AZ61" s="27" t="s">
        <v>179</v>
      </c>
      <c r="BA61" s="9" t="s">
        <v>56</v>
      </c>
      <c r="BC61" s="25">
        <f>AW61+AX61</f>
        <v>0</v>
      </c>
      <c r="BD61" s="25">
        <f>I61/(100-BE61)*100</f>
        <v>0</v>
      </c>
      <c r="BE61" s="25">
        <v>0</v>
      </c>
      <c r="BF61" s="25">
        <f>61</f>
        <v>61</v>
      </c>
      <c r="BH61" s="25">
        <f>H61*AO61</f>
        <v>0</v>
      </c>
      <c r="BI61" s="25">
        <f>H61*AP61</f>
        <v>0</v>
      </c>
      <c r="BJ61" s="25">
        <f>H61*I61</f>
        <v>0</v>
      </c>
      <c r="BK61" s="25" t="s">
        <v>57</v>
      </c>
      <c r="BL61" s="25">
        <v>728</v>
      </c>
    </row>
    <row r="62" spans="1:64" ht="12.75">
      <c r="A62" s="24" t="s">
        <v>189</v>
      </c>
      <c r="B62" s="2" t="s">
        <v>190</v>
      </c>
      <c r="C62" s="79" t="s">
        <v>191</v>
      </c>
      <c r="D62" s="79"/>
      <c r="E62" s="79"/>
      <c r="F62" s="79"/>
      <c r="G62" s="2" t="s">
        <v>187</v>
      </c>
      <c r="H62" s="25">
        <v>8</v>
      </c>
      <c r="I62" s="25">
        <v>0</v>
      </c>
      <c r="J62" s="25">
        <f>H62*AO62</f>
        <v>0</v>
      </c>
      <c r="K62" s="25">
        <f>H62*AP62</f>
        <v>0</v>
      </c>
      <c r="L62" s="25">
        <f>H62*I62</f>
        <v>0</v>
      </c>
      <c r="M62" s="26" t="s">
        <v>53</v>
      </c>
      <c r="N62" s="1"/>
      <c r="Z62" s="25">
        <f>IF(AQ62="5",BJ62,0)</f>
        <v>0</v>
      </c>
      <c r="AB62" s="25">
        <f>IF(AQ62="1",BH62,0)</f>
        <v>0</v>
      </c>
      <c r="AC62" s="25">
        <f>IF(AQ62="1",BI62,0)</f>
        <v>0</v>
      </c>
      <c r="AD62" s="25">
        <f>IF(AQ62="7",BH62,0)</f>
        <v>0</v>
      </c>
      <c r="AE62" s="25">
        <f>IF(AQ62="7",BI62,0)</f>
        <v>0</v>
      </c>
      <c r="AF62" s="25">
        <f>IF(AQ62="2",BH62,0)</f>
        <v>0</v>
      </c>
      <c r="AG62" s="25">
        <f>IF(AQ62="2",BI62,0)</f>
        <v>0</v>
      </c>
      <c r="AH62" s="25">
        <f>IF(AQ62="0",BJ62,0)</f>
        <v>0</v>
      </c>
      <c r="AI62" s="9"/>
      <c r="AJ62" s="25">
        <f>IF(AN62=0,L62,0)</f>
        <v>0</v>
      </c>
      <c r="AK62" s="25">
        <f>IF(AN62=15,L62,0)</f>
        <v>0</v>
      </c>
      <c r="AL62" s="25">
        <f>IF(AN62=21,L62,0)</f>
        <v>0</v>
      </c>
      <c r="AN62" s="25">
        <v>15</v>
      </c>
      <c r="AO62" s="25">
        <f>I62*0</f>
        <v>0</v>
      </c>
      <c r="AP62" s="25">
        <f>I62*(1-0)</f>
        <v>0</v>
      </c>
      <c r="AQ62" s="27" t="s">
        <v>80</v>
      </c>
      <c r="AV62" s="25">
        <f>AW62+AX62</f>
        <v>0</v>
      </c>
      <c r="AW62" s="25">
        <f>H62*AO62</f>
        <v>0</v>
      </c>
      <c r="AX62" s="25">
        <f>H62*AP62</f>
        <v>0</v>
      </c>
      <c r="AY62" s="27" t="s">
        <v>188</v>
      </c>
      <c r="AZ62" s="27" t="s">
        <v>179</v>
      </c>
      <c r="BA62" s="9" t="s">
        <v>56</v>
      </c>
      <c r="BC62" s="25">
        <f>AW62+AX62</f>
        <v>0</v>
      </c>
      <c r="BD62" s="25">
        <f>I62/(100-BE62)*100</f>
        <v>0</v>
      </c>
      <c r="BE62" s="25">
        <v>0</v>
      </c>
      <c r="BF62" s="25">
        <f>62</f>
        <v>62</v>
      </c>
      <c r="BH62" s="25">
        <f>H62*AO62</f>
        <v>0</v>
      </c>
      <c r="BI62" s="25">
        <f>H62*AP62</f>
        <v>0</v>
      </c>
      <c r="BJ62" s="25">
        <f>H62*I62</f>
        <v>0</v>
      </c>
      <c r="BK62" s="25" t="s">
        <v>57</v>
      </c>
      <c r="BL62" s="25">
        <v>728</v>
      </c>
    </row>
    <row r="63" spans="1:64" ht="12.75">
      <c r="A63" s="24" t="s">
        <v>192</v>
      </c>
      <c r="B63" s="2" t="s">
        <v>193</v>
      </c>
      <c r="C63" s="79" t="s">
        <v>194</v>
      </c>
      <c r="D63" s="79"/>
      <c r="E63" s="79"/>
      <c r="F63" s="79"/>
      <c r="G63" s="2" t="s">
        <v>177</v>
      </c>
      <c r="H63" s="25">
        <v>1.6</v>
      </c>
      <c r="I63" s="25">
        <v>0</v>
      </c>
      <c r="J63" s="25">
        <f>H63*AO63</f>
        <v>0</v>
      </c>
      <c r="K63" s="25">
        <f>H63*AP63</f>
        <v>0</v>
      </c>
      <c r="L63" s="25">
        <f>H63*I63</f>
        <v>0</v>
      </c>
      <c r="M63" s="26" t="s">
        <v>53</v>
      </c>
      <c r="N63" s="1"/>
      <c r="Z63" s="25">
        <f>IF(AQ63="5",BJ63,0)</f>
        <v>0</v>
      </c>
      <c r="AB63" s="25">
        <f>IF(AQ63="1",BH63,0)</f>
        <v>0</v>
      </c>
      <c r="AC63" s="25">
        <f>IF(AQ63="1",BI63,0)</f>
        <v>0</v>
      </c>
      <c r="AD63" s="25">
        <f>IF(AQ63="7",BH63,0)</f>
        <v>0</v>
      </c>
      <c r="AE63" s="25">
        <f>IF(AQ63="7",BI63,0)</f>
        <v>0</v>
      </c>
      <c r="AF63" s="25">
        <f>IF(AQ63="2",BH63,0)</f>
        <v>0</v>
      </c>
      <c r="AG63" s="25">
        <f>IF(AQ63="2",BI63,0)</f>
        <v>0</v>
      </c>
      <c r="AH63" s="25">
        <f>IF(AQ63="0",BJ63,0)</f>
        <v>0</v>
      </c>
      <c r="AI63" s="9"/>
      <c r="AJ63" s="25">
        <f>IF(AN63=0,L63,0)</f>
        <v>0</v>
      </c>
      <c r="AK63" s="25">
        <f>IF(AN63=15,L63,0)</f>
        <v>0</v>
      </c>
      <c r="AL63" s="25">
        <f>IF(AN63=21,L63,0)</f>
        <v>0</v>
      </c>
      <c r="AN63" s="25">
        <v>15</v>
      </c>
      <c r="AO63" s="25">
        <f>I63*0</f>
        <v>0</v>
      </c>
      <c r="AP63" s="25">
        <f>I63*(1-0)</f>
        <v>0</v>
      </c>
      <c r="AQ63" s="27" t="s">
        <v>80</v>
      </c>
      <c r="AV63" s="25">
        <f>AW63+AX63</f>
        <v>0</v>
      </c>
      <c r="AW63" s="25">
        <f>H63*AO63</f>
        <v>0</v>
      </c>
      <c r="AX63" s="25">
        <f>H63*AP63</f>
        <v>0</v>
      </c>
      <c r="AY63" s="27" t="s">
        <v>188</v>
      </c>
      <c r="AZ63" s="27" t="s">
        <v>179</v>
      </c>
      <c r="BA63" s="9" t="s">
        <v>56</v>
      </c>
      <c r="BC63" s="25">
        <f>AW63+AX63</f>
        <v>0</v>
      </c>
      <c r="BD63" s="25">
        <f>I63/(100-BE63)*100</f>
        <v>0</v>
      </c>
      <c r="BE63" s="25">
        <v>0</v>
      </c>
      <c r="BF63" s="25">
        <f>63</f>
        <v>63</v>
      </c>
      <c r="BH63" s="25">
        <f>H63*AO63</f>
        <v>0</v>
      </c>
      <c r="BI63" s="25">
        <f>H63*AP63</f>
        <v>0</v>
      </c>
      <c r="BJ63" s="25">
        <f>H63*I63</f>
        <v>0</v>
      </c>
      <c r="BK63" s="25" t="s">
        <v>57</v>
      </c>
      <c r="BL63" s="25">
        <v>728</v>
      </c>
    </row>
    <row r="64" spans="1:47" ht="12.75">
      <c r="A64" s="28"/>
      <c r="B64" s="29" t="s">
        <v>195</v>
      </c>
      <c r="C64" s="89" t="s">
        <v>196</v>
      </c>
      <c r="D64" s="89"/>
      <c r="E64" s="89"/>
      <c r="F64" s="89"/>
      <c r="G64" s="30" t="s">
        <v>4</v>
      </c>
      <c r="H64" s="30" t="s">
        <v>4</v>
      </c>
      <c r="I64" s="30" t="s">
        <v>4</v>
      </c>
      <c r="J64" s="23">
        <f>SUM(J65:J67)</f>
        <v>0</v>
      </c>
      <c r="K64" s="23">
        <f>SUM(K65:K67)</f>
        <v>0</v>
      </c>
      <c r="L64" s="23">
        <f>SUM(L65:L67)</f>
        <v>0</v>
      </c>
      <c r="M64" s="31"/>
      <c r="N64" s="1"/>
      <c r="AI64" s="9"/>
      <c r="AS64" s="23">
        <f>SUM(AJ65:AJ67)</f>
        <v>0</v>
      </c>
      <c r="AT64" s="23">
        <f>SUM(AK65:AK67)</f>
        <v>0</v>
      </c>
      <c r="AU64" s="23">
        <f>SUM(AL65:AL67)</f>
        <v>0</v>
      </c>
    </row>
    <row r="65" spans="1:64" ht="12.75">
      <c r="A65" s="24" t="s">
        <v>197</v>
      </c>
      <c r="B65" s="2" t="s">
        <v>198</v>
      </c>
      <c r="C65" s="79" t="s">
        <v>199</v>
      </c>
      <c r="D65" s="79"/>
      <c r="E65" s="79"/>
      <c r="F65" s="79"/>
      <c r="G65" s="2" t="s">
        <v>112</v>
      </c>
      <c r="H65" s="25">
        <v>55.75</v>
      </c>
      <c r="I65" s="25">
        <v>0</v>
      </c>
      <c r="J65" s="25">
        <f>H65*AO65</f>
        <v>0</v>
      </c>
      <c r="K65" s="25">
        <f>H65*AP65</f>
        <v>0</v>
      </c>
      <c r="L65" s="25">
        <f>H65*I65</f>
        <v>0</v>
      </c>
      <c r="M65" s="26" t="s">
        <v>53</v>
      </c>
      <c r="N65" s="1"/>
      <c r="Z65" s="25">
        <f>IF(AQ65="5",BJ65,0)</f>
        <v>0</v>
      </c>
      <c r="AB65" s="25">
        <f>IF(AQ65="1",BH65,0)</f>
        <v>0</v>
      </c>
      <c r="AC65" s="25">
        <f>IF(AQ65="1",BI65,0)</f>
        <v>0</v>
      </c>
      <c r="AD65" s="25">
        <f>IF(AQ65="7",BH65,0)</f>
        <v>0</v>
      </c>
      <c r="AE65" s="25">
        <f>IF(AQ65="7",BI65,0)</f>
        <v>0</v>
      </c>
      <c r="AF65" s="25">
        <f>IF(AQ65="2",BH65,0)</f>
        <v>0</v>
      </c>
      <c r="AG65" s="25">
        <f>IF(AQ65="2",BI65,0)</f>
        <v>0</v>
      </c>
      <c r="AH65" s="25">
        <f>IF(AQ65="0",BJ65,0)</f>
        <v>0</v>
      </c>
      <c r="AI65" s="9"/>
      <c r="AJ65" s="25">
        <f>IF(AN65=0,L65,0)</f>
        <v>0</v>
      </c>
      <c r="AK65" s="25">
        <f>IF(AN65=15,L65,0)</f>
        <v>0</v>
      </c>
      <c r="AL65" s="25">
        <f>IF(AN65=21,L65,0)</f>
        <v>0</v>
      </c>
      <c r="AN65" s="25">
        <v>15</v>
      </c>
      <c r="AO65" s="25">
        <f>I65*0.491169526671897</f>
        <v>0</v>
      </c>
      <c r="AP65" s="25">
        <f>I65*(1-0.491169526671897)</f>
        <v>0</v>
      </c>
      <c r="AQ65" s="27" t="s">
        <v>80</v>
      </c>
      <c r="AV65" s="25">
        <f>AW65+AX65</f>
        <v>0</v>
      </c>
      <c r="AW65" s="25">
        <f>H65*AO65</f>
        <v>0</v>
      </c>
      <c r="AX65" s="25">
        <f>H65*AP65</f>
        <v>0</v>
      </c>
      <c r="AY65" s="27" t="s">
        <v>200</v>
      </c>
      <c r="AZ65" s="27" t="s">
        <v>201</v>
      </c>
      <c r="BA65" s="9" t="s">
        <v>56</v>
      </c>
      <c r="BC65" s="25">
        <f>AW65+AX65</f>
        <v>0</v>
      </c>
      <c r="BD65" s="25">
        <f>I65/(100-BE65)*100</f>
        <v>0</v>
      </c>
      <c r="BE65" s="25">
        <v>0</v>
      </c>
      <c r="BF65" s="25">
        <f>65</f>
        <v>65</v>
      </c>
      <c r="BH65" s="25">
        <f>H65*AO65</f>
        <v>0</v>
      </c>
      <c r="BI65" s="25">
        <f>H65*AP65</f>
        <v>0</v>
      </c>
      <c r="BJ65" s="25">
        <f>H65*I65</f>
        <v>0</v>
      </c>
      <c r="BK65" s="25" t="s">
        <v>57</v>
      </c>
      <c r="BL65" s="25">
        <v>771</v>
      </c>
    </row>
    <row r="66" spans="1:14" ht="12.75" customHeight="1">
      <c r="A66" s="1"/>
      <c r="B66" s="32" t="s">
        <v>73</v>
      </c>
      <c r="C66" s="90" t="s">
        <v>202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1"/>
    </row>
    <row r="67" spans="1:64" ht="12.75">
      <c r="A67" s="24" t="s">
        <v>203</v>
      </c>
      <c r="B67" s="2" t="s">
        <v>204</v>
      </c>
      <c r="C67" s="79" t="s">
        <v>205</v>
      </c>
      <c r="D67" s="79"/>
      <c r="E67" s="79"/>
      <c r="F67" s="79"/>
      <c r="G67" s="2" t="s">
        <v>112</v>
      </c>
      <c r="H67" s="25">
        <v>55.75</v>
      </c>
      <c r="I67" s="25">
        <v>0</v>
      </c>
      <c r="J67" s="25">
        <f>H67*AO67</f>
        <v>0</v>
      </c>
      <c r="K67" s="25">
        <f>H67*AP67</f>
        <v>0</v>
      </c>
      <c r="L67" s="25">
        <f>H67*I67</f>
        <v>0</v>
      </c>
      <c r="M67" s="26" t="s">
        <v>53</v>
      </c>
      <c r="N67" s="1"/>
      <c r="Z67" s="25">
        <f>IF(AQ67="5",BJ67,0)</f>
        <v>0</v>
      </c>
      <c r="AB67" s="25">
        <f>IF(AQ67="1",BH67,0)</f>
        <v>0</v>
      </c>
      <c r="AC67" s="25">
        <f>IF(AQ67="1",BI67,0)</f>
        <v>0</v>
      </c>
      <c r="AD67" s="25">
        <f>IF(AQ67="7",BH67,0)</f>
        <v>0</v>
      </c>
      <c r="AE67" s="25">
        <f>IF(AQ67="7",BI67,0)</f>
        <v>0</v>
      </c>
      <c r="AF67" s="25">
        <f>IF(AQ67="2",BH67,0)</f>
        <v>0</v>
      </c>
      <c r="AG67" s="25">
        <f>IF(AQ67="2",BI67,0)</f>
        <v>0</v>
      </c>
      <c r="AH67" s="25">
        <f>IF(AQ67="0",BJ67,0)</f>
        <v>0</v>
      </c>
      <c r="AI67" s="9"/>
      <c r="AJ67" s="25">
        <f>IF(AN67=0,L67,0)</f>
        <v>0</v>
      </c>
      <c r="AK67" s="25">
        <f>IF(AN67=15,L67,0)</f>
        <v>0</v>
      </c>
      <c r="AL67" s="25">
        <f>IF(AN67=21,L67,0)</f>
        <v>0</v>
      </c>
      <c r="AN67" s="25">
        <v>15</v>
      </c>
      <c r="AO67" s="25">
        <f>I67*0</f>
        <v>0</v>
      </c>
      <c r="AP67" s="25">
        <f>I67*(1-0)</f>
        <v>0</v>
      </c>
      <c r="AQ67" s="27" t="s">
        <v>80</v>
      </c>
      <c r="AV67" s="25">
        <f>AW67+AX67</f>
        <v>0</v>
      </c>
      <c r="AW67" s="25">
        <f>H67*AO67</f>
        <v>0</v>
      </c>
      <c r="AX67" s="25">
        <f>H67*AP67</f>
        <v>0</v>
      </c>
      <c r="AY67" s="27" t="s">
        <v>200</v>
      </c>
      <c r="AZ67" s="27" t="s">
        <v>201</v>
      </c>
      <c r="BA67" s="9" t="s">
        <v>56</v>
      </c>
      <c r="BC67" s="25">
        <f>AW67+AX67</f>
        <v>0</v>
      </c>
      <c r="BD67" s="25">
        <f>I67/(100-BE67)*100</f>
        <v>0</v>
      </c>
      <c r="BE67" s="25">
        <v>0</v>
      </c>
      <c r="BF67" s="25">
        <f>67</f>
        <v>67</v>
      </c>
      <c r="BH67" s="25">
        <f>H67*AO67</f>
        <v>0</v>
      </c>
      <c r="BI67" s="25">
        <f>H67*AP67</f>
        <v>0</v>
      </c>
      <c r="BJ67" s="25">
        <f>H67*I67</f>
        <v>0</v>
      </c>
      <c r="BK67" s="25" t="s">
        <v>57</v>
      </c>
      <c r="BL67" s="25">
        <v>771</v>
      </c>
    </row>
    <row r="68" spans="1:47" ht="12.75">
      <c r="A68" s="28"/>
      <c r="B68" s="29" t="s">
        <v>206</v>
      </c>
      <c r="C68" s="89" t="s">
        <v>207</v>
      </c>
      <c r="D68" s="89"/>
      <c r="E68" s="89"/>
      <c r="F68" s="89"/>
      <c r="G68" s="30" t="s">
        <v>4</v>
      </c>
      <c r="H68" s="30" t="s">
        <v>4</v>
      </c>
      <c r="I68" s="30" t="s">
        <v>4</v>
      </c>
      <c r="J68" s="23">
        <f>SUM(J69:J69)</f>
        <v>0</v>
      </c>
      <c r="K68" s="23">
        <f>SUM(K69:K69)</f>
        <v>0</v>
      </c>
      <c r="L68" s="23">
        <f>SUM(L69:L69)</f>
        <v>0</v>
      </c>
      <c r="M68" s="31"/>
      <c r="N68" s="1"/>
      <c r="AI68" s="9"/>
      <c r="AS68" s="23">
        <f>SUM(AJ69:AJ69)</f>
        <v>0</v>
      </c>
      <c r="AT68" s="23">
        <f>SUM(AK69:AK69)</f>
        <v>0</v>
      </c>
      <c r="AU68" s="23">
        <f>SUM(AL69:AL69)</f>
        <v>0</v>
      </c>
    </row>
    <row r="69" spans="1:64" ht="12.75">
      <c r="A69" s="24" t="s">
        <v>208</v>
      </c>
      <c r="B69" s="2" t="s">
        <v>209</v>
      </c>
      <c r="C69" s="79" t="s">
        <v>210</v>
      </c>
      <c r="D69" s="79"/>
      <c r="E69" s="79"/>
      <c r="F69" s="79"/>
      <c r="G69" s="2" t="s">
        <v>112</v>
      </c>
      <c r="H69" s="25">
        <v>200.44075</v>
      </c>
      <c r="I69" s="25">
        <v>0</v>
      </c>
      <c r="J69" s="25">
        <f>H69*AO69</f>
        <v>0</v>
      </c>
      <c r="K69" s="25">
        <f>H69*AP69</f>
        <v>0</v>
      </c>
      <c r="L69" s="25">
        <f>H69*I69</f>
        <v>0</v>
      </c>
      <c r="M69" s="26" t="s">
        <v>53</v>
      </c>
      <c r="N69" s="1"/>
      <c r="Z69" s="25">
        <f>IF(AQ69="5",BJ69,0)</f>
        <v>0</v>
      </c>
      <c r="AB69" s="25">
        <f>IF(AQ69="1",BH69,0)</f>
        <v>0</v>
      </c>
      <c r="AC69" s="25">
        <f>IF(AQ69="1",BI69,0)</f>
        <v>0</v>
      </c>
      <c r="AD69" s="25">
        <f>IF(AQ69="7",BH69,0)</f>
        <v>0</v>
      </c>
      <c r="AE69" s="25">
        <f>IF(AQ69="7",BI69,0)</f>
        <v>0</v>
      </c>
      <c r="AF69" s="25">
        <f>IF(AQ69="2",BH69,0)</f>
        <v>0</v>
      </c>
      <c r="AG69" s="25">
        <f>IF(AQ69="2",BI69,0)</f>
        <v>0</v>
      </c>
      <c r="AH69" s="25">
        <f>IF(AQ69="0",BJ69,0)</f>
        <v>0</v>
      </c>
      <c r="AI69" s="9"/>
      <c r="AJ69" s="25">
        <f>IF(AN69=0,L69,0)</f>
        <v>0</v>
      </c>
      <c r="AK69" s="25">
        <f>IF(AN69=15,L69,0)</f>
        <v>0</v>
      </c>
      <c r="AL69" s="25">
        <f>IF(AN69=21,L69,0)</f>
        <v>0</v>
      </c>
      <c r="AN69" s="25">
        <v>15</v>
      </c>
      <c r="AO69" s="25">
        <f>I69*0.149800269545808</f>
        <v>0</v>
      </c>
      <c r="AP69" s="25">
        <f>I69*(1-0.149800269545808)</f>
        <v>0</v>
      </c>
      <c r="AQ69" s="27" t="s">
        <v>80</v>
      </c>
      <c r="AV69" s="25">
        <f>AW69+AX69</f>
        <v>0</v>
      </c>
      <c r="AW69" s="25">
        <f>H69*AO69</f>
        <v>0</v>
      </c>
      <c r="AX69" s="25">
        <f>H69*AP69</f>
        <v>0</v>
      </c>
      <c r="AY69" s="27" t="s">
        <v>211</v>
      </c>
      <c r="AZ69" s="27" t="s">
        <v>212</v>
      </c>
      <c r="BA69" s="9" t="s">
        <v>56</v>
      </c>
      <c r="BC69" s="25">
        <f>AW69+AX69</f>
        <v>0</v>
      </c>
      <c r="BD69" s="25">
        <f>I69/(100-BE69)*100</f>
        <v>0</v>
      </c>
      <c r="BE69" s="25">
        <v>0</v>
      </c>
      <c r="BF69" s="25">
        <f>69</f>
        <v>69</v>
      </c>
      <c r="BH69" s="25">
        <f>H69*AO69</f>
        <v>0</v>
      </c>
      <c r="BI69" s="25">
        <f>H69*AP69</f>
        <v>0</v>
      </c>
      <c r="BJ69" s="25">
        <f>H69*I69</f>
        <v>0</v>
      </c>
      <c r="BK69" s="25" t="s">
        <v>57</v>
      </c>
      <c r="BL69" s="25">
        <v>784</v>
      </c>
    </row>
    <row r="70" spans="1:14" ht="12.75" customHeight="1">
      <c r="A70" s="1"/>
      <c r="B70" s="32" t="s">
        <v>73</v>
      </c>
      <c r="C70" s="90" t="s">
        <v>213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1"/>
    </row>
    <row r="71" spans="1:47" ht="12.75">
      <c r="A71" s="28"/>
      <c r="B71" s="29" t="s">
        <v>214</v>
      </c>
      <c r="C71" s="89" t="s">
        <v>215</v>
      </c>
      <c r="D71" s="89"/>
      <c r="E71" s="89"/>
      <c r="F71" s="89"/>
      <c r="G71" s="30" t="s">
        <v>4</v>
      </c>
      <c r="H71" s="30" t="s">
        <v>4</v>
      </c>
      <c r="I71" s="30" t="s">
        <v>4</v>
      </c>
      <c r="J71" s="23">
        <f>SUM(J72:J74)</f>
        <v>0</v>
      </c>
      <c r="K71" s="23">
        <f>SUM(K72:K74)</f>
        <v>0</v>
      </c>
      <c r="L71" s="23">
        <f>SUM(L72:L74)</f>
        <v>0</v>
      </c>
      <c r="M71" s="31"/>
      <c r="N71" s="1"/>
      <c r="AI71" s="9"/>
      <c r="AS71" s="23">
        <f>SUM(AJ72:AJ74)</f>
        <v>0</v>
      </c>
      <c r="AT71" s="23">
        <f>SUM(AK72:AK74)</f>
        <v>0</v>
      </c>
      <c r="AU71" s="23">
        <f>SUM(AL72:AL74)</f>
        <v>0</v>
      </c>
    </row>
    <row r="72" spans="1:64" ht="12.75">
      <c r="A72" s="24" t="s">
        <v>216</v>
      </c>
      <c r="B72" s="2" t="s">
        <v>217</v>
      </c>
      <c r="C72" s="79" t="s">
        <v>218</v>
      </c>
      <c r="D72" s="79"/>
      <c r="E72" s="79"/>
      <c r="F72" s="79"/>
      <c r="G72" s="2" t="s">
        <v>177</v>
      </c>
      <c r="H72" s="25">
        <v>21.689</v>
      </c>
      <c r="I72" s="25">
        <v>0</v>
      </c>
      <c r="J72" s="25">
        <f>H72*AO72</f>
        <v>0</v>
      </c>
      <c r="K72" s="25">
        <f>H72*AP72</f>
        <v>0</v>
      </c>
      <c r="L72" s="25">
        <f>H72*I72</f>
        <v>0</v>
      </c>
      <c r="M72" s="26" t="s">
        <v>53</v>
      </c>
      <c r="N72" s="1"/>
      <c r="Z72" s="25">
        <f>IF(AQ72="5",BJ72,0)</f>
        <v>0</v>
      </c>
      <c r="AB72" s="25">
        <f>IF(AQ72="1",BH72,0)</f>
        <v>0</v>
      </c>
      <c r="AC72" s="25">
        <f>IF(AQ72="1",BI72,0)</f>
        <v>0</v>
      </c>
      <c r="AD72" s="25">
        <f>IF(AQ72="7",BH72,0)</f>
        <v>0</v>
      </c>
      <c r="AE72" s="25">
        <f>IF(AQ72="7",BI72,0)</f>
        <v>0</v>
      </c>
      <c r="AF72" s="25">
        <f>IF(AQ72="2",BH72,0)</f>
        <v>0</v>
      </c>
      <c r="AG72" s="25">
        <f>IF(AQ72="2",BI72,0)</f>
        <v>0</v>
      </c>
      <c r="AH72" s="25">
        <f>IF(AQ72="0",BJ72,0)</f>
        <v>0</v>
      </c>
      <c r="AI72" s="9"/>
      <c r="AJ72" s="25">
        <f>IF(AN72=0,L72,0)</f>
        <v>0</v>
      </c>
      <c r="AK72" s="25">
        <f>IF(AN72=15,L72,0)</f>
        <v>0</v>
      </c>
      <c r="AL72" s="25">
        <f>IF(AN72=21,L72,0)</f>
        <v>0</v>
      </c>
      <c r="AN72" s="25">
        <v>15</v>
      </c>
      <c r="AO72" s="25">
        <f>I72*0</f>
        <v>0</v>
      </c>
      <c r="AP72" s="25">
        <f>I72*(1-0)</f>
        <v>0</v>
      </c>
      <c r="AQ72" s="27" t="s">
        <v>49</v>
      </c>
      <c r="AV72" s="25">
        <f>AW72+AX72</f>
        <v>0</v>
      </c>
      <c r="AW72" s="25">
        <f>H72*AO72</f>
        <v>0</v>
      </c>
      <c r="AX72" s="25">
        <f>H72*AP72</f>
        <v>0</v>
      </c>
      <c r="AY72" s="27" t="s">
        <v>219</v>
      </c>
      <c r="AZ72" s="27" t="s">
        <v>220</v>
      </c>
      <c r="BA72" s="9" t="s">
        <v>56</v>
      </c>
      <c r="BC72" s="25">
        <f>AW72+AX72</f>
        <v>0</v>
      </c>
      <c r="BD72" s="25">
        <f>I72/(100-BE72)*100</f>
        <v>0</v>
      </c>
      <c r="BE72" s="25">
        <v>0</v>
      </c>
      <c r="BF72" s="25">
        <f>72</f>
        <v>72</v>
      </c>
      <c r="BH72" s="25">
        <f>H72*AO72</f>
        <v>0</v>
      </c>
      <c r="BI72" s="25">
        <f>H72*AP72</f>
        <v>0</v>
      </c>
      <c r="BJ72" s="25">
        <f>H72*I72</f>
        <v>0</v>
      </c>
      <c r="BK72" s="25" t="s">
        <v>57</v>
      </c>
      <c r="BL72" s="25">
        <v>87</v>
      </c>
    </row>
    <row r="73" spans="1:64" ht="12.75">
      <c r="A73" s="24" t="s">
        <v>221</v>
      </c>
      <c r="B73" s="2" t="s">
        <v>222</v>
      </c>
      <c r="C73" s="79" t="s">
        <v>223</v>
      </c>
      <c r="D73" s="79"/>
      <c r="E73" s="79"/>
      <c r="F73" s="79"/>
      <c r="G73" s="2" t="s">
        <v>177</v>
      </c>
      <c r="H73" s="25">
        <v>2</v>
      </c>
      <c r="I73" s="25">
        <v>0</v>
      </c>
      <c r="J73" s="25">
        <f>H73*AO73</f>
        <v>0</v>
      </c>
      <c r="K73" s="25">
        <f>H73*AP73</f>
        <v>0</v>
      </c>
      <c r="L73" s="25">
        <f>H73*I73</f>
        <v>0</v>
      </c>
      <c r="M73" s="26" t="s">
        <v>53</v>
      </c>
      <c r="N73" s="1"/>
      <c r="Z73" s="25">
        <f>IF(AQ73="5",BJ73,0)</f>
        <v>0</v>
      </c>
      <c r="AB73" s="25">
        <f>IF(AQ73="1",BH73,0)</f>
        <v>0</v>
      </c>
      <c r="AC73" s="25">
        <f>IF(AQ73="1",BI73,0)</f>
        <v>0</v>
      </c>
      <c r="AD73" s="25">
        <f>IF(AQ73="7",BH73,0)</f>
        <v>0</v>
      </c>
      <c r="AE73" s="25">
        <f>IF(AQ73="7",BI73,0)</f>
        <v>0</v>
      </c>
      <c r="AF73" s="25">
        <f>IF(AQ73="2",BH73,0)</f>
        <v>0</v>
      </c>
      <c r="AG73" s="25">
        <f>IF(AQ73="2",BI73,0)</f>
        <v>0</v>
      </c>
      <c r="AH73" s="25">
        <f>IF(AQ73="0",BJ73,0)</f>
        <v>0</v>
      </c>
      <c r="AI73" s="9"/>
      <c r="AJ73" s="25">
        <f>IF(AN73=0,L73,0)</f>
        <v>0</v>
      </c>
      <c r="AK73" s="25">
        <f>IF(AN73=15,L73,0)</f>
        <v>0</v>
      </c>
      <c r="AL73" s="25">
        <f>IF(AN73=21,L73,0)</f>
        <v>0</v>
      </c>
      <c r="AN73" s="25">
        <v>15</v>
      </c>
      <c r="AO73" s="25">
        <f>I73*0.115897955735766</f>
        <v>0</v>
      </c>
      <c r="AP73" s="25">
        <f>I73*(1-0.115897955735766)</f>
        <v>0</v>
      </c>
      <c r="AQ73" s="27" t="s">
        <v>49</v>
      </c>
      <c r="AV73" s="25">
        <f>AW73+AX73</f>
        <v>0</v>
      </c>
      <c r="AW73" s="25">
        <f>H73*AO73</f>
        <v>0</v>
      </c>
      <c r="AX73" s="25">
        <f>H73*AP73</f>
        <v>0</v>
      </c>
      <c r="AY73" s="27" t="s">
        <v>219</v>
      </c>
      <c r="AZ73" s="27" t="s">
        <v>220</v>
      </c>
      <c r="BA73" s="9" t="s">
        <v>56</v>
      </c>
      <c r="BC73" s="25">
        <f>AW73+AX73</f>
        <v>0</v>
      </c>
      <c r="BD73" s="25">
        <f>I73/(100-BE73)*100</f>
        <v>0</v>
      </c>
      <c r="BE73" s="25">
        <v>0</v>
      </c>
      <c r="BF73" s="25">
        <f>73</f>
        <v>73</v>
      </c>
      <c r="BH73" s="25">
        <f>H73*AO73</f>
        <v>0</v>
      </c>
      <c r="BI73" s="25">
        <f>H73*AP73</f>
        <v>0</v>
      </c>
      <c r="BJ73" s="25">
        <f>H73*I73</f>
        <v>0</v>
      </c>
      <c r="BK73" s="25" t="s">
        <v>57</v>
      </c>
      <c r="BL73" s="25">
        <v>87</v>
      </c>
    </row>
    <row r="74" spans="1:64" ht="12.75">
      <c r="A74" s="24" t="s">
        <v>224</v>
      </c>
      <c r="B74" s="2" t="s">
        <v>225</v>
      </c>
      <c r="C74" s="79" t="s">
        <v>226</v>
      </c>
      <c r="D74" s="79"/>
      <c r="E74" s="79"/>
      <c r="F74" s="79"/>
      <c r="G74" s="2" t="s">
        <v>177</v>
      </c>
      <c r="H74" s="25">
        <v>20</v>
      </c>
      <c r="I74" s="25">
        <v>0</v>
      </c>
      <c r="J74" s="25">
        <f>H74*AO74</f>
        <v>0</v>
      </c>
      <c r="K74" s="25">
        <f>H74*AP74</f>
        <v>0</v>
      </c>
      <c r="L74" s="25">
        <f>H74*I74</f>
        <v>0</v>
      </c>
      <c r="M74" s="26" t="s">
        <v>53</v>
      </c>
      <c r="N74" s="1"/>
      <c r="Z74" s="25">
        <f>IF(AQ74="5",BJ74,0)</f>
        <v>0</v>
      </c>
      <c r="AB74" s="25">
        <f>IF(AQ74="1",BH74,0)</f>
        <v>0</v>
      </c>
      <c r="AC74" s="25">
        <f>IF(AQ74="1",BI74,0)</f>
        <v>0</v>
      </c>
      <c r="AD74" s="25">
        <f>IF(AQ74="7",BH74,0)</f>
        <v>0</v>
      </c>
      <c r="AE74" s="25">
        <f>IF(AQ74="7",BI74,0)</f>
        <v>0</v>
      </c>
      <c r="AF74" s="25">
        <f>IF(AQ74="2",BH74,0)</f>
        <v>0</v>
      </c>
      <c r="AG74" s="25">
        <f>IF(AQ74="2",BI74,0)</f>
        <v>0</v>
      </c>
      <c r="AH74" s="25">
        <f>IF(AQ74="0",BJ74,0)</f>
        <v>0</v>
      </c>
      <c r="AI74" s="9"/>
      <c r="AJ74" s="25">
        <f>IF(AN74=0,L74,0)</f>
        <v>0</v>
      </c>
      <c r="AK74" s="25">
        <f>IF(AN74=15,L74,0)</f>
        <v>0</v>
      </c>
      <c r="AL74" s="25">
        <f>IF(AN74=21,L74,0)</f>
        <v>0</v>
      </c>
      <c r="AN74" s="25">
        <v>15</v>
      </c>
      <c r="AO74" s="25">
        <f>I74*0.117727272727273</f>
        <v>0</v>
      </c>
      <c r="AP74" s="25">
        <f>I74*(1-0.117727272727273)</f>
        <v>0</v>
      </c>
      <c r="AQ74" s="27" t="s">
        <v>49</v>
      </c>
      <c r="AV74" s="25">
        <f>AW74+AX74</f>
        <v>0</v>
      </c>
      <c r="AW74" s="25">
        <f>H74*AO74</f>
        <v>0</v>
      </c>
      <c r="AX74" s="25">
        <f>H74*AP74</f>
        <v>0</v>
      </c>
      <c r="AY74" s="27" t="s">
        <v>219</v>
      </c>
      <c r="AZ74" s="27" t="s">
        <v>220</v>
      </c>
      <c r="BA74" s="9" t="s">
        <v>56</v>
      </c>
      <c r="BC74" s="25">
        <f>AW74+AX74</f>
        <v>0</v>
      </c>
      <c r="BD74" s="25">
        <f>I74/(100-BE74)*100</f>
        <v>0</v>
      </c>
      <c r="BE74" s="25">
        <v>0</v>
      </c>
      <c r="BF74" s="25">
        <f>74</f>
        <v>74</v>
      </c>
      <c r="BH74" s="25">
        <f>H74*AO74</f>
        <v>0</v>
      </c>
      <c r="BI74" s="25">
        <f>H74*AP74</f>
        <v>0</v>
      </c>
      <c r="BJ74" s="25">
        <f>H74*I74</f>
        <v>0</v>
      </c>
      <c r="BK74" s="25" t="s">
        <v>57</v>
      </c>
      <c r="BL74" s="25">
        <v>87</v>
      </c>
    </row>
    <row r="75" spans="1:47" ht="12.75">
      <c r="A75" s="28"/>
      <c r="B75" s="29" t="s">
        <v>227</v>
      </c>
      <c r="C75" s="89" t="s">
        <v>228</v>
      </c>
      <c r="D75" s="89"/>
      <c r="E75" s="89"/>
      <c r="F75" s="89"/>
      <c r="G75" s="30" t="s">
        <v>4</v>
      </c>
      <c r="H75" s="30" t="s">
        <v>4</v>
      </c>
      <c r="I75" s="30" t="s">
        <v>4</v>
      </c>
      <c r="J75" s="23">
        <f>SUM(J76:J76)</f>
        <v>0</v>
      </c>
      <c r="K75" s="23">
        <f>SUM(K76:K76)</f>
        <v>0</v>
      </c>
      <c r="L75" s="23">
        <f>SUM(L76:L76)</f>
        <v>0</v>
      </c>
      <c r="M75" s="31"/>
      <c r="N75" s="1"/>
      <c r="AI75" s="9"/>
      <c r="AS75" s="23">
        <f>SUM(AJ76:AJ76)</f>
        <v>0</v>
      </c>
      <c r="AT75" s="23">
        <f>SUM(AK76:AK76)</f>
        <v>0</v>
      </c>
      <c r="AU75" s="23">
        <f>SUM(AL76:AL76)</f>
        <v>0</v>
      </c>
    </row>
    <row r="76" spans="1:64" ht="12.75">
      <c r="A76" s="24" t="s">
        <v>229</v>
      </c>
      <c r="B76" s="2" t="s">
        <v>230</v>
      </c>
      <c r="C76" s="79" t="s">
        <v>231</v>
      </c>
      <c r="D76" s="79"/>
      <c r="E76" s="79"/>
      <c r="F76" s="79"/>
      <c r="G76" s="2" t="s">
        <v>187</v>
      </c>
      <c r="H76" s="25">
        <v>3</v>
      </c>
      <c r="I76" s="25">
        <v>0</v>
      </c>
      <c r="J76" s="25">
        <f>H76*AO76</f>
        <v>0</v>
      </c>
      <c r="K76" s="25">
        <f>H76*AP76</f>
        <v>0</v>
      </c>
      <c r="L76" s="25">
        <f>H76*I76</f>
        <v>0</v>
      </c>
      <c r="M76" s="26" t="s">
        <v>53</v>
      </c>
      <c r="N76" s="1"/>
      <c r="Z76" s="25">
        <f>IF(AQ76="5",BJ76,0)</f>
        <v>0</v>
      </c>
      <c r="AB76" s="25">
        <f>IF(AQ76="1",BH76,0)</f>
        <v>0</v>
      </c>
      <c r="AC76" s="25">
        <f>IF(AQ76="1",BI76,0)</f>
        <v>0</v>
      </c>
      <c r="AD76" s="25">
        <f>IF(AQ76="7",BH76,0)</f>
        <v>0</v>
      </c>
      <c r="AE76" s="25">
        <f>IF(AQ76="7",BI76,0)</f>
        <v>0</v>
      </c>
      <c r="AF76" s="25">
        <f>IF(AQ76="2",BH76,0)</f>
        <v>0</v>
      </c>
      <c r="AG76" s="25">
        <f>IF(AQ76="2",BI76,0)</f>
        <v>0</v>
      </c>
      <c r="AH76" s="25">
        <f>IF(AQ76="0",BJ76,0)</f>
        <v>0</v>
      </c>
      <c r="AI76" s="9"/>
      <c r="AJ76" s="25">
        <f>IF(AN76=0,L76,0)</f>
        <v>0</v>
      </c>
      <c r="AK76" s="25">
        <f>IF(AN76=15,L76,0)</f>
        <v>0</v>
      </c>
      <c r="AL76" s="25">
        <f>IF(AN76=21,L76,0)</f>
        <v>0</v>
      </c>
      <c r="AN76" s="25">
        <v>15</v>
      </c>
      <c r="AO76" s="25">
        <f>I76*0.609111842105263</f>
        <v>0</v>
      </c>
      <c r="AP76" s="25">
        <f>I76*(1-0.609111842105263)</f>
        <v>0</v>
      </c>
      <c r="AQ76" s="27" t="s">
        <v>49</v>
      </c>
      <c r="AV76" s="25">
        <f>AW76+AX76</f>
        <v>0</v>
      </c>
      <c r="AW76" s="25">
        <f>H76*AO76</f>
        <v>0</v>
      </c>
      <c r="AX76" s="25">
        <f>H76*AP76</f>
        <v>0</v>
      </c>
      <c r="AY76" s="27" t="s">
        <v>232</v>
      </c>
      <c r="AZ76" s="27" t="s">
        <v>220</v>
      </c>
      <c r="BA76" s="9" t="s">
        <v>56</v>
      </c>
      <c r="BC76" s="25">
        <f>AW76+AX76</f>
        <v>0</v>
      </c>
      <c r="BD76" s="25">
        <f>I76/(100-BE76)*100</f>
        <v>0</v>
      </c>
      <c r="BE76" s="25">
        <v>0</v>
      </c>
      <c r="BF76" s="25">
        <f>76</f>
        <v>76</v>
      </c>
      <c r="BH76" s="25">
        <f>H76*AO76</f>
        <v>0</v>
      </c>
      <c r="BI76" s="25">
        <f>H76*AP76</f>
        <v>0</v>
      </c>
      <c r="BJ76" s="25">
        <f>H76*I76</f>
        <v>0</v>
      </c>
      <c r="BK76" s="25" t="s">
        <v>57</v>
      </c>
      <c r="BL76" s="25">
        <v>89</v>
      </c>
    </row>
    <row r="77" spans="1:47" ht="12.75">
      <c r="A77" s="28"/>
      <c r="B77" s="29" t="s">
        <v>233</v>
      </c>
      <c r="C77" s="89" t="s">
        <v>234</v>
      </c>
      <c r="D77" s="89"/>
      <c r="E77" s="89"/>
      <c r="F77" s="89"/>
      <c r="G77" s="30" t="s">
        <v>4</v>
      </c>
      <c r="H77" s="30" t="s">
        <v>4</v>
      </c>
      <c r="I77" s="30" t="s">
        <v>4</v>
      </c>
      <c r="J77" s="23">
        <f>SUM(J78:J82)</f>
        <v>0</v>
      </c>
      <c r="K77" s="23">
        <f>SUM(K78:K82)</f>
        <v>0</v>
      </c>
      <c r="L77" s="23">
        <f>SUM(L78:L82)</f>
        <v>0</v>
      </c>
      <c r="M77" s="31"/>
      <c r="N77" s="1"/>
      <c r="AI77" s="9"/>
      <c r="AS77" s="23">
        <f>SUM(AJ78:AJ82)</f>
        <v>0</v>
      </c>
      <c r="AT77" s="23">
        <f>SUM(AK78:AK82)</f>
        <v>0</v>
      </c>
      <c r="AU77" s="23">
        <f>SUM(AL78:AL82)</f>
        <v>0</v>
      </c>
    </row>
    <row r="78" spans="1:64" ht="12.75">
      <c r="A78" s="24" t="s">
        <v>235</v>
      </c>
      <c r="B78" s="2" t="s">
        <v>236</v>
      </c>
      <c r="C78" s="79" t="s">
        <v>237</v>
      </c>
      <c r="D78" s="79"/>
      <c r="E78" s="79"/>
      <c r="F78" s="79"/>
      <c r="G78" s="2" t="s">
        <v>52</v>
      </c>
      <c r="H78" s="25">
        <v>13.675</v>
      </c>
      <c r="I78" s="25">
        <v>0</v>
      </c>
      <c r="J78" s="25">
        <f>H78*AO78</f>
        <v>0</v>
      </c>
      <c r="K78" s="25">
        <f>H78*AP78</f>
        <v>0</v>
      </c>
      <c r="L78" s="25">
        <f>H78*I78</f>
        <v>0</v>
      </c>
      <c r="M78" s="26" t="s">
        <v>53</v>
      </c>
      <c r="N78" s="1"/>
      <c r="Z78" s="25">
        <f>IF(AQ78="5",BJ78,0)</f>
        <v>0</v>
      </c>
      <c r="AB78" s="25">
        <f>IF(AQ78="1",BH78,0)</f>
        <v>0</v>
      </c>
      <c r="AC78" s="25">
        <f>IF(AQ78="1",BI78,0)</f>
        <v>0</v>
      </c>
      <c r="AD78" s="25">
        <f>IF(AQ78="7",BH78,0)</f>
        <v>0</v>
      </c>
      <c r="AE78" s="25">
        <f>IF(AQ78="7",BI78,0)</f>
        <v>0</v>
      </c>
      <c r="AF78" s="25">
        <f>IF(AQ78="2",BH78,0)</f>
        <v>0</v>
      </c>
      <c r="AG78" s="25">
        <f>IF(AQ78="2",BI78,0)</f>
        <v>0</v>
      </c>
      <c r="AH78" s="25">
        <f>IF(AQ78="0",BJ78,0)</f>
        <v>0</v>
      </c>
      <c r="AI78" s="9"/>
      <c r="AJ78" s="25">
        <f>IF(AN78=0,L78,0)</f>
        <v>0</v>
      </c>
      <c r="AK78" s="25">
        <f>IF(AN78=15,L78,0)</f>
        <v>0</v>
      </c>
      <c r="AL78" s="25">
        <f>IF(AN78=21,L78,0)</f>
        <v>0</v>
      </c>
      <c r="AN78" s="25">
        <v>15</v>
      </c>
      <c r="AO78" s="25">
        <f>I78*0</f>
        <v>0</v>
      </c>
      <c r="AP78" s="25">
        <f>I78*(1-0)</f>
        <v>0</v>
      </c>
      <c r="AQ78" s="27" t="s">
        <v>49</v>
      </c>
      <c r="AV78" s="25">
        <f>AW78+AX78</f>
        <v>0</v>
      </c>
      <c r="AW78" s="25">
        <f>H78*AO78</f>
        <v>0</v>
      </c>
      <c r="AX78" s="25">
        <f>H78*AP78</f>
        <v>0</v>
      </c>
      <c r="AY78" s="27" t="s">
        <v>238</v>
      </c>
      <c r="AZ78" s="27" t="s">
        <v>239</v>
      </c>
      <c r="BA78" s="9" t="s">
        <v>56</v>
      </c>
      <c r="BC78" s="25">
        <f>AW78+AX78</f>
        <v>0</v>
      </c>
      <c r="BD78" s="25">
        <f>I78/(100-BE78)*100</f>
        <v>0</v>
      </c>
      <c r="BE78" s="25">
        <v>0</v>
      </c>
      <c r="BF78" s="25">
        <f>78</f>
        <v>78</v>
      </c>
      <c r="BH78" s="25">
        <f>H78*AO78</f>
        <v>0</v>
      </c>
      <c r="BI78" s="25">
        <f>H78*AP78</f>
        <v>0</v>
      </c>
      <c r="BJ78" s="25">
        <f>H78*I78</f>
        <v>0</v>
      </c>
      <c r="BK78" s="25" t="s">
        <v>57</v>
      </c>
      <c r="BL78" s="25">
        <v>96</v>
      </c>
    </row>
    <row r="79" spans="1:14" ht="12.75" customHeight="1">
      <c r="A79" s="1"/>
      <c r="B79" s="32" t="s">
        <v>73</v>
      </c>
      <c r="C79" s="90" t="s">
        <v>240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1"/>
    </row>
    <row r="80" spans="1:64" ht="12.75">
      <c r="A80" s="24" t="s">
        <v>241</v>
      </c>
      <c r="B80" s="2" t="s">
        <v>242</v>
      </c>
      <c r="C80" s="79" t="s">
        <v>243</v>
      </c>
      <c r="D80" s="79"/>
      <c r="E80" s="79"/>
      <c r="F80" s="79"/>
      <c r="G80" s="2" t="s">
        <v>52</v>
      </c>
      <c r="H80" s="25">
        <v>0.57</v>
      </c>
      <c r="I80" s="25">
        <v>0</v>
      </c>
      <c r="J80" s="25">
        <f>H80*AO80</f>
        <v>0</v>
      </c>
      <c r="K80" s="25">
        <f>H80*AP80</f>
        <v>0</v>
      </c>
      <c r="L80" s="25">
        <f>H80*I80</f>
        <v>0</v>
      </c>
      <c r="M80" s="26" t="s">
        <v>53</v>
      </c>
      <c r="N80" s="1"/>
      <c r="Z80" s="25">
        <f>IF(AQ80="5",BJ80,0)</f>
        <v>0</v>
      </c>
      <c r="AB80" s="25">
        <f>IF(AQ80="1",BH80,0)</f>
        <v>0</v>
      </c>
      <c r="AC80" s="25">
        <f>IF(AQ80="1",BI80,0)</f>
        <v>0</v>
      </c>
      <c r="AD80" s="25">
        <f>IF(AQ80="7",BH80,0)</f>
        <v>0</v>
      </c>
      <c r="AE80" s="25">
        <f>IF(AQ80="7",BI80,0)</f>
        <v>0</v>
      </c>
      <c r="AF80" s="25">
        <f>IF(AQ80="2",BH80,0)</f>
        <v>0</v>
      </c>
      <c r="AG80" s="25">
        <f>IF(AQ80="2",BI80,0)</f>
        <v>0</v>
      </c>
      <c r="AH80" s="25">
        <f>IF(AQ80="0",BJ80,0)</f>
        <v>0</v>
      </c>
      <c r="AI80" s="9"/>
      <c r="AJ80" s="25">
        <f>IF(AN80=0,L80,0)</f>
        <v>0</v>
      </c>
      <c r="AK80" s="25">
        <f>IF(AN80=15,L80,0)</f>
        <v>0</v>
      </c>
      <c r="AL80" s="25">
        <f>IF(AN80=21,L80,0)</f>
        <v>0</v>
      </c>
      <c r="AN80" s="25">
        <v>15</v>
      </c>
      <c r="AO80" s="25">
        <f>I80*0.0623545878693624</f>
        <v>0</v>
      </c>
      <c r="AP80" s="25">
        <f>I80*(1-0.0623545878693624)</f>
        <v>0</v>
      </c>
      <c r="AQ80" s="27" t="s">
        <v>49</v>
      </c>
      <c r="AV80" s="25">
        <f>AW80+AX80</f>
        <v>0</v>
      </c>
      <c r="AW80" s="25">
        <f>H80*AO80</f>
        <v>0</v>
      </c>
      <c r="AX80" s="25">
        <f>H80*AP80</f>
        <v>0</v>
      </c>
      <c r="AY80" s="27" t="s">
        <v>238</v>
      </c>
      <c r="AZ80" s="27" t="s">
        <v>239</v>
      </c>
      <c r="BA80" s="9" t="s">
        <v>56</v>
      </c>
      <c r="BC80" s="25">
        <f>AW80+AX80</f>
        <v>0</v>
      </c>
      <c r="BD80" s="25">
        <f>I80/(100-BE80)*100</f>
        <v>0</v>
      </c>
      <c r="BE80" s="25">
        <v>0</v>
      </c>
      <c r="BF80" s="25">
        <f>80</f>
        <v>80</v>
      </c>
      <c r="BH80" s="25">
        <f>H80*AO80</f>
        <v>0</v>
      </c>
      <c r="BI80" s="25">
        <f>H80*AP80</f>
        <v>0</v>
      </c>
      <c r="BJ80" s="25">
        <f>H80*I80</f>
        <v>0</v>
      </c>
      <c r="BK80" s="25" t="s">
        <v>57</v>
      </c>
      <c r="BL80" s="25">
        <v>96</v>
      </c>
    </row>
    <row r="81" spans="1:64" ht="12.75">
      <c r="A81" s="24" t="s">
        <v>244</v>
      </c>
      <c r="B81" s="2" t="s">
        <v>245</v>
      </c>
      <c r="C81" s="79" t="s">
        <v>246</v>
      </c>
      <c r="D81" s="79"/>
      <c r="E81" s="79"/>
      <c r="F81" s="79"/>
      <c r="G81" s="2" t="s">
        <v>52</v>
      </c>
      <c r="H81" s="25">
        <v>1.413</v>
      </c>
      <c r="I81" s="25">
        <v>0</v>
      </c>
      <c r="J81" s="25">
        <f>H81*AO81</f>
        <v>0</v>
      </c>
      <c r="K81" s="25">
        <f>H81*AP81</f>
        <v>0</v>
      </c>
      <c r="L81" s="25">
        <f>H81*I81</f>
        <v>0</v>
      </c>
      <c r="M81" s="26" t="s">
        <v>53</v>
      </c>
      <c r="N81" s="1"/>
      <c r="Z81" s="25">
        <f>IF(AQ81="5",BJ81,0)</f>
        <v>0</v>
      </c>
      <c r="AB81" s="25">
        <f>IF(AQ81="1",BH81,0)</f>
        <v>0</v>
      </c>
      <c r="AC81" s="25">
        <f>IF(AQ81="1",BI81,0)</f>
        <v>0</v>
      </c>
      <c r="AD81" s="25">
        <f>IF(AQ81="7",BH81,0)</f>
        <v>0</v>
      </c>
      <c r="AE81" s="25">
        <f>IF(AQ81="7",BI81,0)</f>
        <v>0</v>
      </c>
      <c r="AF81" s="25">
        <f>IF(AQ81="2",BH81,0)</f>
        <v>0</v>
      </c>
      <c r="AG81" s="25">
        <f>IF(AQ81="2",BI81,0)</f>
        <v>0</v>
      </c>
      <c r="AH81" s="25">
        <f>IF(AQ81="0",BJ81,0)</f>
        <v>0</v>
      </c>
      <c r="AI81" s="9"/>
      <c r="AJ81" s="25">
        <f>IF(AN81=0,L81,0)</f>
        <v>0</v>
      </c>
      <c r="AK81" s="25">
        <f>IF(AN81=15,L81,0)</f>
        <v>0</v>
      </c>
      <c r="AL81" s="25">
        <f>IF(AN81=21,L81,0)</f>
        <v>0</v>
      </c>
      <c r="AN81" s="25">
        <v>15</v>
      </c>
      <c r="AO81" s="25">
        <f>I81*0</f>
        <v>0</v>
      </c>
      <c r="AP81" s="25">
        <f>I81*(1-0)</f>
        <v>0</v>
      </c>
      <c r="AQ81" s="27" t="s">
        <v>49</v>
      </c>
      <c r="AV81" s="25">
        <f>AW81+AX81</f>
        <v>0</v>
      </c>
      <c r="AW81" s="25">
        <f>H81*AO81</f>
        <v>0</v>
      </c>
      <c r="AX81" s="25">
        <f>H81*AP81</f>
        <v>0</v>
      </c>
      <c r="AY81" s="27" t="s">
        <v>238</v>
      </c>
      <c r="AZ81" s="27" t="s">
        <v>239</v>
      </c>
      <c r="BA81" s="9" t="s">
        <v>56</v>
      </c>
      <c r="BC81" s="25">
        <f>AW81+AX81</f>
        <v>0</v>
      </c>
      <c r="BD81" s="25">
        <f>I81/(100-BE81)*100</f>
        <v>0</v>
      </c>
      <c r="BE81" s="25">
        <v>0</v>
      </c>
      <c r="BF81" s="25">
        <f>81</f>
        <v>81</v>
      </c>
      <c r="BH81" s="25">
        <f>H81*AO81</f>
        <v>0</v>
      </c>
      <c r="BI81" s="25">
        <f>H81*AP81</f>
        <v>0</v>
      </c>
      <c r="BJ81" s="25">
        <f>H81*I81</f>
        <v>0</v>
      </c>
      <c r="BK81" s="25" t="s">
        <v>57</v>
      </c>
      <c r="BL81" s="25">
        <v>96</v>
      </c>
    </row>
    <row r="82" spans="1:64" ht="12.75">
      <c r="A82" s="24" t="s">
        <v>247</v>
      </c>
      <c r="B82" s="2" t="s">
        <v>248</v>
      </c>
      <c r="C82" s="79" t="s">
        <v>249</v>
      </c>
      <c r="D82" s="79"/>
      <c r="E82" s="79"/>
      <c r="F82" s="79"/>
      <c r="G82" s="2" t="s">
        <v>112</v>
      </c>
      <c r="H82" s="25">
        <v>7.38</v>
      </c>
      <c r="I82" s="25">
        <v>0</v>
      </c>
      <c r="J82" s="25">
        <f>H82*AO82</f>
        <v>0</v>
      </c>
      <c r="K82" s="25">
        <f>H82*AP82</f>
        <v>0</v>
      </c>
      <c r="L82" s="25">
        <f>H82*I82</f>
        <v>0</v>
      </c>
      <c r="M82" s="26" t="s">
        <v>53</v>
      </c>
      <c r="N82" s="1"/>
      <c r="Z82" s="25">
        <f>IF(AQ82="5",BJ82,0)</f>
        <v>0</v>
      </c>
      <c r="AB82" s="25">
        <f>IF(AQ82="1",BH82,0)</f>
        <v>0</v>
      </c>
      <c r="AC82" s="25">
        <f>IF(AQ82="1",BI82,0)</f>
        <v>0</v>
      </c>
      <c r="AD82" s="25">
        <f>IF(AQ82="7",BH82,0)</f>
        <v>0</v>
      </c>
      <c r="AE82" s="25">
        <f>IF(AQ82="7",BI82,0)</f>
        <v>0</v>
      </c>
      <c r="AF82" s="25">
        <f>IF(AQ82="2",BH82,0)</f>
        <v>0</v>
      </c>
      <c r="AG82" s="25">
        <f>IF(AQ82="2",BI82,0)</f>
        <v>0</v>
      </c>
      <c r="AH82" s="25">
        <f>IF(AQ82="0",BJ82,0)</f>
        <v>0</v>
      </c>
      <c r="AI82" s="9"/>
      <c r="AJ82" s="25">
        <f>IF(AN82=0,L82,0)</f>
        <v>0</v>
      </c>
      <c r="AK82" s="25">
        <f>IF(AN82=15,L82,0)</f>
        <v>0</v>
      </c>
      <c r="AL82" s="25">
        <f>IF(AN82=21,L82,0)</f>
        <v>0</v>
      </c>
      <c r="AN82" s="25">
        <v>15</v>
      </c>
      <c r="AO82" s="25">
        <f>I82*0</f>
        <v>0</v>
      </c>
      <c r="AP82" s="25">
        <f>I82*(1-0)</f>
        <v>0</v>
      </c>
      <c r="AQ82" s="27" t="s">
        <v>49</v>
      </c>
      <c r="AV82" s="25">
        <f>AW82+AX82</f>
        <v>0</v>
      </c>
      <c r="AW82" s="25">
        <f>H82*AO82</f>
        <v>0</v>
      </c>
      <c r="AX82" s="25">
        <f>H82*AP82</f>
        <v>0</v>
      </c>
      <c r="AY82" s="27" t="s">
        <v>238</v>
      </c>
      <c r="AZ82" s="27" t="s">
        <v>239</v>
      </c>
      <c r="BA82" s="9" t="s">
        <v>56</v>
      </c>
      <c r="BC82" s="25">
        <f>AW82+AX82</f>
        <v>0</v>
      </c>
      <c r="BD82" s="25">
        <f>I82/(100-BE82)*100</f>
        <v>0</v>
      </c>
      <c r="BE82" s="25">
        <v>0</v>
      </c>
      <c r="BF82" s="25">
        <f>82</f>
        <v>82</v>
      </c>
      <c r="BH82" s="25">
        <f>H82*AO82</f>
        <v>0</v>
      </c>
      <c r="BI82" s="25">
        <f>H82*AP82</f>
        <v>0</v>
      </c>
      <c r="BJ82" s="25">
        <f>H82*I82</f>
        <v>0</v>
      </c>
      <c r="BK82" s="25" t="s">
        <v>57</v>
      </c>
      <c r="BL82" s="25">
        <v>96</v>
      </c>
    </row>
    <row r="83" spans="1:47" ht="12.75">
      <c r="A83" s="28"/>
      <c r="B83" s="29" t="s">
        <v>250</v>
      </c>
      <c r="C83" s="89" t="s">
        <v>251</v>
      </c>
      <c r="D83" s="89"/>
      <c r="E83" s="89"/>
      <c r="F83" s="89"/>
      <c r="G83" s="30" t="s">
        <v>4</v>
      </c>
      <c r="H83" s="30" t="s">
        <v>4</v>
      </c>
      <c r="I83" s="30" t="s">
        <v>4</v>
      </c>
      <c r="J83" s="23">
        <f>SUM(J84:J86)</f>
        <v>0</v>
      </c>
      <c r="K83" s="23">
        <f>SUM(K84:K86)</f>
        <v>0</v>
      </c>
      <c r="L83" s="23">
        <f>SUM(L84:L86)</f>
        <v>0</v>
      </c>
      <c r="M83" s="31"/>
      <c r="N83" s="1"/>
      <c r="AI83" s="9"/>
      <c r="AS83" s="23">
        <f>SUM(AJ84:AJ86)</f>
        <v>0</v>
      </c>
      <c r="AT83" s="23">
        <f>SUM(AK84:AK86)</f>
        <v>0</v>
      </c>
      <c r="AU83" s="23">
        <f>SUM(AL84:AL86)</f>
        <v>0</v>
      </c>
    </row>
    <row r="84" spans="1:64" ht="12.75">
      <c r="A84" s="24" t="s">
        <v>252</v>
      </c>
      <c r="B84" s="2" t="s">
        <v>253</v>
      </c>
      <c r="C84" s="79" t="s">
        <v>254</v>
      </c>
      <c r="D84" s="79"/>
      <c r="E84" s="79"/>
      <c r="F84" s="79"/>
      <c r="G84" s="2" t="s">
        <v>112</v>
      </c>
      <c r="H84" s="25">
        <v>152.22725</v>
      </c>
      <c r="I84" s="25">
        <v>0</v>
      </c>
      <c r="J84" s="25">
        <f>H84*AO84</f>
        <v>0</v>
      </c>
      <c r="K84" s="25">
        <f>H84*AP84</f>
        <v>0</v>
      </c>
      <c r="L84" s="25">
        <f>H84*I84</f>
        <v>0</v>
      </c>
      <c r="M84" s="26" t="s">
        <v>53</v>
      </c>
      <c r="N84" s="1"/>
      <c r="Z84" s="25">
        <f>IF(AQ84="5",BJ84,0)</f>
        <v>0</v>
      </c>
      <c r="AB84" s="25">
        <f>IF(AQ84="1",BH84,0)</f>
        <v>0</v>
      </c>
      <c r="AC84" s="25">
        <f>IF(AQ84="1",BI84,0)</f>
        <v>0</v>
      </c>
      <c r="AD84" s="25">
        <f>IF(AQ84="7",BH84,0)</f>
        <v>0</v>
      </c>
      <c r="AE84" s="25">
        <f>IF(AQ84="7",BI84,0)</f>
        <v>0</v>
      </c>
      <c r="AF84" s="25">
        <f>IF(AQ84="2",BH84,0)</f>
        <v>0</v>
      </c>
      <c r="AG84" s="25">
        <f>IF(AQ84="2",BI84,0)</f>
        <v>0</v>
      </c>
      <c r="AH84" s="25">
        <f>IF(AQ84="0",BJ84,0)</f>
        <v>0</v>
      </c>
      <c r="AI84" s="9"/>
      <c r="AJ84" s="25">
        <f>IF(AN84=0,L84,0)</f>
        <v>0</v>
      </c>
      <c r="AK84" s="25">
        <f>IF(AN84=15,L84,0)</f>
        <v>0</v>
      </c>
      <c r="AL84" s="25">
        <f>IF(AN84=21,L84,0)</f>
        <v>0</v>
      </c>
      <c r="AN84" s="25">
        <v>15</v>
      </c>
      <c r="AO84" s="25">
        <f>I84*0</f>
        <v>0</v>
      </c>
      <c r="AP84" s="25">
        <f>I84*(1-0)</f>
        <v>0</v>
      </c>
      <c r="AQ84" s="27" t="s">
        <v>49</v>
      </c>
      <c r="AV84" s="25">
        <f>AW84+AX84</f>
        <v>0</v>
      </c>
      <c r="AW84" s="25">
        <f>H84*AO84</f>
        <v>0</v>
      </c>
      <c r="AX84" s="25">
        <f>H84*AP84</f>
        <v>0</v>
      </c>
      <c r="AY84" s="27" t="s">
        <v>255</v>
      </c>
      <c r="AZ84" s="27" t="s">
        <v>239</v>
      </c>
      <c r="BA84" s="9" t="s">
        <v>56</v>
      </c>
      <c r="BC84" s="25">
        <f>AW84+AX84</f>
        <v>0</v>
      </c>
      <c r="BD84" s="25">
        <f>I84/(100-BE84)*100</f>
        <v>0</v>
      </c>
      <c r="BE84" s="25">
        <v>0</v>
      </c>
      <c r="BF84" s="25">
        <f>84</f>
        <v>84</v>
      </c>
      <c r="BH84" s="25">
        <f>H84*AO84</f>
        <v>0</v>
      </c>
      <c r="BI84" s="25">
        <f>H84*AP84</f>
        <v>0</v>
      </c>
      <c r="BJ84" s="25">
        <f>H84*I84</f>
        <v>0</v>
      </c>
      <c r="BK84" s="25" t="s">
        <v>57</v>
      </c>
      <c r="BL84" s="25">
        <v>97</v>
      </c>
    </row>
    <row r="85" spans="1:64" ht="12.75">
      <c r="A85" s="24" t="s">
        <v>256</v>
      </c>
      <c r="B85" s="2" t="s">
        <v>257</v>
      </c>
      <c r="C85" s="79" t="s">
        <v>258</v>
      </c>
      <c r="D85" s="79"/>
      <c r="E85" s="79"/>
      <c r="F85" s="79"/>
      <c r="G85" s="2" t="s">
        <v>187</v>
      </c>
      <c r="H85" s="25">
        <v>5</v>
      </c>
      <c r="I85" s="25">
        <v>0</v>
      </c>
      <c r="J85" s="25">
        <f>H85*AO85</f>
        <v>0</v>
      </c>
      <c r="K85" s="25">
        <f>H85*AP85</f>
        <v>0</v>
      </c>
      <c r="L85" s="25">
        <f>H85*I85</f>
        <v>0</v>
      </c>
      <c r="M85" s="26" t="s">
        <v>53</v>
      </c>
      <c r="N85" s="1"/>
      <c r="Z85" s="25">
        <f>IF(AQ85="5",BJ85,0)</f>
        <v>0</v>
      </c>
      <c r="AB85" s="25">
        <f>IF(AQ85="1",BH85,0)</f>
        <v>0</v>
      </c>
      <c r="AC85" s="25">
        <f>IF(AQ85="1",BI85,0)</f>
        <v>0</v>
      </c>
      <c r="AD85" s="25">
        <f>IF(AQ85="7",BH85,0)</f>
        <v>0</v>
      </c>
      <c r="AE85" s="25">
        <f>IF(AQ85="7",BI85,0)</f>
        <v>0</v>
      </c>
      <c r="AF85" s="25">
        <f>IF(AQ85="2",BH85,0)</f>
        <v>0</v>
      </c>
      <c r="AG85" s="25">
        <f>IF(AQ85="2",BI85,0)</f>
        <v>0</v>
      </c>
      <c r="AH85" s="25">
        <f>IF(AQ85="0",BJ85,0)</f>
        <v>0</v>
      </c>
      <c r="AI85" s="9"/>
      <c r="AJ85" s="25">
        <f>IF(AN85=0,L85,0)</f>
        <v>0</v>
      </c>
      <c r="AK85" s="25">
        <f>IF(AN85=15,L85,0)</f>
        <v>0</v>
      </c>
      <c r="AL85" s="25">
        <f>IF(AN85=21,L85,0)</f>
        <v>0</v>
      </c>
      <c r="AN85" s="25">
        <v>15</v>
      </c>
      <c r="AO85" s="25">
        <f>I85*0.0991896272285251</f>
        <v>0</v>
      </c>
      <c r="AP85" s="25">
        <f>I85*(1-0.0991896272285251)</f>
        <v>0</v>
      </c>
      <c r="AQ85" s="27" t="s">
        <v>49</v>
      </c>
      <c r="AV85" s="25">
        <f>AW85+AX85</f>
        <v>0</v>
      </c>
      <c r="AW85" s="25">
        <f>H85*AO85</f>
        <v>0</v>
      </c>
      <c r="AX85" s="25">
        <f>H85*AP85</f>
        <v>0</v>
      </c>
      <c r="AY85" s="27" t="s">
        <v>255</v>
      </c>
      <c r="AZ85" s="27" t="s">
        <v>239</v>
      </c>
      <c r="BA85" s="9" t="s">
        <v>56</v>
      </c>
      <c r="BC85" s="25">
        <f>AW85+AX85</f>
        <v>0</v>
      </c>
      <c r="BD85" s="25">
        <f>I85/(100-BE85)*100</f>
        <v>0</v>
      </c>
      <c r="BE85" s="25">
        <v>0</v>
      </c>
      <c r="BF85" s="25">
        <f>85</f>
        <v>85</v>
      </c>
      <c r="BH85" s="25">
        <f>H85*AO85</f>
        <v>0</v>
      </c>
      <c r="BI85" s="25">
        <f>H85*AP85</f>
        <v>0</v>
      </c>
      <c r="BJ85" s="25">
        <f>H85*I85</f>
        <v>0</v>
      </c>
      <c r="BK85" s="25" t="s">
        <v>57</v>
      </c>
      <c r="BL85" s="25">
        <v>97</v>
      </c>
    </row>
    <row r="86" spans="1:64" ht="12.75">
      <c r="A86" s="24" t="s">
        <v>259</v>
      </c>
      <c r="B86" s="2" t="s">
        <v>260</v>
      </c>
      <c r="C86" s="79" t="s">
        <v>261</v>
      </c>
      <c r="D86" s="79"/>
      <c r="E86" s="79"/>
      <c r="F86" s="79"/>
      <c r="G86" s="2" t="s">
        <v>187</v>
      </c>
      <c r="H86" s="25">
        <v>4</v>
      </c>
      <c r="I86" s="25">
        <v>0</v>
      </c>
      <c r="J86" s="25">
        <f>H86*AO86</f>
        <v>0</v>
      </c>
      <c r="K86" s="25">
        <f>H86*AP86</f>
        <v>0</v>
      </c>
      <c r="L86" s="25">
        <f>H86*I86</f>
        <v>0</v>
      </c>
      <c r="M86" s="26" t="s">
        <v>53</v>
      </c>
      <c r="N86" s="1"/>
      <c r="Z86" s="25">
        <f>IF(AQ86="5",BJ86,0)</f>
        <v>0</v>
      </c>
      <c r="AB86" s="25">
        <f>IF(AQ86="1",BH86,0)</f>
        <v>0</v>
      </c>
      <c r="AC86" s="25">
        <f>IF(AQ86="1",BI86,0)</f>
        <v>0</v>
      </c>
      <c r="AD86" s="25">
        <f>IF(AQ86="7",BH86,0)</f>
        <v>0</v>
      </c>
      <c r="AE86" s="25">
        <f>IF(AQ86="7",BI86,0)</f>
        <v>0</v>
      </c>
      <c r="AF86" s="25">
        <f>IF(AQ86="2",BH86,0)</f>
        <v>0</v>
      </c>
      <c r="AG86" s="25">
        <f>IF(AQ86="2",BI86,0)</f>
        <v>0</v>
      </c>
      <c r="AH86" s="25">
        <f>IF(AQ86="0",BJ86,0)</f>
        <v>0</v>
      </c>
      <c r="AI86" s="9"/>
      <c r="AJ86" s="25">
        <f>IF(AN86=0,L86,0)</f>
        <v>0</v>
      </c>
      <c r="AK86" s="25">
        <f>IF(AN86=15,L86,0)</f>
        <v>0</v>
      </c>
      <c r="AL86" s="25">
        <f>IF(AN86=21,L86,0)</f>
        <v>0</v>
      </c>
      <c r="AN86" s="25">
        <v>15</v>
      </c>
      <c r="AO86" s="25">
        <f>I86*0.0716627634660422</f>
        <v>0</v>
      </c>
      <c r="AP86" s="25">
        <f>I86*(1-0.0716627634660422)</f>
        <v>0</v>
      </c>
      <c r="AQ86" s="27" t="s">
        <v>49</v>
      </c>
      <c r="AV86" s="25">
        <f>AW86+AX86</f>
        <v>0</v>
      </c>
      <c r="AW86" s="25">
        <f>H86*AO86</f>
        <v>0</v>
      </c>
      <c r="AX86" s="25">
        <f>H86*AP86</f>
        <v>0</v>
      </c>
      <c r="AY86" s="27" t="s">
        <v>255</v>
      </c>
      <c r="AZ86" s="27" t="s">
        <v>239</v>
      </c>
      <c r="BA86" s="9" t="s">
        <v>56</v>
      </c>
      <c r="BC86" s="25">
        <f>AW86+AX86</f>
        <v>0</v>
      </c>
      <c r="BD86" s="25">
        <f>I86/(100-BE86)*100</f>
        <v>0</v>
      </c>
      <c r="BE86" s="25">
        <v>0</v>
      </c>
      <c r="BF86" s="25">
        <f>86</f>
        <v>86</v>
      </c>
      <c r="BH86" s="25">
        <f>H86*AO86</f>
        <v>0</v>
      </c>
      <c r="BI86" s="25">
        <f>H86*AP86</f>
        <v>0</v>
      </c>
      <c r="BJ86" s="25">
        <f>H86*I86</f>
        <v>0</v>
      </c>
      <c r="BK86" s="25" t="s">
        <v>57</v>
      </c>
      <c r="BL86" s="25">
        <v>97</v>
      </c>
    </row>
    <row r="87" spans="1:47" ht="12.75">
      <c r="A87" s="28"/>
      <c r="B87" s="29" t="s">
        <v>262</v>
      </c>
      <c r="C87" s="89" t="s">
        <v>263</v>
      </c>
      <c r="D87" s="89"/>
      <c r="E87" s="89"/>
      <c r="F87" s="89"/>
      <c r="G87" s="30" t="s">
        <v>4</v>
      </c>
      <c r="H87" s="30" t="s">
        <v>4</v>
      </c>
      <c r="I87" s="30" t="s">
        <v>4</v>
      </c>
      <c r="J87" s="23">
        <f>SUM(J88:J89)</f>
        <v>0</v>
      </c>
      <c r="K87" s="23">
        <f>SUM(K88:K89)</f>
        <v>0</v>
      </c>
      <c r="L87" s="23">
        <f>SUM(L88:L89)</f>
        <v>0</v>
      </c>
      <c r="M87" s="31"/>
      <c r="N87" s="1"/>
      <c r="AI87" s="9"/>
      <c r="AS87" s="23">
        <f>SUM(AJ88:AJ89)</f>
        <v>0</v>
      </c>
      <c r="AT87" s="23">
        <f>SUM(AK88:AK89)</f>
        <v>0</v>
      </c>
      <c r="AU87" s="23">
        <f>SUM(AL88:AL89)</f>
        <v>0</v>
      </c>
    </row>
    <row r="88" spans="1:64" ht="12.75">
      <c r="A88" s="24" t="s">
        <v>264</v>
      </c>
      <c r="B88" s="2" t="s">
        <v>265</v>
      </c>
      <c r="C88" s="79" t="s">
        <v>266</v>
      </c>
      <c r="D88" s="79"/>
      <c r="E88" s="79"/>
      <c r="F88" s="79"/>
      <c r="G88" s="2" t="s">
        <v>187</v>
      </c>
      <c r="H88" s="25">
        <v>1</v>
      </c>
      <c r="I88" s="25">
        <v>0</v>
      </c>
      <c r="J88" s="25">
        <f>H88*AO88</f>
        <v>0</v>
      </c>
      <c r="K88" s="25">
        <f>H88*AP88</f>
        <v>0</v>
      </c>
      <c r="L88" s="25">
        <f>H88*I88</f>
        <v>0</v>
      </c>
      <c r="M88" s="26" t="s">
        <v>53</v>
      </c>
      <c r="N88" s="1"/>
      <c r="Z88" s="25">
        <f>IF(AQ88="5",BJ88,0)</f>
        <v>0</v>
      </c>
      <c r="AB88" s="25">
        <f>IF(AQ88="1",BH88,0)</f>
        <v>0</v>
      </c>
      <c r="AC88" s="25">
        <f>IF(AQ88="1",BI88,0)</f>
        <v>0</v>
      </c>
      <c r="AD88" s="25">
        <f>IF(AQ88="7",BH88,0)</f>
        <v>0</v>
      </c>
      <c r="AE88" s="25">
        <f>IF(AQ88="7",BI88,0)</f>
        <v>0</v>
      </c>
      <c r="AF88" s="25">
        <f>IF(AQ88="2",BH88,0)</f>
        <v>0</v>
      </c>
      <c r="AG88" s="25">
        <f>IF(AQ88="2",BI88,0)</f>
        <v>0</v>
      </c>
      <c r="AH88" s="25">
        <f>IF(AQ88="0",BJ88,0)</f>
        <v>0</v>
      </c>
      <c r="AI88" s="9"/>
      <c r="AJ88" s="25">
        <f>IF(AN88=0,L88,0)</f>
        <v>0</v>
      </c>
      <c r="AK88" s="25">
        <f>IF(AN88=15,L88,0)</f>
        <v>0</v>
      </c>
      <c r="AL88" s="25">
        <f>IF(AN88=21,L88,0)</f>
        <v>0</v>
      </c>
      <c r="AN88" s="25">
        <v>15</v>
      </c>
      <c r="AO88" s="25">
        <f>I88*0</f>
        <v>0</v>
      </c>
      <c r="AP88" s="25">
        <f>I88*(1-0)</f>
        <v>0</v>
      </c>
      <c r="AQ88" s="27" t="s">
        <v>58</v>
      </c>
      <c r="AV88" s="25">
        <f>AW88+AX88</f>
        <v>0</v>
      </c>
      <c r="AW88" s="25">
        <f>H88*AO88</f>
        <v>0</v>
      </c>
      <c r="AX88" s="25">
        <f>H88*AP88</f>
        <v>0</v>
      </c>
      <c r="AY88" s="27" t="s">
        <v>267</v>
      </c>
      <c r="AZ88" s="27" t="s">
        <v>239</v>
      </c>
      <c r="BA88" s="9" t="s">
        <v>56</v>
      </c>
      <c r="BC88" s="25">
        <f>AW88+AX88</f>
        <v>0</v>
      </c>
      <c r="BD88" s="25">
        <f>I88/(100-BE88)*100</f>
        <v>0</v>
      </c>
      <c r="BE88" s="25">
        <v>0</v>
      </c>
      <c r="BF88" s="25">
        <f>88</f>
        <v>88</v>
      </c>
      <c r="BH88" s="25">
        <f>H88*AO88</f>
        <v>0</v>
      </c>
      <c r="BI88" s="25">
        <f>H88*AP88</f>
        <v>0</v>
      </c>
      <c r="BJ88" s="25">
        <f>H88*I88</f>
        <v>0</v>
      </c>
      <c r="BK88" s="25" t="s">
        <v>57</v>
      </c>
      <c r="BL88" s="25" t="s">
        <v>262</v>
      </c>
    </row>
    <row r="89" spans="1:64" ht="12.75">
      <c r="A89" s="24" t="s">
        <v>108</v>
      </c>
      <c r="B89" s="2" t="s">
        <v>268</v>
      </c>
      <c r="C89" s="79" t="s">
        <v>269</v>
      </c>
      <c r="D89" s="79"/>
      <c r="E89" s="79"/>
      <c r="F89" s="79"/>
      <c r="G89" s="2" t="s">
        <v>270</v>
      </c>
      <c r="H89" s="25">
        <v>8</v>
      </c>
      <c r="I89" s="25">
        <v>0</v>
      </c>
      <c r="J89" s="25">
        <f>H89*AO89</f>
        <v>0</v>
      </c>
      <c r="K89" s="25">
        <f>H89*AP89</f>
        <v>0</v>
      </c>
      <c r="L89" s="25">
        <f>H89*I89</f>
        <v>0</v>
      </c>
      <c r="M89" s="26" t="s">
        <v>53</v>
      </c>
      <c r="N89" s="1"/>
      <c r="Z89" s="25">
        <f>IF(AQ89="5",BJ89,0)</f>
        <v>0</v>
      </c>
      <c r="AB89" s="25">
        <f>IF(AQ89="1",BH89,0)</f>
        <v>0</v>
      </c>
      <c r="AC89" s="25">
        <f>IF(AQ89="1",BI89,0)</f>
        <v>0</v>
      </c>
      <c r="AD89" s="25">
        <f>IF(AQ89="7",BH89,0)</f>
        <v>0</v>
      </c>
      <c r="AE89" s="25">
        <f>IF(AQ89="7",BI89,0)</f>
        <v>0</v>
      </c>
      <c r="AF89" s="25">
        <f>IF(AQ89="2",BH89,0)</f>
        <v>0</v>
      </c>
      <c r="AG89" s="25">
        <f>IF(AQ89="2",BI89,0)</f>
        <v>0</v>
      </c>
      <c r="AH89" s="25">
        <f>IF(AQ89="0",BJ89,0)</f>
        <v>0</v>
      </c>
      <c r="AI89" s="9"/>
      <c r="AJ89" s="25">
        <f>IF(AN89=0,L89,0)</f>
        <v>0</v>
      </c>
      <c r="AK89" s="25">
        <f>IF(AN89=15,L89,0)</f>
        <v>0</v>
      </c>
      <c r="AL89" s="25">
        <f>IF(AN89=21,L89,0)</f>
        <v>0</v>
      </c>
      <c r="AN89" s="25">
        <v>15</v>
      </c>
      <c r="AO89" s="25">
        <f>I89*0.42268894952251</f>
        <v>0</v>
      </c>
      <c r="AP89" s="25">
        <f>I89*(1-0.42268894952251)</f>
        <v>0</v>
      </c>
      <c r="AQ89" s="27" t="s">
        <v>58</v>
      </c>
      <c r="AV89" s="25">
        <f>AW89+AX89</f>
        <v>0</v>
      </c>
      <c r="AW89" s="25">
        <f>H89*AO89</f>
        <v>0</v>
      </c>
      <c r="AX89" s="25">
        <f>H89*AP89</f>
        <v>0</v>
      </c>
      <c r="AY89" s="27" t="s">
        <v>267</v>
      </c>
      <c r="AZ89" s="27" t="s">
        <v>239</v>
      </c>
      <c r="BA89" s="9" t="s">
        <v>56</v>
      </c>
      <c r="BC89" s="25">
        <f>AW89+AX89</f>
        <v>0</v>
      </c>
      <c r="BD89" s="25">
        <f>I89/(100-BE89)*100</f>
        <v>0</v>
      </c>
      <c r="BE89" s="25">
        <v>0</v>
      </c>
      <c r="BF89" s="25">
        <f>89</f>
        <v>89</v>
      </c>
      <c r="BH89" s="25">
        <f>H89*AO89</f>
        <v>0</v>
      </c>
      <c r="BI89" s="25">
        <f>H89*AP89</f>
        <v>0</v>
      </c>
      <c r="BJ89" s="25">
        <f>H89*I89</f>
        <v>0</v>
      </c>
      <c r="BK89" s="25" t="s">
        <v>57</v>
      </c>
      <c r="BL89" s="25" t="s">
        <v>262</v>
      </c>
    </row>
    <row r="90" spans="1:47" ht="12.75">
      <c r="A90" s="28"/>
      <c r="B90" s="29"/>
      <c r="C90" s="89" t="s">
        <v>271</v>
      </c>
      <c r="D90" s="89"/>
      <c r="E90" s="89"/>
      <c r="F90" s="89"/>
      <c r="G90" s="30" t="s">
        <v>4</v>
      </c>
      <c r="H90" s="30" t="s">
        <v>4</v>
      </c>
      <c r="I90" s="30" t="s">
        <v>4</v>
      </c>
      <c r="J90" s="23">
        <f>SUM(J91:J96)</f>
        <v>0</v>
      </c>
      <c r="K90" s="23">
        <f>SUM(K91:K96)</f>
        <v>0</v>
      </c>
      <c r="L90" s="23">
        <f>SUM(L91:L96)</f>
        <v>0</v>
      </c>
      <c r="M90" s="31"/>
      <c r="N90" s="1"/>
      <c r="AI90" s="9"/>
      <c r="AS90" s="23">
        <f>SUM(AJ91:AJ96)</f>
        <v>0</v>
      </c>
      <c r="AT90" s="23">
        <f>SUM(AK91:AK96)</f>
        <v>0</v>
      </c>
      <c r="AU90" s="23">
        <f>SUM(AL91:AL96)</f>
        <v>0</v>
      </c>
    </row>
    <row r="91" spans="1:64" ht="12.75">
      <c r="A91" s="24" t="s">
        <v>272</v>
      </c>
      <c r="B91" s="2" t="s">
        <v>273</v>
      </c>
      <c r="C91" s="79" t="s">
        <v>274</v>
      </c>
      <c r="D91" s="79"/>
      <c r="E91" s="79"/>
      <c r="F91" s="79"/>
      <c r="G91" s="2" t="s">
        <v>112</v>
      </c>
      <c r="H91" s="25">
        <v>61.325</v>
      </c>
      <c r="I91" s="25">
        <v>0</v>
      </c>
      <c r="J91" s="25">
        <f aca="true" t="shared" si="0" ref="J91:J96">H91*AO91</f>
        <v>0</v>
      </c>
      <c r="K91" s="25">
        <f aca="true" t="shared" si="1" ref="K91:K96">H91*AP91</f>
        <v>0</v>
      </c>
      <c r="L91" s="25">
        <f aca="true" t="shared" si="2" ref="L91:L96">H91*I91</f>
        <v>0</v>
      </c>
      <c r="M91" s="26" t="s">
        <v>53</v>
      </c>
      <c r="N91" s="1"/>
      <c r="Z91" s="25">
        <f aca="true" t="shared" si="3" ref="Z91:Z96">IF(AQ91="5",BJ91,0)</f>
        <v>0</v>
      </c>
      <c r="AB91" s="25">
        <f aca="true" t="shared" si="4" ref="AB91:AB96">IF(AQ91="1",BH91,0)</f>
        <v>0</v>
      </c>
      <c r="AC91" s="25">
        <f aca="true" t="shared" si="5" ref="AC91:AC96">IF(AQ91="1",BI91,0)</f>
        <v>0</v>
      </c>
      <c r="AD91" s="25">
        <f aca="true" t="shared" si="6" ref="AD91:AD96">IF(AQ91="7",BH91,0)</f>
        <v>0</v>
      </c>
      <c r="AE91" s="25">
        <f aca="true" t="shared" si="7" ref="AE91:AE96">IF(AQ91="7",BI91,0)</f>
        <v>0</v>
      </c>
      <c r="AF91" s="25">
        <f aca="true" t="shared" si="8" ref="AF91:AF96">IF(AQ91="2",BH91,0)</f>
        <v>0</v>
      </c>
      <c r="AG91" s="25">
        <f aca="true" t="shared" si="9" ref="AG91:AG96">IF(AQ91="2",BI91,0)</f>
        <v>0</v>
      </c>
      <c r="AH91" s="25">
        <f aca="true" t="shared" si="10" ref="AH91:AH96">IF(AQ91="0",BJ91,0)</f>
        <v>0</v>
      </c>
      <c r="AI91" s="9"/>
      <c r="AJ91" s="25">
        <f aca="true" t="shared" si="11" ref="AJ91:AJ96">IF(AN91=0,L91,0)</f>
        <v>0</v>
      </c>
      <c r="AK91" s="25">
        <f aca="true" t="shared" si="12" ref="AK91:AK96">IF(AN91=15,L91,0)</f>
        <v>0</v>
      </c>
      <c r="AL91" s="25">
        <f aca="true" t="shared" si="13" ref="AL91:AL96">IF(AN91=21,L91,0)</f>
        <v>0</v>
      </c>
      <c r="AN91" s="25">
        <v>15</v>
      </c>
      <c r="AO91" s="25">
        <f aca="true" t="shared" si="14" ref="AO91:AO96">I91*1</f>
        <v>0</v>
      </c>
      <c r="AP91" s="25">
        <f aca="true" t="shared" si="15" ref="AP91:AP96">I91*(1-1)</f>
        <v>0</v>
      </c>
      <c r="AQ91" s="27" t="s">
        <v>275</v>
      </c>
      <c r="AV91" s="25">
        <f aca="true" t="shared" si="16" ref="AV91:AV96">AW91+AX91</f>
        <v>0</v>
      </c>
      <c r="AW91" s="25">
        <f aca="true" t="shared" si="17" ref="AW91:AW96">H91*AO91</f>
        <v>0</v>
      </c>
      <c r="AX91" s="25">
        <f aca="true" t="shared" si="18" ref="AX91:AX96">H91*AP91</f>
        <v>0</v>
      </c>
      <c r="AY91" s="27" t="s">
        <v>276</v>
      </c>
      <c r="AZ91" s="27" t="s">
        <v>277</v>
      </c>
      <c r="BA91" s="9" t="s">
        <v>56</v>
      </c>
      <c r="BC91" s="25">
        <f aca="true" t="shared" si="19" ref="BC91:BC96">AW91+AX91</f>
        <v>0</v>
      </c>
      <c r="BD91" s="25">
        <f aca="true" t="shared" si="20" ref="BD91:BD96">I91/(100-BE91)*100</f>
        <v>0</v>
      </c>
      <c r="BE91" s="25">
        <v>0</v>
      </c>
      <c r="BF91" s="25">
        <f>91</f>
        <v>91</v>
      </c>
      <c r="BH91" s="25">
        <f aca="true" t="shared" si="21" ref="BH91:BH96">H91*AO91</f>
        <v>0</v>
      </c>
      <c r="BI91" s="25">
        <f aca="true" t="shared" si="22" ref="BI91:BI96">H91*AP91</f>
        <v>0</v>
      </c>
      <c r="BJ91" s="25">
        <f aca="true" t="shared" si="23" ref="BJ91:BJ96">H91*I91</f>
        <v>0</v>
      </c>
      <c r="BK91" s="25" t="s">
        <v>278</v>
      </c>
      <c r="BL91" s="25"/>
    </row>
    <row r="92" spans="1:64" ht="12.75">
      <c r="A92" s="24" t="s">
        <v>279</v>
      </c>
      <c r="B92" s="2" t="s">
        <v>280</v>
      </c>
      <c r="C92" s="79" t="s">
        <v>281</v>
      </c>
      <c r="D92" s="79"/>
      <c r="E92" s="79"/>
      <c r="F92" s="79"/>
      <c r="G92" s="2" t="s">
        <v>187</v>
      </c>
      <c r="H92" s="25">
        <v>4</v>
      </c>
      <c r="I92" s="25">
        <v>0</v>
      </c>
      <c r="J92" s="25">
        <f t="shared" si="0"/>
        <v>0</v>
      </c>
      <c r="K92" s="25">
        <f t="shared" si="1"/>
        <v>0</v>
      </c>
      <c r="L92" s="25">
        <f t="shared" si="2"/>
        <v>0</v>
      </c>
      <c r="M92" s="26" t="s">
        <v>53</v>
      </c>
      <c r="N92" s="1"/>
      <c r="Z92" s="25">
        <f t="shared" si="3"/>
        <v>0</v>
      </c>
      <c r="AB92" s="25">
        <f t="shared" si="4"/>
        <v>0</v>
      </c>
      <c r="AC92" s="25">
        <f t="shared" si="5"/>
        <v>0</v>
      </c>
      <c r="AD92" s="25">
        <f t="shared" si="6"/>
        <v>0</v>
      </c>
      <c r="AE92" s="25">
        <f t="shared" si="7"/>
        <v>0</v>
      </c>
      <c r="AF92" s="25">
        <f t="shared" si="8"/>
        <v>0</v>
      </c>
      <c r="AG92" s="25">
        <f t="shared" si="9"/>
        <v>0</v>
      </c>
      <c r="AH92" s="25">
        <f t="shared" si="10"/>
        <v>0</v>
      </c>
      <c r="AI92" s="9"/>
      <c r="AJ92" s="25">
        <f t="shared" si="11"/>
        <v>0</v>
      </c>
      <c r="AK92" s="25">
        <f t="shared" si="12"/>
        <v>0</v>
      </c>
      <c r="AL92" s="25">
        <f t="shared" si="13"/>
        <v>0</v>
      </c>
      <c r="AN92" s="25">
        <v>15</v>
      </c>
      <c r="AO92" s="25">
        <f t="shared" si="14"/>
        <v>0</v>
      </c>
      <c r="AP92" s="25">
        <f t="shared" si="15"/>
        <v>0</v>
      </c>
      <c r="AQ92" s="27" t="s">
        <v>275</v>
      </c>
      <c r="AV92" s="25">
        <f t="shared" si="16"/>
        <v>0</v>
      </c>
      <c r="AW92" s="25">
        <f t="shared" si="17"/>
        <v>0</v>
      </c>
      <c r="AX92" s="25">
        <f t="shared" si="18"/>
        <v>0</v>
      </c>
      <c r="AY92" s="27" t="s">
        <v>276</v>
      </c>
      <c r="AZ92" s="27" t="s">
        <v>277</v>
      </c>
      <c r="BA92" s="9" t="s">
        <v>56</v>
      </c>
      <c r="BC92" s="25">
        <f t="shared" si="19"/>
        <v>0</v>
      </c>
      <c r="BD92" s="25">
        <f t="shared" si="20"/>
        <v>0</v>
      </c>
      <c r="BE92" s="25">
        <v>0</v>
      </c>
      <c r="BF92" s="25">
        <f>92</f>
        <v>92</v>
      </c>
      <c r="BH92" s="25">
        <f t="shared" si="21"/>
        <v>0</v>
      </c>
      <c r="BI92" s="25">
        <f t="shared" si="22"/>
        <v>0</v>
      </c>
      <c r="BJ92" s="25">
        <f t="shared" si="23"/>
        <v>0</v>
      </c>
      <c r="BK92" s="25" t="s">
        <v>278</v>
      </c>
      <c r="BL92" s="25"/>
    </row>
    <row r="93" spans="1:64" ht="12.75">
      <c r="A93" s="24" t="s">
        <v>282</v>
      </c>
      <c r="B93" s="2" t="s">
        <v>283</v>
      </c>
      <c r="C93" s="79" t="s">
        <v>284</v>
      </c>
      <c r="D93" s="79"/>
      <c r="E93" s="79"/>
      <c r="F93" s="79"/>
      <c r="G93" s="2" t="s">
        <v>187</v>
      </c>
      <c r="H93" s="25">
        <v>8</v>
      </c>
      <c r="I93" s="25">
        <v>0</v>
      </c>
      <c r="J93" s="25">
        <f t="shared" si="0"/>
        <v>0</v>
      </c>
      <c r="K93" s="25">
        <f t="shared" si="1"/>
        <v>0</v>
      </c>
      <c r="L93" s="25">
        <f t="shared" si="2"/>
        <v>0</v>
      </c>
      <c r="M93" s="26" t="s">
        <v>53</v>
      </c>
      <c r="N93" s="1"/>
      <c r="Z93" s="25">
        <f t="shared" si="3"/>
        <v>0</v>
      </c>
      <c r="AB93" s="25">
        <f t="shared" si="4"/>
        <v>0</v>
      </c>
      <c r="AC93" s="25">
        <f t="shared" si="5"/>
        <v>0</v>
      </c>
      <c r="AD93" s="25">
        <f t="shared" si="6"/>
        <v>0</v>
      </c>
      <c r="AE93" s="25">
        <f t="shared" si="7"/>
        <v>0</v>
      </c>
      <c r="AF93" s="25">
        <f t="shared" si="8"/>
        <v>0</v>
      </c>
      <c r="AG93" s="25">
        <f t="shared" si="9"/>
        <v>0</v>
      </c>
      <c r="AH93" s="25">
        <f t="shared" si="10"/>
        <v>0</v>
      </c>
      <c r="AI93" s="9"/>
      <c r="AJ93" s="25">
        <f t="shared" si="11"/>
        <v>0</v>
      </c>
      <c r="AK93" s="25">
        <f t="shared" si="12"/>
        <v>0</v>
      </c>
      <c r="AL93" s="25">
        <f t="shared" si="13"/>
        <v>0</v>
      </c>
      <c r="AN93" s="25">
        <v>15</v>
      </c>
      <c r="AO93" s="25">
        <f t="shared" si="14"/>
        <v>0</v>
      </c>
      <c r="AP93" s="25">
        <f t="shared" si="15"/>
        <v>0</v>
      </c>
      <c r="AQ93" s="27" t="s">
        <v>275</v>
      </c>
      <c r="AV93" s="25">
        <f t="shared" si="16"/>
        <v>0</v>
      </c>
      <c r="AW93" s="25">
        <f t="shared" si="17"/>
        <v>0</v>
      </c>
      <c r="AX93" s="25">
        <f t="shared" si="18"/>
        <v>0</v>
      </c>
      <c r="AY93" s="27" t="s">
        <v>276</v>
      </c>
      <c r="AZ93" s="27" t="s">
        <v>277</v>
      </c>
      <c r="BA93" s="9" t="s">
        <v>56</v>
      </c>
      <c r="BC93" s="25">
        <f t="shared" si="19"/>
        <v>0</v>
      </c>
      <c r="BD93" s="25">
        <f t="shared" si="20"/>
        <v>0</v>
      </c>
      <c r="BE93" s="25">
        <v>0</v>
      </c>
      <c r="BF93" s="25">
        <f>93</f>
        <v>93</v>
      </c>
      <c r="BH93" s="25">
        <f t="shared" si="21"/>
        <v>0</v>
      </c>
      <c r="BI93" s="25">
        <f t="shared" si="22"/>
        <v>0</v>
      </c>
      <c r="BJ93" s="25">
        <f t="shared" si="23"/>
        <v>0</v>
      </c>
      <c r="BK93" s="25" t="s">
        <v>278</v>
      </c>
      <c r="BL93" s="25"/>
    </row>
    <row r="94" spans="1:64" ht="12.75">
      <c r="A94" s="24" t="s">
        <v>285</v>
      </c>
      <c r="B94" s="2" t="s">
        <v>286</v>
      </c>
      <c r="C94" s="79" t="s">
        <v>287</v>
      </c>
      <c r="D94" s="79"/>
      <c r="E94" s="79"/>
      <c r="F94" s="79"/>
      <c r="G94" s="2" t="s">
        <v>177</v>
      </c>
      <c r="H94" s="25">
        <v>2</v>
      </c>
      <c r="I94" s="25">
        <v>0</v>
      </c>
      <c r="J94" s="25">
        <f t="shared" si="0"/>
        <v>0</v>
      </c>
      <c r="K94" s="25">
        <f t="shared" si="1"/>
        <v>0</v>
      </c>
      <c r="L94" s="25">
        <f t="shared" si="2"/>
        <v>0</v>
      </c>
      <c r="M94" s="26" t="s">
        <v>53</v>
      </c>
      <c r="N94" s="1"/>
      <c r="Z94" s="25">
        <f t="shared" si="3"/>
        <v>0</v>
      </c>
      <c r="AB94" s="25">
        <f t="shared" si="4"/>
        <v>0</v>
      </c>
      <c r="AC94" s="25">
        <f t="shared" si="5"/>
        <v>0</v>
      </c>
      <c r="AD94" s="25">
        <f t="shared" si="6"/>
        <v>0</v>
      </c>
      <c r="AE94" s="25">
        <f t="shared" si="7"/>
        <v>0</v>
      </c>
      <c r="AF94" s="25">
        <f t="shared" si="8"/>
        <v>0</v>
      </c>
      <c r="AG94" s="25">
        <f t="shared" si="9"/>
        <v>0</v>
      </c>
      <c r="AH94" s="25">
        <f t="shared" si="10"/>
        <v>0</v>
      </c>
      <c r="AI94" s="9"/>
      <c r="AJ94" s="25">
        <f t="shared" si="11"/>
        <v>0</v>
      </c>
      <c r="AK94" s="25">
        <f t="shared" si="12"/>
        <v>0</v>
      </c>
      <c r="AL94" s="25">
        <f t="shared" si="13"/>
        <v>0</v>
      </c>
      <c r="AN94" s="25">
        <v>15</v>
      </c>
      <c r="AO94" s="25">
        <f t="shared" si="14"/>
        <v>0</v>
      </c>
      <c r="AP94" s="25">
        <f t="shared" si="15"/>
        <v>0</v>
      </c>
      <c r="AQ94" s="27" t="s">
        <v>275</v>
      </c>
      <c r="AV94" s="25">
        <f t="shared" si="16"/>
        <v>0</v>
      </c>
      <c r="AW94" s="25">
        <f t="shared" si="17"/>
        <v>0</v>
      </c>
      <c r="AX94" s="25">
        <f t="shared" si="18"/>
        <v>0</v>
      </c>
      <c r="AY94" s="27" t="s">
        <v>276</v>
      </c>
      <c r="AZ94" s="27" t="s">
        <v>277</v>
      </c>
      <c r="BA94" s="9" t="s">
        <v>56</v>
      </c>
      <c r="BC94" s="25">
        <f t="shared" si="19"/>
        <v>0</v>
      </c>
      <c r="BD94" s="25">
        <f t="shared" si="20"/>
        <v>0</v>
      </c>
      <c r="BE94" s="25">
        <v>0</v>
      </c>
      <c r="BF94" s="25">
        <f>94</f>
        <v>94</v>
      </c>
      <c r="BH94" s="25">
        <f t="shared" si="21"/>
        <v>0</v>
      </c>
      <c r="BI94" s="25">
        <f t="shared" si="22"/>
        <v>0</v>
      </c>
      <c r="BJ94" s="25">
        <f t="shared" si="23"/>
        <v>0</v>
      </c>
      <c r="BK94" s="25" t="s">
        <v>278</v>
      </c>
      <c r="BL94" s="25"/>
    </row>
    <row r="95" spans="1:64" ht="12.75">
      <c r="A95" s="24" t="s">
        <v>288</v>
      </c>
      <c r="B95" s="2" t="s">
        <v>289</v>
      </c>
      <c r="C95" s="79" t="s">
        <v>290</v>
      </c>
      <c r="D95" s="79"/>
      <c r="E95" s="79"/>
      <c r="F95" s="79"/>
      <c r="G95" s="2" t="s">
        <v>177</v>
      </c>
      <c r="H95" s="25">
        <v>22</v>
      </c>
      <c r="I95" s="25">
        <v>0</v>
      </c>
      <c r="J95" s="25">
        <f t="shared" si="0"/>
        <v>0</v>
      </c>
      <c r="K95" s="25">
        <f t="shared" si="1"/>
        <v>0</v>
      </c>
      <c r="L95" s="25">
        <f t="shared" si="2"/>
        <v>0</v>
      </c>
      <c r="M95" s="26" t="s">
        <v>53</v>
      </c>
      <c r="N95" s="1"/>
      <c r="Z95" s="25">
        <f t="shared" si="3"/>
        <v>0</v>
      </c>
      <c r="AB95" s="25">
        <f t="shared" si="4"/>
        <v>0</v>
      </c>
      <c r="AC95" s="25">
        <f t="shared" si="5"/>
        <v>0</v>
      </c>
      <c r="AD95" s="25">
        <f t="shared" si="6"/>
        <v>0</v>
      </c>
      <c r="AE95" s="25">
        <f t="shared" si="7"/>
        <v>0</v>
      </c>
      <c r="AF95" s="25">
        <f t="shared" si="8"/>
        <v>0</v>
      </c>
      <c r="AG95" s="25">
        <f t="shared" si="9"/>
        <v>0</v>
      </c>
      <c r="AH95" s="25">
        <f t="shared" si="10"/>
        <v>0</v>
      </c>
      <c r="AI95" s="9"/>
      <c r="AJ95" s="25">
        <f t="shared" si="11"/>
        <v>0</v>
      </c>
      <c r="AK95" s="25">
        <f t="shared" si="12"/>
        <v>0</v>
      </c>
      <c r="AL95" s="25">
        <f t="shared" si="13"/>
        <v>0</v>
      </c>
      <c r="AN95" s="25">
        <v>15</v>
      </c>
      <c r="AO95" s="25">
        <f t="shared" si="14"/>
        <v>0</v>
      </c>
      <c r="AP95" s="25">
        <f t="shared" si="15"/>
        <v>0</v>
      </c>
      <c r="AQ95" s="27" t="s">
        <v>275</v>
      </c>
      <c r="AV95" s="25">
        <f t="shared" si="16"/>
        <v>0</v>
      </c>
      <c r="AW95" s="25">
        <f t="shared" si="17"/>
        <v>0</v>
      </c>
      <c r="AX95" s="25">
        <f t="shared" si="18"/>
        <v>0</v>
      </c>
      <c r="AY95" s="27" t="s">
        <v>276</v>
      </c>
      <c r="AZ95" s="27" t="s">
        <v>277</v>
      </c>
      <c r="BA95" s="9" t="s">
        <v>56</v>
      </c>
      <c r="BC95" s="25">
        <f t="shared" si="19"/>
        <v>0</v>
      </c>
      <c r="BD95" s="25">
        <f t="shared" si="20"/>
        <v>0</v>
      </c>
      <c r="BE95" s="25">
        <v>0</v>
      </c>
      <c r="BF95" s="25">
        <f>95</f>
        <v>95</v>
      </c>
      <c r="BH95" s="25">
        <f t="shared" si="21"/>
        <v>0</v>
      </c>
      <c r="BI95" s="25">
        <f t="shared" si="22"/>
        <v>0</v>
      </c>
      <c r="BJ95" s="25">
        <f t="shared" si="23"/>
        <v>0</v>
      </c>
      <c r="BK95" s="25" t="s">
        <v>278</v>
      </c>
      <c r="BL95" s="25"/>
    </row>
    <row r="96" spans="1:64" ht="12.75">
      <c r="A96" s="24" t="s">
        <v>291</v>
      </c>
      <c r="B96" s="2" t="s">
        <v>292</v>
      </c>
      <c r="C96" s="79" t="s">
        <v>293</v>
      </c>
      <c r="D96" s="79"/>
      <c r="E96" s="79"/>
      <c r="F96" s="79"/>
      <c r="G96" s="2" t="s">
        <v>187</v>
      </c>
      <c r="H96" s="25">
        <v>3</v>
      </c>
      <c r="I96" s="25">
        <v>0</v>
      </c>
      <c r="J96" s="25">
        <f t="shared" si="0"/>
        <v>0</v>
      </c>
      <c r="K96" s="25">
        <f t="shared" si="1"/>
        <v>0</v>
      </c>
      <c r="L96" s="25">
        <f t="shared" si="2"/>
        <v>0</v>
      </c>
      <c r="M96" s="26" t="s">
        <v>53</v>
      </c>
      <c r="N96" s="1"/>
      <c r="Z96" s="25">
        <f t="shared" si="3"/>
        <v>0</v>
      </c>
      <c r="AB96" s="25">
        <f t="shared" si="4"/>
        <v>0</v>
      </c>
      <c r="AC96" s="25">
        <f t="shared" si="5"/>
        <v>0</v>
      </c>
      <c r="AD96" s="25">
        <f t="shared" si="6"/>
        <v>0</v>
      </c>
      <c r="AE96" s="25">
        <f t="shared" si="7"/>
        <v>0</v>
      </c>
      <c r="AF96" s="25">
        <f t="shared" si="8"/>
        <v>0</v>
      </c>
      <c r="AG96" s="25">
        <f t="shared" si="9"/>
        <v>0</v>
      </c>
      <c r="AH96" s="25">
        <f t="shared" si="10"/>
        <v>0</v>
      </c>
      <c r="AI96" s="9"/>
      <c r="AJ96" s="25">
        <f t="shared" si="11"/>
        <v>0</v>
      </c>
      <c r="AK96" s="25">
        <f t="shared" si="12"/>
        <v>0</v>
      </c>
      <c r="AL96" s="25">
        <f t="shared" si="13"/>
        <v>0</v>
      </c>
      <c r="AN96" s="25">
        <v>15</v>
      </c>
      <c r="AO96" s="25">
        <f t="shared" si="14"/>
        <v>0</v>
      </c>
      <c r="AP96" s="25">
        <f t="shared" si="15"/>
        <v>0</v>
      </c>
      <c r="AQ96" s="27" t="s">
        <v>275</v>
      </c>
      <c r="AV96" s="25">
        <f t="shared" si="16"/>
        <v>0</v>
      </c>
      <c r="AW96" s="25">
        <f t="shared" si="17"/>
        <v>0</v>
      </c>
      <c r="AX96" s="25">
        <f t="shared" si="18"/>
        <v>0</v>
      </c>
      <c r="AY96" s="27" t="s">
        <v>276</v>
      </c>
      <c r="AZ96" s="27" t="s">
        <v>277</v>
      </c>
      <c r="BA96" s="9" t="s">
        <v>56</v>
      </c>
      <c r="BC96" s="25">
        <f t="shared" si="19"/>
        <v>0</v>
      </c>
      <c r="BD96" s="25">
        <f t="shared" si="20"/>
        <v>0</v>
      </c>
      <c r="BE96" s="25">
        <v>0</v>
      </c>
      <c r="BF96" s="25">
        <f>96</f>
        <v>96</v>
      </c>
      <c r="BH96" s="25">
        <f t="shared" si="21"/>
        <v>0</v>
      </c>
      <c r="BI96" s="25">
        <f t="shared" si="22"/>
        <v>0</v>
      </c>
      <c r="BJ96" s="25">
        <f t="shared" si="23"/>
        <v>0</v>
      </c>
      <c r="BK96" s="25" t="s">
        <v>278</v>
      </c>
      <c r="BL96" s="25"/>
    </row>
    <row r="97" spans="1:35" ht="12.75">
      <c r="A97" s="28"/>
      <c r="B97" s="29"/>
      <c r="C97" s="89" t="s">
        <v>294</v>
      </c>
      <c r="D97" s="89"/>
      <c r="E97" s="89"/>
      <c r="F97" s="89"/>
      <c r="G97" s="30" t="s">
        <v>4</v>
      </c>
      <c r="H97" s="30" t="s">
        <v>4</v>
      </c>
      <c r="I97" s="30" t="s">
        <v>4</v>
      </c>
      <c r="J97" s="23">
        <f>J98</f>
        <v>0</v>
      </c>
      <c r="K97" s="23">
        <f>K98</f>
        <v>0</v>
      </c>
      <c r="L97" s="23">
        <f>L98</f>
        <v>0</v>
      </c>
      <c r="M97" s="31"/>
      <c r="N97" s="1"/>
      <c r="AI97" s="9"/>
    </row>
    <row r="98" spans="1:47" ht="12.75">
      <c r="A98" s="28"/>
      <c r="B98" s="29" t="s">
        <v>295</v>
      </c>
      <c r="C98" s="89" t="s">
        <v>296</v>
      </c>
      <c r="D98" s="89"/>
      <c r="E98" s="89"/>
      <c r="F98" s="89"/>
      <c r="G98" s="30" t="s">
        <v>4</v>
      </c>
      <c r="H98" s="30" t="s">
        <v>4</v>
      </c>
      <c r="I98" s="30" t="s">
        <v>4</v>
      </c>
      <c r="J98" s="23">
        <f>SUM(J99:J99)</f>
        <v>0</v>
      </c>
      <c r="K98" s="23">
        <f>SUM(K99:K99)</f>
        <v>0</v>
      </c>
      <c r="L98" s="23">
        <f>SUM(L99:L99)</f>
        <v>0</v>
      </c>
      <c r="M98" s="31"/>
      <c r="N98" s="1"/>
      <c r="AI98" s="9"/>
      <c r="AS98" s="23">
        <f>SUM(AJ99:AJ99)</f>
        <v>0</v>
      </c>
      <c r="AT98" s="23">
        <f>SUM(AK99:AK99)</f>
        <v>0</v>
      </c>
      <c r="AU98" s="23">
        <f>SUM(AL99:AL99)</f>
        <v>0</v>
      </c>
    </row>
    <row r="99" spans="1:64" ht="12.75">
      <c r="A99" s="33" t="s">
        <v>297</v>
      </c>
      <c r="B99" s="34" t="s">
        <v>298</v>
      </c>
      <c r="C99" s="91" t="s">
        <v>296</v>
      </c>
      <c r="D99" s="91"/>
      <c r="E99" s="91"/>
      <c r="F99" s="91"/>
      <c r="G99" s="34" t="s">
        <v>299</v>
      </c>
      <c r="H99" s="35">
        <v>1</v>
      </c>
      <c r="I99" s="35">
        <v>0</v>
      </c>
      <c r="J99" s="35">
        <f>H99*AO99</f>
        <v>0</v>
      </c>
      <c r="K99" s="35">
        <f>H99*AP99</f>
        <v>0</v>
      </c>
      <c r="L99" s="35">
        <f>H99*I99</f>
        <v>0</v>
      </c>
      <c r="M99" s="36"/>
      <c r="N99" s="1"/>
      <c r="Z99" s="25">
        <f>IF(AQ99="5",BJ99,0)</f>
        <v>0</v>
      </c>
      <c r="AB99" s="25">
        <f>IF(AQ99="1",BH99,0)</f>
        <v>0</v>
      </c>
      <c r="AC99" s="25">
        <f>IF(AQ99="1",BI99,0)</f>
        <v>0</v>
      </c>
      <c r="AD99" s="25">
        <f>IF(AQ99="7",BH99,0)</f>
        <v>0</v>
      </c>
      <c r="AE99" s="25">
        <f>IF(AQ99="7",BI99,0)</f>
        <v>0</v>
      </c>
      <c r="AF99" s="25">
        <f>IF(AQ99="2",BH99,0)</f>
        <v>0</v>
      </c>
      <c r="AG99" s="25">
        <f>IF(AQ99="2",BI99,0)</f>
        <v>0</v>
      </c>
      <c r="AH99" s="25">
        <f>IF(AQ99="0",BJ99,0)</f>
        <v>0</v>
      </c>
      <c r="AI99" s="9"/>
      <c r="AJ99" s="25">
        <f>IF(AN99=0,L99,0)</f>
        <v>0</v>
      </c>
      <c r="AK99" s="25">
        <f>IF(AN99=15,L99,0)</f>
        <v>0</v>
      </c>
      <c r="AL99" s="25">
        <f>IF(AN99=21,L99,0)</f>
        <v>0</v>
      </c>
      <c r="AN99" s="25">
        <v>15</v>
      </c>
      <c r="AO99" s="25">
        <f>I99*0</f>
        <v>0</v>
      </c>
      <c r="AP99" s="25">
        <f>I99*(1-0)</f>
        <v>0</v>
      </c>
      <c r="AQ99" s="27" t="s">
        <v>300</v>
      </c>
      <c r="AV99" s="25">
        <f>AW99+AX99</f>
        <v>0</v>
      </c>
      <c r="AW99" s="25">
        <f>H99*AO99</f>
        <v>0</v>
      </c>
      <c r="AX99" s="25">
        <f>H99*AP99</f>
        <v>0</v>
      </c>
      <c r="AY99" s="27" t="s">
        <v>301</v>
      </c>
      <c r="AZ99" s="27" t="s">
        <v>302</v>
      </c>
      <c r="BA99" s="9" t="s">
        <v>56</v>
      </c>
      <c r="BC99" s="25">
        <f>AW99+AX99</f>
        <v>0</v>
      </c>
      <c r="BD99" s="25">
        <f>I99/(100-BE99)*100</f>
        <v>0</v>
      </c>
      <c r="BE99" s="25">
        <v>0</v>
      </c>
      <c r="BF99" s="25">
        <f>99</f>
        <v>99</v>
      </c>
      <c r="BH99" s="25">
        <f>H99*AO99</f>
        <v>0</v>
      </c>
      <c r="BI99" s="25">
        <f>H99*AP99</f>
        <v>0</v>
      </c>
      <c r="BJ99" s="25">
        <f>H99*I99</f>
        <v>0</v>
      </c>
      <c r="BK99" s="25" t="s">
        <v>57</v>
      </c>
      <c r="BL99" s="25" t="s">
        <v>295</v>
      </c>
    </row>
    <row r="100" spans="1:13" ht="12.75">
      <c r="A100" s="37"/>
      <c r="B100" s="37"/>
      <c r="C100" s="37"/>
      <c r="D100" s="37"/>
      <c r="E100" s="37"/>
      <c r="F100" s="37"/>
      <c r="G100" s="37"/>
      <c r="H100" s="37"/>
      <c r="I100" s="37"/>
      <c r="J100" s="92" t="s">
        <v>303</v>
      </c>
      <c r="K100" s="92"/>
      <c r="L100" s="38">
        <f>L12+L16+L21+L27+L33+L35+L37+L40+L42+L46+L48+L57+L60+L64+L68+L71+L75+L77+L83+L87+L90+L98</f>
        <v>0</v>
      </c>
      <c r="M100" s="37"/>
    </row>
    <row r="101" ht="11.25" customHeight="1">
      <c r="A101" s="39" t="s">
        <v>304</v>
      </c>
    </row>
    <row r="102" spans="1:13" ht="12.7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</sheetData>
  <sheetProtection selectLockedCells="1" selectUnlockedCells="1"/>
  <mergeCells count="118">
    <mergeCell ref="C99:F99"/>
    <mergeCell ref="J100:K100"/>
    <mergeCell ref="A102:M102"/>
    <mergeCell ref="C93:F93"/>
    <mergeCell ref="C94:F94"/>
    <mergeCell ref="C95:F95"/>
    <mergeCell ref="C96:F96"/>
    <mergeCell ref="C97:F97"/>
    <mergeCell ref="C98:F98"/>
    <mergeCell ref="C87:F87"/>
    <mergeCell ref="C88:F88"/>
    <mergeCell ref="C89:F89"/>
    <mergeCell ref="C90:F90"/>
    <mergeCell ref="C91:F91"/>
    <mergeCell ref="C92:F92"/>
    <mergeCell ref="C81:F81"/>
    <mergeCell ref="C82:F82"/>
    <mergeCell ref="C83:F83"/>
    <mergeCell ref="C84:F84"/>
    <mergeCell ref="C85:F85"/>
    <mergeCell ref="C86:F86"/>
    <mergeCell ref="C75:F75"/>
    <mergeCell ref="C76:F76"/>
    <mergeCell ref="C77:F77"/>
    <mergeCell ref="C78:F78"/>
    <mergeCell ref="C79:M79"/>
    <mergeCell ref="C80:F80"/>
    <mergeCell ref="C69:F69"/>
    <mergeCell ref="C70:M70"/>
    <mergeCell ref="C71:F71"/>
    <mergeCell ref="C72:F72"/>
    <mergeCell ref="C73:F73"/>
    <mergeCell ref="C74:F74"/>
    <mergeCell ref="C63:F63"/>
    <mergeCell ref="C64:F64"/>
    <mergeCell ref="C65:F65"/>
    <mergeCell ref="C66:M66"/>
    <mergeCell ref="C67:F67"/>
    <mergeCell ref="C68:F68"/>
    <mergeCell ref="C57:F57"/>
    <mergeCell ref="C58:F58"/>
    <mergeCell ref="C59:F59"/>
    <mergeCell ref="C60:F60"/>
    <mergeCell ref="C61:F61"/>
    <mergeCell ref="C62:F62"/>
    <mergeCell ref="C51:F51"/>
    <mergeCell ref="C52:M52"/>
    <mergeCell ref="C53:F53"/>
    <mergeCell ref="C54:F54"/>
    <mergeCell ref="C55:F55"/>
    <mergeCell ref="C56:M56"/>
    <mergeCell ref="C45:M45"/>
    <mergeCell ref="C46:F46"/>
    <mergeCell ref="C47:F47"/>
    <mergeCell ref="C48:F48"/>
    <mergeCell ref="C49:F49"/>
    <mergeCell ref="C50:M50"/>
    <mergeCell ref="C39:M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M30"/>
    <mergeCell ref="C31:F31"/>
    <mergeCell ref="C32:M32"/>
    <mergeCell ref="C21:F21"/>
    <mergeCell ref="C22:F22"/>
    <mergeCell ref="C23:M23"/>
    <mergeCell ref="C24:F24"/>
    <mergeCell ref="C25:F25"/>
    <mergeCell ref="C26:M26"/>
    <mergeCell ref="C15:F15"/>
    <mergeCell ref="C16:F16"/>
    <mergeCell ref="C17:F17"/>
    <mergeCell ref="C18:F18"/>
    <mergeCell ref="C19:M19"/>
    <mergeCell ref="C20:F20"/>
    <mergeCell ref="C10:F10"/>
    <mergeCell ref="J10:L10"/>
    <mergeCell ref="C11:F11"/>
    <mergeCell ref="C12:F12"/>
    <mergeCell ref="C13:F13"/>
    <mergeCell ref="C14:F14"/>
    <mergeCell ref="A8:B9"/>
    <mergeCell ref="C8:D9"/>
    <mergeCell ref="E8:F9"/>
    <mergeCell ref="G8:H9"/>
    <mergeCell ref="I8:I9"/>
    <mergeCell ref="J8:M9"/>
    <mergeCell ref="A6:B7"/>
    <mergeCell ref="C6:D7"/>
    <mergeCell ref="E6:F7"/>
    <mergeCell ref="G6:H7"/>
    <mergeCell ref="I6:I7"/>
    <mergeCell ref="J6:M7"/>
    <mergeCell ref="A4:B5"/>
    <mergeCell ref="C4:D5"/>
    <mergeCell ref="E4:F5"/>
    <mergeCell ref="G4:H5"/>
    <mergeCell ref="I4:I5"/>
    <mergeCell ref="J4:M5"/>
    <mergeCell ref="A1:M1"/>
    <mergeCell ref="A2:B3"/>
    <mergeCell ref="C2:D3"/>
    <mergeCell ref="E2:F3"/>
    <mergeCell ref="G2:H3"/>
    <mergeCell ref="I2:I3"/>
    <mergeCell ref="J2:M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zoomScalePageLayoutView="0" workbookViewId="0" topLeftCell="A1">
      <pane ySplit="10" topLeftCell="A94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52.28125" style="0" customWidth="1"/>
    <col min="5" max="5" width="63.14062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71" t="s">
        <v>305</v>
      </c>
      <c r="B1" s="71"/>
      <c r="C1" s="71"/>
      <c r="D1" s="71"/>
      <c r="E1" s="71"/>
      <c r="F1" s="71"/>
      <c r="G1" s="71"/>
      <c r="H1" s="71"/>
    </row>
    <row r="2" spans="1:9" ht="12.75" customHeight="1">
      <c r="A2" s="72" t="s">
        <v>1</v>
      </c>
      <c r="B2" s="72"/>
      <c r="C2" s="73" t="str">
        <f>'Stavební rozpočet'!C2</f>
        <v>Odvlhčení a sanace 1.PP objektu DD ŠD Kralupy n.Vlt.</v>
      </c>
      <c r="D2" s="73"/>
      <c r="E2" s="75" t="s">
        <v>5</v>
      </c>
      <c r="F2" s="93" t="str">
        <f>'Stavební rozpočet'!J2</f>
        <v> </v>
      </c>
      <c r="G2" s="93"/>
      <c r="H2" s="93"/>
      <c r="I2" s="1"/>
    </row>
    <row r="3" spans="1:9" ht="12.75">
      <c r="A3" s="72"/>
      <c r="B3" s="72"/>
      <c r="C3" s="73"/>
      <c r="D3" s="73"/>
      <c r="E3" s="75"/>
      <c r="F3" s="75"/>
      <c r="G3" s="93"/>
      <c r="H3" s="93"/>
      <c r="I3" s="1"/>
    </row>
    <row r="4" spans="1:9" ht="12.75" customHeight="1">
      <c r="A4" s="77" t="s">
        <v>7</v>
      </c>
      <c r="B4" s="77"/>
      <c r="C4" s="78" t="str">
        <f>'Stavební rozpočet'!C4</f>
        <v> </v>
      </c>
      <c r="D4" s="78"/>
      <c r="E4" s="78" t="s">
        <v>10</v>
      </c>
      <c r="F4" s="94" t="str">
        <f>'Stavební rozpočet'!J4</f>
        <v> </v>
      </c>
      <c r="G4" s="94"/>
      <c r="H4" s="94"/>
      <c r="I4" s="1"/>
    </row>
    <row r="5" spans="1:9" ht="12.75">
      <c r="A5" s="77"/>
      <c r="B5" s="77"/>
      <c r="C5" s="78"/>
      <c r="D5" s="78"/>
      <c r="E5" s="78"/>
      <c r="F5" s="78"/>
      <c r="G5" s="94"/>
      <c r="H5" s="94"/>
      <c r="I5" s="1"/>
    </row>
    <row r="6" spans="1:9" ht="12.75" customHeight="1">
      <c r="A6" s="77" t="s">
        <v>11</v>
      </c>
      <c r="B6" s="77"/>
      <c r="C6" s="78" t="str">
        <f>'Stavební rozpočet'!C6</f>
        <v>U Sociálního domu 438, 278 01 Kralupy nad Vltavou</v>
      </c>
      <c r="D6" s="78"/>
      <c r="E6" s="78" t="s">
        <v>14</v>
      </c>
      <c r="F6" s="94" t="str">
        <f>'Stavební rozpočet'!J6</f>
        <v> </v>
      </c>
      <c r="G6" s="94"/>
      <c r="H6" s="94"/>
      <c r="I6" s="1"/>
    </row>
    <row r="7" spans="1:9" ht="12.75">
      <c r="A7" s="77"/>
      <c r="B7" s="77"/>
      <c r="C7" s="78"/>
      <c r="D7" s="78"/>
      <c r="E7" s="78"/>
      <c r="F7" s="78"/>
      <c r="G7" s="94"/>
      <c r="H7" s="94"/>
      <c r="I7" s="1"/>
    </row>
    <row r="8" spans="1:9" ht="12.75" customHeight="1">
      <c r="A8" s="81" t="s">
        <v>17</v>
      </c>
      <c r="B8" s="81"/>
      <c r="C8" s="82" t="str">
        <f>'Stavební rozpočet'!J8</f>
        <v>Ing.Petr Listík</v>
      </c>
      <c r="D8" s="82"/>
      <c r="E8" s="82" t="s">
        <v>16</v>
      </c>
      <c r="F8" s="95" t="str">
        <f>'Stavební rozpočet'!G8</f>
        <v>11.05.2023</v>
      </c>
      <c r="G8" s="95"/>
      <c r="H8" s="95"/>
      <c r="I8" s="1"/>
    </row>
    <row r="9" spans="1:9" ht="12.75">
      <c r="A9" s="81"/>
      <c r="B9" s="81"/>
      <c r="C9" s="82"/>
      <c r="D9" s="82"/>
      <c r="E9" s="82"/>
      <c r="F9" s="82"/>
      <c r="G9" s="95"/>
      <c r="H9" s="95"/>
      <c r="I9" s="1"/>
    </row>
    <row r="10" spans="1:9" ht="12.75">
      <c r="A10" s="40" t="s">
        <v>19</v>
      </c>
      <c r="B10" s="41" t="s">
        <v>306</v>
      </c>
      <c r="C10" s="41" t="s">
        <v>20</v>
      </c>
      <c r="D10" s="96" t="s">
        <v>21</v>
      </c>
      <c r="E10" s="96"/>
      <c r="F10" s="41" t="s">
        <v>22</v>
      </c>
      <c r="G10" s="42" t="s">
        <v>23</v>
      </c>
      <c r="H10" s="43" t="s">
        <v>307</v>
      </c>
      <c r="I10" s="8"/>
    </row>
    <row r="11" spans="1:9" ht="12.75">
      <c r="A11" s="44"/>
      <c r="B11" s="19"/>
      <c r="C11" s="19" t="s">
        <v>47</v>
      </c>
      <c r="D11" s="88" t="s">
        <v>48</v>
      </c>
      <c r="E11" s="88"/>
      <c r="F11" s="19"/>
      <c r="G11" s="45"/>
      <c r="H11" s="22"/>
      <c r="I11" s="1"/>
    </row>
    <row r="12" spans="1:9" ht="12.75">
      <c r="A12" s="24" t="s">
        <v>49</v>
      </c>
      <c r="B12" s="2"/>
      <c r="C12" s="2" t="s">
        <v>59</v>
      </c>
      <c r="D12" s="79" t="s">
        <v>60</v>
      </c>
      <c r="E12" s="79"/>
      <c r="F12" s="2" t="s">
        <v>52</v>
      </c>
      <c r="G12" s="25">
        <v>18.24</v>
      </c>
      <c r="H12" s="46">
        <v>0</v>
      </c>
      <c r="I12" s="1"/>
    </row>
    <row r="13" spans="1:9" ht="12" customHeight="1">
      <c r="A13" s="1"/>
      <c r="D13" s="47" t="s">
        <v>308</v>
      </c>
      <c r="E13" s="97" t="s">
        <v>309</v>
      </c>
      <c r="F13" s="97"/>
      <c r="G13" s="48">
        <v>1.44</v>
      </c>
      <c r="H13" s="49"/>
      <c r="I13" s="1"/>
    </row>
    <row r="14" spans="1:9" ht="12" customHeight="1">
      <c r="A14" s="24"/>
      <c r="B14" s="2"/>
      <c r="C14" s="2"/>
      <c r="D14" s="47" t="s">
        <v>310</v>
      </c>
      <c r="E14" s="97" t="s">
        <v>311</v>
      </c>
      <c r="F14" s="97"/>
      <c r="G14" s="48">
        <v>16.8</v>
      </c>
      <c r="H14" s="26"/>
      <c r="I14" s="1"/>
    </row>
    <row r="15" spans="1:9" ht="12.75">
      <c r="A15" s="24" t="s">
        <v>58</v>
      </c>
      <c r="B15" s="2"/>
      <c r="C15" s="2" t="s">
        <v>62</v>
      </c>
      <c r="D15" s="79" t="s">
        <v>63</v>
      </c>
      <c r="E15" s="79"/>
      <c r="F15" s="2" t="s">
        <v>52</v>
      </c>
      <c r="G15" s="25">
        <v>18</v>
      </c>
      <c r="H15" s="46">
        <v>0</v>
      </c>
      <c r="I15" s="1"/>
    </row>
    <row r="16" spans="1:9" ht="12" customHeight="1">
      <c r="A16" s="1"/>
      <c r="D16" s="47" t="s">
        <v>312</v>
      </c>
      <c r="E16" s="97" t="s">
        <v>313</v>
      </c>
      <c r="F16" s="97"/>
      <c r="G16" s="48">
        <v>18</v>
      </c>
      <c r="H16" s="49"/>
      <c r="I16" s="1"/>
    </row>
    <row r="17" spans="1:9" ht="12.75">
      <c r="A17" s="50"/>
      <c r="B17" s="29"/>
      <c r="C17" s="29" t="s">
        <v>64</v>
      </c>
      <c r="D17" s="89" t="s">
        <v>65</v>
      </c>
      <c r="E17" s="89"/>
      <c r="F17" s="29"/>
      <c r="G17" s="9"/>
      <c r="H17" s="31"/>
      <c r="I17" s="1"/>
    </row>
    <row r="18" spans="1:9" ht="12.75">
      <c r="A18" s="24" t="s">
        <v>61</v>
      </c>
      <c r="B18" s="2"/>
      <c r="C18" s="2" t="s">
        <v>67</v>
      </c>
      <c r="D18" s="79" t="s">
        <v>68</v>
      </c>
      <c r="E18" s="79"/>
      <c r="F18" s="2" t="s">
        <v>52</v>
      </c>
      <c r="G18" s="25">
        <v>24.633</v>
      </c>
      <c r="H18" s="46">
        <v>0</v>
      </c>
      <c r="I18" s="1"/>
    </row>
    <row r="19" spans="1:9" ht="12" customHeight="1">
      <c r="A19" s="1"/>
      <c r="D19" s="47" t="s">
        <v>314</v>
      </c>
      <c r="E19" s="97" t="s">
        <v>315</v>
      </c>
      <c r="F19" s="97"/>
      <c r="G19" s="48">
        <v>11.934</v>
      </c>
      <c r="H19" s="49"/>
      <c r="I19" s="1"/>
    </row>
    <row r="20" spans="1:9" ht="12" customHeight="1">
      <c r="A20" s="24"/>
      <c r="B20" s="2"/>
      <c r="C20" s="2"/>
      <c r="D20" s="47" t="s">
        <v>316</v>
      </c>
      <c r="E20" s="97" t="s">
        <v>317</v>
      </c>
      <c r="F20" s="97"/>
      <c r="G20" s="48">
        <v>12.699</v>
      </c>
      <c r="H20" s="26"/>
      <c r="I20" s="1"/>
    </row>
    <row r="21" spans="1:9" ht="12.75">
      <c r="A21" s="24" t="s">
        <v>66</v>
      </c>
      <c r="B21" s="2"/>
      <c r="C21" s="2" t="s">
        <v>71</v>
      </c>
      <c r="D21" s="79" t="s">
        <v>72</v>
      </c>
      <c r="E21" s="79"/>
      <c r="F21" s="2" t="s">
        <v>52</v>
      </c>
      <c r="G21" s="25">
        <v>29.48737</v>
      </c>
      <c r="H21" s="46">
        <v>0</v>
      </c>
      <c r="I21" s="1"/>
    </row>
    <row r="22" spans="1:9" ht="12" customHeight="1">
      <c r="A22" s="1"/>
      <c r="D22" s="47" t="s">
        <v>314</v>
      </c>
      <c r="E22" s="97" t="s">
        <v>315</v>
      </c>
      <c r="F22" s="97"/>
      <c r="G22" s="48">
        <v>11.934</v>
      </c>
      <c r="H22" s="49"/>
      <c r="I22" s="1"/>
    </row>
    <row r="23" spans="1:9" ht="12" customHeight="1">
      <c r="A23" s="24"/>
      <c r="B23" s="2"/>
      <c r="C23" s="2"/>
      <c r="D23" s="47" t="s">
        <v>316</v>
      </c>
      <c r="E23" s="97" t="s">
        <v>317</v>
      </c>
      <c r="F23" s="97"/>
      <c r="G23" s="48">
        <v>12.699</v>
      </c>
      <c r="H23" s="26"/>
      <c r="I23" s="1"/>
    </row>
    <row r="24" spans="1:9" ht="12" customHeight="1">
      <c r="A24" s="24"/>
      <c r="B24" s="2"/>
      <c r="C24" s="2"/>
      <c r="D24" s="47" t="s">
        <v>318</v>
      </c>
      <c r="E24" s="97" t="s">
        <v>319</v>
      </c>
      <c r="F24" s="97"/>
      <c r="G24" s="48">
        <v>-12.06563</v>
      </c>
      <c r="H24" s="26"/>
      <c r="I24" s="1"/>
    </row>
    <row r="25" spans="1:9" ht="12" customHeight="1">
      <c r="A25" s="24"/>
      <c r="B25" s="2"/>
      <c r="C25" s="2"/>
      <c r="D25" s="47" t="s">
        <v>320</v>
      </c>
      <c r="E25" s="97" t="s">
        <v>321</v>
      </c>
      <c r="F25" s="97"/>
      <c r="G25" s="48">
        <v>7.92</v>
      </c>
      <c r="H25" s="26"/>
      <c r="I25" s="1"/>
    </row>
    <row r="26" spans="1:9" ht="12" customHeight="1">
      <c r="A26" s="24"/>
      <c r="B26" s="2"/>
      <c r="C26" s="2"/>
      <c r="D26" s="47" t="s">
        <v>322</v>
      </c>
      <c r="E26" s="97" t="s">
        <v>323</v>
      </c>
      <c r="F26" s="97"/>
      <c r="G26" s="48">
        <v>9</v>
      </c>
      <c r="H26" s="26"/>
      <c r="I26" s="1"/>
    </row>
    <row r="27" spans="1:9" ht="12.75">
      <c r="A27" s="24" t="s">
        <v>70</v>
      </c>
      <c r="B27" s="2"/>
      <c r="C27" s="2" t="s">
        <v>76</v>
      </c>
      <c r="D27" s="79" t="s">
        <v>77</v>
      </c>
      <c r="E27" s="79"/>
      <c r="F27" s="2" t="s">
        <v>52</v>
      </c>
      <c r="G27" s="25">
        <v>24.633</v>
      </c>
      <c r="H27" s="46">
        <v>0</v>
      </c>
      <c r="I27" s="1"/>
    </row>
    <row r="28" spans="1:9" ht="12" customHeight="1">
      <c r="A28" s="1"/>
      <c r="D28" s="47" t="s">
        <v>314</v>
      </c>
      <c r="E28" s="97" t="s">
        <v>315</v>
      </c>
      <c r="F28" s="97"/>
      <c r="G28" s="48">
        <v>11.934</v>
      </c>
      <c r="H28" s="49"/>
      <c r="I28" s="1"/>
    </row>
    <row r="29" spans="1:9" ht="12" customHeight="1">
      <c r="A29" s="24"/>
      <c r="B29" s="2"/>
      <c r="C29" s="2"/>
      <c r="D29" s="47" t="s">
        <v>316</v>
      </c>
      <c r="E29" s="97" t="s">
        <v>317</v>
      </c>
      <c r="F29" s="97"/>
      <c r="G29" s="48">
        <v>12.699</v>
      </c>
      <c r="H29" s="26"/>
      <c r="I29" s="1"/>
    </row>
    <row r="30" spans="1:9" ht="12.75" customHeight="1">
      <c r="A30" s="50"/>
      <c r="B30" s="29"/>
      <c r="C30" s="29" t="s">
        <v>78</v>
      </c>
      <c r="D30" s="89" t="s">
        <v>79</v>
      </c>
      <c r="E30" s="89"/>
      <c r="F30" s="29"/>
      <c r="G30" s="9"/>
      <c r="H30" s="31"/>
      <c r="I30" s="1"/>
    </row>
    <row r="31" spans="1:9" ht="12.75">
      <c r="A31" s="24" t="s">
        <v>75</v>
      </c>
      <c r="B31" s="2"/>
      <c r="C31" s="2" t="s">
        <v>81</v>
      </c>
      <c r="D31" s="79" t="s">
        <v>82</v>
      </c>
      <c r="E31" s="79"/>
      <c r="F31" s="2" t="s">
        <v>52</v>
      </c>
      <c r="G31" s="25">
        <v>2.41313</v>
      </c>
      <c r="H31" s="46">
        <v>0</v>
      </c>
      <c r="I31" s="1"/>
    </row>
    <row r="32" spans="1:9" ht="12" customHeight="1">
      <c r="A32" s="1"/>
      <c r="D32" s="47" t="s">
        <v>324</v>
      </c>
      <c r="E32" s="97" t="s">
        <v>325</v>
      </c>
      <c r="F32" s="97"/>
      <c r="G32" s="48">
        <v>2.41313</v>
      </c>
      <c r="H32" s="49"/>
      <c r="I32" s="1"/>
    </row>
    <row r="33" spans="1:9" ht="12.75">
      <c r="A33" s="24" t="s">
        <v>80</v>
      </c>
      <c r="B33" s="2"/>
      <c r="C33" s="2" t="s">
        <v>86</v>
      </c>
      <c r="D33" s="79" t="s">
        <v>87</v>
      </c>
      <c r="E33" s="79"/>
      <c r="F33" s="2" t="s">
        <v>52</v>
      </c>
      <c r="G33" s="25">
        <v>31.38563</v>
      </c>
      <c r="H33" s="46">
        <v>0</v>
      </c>
      <c r="I33" s="1"/>
    </row>
    <row r="34" spans="1:9" ht="12" customHeight="1">
      <c r="A34" s="1"/>
      <c r="D34" s="47" t="s">
        <v>326</v>
      </c>
      <c r="E34" s="97" t="s">
        <v>325</v>
      </c>
      <c r="F34" s="97"/>
      <c r="G34" s="48">
        <v>12.06563</v>
      </c>
      <c r="H34" s="49"/>
      <c r="I34" s="1"/>
    </row>
    <row r="35" spans="1:9" ht="12" customHeight="1">
      <c r="A35" s="24"/>
      <c r="B35" s="2"/>
      <c r="C35" s="2"/>
      <c r="D35" s="47" t="s">
        <v>327</v>
      </c>
      <c r="E35" s="97" t="s">
        <v>328</v>
      </c>
      <c r="F35" s="97"/>
      <c r="G35" s="48">
        <v>0</v>
      </c>
      <c r="H35" s="26"/>
      <c r="I35" s="1"/>
    </row>
    <row r="36" spans="1:9" ht="12" customHeight="1">
      <c r="A36" s="24"/>
      <c r="B36" s="2"/>
      <c r="C36" s="2"/>
      <c r="D36" s="47" t="s">
        <v>329</v>
      </c>
      <c r="E36" s="97" t="s">
        <v>330</v>
      </c>
      <c r="F36" s="97"/>
      <c r="G36" s="48">
        <v>10.32</v>
      </c>
      <c r="H36" s="26"/>
      <c r="I36" s="1"/>
    </row>
    <row r="37" spans="1:9" ht="12" customHeight="1">
      <c r="A37" s="24"/>
      <c r="B37" s="2"/>
      <c r="C37" s="2"/>
      <c r="D37" s="47" t="s">
        <v>331</v>
      </c>
      <c r="E37" s="97" t="s">
        <v>332</v>
      </c>
      <c r="F37" s="97"/>
      <c r="G37" s="48">
        <v>9</v>
      </c>
      <c r="H37" s="26"/>
      <c r="I37" s="1"/>
    </row>
    <row r="38" spans="1:9" ht="12.75">
      <c r="A38" s="24" t="s">
        <v>85</v>
      </c>
      <c r="B38" s="2"/>
      <c r="C38" s="2" t="s">
        <v>89</v>
      </c>
      <c r="D38" s="79" t="s">
        <v>90</v>
      </c>
      <c r="E38" s="79"/>
      <c r="F38" s="2" t="s">
        <v>52</v>
      </c>
      <c r="G38" s="25">
        <v>13.01438</v>
      </c>
      <c r="H38" s="46">
        <v>0</v>
      </c>
      <c r="I38" s="1"/>
    </row>
    <row r="39" spans="1:9" ht="12" customHeight="1">
      <c r="A39" s="1"/>
      <c r="D39" s="47" t="s">
        <v>333</v>
      </c>
      <c r="E39" s="97" t="s">
        <v>325</v>
      </c>
      <c r="F39" s="97"/>
      <c r="G39" s="48">
        <v>5.09438</v>
      </c>
      <c r="H39" s="49"/>
      <c r="I39" s="1"/>
    </row>
    <row r="40" spans="1:9" ht="12" customHeight="1">
      <c r="A40" s="24"/>
      <c r="B40" s="2"/>
      <c r="C40" s="2"/>
      <c r="D40" s="47" t="s">
        <v>320</v>
      </c>
      <c r="E40" s="97" t="s">
        <v>334</v>
      </c>
      <c r="F40" s="97"/>
      <c r="G40" s="48">
        <v>7.92</v>
      </c>
      <c r="H40" s="26"/>
      <c r="I40" s="1"/>
    </row>
    <row r="41" spans="1:9" ht="12.75">
      <c r="A41" s="50"/>
      <c r="B41" s="29"/>
      <c r="C41" s="29" t="s">
        <v>92</v>
      </c>
      <c r="D41" s="89" t="s">
        <v>93</v>
      </c>
      <c r="E41" s="89"/>
      <c r="F41" s="29"/>
      <c r="G41" s="9"/>
      <c r="H41" s="31"/>
      <c r="I41" s="1"/>
    </row>
    <row r="42" spans="1:9" ht="12.75">
      <c r="A42" s="24" t="s">
        <v>88</v>
      </c>
      <c r="B42" s="2"/>
      <c r="C42" s="2" t="s">
        <v>95</v>
      </c>
      <c r="D42" s="79" t="s">
        <v>96</v>
      </c>
      <c r="E42" s="79"/>
      <c r="F42" s="2" t="s">
        <v>52</v>
      </c>
      <c r="G42" s="25">
        <v>8.3625</v>
      </c>
      <c r="H42" s="46">
        <v>0</v>
      </c>
      <c r="I42" s="1"/>
    </row>
    <row r="43" spans="1:9" ht="12" customHeight="1">
      <c r="A43" s="1"/>
      <c r="D43" s="47" t="s">
        <v>335</v>
      </c>
      <c r="E43" s="97" t="s">
        <v>336</v>
      </c>
      <c r="F43" s="97"/>
      <c r="G43" s="48">
        <v>8.3625</v>
      </c>
      <c r="H43" s="49"/>
      <c r="I43" s="1"/>
    </row>
    <row r="44" spans="1:9" ht="12.75">
      <c r="A44" s="24" t="s">
        <v>94</v>
      </c>
      <c r="B44" s="2"/>
      <c r="C44" s="2" t="s">
        <v>100</v>
      </c>
      <c r="D44" s="79" t="s">
        <v>101</v>
      </c>
      <c r="E44" s="79"/>
      <c r="F44" s="2" t="s">
        <v>102</v>
      </c>
      <c r="G44" s="25">
        <v>0.33116</v>
      </c>
      <c r="H44" s="46">
        <v>0</v>
      </c>
      <c r="I44" s="1"/>
    </row>
    <row r="45" spans="1:9" ht="12" customHeight="1">
      <c r="A45" s="1"/>
      <c r="D45" s="47" t="s">
        <v>337</v>
      </c>
      <c r="E45" s="97" t="s">
        <v>336</v>
      </c>
      <c r="F45" s="97"/>
      <c r="G45" s="48">
        <v>0.33116</v>
      </c>
      <c r="H45" s="49"/>
      <c r="I45" s="1"/>
    </row>
    <row r="46" spans="1:9" ht="12.75">
      <c r="A46" s="24" t="s">
        <v>99</v>
      </c>
      <c r="B46" s="2"/>
      <c r="C46" s="2" t="s">
        <v>105</v>
      </c>
      <c r="D46" s="79" t="s">
        <v>106</v>
      </c>
      <c r="E46" s="79"/>
      <c r="F46" s="2" t="s">
        <v>52</v>
      </c>
      <c r="G46" s="25">
        <v>2.81531</v>
      </c>
      <c r="H46" s="46">
        <v>0</v>
      </c>
      <c r="I46" s="1"/>
    </row>
    <row r="47" spans="1:9" ht="12" customHeight="1">
      <c r="A47" s="1"/>
      <c r="D47" s="47" t="s">
        <v>338</v>
      </c>
      <c r="E47" s="97" t="s">
        <v>325</v>
      </c>
      <c r="F47" s="97"/>
      <c r="G47" s="48">
        <v>2.81531</v>
      </c>
      <c r="H47" s="49"/>
      <c r="I47" s="1"/>
    </row>
    <row r="48" spans="1:9" ht="12.75">
      <c r="A48" s="50"/>
      <c r="B48" s="29"/>
      <c r="C48" s="29" t="s">
        <v>115</v>
      </c>
      <c r="D48" s="89" t="s">
        <v>116</v>
      </c>
      <c r="E48" s="89"/>
      <c r="F48" s="29"/>
      <c r="G48" s="9"/>
      <c r="H48" s="31"/>
      <c r="I48" s="1"/>
    </row>
    <row r="49" spans="1:9" ht="12.75">
      <c r="A49" s="24" t="s">
        <v>104</v>
      </c>
      <c r="B49" s="2"/>
      <c r="C49" s="2" t="s">
        <v>118</v>
      </c>
      <c r="D49" s="79" t="s">
        <v>119</v>
      </c>
      <c r="E49" s="79"/>
      <c r="F49" s="2" t="s">
        <v>112</v>
      </c>
      <c r="G49" s="25">
        <v>19.646</v>
      </c>
      <c r="H49" s="46">
        <v>0</v>
      </c>
      <c r="I49" s="1"/>
    </row>
    <row r="50" spans="1:9" ht="12" customHeight="1">
      <c r="A50" s="1"/>
      <c r="D50" s="47" t="s">
        <v>339</v>
      </c>
      <c r="E50" s="97" t="s">
        <v>340</v>
      </c>
      <c r="F50" s="97"/>
      <c r="G50" s="48">
        <v>19.646</v>
      </c>
      <c r="H50" s="49"/>
      <c r="I50" s="1"/>
    </row>
    <row r="51" spans="1:9" ht="12.75">
      <c r="A51" s="50"/>
      <c r="B51" s="29"/>
      <c r="C51" s="29" t="s">
        <v>122</v>
      </c>
      <c r="D51" s="89" t="s">
        <v>123</v>
      </c>
      <c r="E51" s="89"/>
      <c r="F51" s="29"/>
      <c r="G51" s="9"/>
      <c r="H51" s="31"/>
      <c r="I51" s="1"/>
    </row>
    <row r="52" spans="1:9" ht="12.75" customHeight="1">
      <c r="A52" s="24" t="s">
        <v>47</v>
      </c>
      <c r="B52" s="2"/>
      <c r="C52" s="2" t="s">
        <v>125</v>
      </c>
      <c r="D52" s="79" t="s">
        <v>126</v>
      </c>
      <c r="E52" s="79"/>
      <c r="F52" s="2" t="s">
        <v>112</v>
      </c>
      <c r="G52" s="25">
        <v>19.646</v>
      </c>
      <c r="H52" s="46">
        <v>0</v>
      </c>
      <c r="I52" s="1"/>
    </row>
    <row r="53" spans="1:9" ht="12" customHeight="1">
      <c r="A53" s="1"/>
      <c r="D53" s="47" t="s">
        <v>339</v>
      </c>
      <c r="E53" s="97" t="s">
        <v>325</v>
      </c>
      <c r="F53" s="97"/>
      <c r="G53" s="48">
        <v>19.646</v>
      </c>
      <c r="H53" s="49"/>
      <c r="I53" s="1"/>
    </row>
    <row r="54" spans="1:9" ht="12.75">
      <c r="A54" s="50"/>
      <c r="B54" s="29"/>
      <c r="C54" s="29" t="s">
        <v>129</v>
      </c>
      <c r="D54" s="89" t="s">
        <v>130</v>
      </c>
      <c r="E54" s="89"/>
      <c r="F54" s="29"/>
      <c r="G54" s="9"/>
      <c r="H54" s="31"/>
      <c r="I54" s="1"/>
    </row>
    <row r="55" spans="1:9" ht="12.75">
      <c r="A55" s="24" t="s">
        <v>117</v>
      </c>
      <c r="B55" s="2"/>
      <c r="C55" s="2" t="s">
        <v>131</v>
      </c>
      <c r="D55" s="79" t="s">
        <v>132</v>
      </c>
      <c r="E55" s="79"/>
      <c r="F55" s="2" t="s">
        <v>112</v>
      </c>
      <c r="G55" s="25">
        <v>25.28675</v>
      </c>
      <c r="H55" s="46">
        <v>0</v>
      </c>
      <c r="I55" s="1"/>
    </row>
    <row r="56" spans="1:9" ht="12" customHeight="1">
      <c r="A56" s="1"/>
      <c r="D56" s="47" t="s">
        <v>275</v>
      </c>
      <c r="E56" s="97" t="s">
        <v>341</v>
      </c>
      <c r="F56" s="97"/>
      <c r="G56" s="48">
        <v>0</v>
      </c>
      <c r="H56" s="49"/>
      <c r="I56" s="1"/>
    </row>
    <row r="57" spans="1:9" ht="12" customHeight="1">
      <c r="A57" s="24"/>
      <c r="B57" s="2"/>
      <c r="C57" s="2"/>
      <c r="D57" s="47" t="s">
        <v>342</v>
      </c>
      <c r="E57" s="97" t="s">
        <v>343</v>
      </c>
      <c r="F57" s="97"/>
      <c r="G57" s="48">
        <v>25.28675</v>
      </c>
      <c r="H57" s="26"/>
      <c r="I57" s="1"/>
    </row>
    <row r="58" spans="1:9" ht="12" customHeight="1">
      <c r="A58" s="24"/>
      <c r="B58" s="2"/>
      <c r="C58" s="2"/>
      <c r="D58" s="47"/>
      <c r="E58" s="97" t="s">
        <v>344</v>
      </c>
      <c r="F58" s="97"/>
      <c r="G58" s="48">
        <v>0</v>
      </c>
      <c r="H58" s="26"/>
      <c r="I58" s="1"/>
    </row>
    <row r="59" spans="1:9" ht="12" customHeight="1">
      <c r="A59" s="24"/>
      <c r="B59" s="2"/>
      <c r="C59" s="2"/>
      <c r="D59" s="47"/>
      <c r="E59" s="97" t="s">
        <v>345</v>
      </c>
      <c r="F59" s="97"/>
      <c r="G59" s="48">
        <v>0</v>
      </c>
      <c r="H59" s="26"/>
      <c r="I59" s="1"/>
    </row>
    <row r="60" spans="1:9" ht="12.75">
      <c r="A60" s="50"/>
      <c r="B60" s="29"/>
      <c r="C60" s="29" t="s">
        <v>135</v>
      </c>
      <c r="D60" s="89" t="s">
        <v>136</v>
      </c>
      <c r="E60" s="89"/>
      <c r="F60" s="29"/>
      <c r="G60" s="9"/>
      <c r="H60" s="31"/>
      <c r="I60" s="1"/>
    </row>
    <row r="61" spans="1:9" ht="12.75">
      <c r="A61" s="24" t="s">
        <v>124</v>
      </c>
      <c r="B61" s="2"/>
      <c r="C61" s="2" t="s">
        <v>137</v>
      </c>
      <c r="D61" s="79" t="s">
        <v>138</v>
      </c>
      <c r="E61" s="79"/>
      <c r="F61" s="2" t="s">
        <v>112</v>
      </c>
      <c r="G61" s="25">
        <v>27.508</v>
      </c>
      <c r="H61" s="46">
        <v>0</v>
      </c>
      <c r="I61" s="1"/>
    </row>
    <row r="62" spans="1:9" ht="12" customHeight="1">
      <c r="A62" s="1"/>
      <c r="D62" s="47" t="s">
        <v>346</v>
      </c>
      <c r="E62" s="97" t="s">
        <v>347</v>
      </c>
      <c r="F62" s="97"/>
      <c r="G62" s="48">
        <v>5.085</v>
      </c>
      <c r="H62" s="49"/>
      <c r="I62" s="1"/>
    </row>
    <row r="63" spans="1:9" ht="12" customHeight="1">
      <c r="A63" s="24"/>
      <c r="B63" s="2"/>
      <c r="C63" s="2"/>
      <c r="D63" s="47" t="s">
        <v>348</v>
      </c>
      <c r="E63" s="97" t="s">
        <v>349</v>
      </c>
      <c r="F63" s="97"/>
      <c r="G63" s="48">
        <v>3.5785</v>
      </c>
      <c r="H63" s="26"/>
      <c r="I63" s="1"/>
    </row>
    <row r="64" spans="1:9" ht="12" customHeight="1">
      <c r="A64" s="24"/>
      <c r="B64" s="2"/>
      <c r="C64" s="2"/>
      <c r="D64" s="47" t="s">
        <v>350</v>
      </c>
      <c r="E64" s="97" t="s">
        <v>351</v>
      </c>
      <c r="F64" s="97"/>
      <c r="G64" s="48">
        <v>7.1</v>
      </c>
      <c r="H64" s="26"/>
      <c r="I64" s="1"/>
    </row>
    <row r="65" spans="1:9" ht="12" customHeight="1">
      <c r="A65" s="24"/>
      <c r="B65" s="2"/>
      <c r="C65" s="2"/>
      <c r="D65" s="47" t="s">
        <v>352</v>
      </c>
      <c r="E65" s="97" t="s">
        <v>353</v>
      </c>
      <c r="F65" s="97"/>
      <c r="G65" s="48">
        <v>3.16</v>
      </c>
      <c r="H65" s="26"/>
      <c r="I65" s="1"/>
    </row>
    <row r="66" spans="1:9" ht="12" customHeight="1">
      <c r="A66" s="24"/>
      <c r="B66" s="2"/>
      <c r="C66" s="2"/>
      <c r="D66" s="47" t="s">
        <v>354</v>
      </c>
      <c r="E66" s="97" t="s">
        <v>355</v>
      </c>
      <c r="F66" s="97"/>
      <c r="G66" s="48">
        <v>2.6025</v>
      </c>
      <c r="H66" s="26"/>
      <c r="I66" s="1"/>
    </row>
    <row r="67" spans="1:9" ht="12" customHeight="1">
      <c r="A67" s="24"/>
      <c r="B67" s="2"/>
      <c r="C67" s="2"/>
      <c r="D67" s="47" t="s">
        <v>356</v>
      </c>
      <c r="E67" s="97" t="s">
        <v>357</v>
      </c>
      <c r="F67" s="97"/>
      <c r="G67" s="48">
        <v>1.98</v>
      </c>
      <c r="H67" s="26"/>
      <c r="I67" s="1"/>
    </row>
    <row r="68" spans="1:9" ht="12" customHeight="1">
      <c r="A68" s="24"/>
      <c r="B68" s="2"/>
      <c r="C68" s="2"/>
      <c r="D68" s="47" t="s">
        <v>358</v>
      </c>
      <c r="E68" s="97" t="s">
        <v>359</v>
      </c>
      <c r="F68" s="97"/>
      <c r="G68" s="48">
        <v>4.002</v>
      </c>
      <c r="H68" s="26"/>
      <c r="I68" s="1"/>
    </row>
    <row r="69" spans="1:9" ht="12.75">
      <c r="A69" s="24" t="s">
        <v>64</v>
      </c>
      <c r="B69" s="2"/>
      <c r="C69" s="2" t="s">
        <v>141</v>
      </c>
      <c r="D69" s="79" t="s">
        <v>142</v>
      </c>
      <c r="E69" s="79"/>
      <c r="F69" s="2" t="s">
        <v>112</v>
      </c>
      <c r="G69" s="25">
        <v>151.94825</v>
      </c>
      <c r="H69" s="46">
        <v>0</v>
      </c>
      <c r="I69" s="1"/>
    </row>
    <row r="70" spans="1:9" ht="12" customHeight="1">
      <c r="A70" s="1"/>
      <c r="D70" s="47" t="s">
        <v>275</v>
      </c>
      <c r="E70" s="97" t="s">
        <v>360</v>
      </c>
      <c r="F70" s="97"/>
      <c r="G70" s="48">
        <v>0</v>
      </c>
      <c r="H70" s="49"/>
      <c r="I70" s="1"/>
    </row>
    <row r="71" spans="1:9" ht="12" customHeight="1">
      <c r="A71" s="24"/>
      <c r="B71" s="2"/>
      <c r="C71" s="2"/>
      <c r="D71" s="47" t="s">
        <v>342</v>
      </c>
      <c r="E71" s="97" t="s">
        <v>343</v>
      </c>
      <c r="F71" s="97"/>
      <c r="G71" s="48">
        <v>25.28675</v>
      </c>
      <c r="H71" s="26"/>
      <c r="I71" s="1"/>
    </row>
    <row r="72" spans="1:9" ht="12" customHeight="1">
      <c r="A72" s="24"/>
      <c r="B72" s="2"/>
      <c r="C72" s="2"/>
      <c r="D72" s="47" t="s">
        <v>361</v>
      </c>
      <c r="E72" s="97" t="s">
        <v>344</v>
      </c>
      <c r="F72" s="97"/>
      <c r="G72" s="48">
        <v>7.3325</v>
      </c>
      <c r="H72" s="26"/>
      <c r="I72" s="1"/>
    </row>
    <row r="73" spans="1:9" ht="12" customHeight="1">
      <c r="A73" s="24"/>
      <c r="B73" s="2"/>
      <c r="C73" s="2"/>
      <c r="D73" s="47" t="s">
        <v>362</v>
      </c>
      <c r="E73" s="97" t="s">
        <v>345</v>
      </c>
      <c r="F73" s="97"/>
      <c r="G73" s="48">
        <v>14.59</v>
      </c>
      <c r="H73" s="26"/>
      <c r="I73" s="1"/>
    </row>
    <row r="74" spans="1:9" ht="12" customHeight="1">
      <c r="A74" s="24"/>
      <c r="B74" s="2"/>
      <c r="C74" s="2"/>
      <c r="D74" s="47" t="s">
        <v>363</v>
      </c>
      <c r="E74" s="97" t="s">
        <v>364</v>
      </c>
      <c r="F74" s="97"/>
      <c r="G74" s="48">
        <v>17.501</v>
      </c>
      <c r="H74" s="26"/>
      <c r="I74" s="1"/>
    </row>
    <row r="75" spans="1:9" ht="12" customHeight="1">
      <c r="A75" s="24"/>
      <c r="B75" s="2"/>
      <c r="C75" s="2"/>
      <c r="D75" s="47" t="s">
        <v>365</v>
      </c>
      <c r="E75" s="97" t="s">
        <v>366</v>
      </c>
      <c r="F75" s="97"/>
      <c r="G75" s="48">
        <v>32.218</v>
      </c>
      <c r="H75" s="26"/>
      <c r="I75" s="1"/>
    </row>
    <row r="76" spans="1:9" ht="12" customHeight="1">
      <c r="A76" s="24"/>
      <c r="B76" s="2"/>
      <c r="C76" s="2"/>
      <c r="D76" s="47" t="s">
        <v>367</v>
      </c>
      <c r="E76" s="97" t="s">
        <v>368</v>
      </c>
      <c r="F76" s="97"/>
      <c r="G76" s="48">
        <v>29.15</v>
      </c>
      <c r="H76" s="26"/>
      <c r="I76" s="1"/>
    </row>
    <row r="77" spans="1:9" ht="12" customHeight="1">
      <c r="A77" s="24"/>
      <c r="B77" s="2"/>
      <c r="C77" s="2"/>
      <c r="D77" s="47" t="s">
        <v>369</v>
      </c>
      <c r="E77" s="97" t="s">
        <v>370</v>
      </c>
      <c r="F77" s="97"/>
      <c r="G77" s="48">
        <v>25.87</v>
      </c>
      <c r="H77" s="26"/>
      <c r="I77" s="1"/>
    </row>
    <row r="78" spans="1:9" ht="12.75">
      <c r="A78" s="50"/>
      <c r="B78" s="29"/>
      <c r="C78" s="29" t="s">
        <v>144</v>
      </c>
      <c r="D78" s="89" t="s">
        <v>145</v>
      </c>
      <c r="E78" s="89"/>
      <c r="F78" s="29"/>
      <c r="G78" s="9"/>
      <c r="H78" s="31"/>
      <c r="I78" s="1"/>
    </row>
    <row r="79" spans="1:9" ht="12.75" customHeight="1">
      <c r="A79" s="24" t="s">
        <v>78</v>
      </c>
      <c r="B79" s="2"/>
      <c r="C79" s="2" t="s">
        <v>147</v>
      </c>
      <c r="D79" s="79" t="s">
        <v>148</v>
      </c>
      <c r="E79" s="79"/>
      <c r="F79" s="2" t="s">
        <v>112</v>
      </c>
      <c r="G79" s="25">
        <v>35.75</v>
      </c>
      <c r="H79" s="46">
        <v>0</v>
      </c>
      <c r="I79" s="1"/>
    </row>
    <row r="80" spans="1:9" ht="12" customHeight="1">
      <c r="A80" s="1"/>
      <c r="D80" s="47" t="s">
        <v>371</v>
      </c>
      <c r="E80" s="97" t="s">
        <v>372</v>
      </c>
      <c r="F80" s="97"/>
      <c r="G80" s="48">
        <v>35.75</v>
      </c>
      <c r="H80" s="49"/>
      <c r="I80" s="1"/>
    </row>
    <row r="81" spans="1:9" ht="12.75">
      <c r="A81" s="50"/>
      <c r="B81" s="29"/>
      <c r="C81" s="29" t="s">
        <v>150</v>
      </c>
      <c r="D81" s="89" t="s">
        <v>151</v>
      </c>
      <c r="E81" s="89"/>
      <c r="F81" s="29"/>
      <c r="G81" s="9"/>
      <c r="H81" s="31"/>
      <c r="I81" s="1"/>
    </row>
    <row r="82" spans="1:9" ht="12.75">
      <c r="A82" s="24" t="s">
        <v>140</v>
      </c>
      <c r="B82" s="2"/>
      <c r="C82" s="2" t="s">
        <v>153</v>
      </c>
      <c r="D82" s="79" t="s">
        <v>154</v>
      </c>
      <c r="E82" s="79"/>
      <c r="F82" s="2" t="s">
        <v>112</v>
      </c>
      <c r="G82" s="25">
        <v>55.75</v>
      </c>
      <c r="H82" s="46">
        <v>0</v>
      </c>
      <c r="I82" s="1"/>
    </row>
    <row r="83" spans="1:9" ht="12" customHeight="1">
      <c r="A83" s="1"/>
      <c r="D83" s="47" t="s">
        <v>373</v>
      </c>
      <c r="E83" s="97" t="s">
        <v>374</v>
      </c>
      <c r="F83" s="97"/>
      <c r="G83" s="48">
        <v>55.75</v>
      </c>
      <c r="H83" s="49"/>
      <c r="I83" s="1"/>
    </row>
    <row r="84" spans="1:9" ht="12.75">
      <c r="A84" s="24" t="s">
        <v>146</v>
      </c>
      <c r="B84" s="2"/>
      <c r="C84" s="2" t="s">
        <v>159</v>
      </c>
      <c r="D84" s="79" t="s">
        <v>160</v>
      </c>
      <c r="E84" s="79"/>
      <c r="F84" s="2" t="s">
        <v>112</v>
      </c>
      <c r="G84" s="25">
        <v>55.75</v>
      </c>
      <c r="H84" s="46">
        <v>0</v>
      </c>
      <c r="I84" s="1"/>
    </row>
    <row r="85" spans="1:9" ht="12" customHeight="1">
      <c r="A85" s="1"/>
      <c r="D85" s="47" t="s">
        <v>373</v>
      </c>
      <c r="E85" s="97" t="s">
        <v>374</v>
      </c>
      <c r="F85" s="97"/>
      <c r="G85" s="48">
        <v>55.75</v>
      </c>
      <c r="H85" s="49"/>
      <c r="I85" s="1"/>
    </row>
    <row r="86" spans="1:9" ht="12.75">
      <c r="A86" s="24" t="s">
        <v>152</v>
      </c>
      <c r="B86" s="2"/>
      <c r="C86" s="2" t="s">
        <v>163</v>
      </c>
      <c r="D86" s="79" t="s">
        <v>164</v>
      </c>
      <c r="E86" s="79"/>
      <c r="F86" s="2" t="s">
        <v>112</v>
      </c>
      <c r="G86" s="25">
        <v>35.75</v>
      </c>
      <c r="H86" s="46">
        <v>0</v>
      </c>
      <c r="I86" s="1"/>
    </row>
    <row r="87" spans="1:9" ht="12" customHeight="1">
      <c r="A87" s="1"/>
      <c r="D87" s="47" t="s">
        <v>371</v>
      </c>
      <c r="E87" s="97" t="s">
        <v>325</v>
      </c>
      <c r="F87" s="97"/>
      <c r="G87" s="48">
        <v>35.75</v>
      </c>
      <c r="H87" s="49"/>
      <c r="I87" s="1"/>
    </row>
    <row r="88" spans="1:9" ht="12.75">
      <c r="A88" s="24" t="s">
        <v>158</v>
      </c>
      <c r="B88" s="2"/>
      <c r="C88" s="2" t="s">
        <v>166</v>
      </c>
      <c r="D88" s="79" t="s">
        <v>167</v>
      </c>
      <c r="E88" s="79"/>
      <c r="F88" s="2" t="s">
        <v>112</v>
      </c>
      <c r="G88" s="25">
        <v>45.675</v>
      </c>
      <c r="H88" s="46">
        <v>0</v>
      </c>
      <c r="I88" s="1"/>
    </row>
    <row r="89" spans="1:9" ht="12" customHeight="1">
      <c r="A89" s="1"/>
      <c r="D89" s="47" t="s">
        <v>375</v>
      </c>
      <c r="E89" s="97" t="s">
        <v>376</v>
      </c>
      <c r="F89" s="97"/>
      <c r="G89" s="48">
        <v>45.675</v>
      </c>
      <c r="H89" s="49"/>
      <c r="I89" s="1"/>
    </row>
    <row r="90" spans="1:9" ht="12.75">
      <c r="A90" s="24" t="s">
        <v>162</v>
      </c>
      <c r="B90" s="2"/>
      <c r="C90" s="2" t="s">
        <v>169</v>
      </c>
      <c r="D90" s="79" t="s">
        <v>170</v>
      </c>
      <c r="E90" s="79"/>
      <c r="F90" s="2" t="s">
        <v>112</v>
      </c>
      <c r="G90" s="25">
        <v>82.225</v>
      </c>
      <c r="H90" s="46">
        <v>0</v>
      </c>
      <c r="I90" s="1"/>
    </row>
    <row r="91" spans="1:9" ht="12" customHeight="1">
      <c r="A91" s="1"/>
      <c r="D91" s="47" t="s">
        <v>371</v>
      </c>
      <c r="E91" s="97" t="s">
        <v>377</v>
      </c>
      <c r="F91" s="97"/>
      <c r="G91" s="48">
        <v>35.75</v>
      </c>
      <c r="H91" s="49"/>
      <c r="I91" s="1"/>
    </row>
    <row r="92" spans="1:9" ht="12" customHeight="1">
      <c r="A92" s="24"/>
      <c r="B92" s="2"/>
      <c r="C92" s="2"/>
      <c r="D92" s="47" t="s">
        <v>378</v>
      </c>
      <c r="E92" s="97" t="s">
        <v>379</v>
      </c>
      <c r="F92" s="97"/>
      <c r="G92" s="48">
        <v>46.475</v>
      </c>
      <c r="H92" s="26"/>
      <c r="I92" s="1"/>
    </row>
    <row r="93" spans="1:9" ht="12.75">
      <c r="A93" s="50"/>
      <c r="B93" s="29"/>
      <c r="C93" s="29" t="s">
        <v>183</v>
      </c>
      <c r="D93" s="89" t="s">
        <v>184</v>
      </c>
      <c r="E93" s="89"/>
      <c r="F93" s="29"/>
      <c r="G93" s="9"/>
      <c r="H93" s="31"/>
      <c r="I93" s="1"/>
    </row>
    <row r="94" spans="1:9" ht="12.75">
      <c r="A94" s="24" t="s">
        <v>165</v>
      </c>
      <c r="B94" s="2"/>
      <c r="C94" s="2" t="s">
        <v>185</v>
      </c>
      <c r="D94" s="79" t="s">
        <v>186</v>
      </c>
      <c r="E94" s="79"/>
      <c r="F94" s="2" t="s">
        <v>187</v>
      </c>
      <c r="G94" s="25">
        <v>4</v>
      </c>
      <c r="H94" s="46">
        <v>0</v>
      </c>
      <c r="I94" s="1"/>
    </row>
    <row r="95" spans="1:9" ht="12" customHeight="1">
      <c r="A95" s="1"/>
      <c r="D95" s="47" t="s">
        <v>66</v>
      </c>
      <c r="E95" s="97" t="s">
        <v>380</v>
      </c>
      <c r="F95" s="97"/>
      <c r="G95" s="48">
        <v>4</v>
      </c>
      <c r="H95" s="49"/>
      <c r="I95" s="1"/>
    </row>
    <row r="96" spans="1:9" ht="12.75">
      <c r="A96" s="24" t="s">
        <v>168</v>
      </c>
      <c r="B96" s="2"/>
      <c r="C96" s="2" t="s">
        <v>190</v>
      </c>
      <c r="D96" s="79" t="s">
        <v>191</v>
      </c>
      <c r="E96" s="79"/>
      <c r="F96" s="2" t="s">
        <v>187</v>
      </c>
      <c r="G96" s="25">
        <v>8</v>
      </c>
      <c r="H96" s="46">
        <v>0</v>
      </c>
      <c r="I96" s="1"/>
    </row>
    <row r="97" spans="1:9" ht="12" customHeight="1">
      <c r="A97" s="1"/>
      <c r="D97" s="47" t="s">
        <v>85</v>
      </c>
      <c r="E97" s="97"/>
      <c r="F97" s="97"/>
      <c r="G97" s="48">
        <v>8</v>
      </c>
      <c r="H97" s="49"/>
      <c r="I97" s="1"/>
    </row>
    <row r="98" spans="1:9" ht="12.75">
      <c r="A98" s="24" t="s">
        <v>174</v>
      </c>
      <c r="B98" s="2"/>
      <c r="C98" s="2" t="s">
        <v>193</v>
      </c>
      <c r="D98" s="79" t="s">
        <v>194</v>
      </c>
      <c r="E98" s="79"/>
      <c r="F98" s="2" t="s">
        <v>177</v>
      </c>
      <c r="G98" s="25">
        <v>1.6</v>
      </c>
      <c r="H98" s="46">
        <v>0</v>
      </c>
      <c r="I98" s="1"/>
    </row>
    <row r="99" spans="1:9" ht="12" customHeight="1">
      <c r="A99" s="1"/>
      <c r="D99" s="47" t="s">
        <v>381</v>
      </c>
      <c r="E99" s="97"/>
      <c r="F99" s="97"/>
      <c r="G99" s="48">
        <v>1.6</v>
      </c>
      <c r="H99" s="49"/>
      <c r="I99" s="1"/>
    </row>
    <row r="100" spans="1:9" ht="12.75">
      <c r="A100" s="50"/>
      <c r="B100" s="29"/>
      <c r="C100" s="29" t="s">
        <v>195</v>
      </c>
      <c r="D100" s="89" t="s">
        <v>196</v>
      </c>
      <c r="E100" s="89"/>
      <c r="F100" s="29"/>
      <c r="G100" s="9"/>
      <c r="H100" s="31"/>
      <c r="I100" s="1"/>
    </row>
    <row r="101" spans="1:9" ht="12.75">
      <c r="A101" s="24" t="s">
        <v>180</v>
      </c>
      <c r="B101" s="2"/>
      <c r="C101" s="2" t="s">
        <v>198</v>
      </c>
      <c r="D101" s="79" t="s">
        <v>199</v>
      </c>
      <c r="E101" s="79"/>
      <c r="F101" s="2" t="s">
        <v>112</v>
      </c>
      <c r="G101" s="25">
        <v>55.75</v>
      </c>
      <c r="H101" s="46">
        <v>0</v>
      </c>
      <c r="I101" s="1"/>
    </row>
    <row r="102" spans="1:9" ht="12" customHeight="1">
      <c r="A102" s="1"/>
      <c r="D102" s="47" t="s">
        <v>373</v>
      </c>
      <c r="E102" s="97" t="s">
        <v>382</v>
      </c>
      <c r="F102" s="97"/>
      <c r="G102" s="48">
        <v>55.75</v>
      </c>
      <c r="H102" s="49"/>
      <c r="I102" s="1"/>
    </row>
    <row r="103" spans="1:9" ht="12.75">
      <c r="A103" s="24" t="s">
        <v>92</v>
      </c>
      <c r="B103" s="2"/>
      <c r="C103" s="2" t="s">
        <v>204</v>
      </c>
      <c r="D103" s="79" t="s">
        <v>205</v>
      </c>
      <c r="E103" s="79"/>
      <c r="F103" s="2" t="s">
        <v>112</v>
      </c>
      <c r="G103" s="25">
        <v>55.75</v>
      </c>
      <c r="H103" s="46">
        <v>0</v>
      </c>
      <c r="I103" s="1"/>
    </row>
    <row r="104" spans="1:9" ht="12" customHeight="1">
      <c r="A104" s="1"/>
      <c r="D104" s="47" t="s">
        <v>373</v>
      </c>
      <c r="E104" s="97" t="s">
        <v>374</v>
      </c>
      <c r="F104" s="97"/>
      <c r="G104" s="48">
        <v>55.75</v>
      </c>
      <c r="H104" s="49"/>
      <c r="I104" s="1"/>
    </row>
    <row r="105" spans="1:9" ht="12.75">
      <c r="A105" s="50"/>
      <c r="B105" s="29"/>
      <c r="C105" s="29" t="s">
        <v>206</v>
      </c>
      <c r="D105" s="89" t="s">
        <v>207</v>
      </c>
      <c r="E105" s="89"/>
      <c r="F105" s="29"/>
      <c r="G105" s="9"/>
      <c r="H105" s="31"/>
      <c r="I105" s="1"/>
    </row>
    <row r="106" spans="1:9" ht="12.75">
      <c r="A106" s="24" t="s">
        <v>189</v>
      </c>
      <c r="B106" s="2"/>
      <c r="C106" s="2" t="s">
        <v>209</v>
      </c>
      <c r="D106" s="79" t="s">
        <v>210</v>
      </c>
      <c r="E106" s="79"/>
      <c r="F106" s="2" t="s">
        <v>112</v>
      </c>
      <c r="G106" s="25">
        <v>200.44075</v>
      </c>
      <c r="H106" s="46">
        <v>0</v>
      </c>
      <c r="I106" s="1"/>
    </row>
    <row r="107" spans="1:9" ht="12" customHeight="1">
      <c r="A107" s="1"/>
      <c r="D107" s="47" t="s">
        <v>342</v>
      </c>
      <c r="E107" s="97" t="s">
        <v>343</v>
      </c>
      <c r="F107" s="97"/>
      <c r="G107" s="48">
        <v>25.28675</v>
      </c>
      <c r="H107" s="49"/>
      <c r="I107" s="1"/>
    </row>
    <row r="108" spans="1:9" ht="12" customHeight="1">
      <c r="A108" s="24"/>
      <c r="B108" s="2"/>
      <c r="C108" s="2"/>
      <c r="D108" s="47" t="s">
        <v>361</v>
      </c>
      <c r="E108" s="97" t="s">
        <v>344</v>
      </c>
      <c r="F108" s="97"/>
      <c r="G108" s="48">
        <v>7.3325</v>
      </c>
      <c r="H108" s="26"/>
      <c r="I108" s="1"/>
    </row>
    <row r="109" spans="1:9" ht="12" customHeight="1">
      <c r="A109" s="24"/>
      <c r="B109" s="2"/>
      <c r="C109" s="2"/>
      <c r="D109" s="47" t="s">
        <v>361</v>
      </c>
      <c r="E109" s="97" t="s">
        <v>345</v>
      </c>
      <c r="F109" s="97"/>
      <c r="G109" s="48">
        <v>7.3325</v>
      </c>
      <c r="H109" s="26"/>
      <c r="I109" s="1"/>
    </row>
    <row r="110" spans="1:9" ht="12" customHeight="1">
      <c r="A110" s="24"/>
      <c r="B110" s="2"/>
      <c r="C110" s="2"/>
      <c r="D110" s="47" t="s">
        <v>363</v>
      </c>
      <c r="E110" s="97" t="s">
        <v>364</v>
      </c>
      <c r="F110" s="97"/>
      <c r="G110" s="48">
        <v>17.501</v>
      </c>
      <c r="H110" s="26"/>
      <c r="I110" s="1"/>
    </row>
    <row r="111" spans="1:9" ht="12" customHeight="1">
      <c r="A111" s="24"/>
      <c r="B111" s="2"/>
      <c r="C111" s="2"/>
      <c r="D111" s="47" t="s">
        <v>365</v>
      </c>
      <c r="E111" s="97" t="s">
        <v>366</v>
      </c>
      <c r="F111" s="97"/>
      <c r="G111" s="48">
        <v>32.218</v>
      </c>
      <c r="H111" s="26"/>
      <c r="I111" s="1"/>
    </row>
    <row r="112" spans="1:9" ht="12" customHeight="1">
      <c r="A112" s="24"/>
      <c r="B112" s="2"/>
      <c r="C112" s="2"/>
      <c r="D112" s="47" t="s">
        <v>367</v>
      </c>
      <c r="E112" s="97" t="s">
        <v>368</v>
      </c>
      <c r="F112" s="97"/>
      <c r="G112" s="48">
        <v>29.15</v>
      </c>
      <c r="H112" s="26"/>
      <c r="I112" s="1"/>
    </row>
    <row r="113" spans="1:9" ht="12" customHeight="1">
      <c r="A113" s="24"/>
      <c r="B113" s="2"/>
      <c r="C113" s="2"/>
      <c r="D113" s="47" t="s">
        <v>369</v>
      </c>
      <c r="E113" s="97" t="s">
        <v>383</v>
      </c>
      <c r="F113" s="97"/>
      <c r="G113" s="48">
        <v>25.87</v>
      </c>
      <c r="H113" s="26"/>
      <c r="I113" s="1"/>
    </row>
    <row r="114" spans="1:9" ht="12" customHeight="1">
      <c r="A114" s="24"/>
      <c r="B114" s="2"/>
      <c r="C114" s="2"/>
      <c r="D114" s="47" t="s">
        <v>384</v>
      </c>
      <c r="E114" s="97" t="s">
        <v>385</v>
      </c>
      <c r="F114" s="97"/>
      <c r="G114" s="48">
        <v>55.75</v>
      </c>
      <c r="H114" s="26"/>
      <c r="I114" s="1"/>
    </row>
    <row r="115" spans="1:9" ht="12.75">
      <c r="A115" s="50"/>
      <c r="B115" s="29"/>
      <c r="C115" s="29" t="s">
        <v>214</v>
      </c>
      <c r="D115" s="89" t="s">
        <v>215</v>
      </c>
      <c r="E115" s="89"/>
      <c r="F115" s="29"/>
      <c r="G115" s="9"/>
      <c r="H115" s="31"/>
      <c r="I115" s="1"/>
    </row>
    <row r="116" spans="1:9" ht="12.75">
      <c r="A116" s="24" t="s">
        <v>192</v>
      </c>
      <c r="B116" s="2"/>
      <c r="C116" s="2" t="s">
        <v>217</v>
      </c>
      <c r="D116" s="79" t="s">
        <v>218</v>
      </c>
      <c r="E116" s="79"/>
      <c r="F116" s="2" t="s">
        <v>177</v>
      </c>
      <c r="G116" s="25">
        <v>21.689</v>
      </c>
      <c r="H116" s="46">
        <v>0</v>
      </c>
      <c r="I116" s="1"/>
    </row>
    <row r="117" spans="1:9" ht="12" customHeight="1">
      <c r="A117" s="1"/>
      <c r="D117" s="47" t="s">
        <v>386</v>
      </c>
      <c r="E117" s="97" t="s">
        <v>325</v>
      </c>
      <c r="F117" s="97"/>
      <c r="G117" s="48">
        <v>21.689</v>
      </c>
      <c r="H117" s="49"/>
      <c r="I117" s="1"/>
    </row>
    <row r="118" spans="1:9" ht="12.75">
      <c r="A118" s="24" t="s">
        <v>197</v>
      </c>
      <c r="B118" s="2"/>
      <c r="C118" s="2" t="s">
        <v>222</v>
      </c>
      <c r="D118" s="79" t="s">
        <v>223</v>
      </c>
      <c r="E118" s="79"/>
      <c r="F118" s="2" t="s">
        <v>177</v>
      </c>
      <c r="G118" s="25">
        <v>2</v>
      </c>
      <c r="H118" s="46">
        <v>0</v>
      </c>
      <c r="I118" s="1"/>
    </row>
    <row r="119" spans="1:9" ht="12" customHeight="1">
      <c r="A119" s="1"/>
      <c r="D119" s="47" t="s">
        <v>58</v>
      </c>
      <c r="E119" s="97" t="s">
        <v>387</v>
      </c>
      <c r="F119" s="97"/>
      <c r="G119" s="48">
        <v>2</v>
      </c>
      <c r="H119" s="49"/>
      <c r="I119" s="1"/>
    </row>
    <row r="120" spans="1:9" ht="12.75">
      <c r="A120" s="24" t="s">
        <v>203</v>
      </c>
      <c r="B120" s="2"/>
      <c r="C120" s="2" t="s">
        <v>225</v>
      </c>
      <c r="D120" s="79" t="s">
        <v>226</v>
      </c>
      <c r="E120" s="79"/>
      <c r="F120" s="2" t="s">
        <v>177</v>
      </c>
      <c r="G120" s="25">
        <v>20</v>
      </c>
      <c r="H120" s="46">
        <v>0</v>
      </c>
      <c r="I120" s="1"/>
    </row>
    <row r="121" spans="1:9" ht="12" customHeight="1">
      <c r="A121" s="1"/>
      <c r="D121" s="47" t="s">
        <v>152</v>
      </c>
      <c r="E121" s="97" t="s">
        <v>387</v>
      </c>
      <c r="F121" s="97"/>
      <c r="G121" s="48">
        <v>20</v>
      </c>
      <c r="H121" s="49"/>
      <c r="I121" s="1"/>
    </row>
    <row r="122" spans="1:9" ht="12.75">
      <c r="A122" s="50"/>
      <c r="B122" s="29"/>
      <c r="C122" s="29" t="s">
        <v>227</v>
      </c>
      <c r="D122" s="89" t="s">
        <v>228</v>
      </c>
      <c r="E122" s="89"/>
      <c r="F122" s="29"/>
      <c r="G122" s="9"/>
      <c r="H122" s="31"/>
      <c r="I122" s="1"/>
    </row>
    <row r="123" spans="1:9" ht="12.75">
      <c r="A123" s="24" t="s">
        <v>208</v>
      </c>
      <c r="B123" s="2"/>
      <c r="C123" s="2" t="s">
        <v>230</v>
      </c>
      <c r="D123" s="79" t="s">
        <v>231</v>
      </c>
      <c r="E123" s="79"/>
      <c r="F123" s="2" t="s">
        <v>187</v>
      </c>
      <c r="G123" s="25">
        <v>3</v>
      </c>
      <c r="H123" s="46">
        <v>0</v>
      </c>
      <c r="I123" s="1"/>
    </row>
    <row r="124" spans="1:9" ht="12" customHeight="1">
      <c r="A124" s="1"/>
      <c r="D124" s="47" t="s">
        <v>61</v>
      </c>
      <c r="E124" s="97" t="s">
        <v>388</v>
      </c>
      <c r="F124" s="97"/>
      <c r="G124" s="48">
        <v>3</v>
      </c>
      <c r="H124" s="49"/>
      <c r="I124" s="1"/>
    </row>
    <row r="125" spans="1:9" ht="12.75">
      <c r="A125" s="50"/>
      <c r="B125" s="29"/>
      <c r="C125" s="29" t="s">
        <v>233</v>
      </c>
      <c r="D125" s="89" t="s">
        <v>234</v>
      </c>
      <c r="E125" s="89"/>
      <c r="F125" s="29"/>
      <c r="G125" s="9"/>
      <c r="H125" s="31"/>
      <c r="I125" s="1"/>
    </row>
    <row r="126" spans="1:9" ht="12.75">
      <c r="A126" s="24" t="s">
        <v>216</v>
      </c>
      <c r="B126" s="2"/>
      <c r="C126" s="2" t="s">
        <v>242</v>
      </c>
      <c r="D126" s="79" t="s">
        <v>243</v>
      </c>
      <c r="E126" s="79"/>
      <c r="F126" s="2" t="s">
        <v>52</v>
      </c>
      <c r="G126" s="25">
        <v>0.57</v>
      </c>
      <c r="H126" s="46">
        <v>0</v>
      </c>
      <c r="I126" s="1"/>
    </row>
    <row r="127" spans="1:9" ht="12" customHeight="1">
      <c r="A127" s="1"/>
      <c r="D127" s="47" t="s">
        <v>389</v>
      </c>
      <c r="E127" s="97" t="s">
        <v>390</v>
      </c>
      <c r="F127" s="97"/>
      <c r="G127" s="48">
        <v>0.57</v>
      </c>
      <c r="H127" s="49"/>
      <c r="I127" s="1"/>
    </row>
    <row r="128" spans="1:9" ht="12.75">
      <c r="A128" s="24" t="s">
        <v>221</v>
      </c>
      <c r="B128" s="2"/>
      <c r="C128" s="2" t="s">
        <v>245</v>
      </c>
      <c r="D128" s="79" t="s">
        <v>246</v>
      </c>
      <c r="E128" s="79"/>
      <c r="F128" s="2" t="s">
        <v>52</v>
      </c>
      <c r="G128" s="25">
        <v>1.413</v>
      </c>
      <c r="H128" s="46">
        <v>0</v>
      </c>
      <c r="I128" s="1"/>
    </row>
    <row r="129" spans="1:9" ht="12" customHeight="1">
      <c r="A129" s="1"/>
      <c r="D129" s="47" t="s">
        <v>391</v>
      </c>
      <c r="E129" s="97" t="s">
        <v>392</v>
      </c>
      <c r="F129" s="97"/>
      <c r="G129" s="48">
        <v>1.413</v>
      </c>
      <c r="H129" s="49"/>
      <c r="I129" s="1"/>
    </row>
    <row r="130" spans="1:9" ht="12.75">
      <c r="A130" s="24" t="s">
        <v>224</v>
      </c>
      <c r="B130" s="2"/>
      <c r="C130" s="2" t="s">
        <v>248</v>
      </c>
      <c r="D130" s="79" t="s">
        <v>249</v>
      </c>
      <c r="E130" s="79"/>
      <c r="F130" s="2" t="s">
        <v>112</v>
      </c>
      <c r="G130" s="25">
        <v>7.38</v>
      </c>
      <c r="H130" s="46">
        <v>0</v>
      </c>
      <c r="I130" s="1"/>
    </row>
    <row r="131" spans="1:9" ht="12" customHeight="1">
      <c r="A131" s="1"/>
      <c r="D131" s="47" t="s">
        <v>393</v>
      </c>
      <c r="E131" s="97" t="s">
        <v>394</v>
      </c>
      <c r="F131" s="97"/>
      <c r="G131" s="48">
        <v>7.38</v>
      </c>
      <c r="H131" s="49"/>
      <c r="I131" s="1"/>
    </row>
    <row r="132" spans="1:9" ht="12.75">
      <c r="A132" s="50"/>
      <c r="B132" s="29"/>
      <c r="C132" s="29" t="s">
        <v>250</v>
      </c>
      <c r="D132" s="89" t="s">
        <v>251</v>
      </c>
      <c r="E132" s="89"/>
      <c r="F132" s="29"/>
      <c r="G132" s="9"/>
      <c r="H132" s="31"/>
      <c r="I132" s="1"/>
    </row>
    <row r="133" spans="1:9" ht="12.75">
      <c r="A133" s="24" t="s">
        <v>229</v>
      </c>
      <c r="B133" s="2"/>
      <c r="C133" s="2" t="s">
        <v>253</v>
      </c>
      <c r="D133" s="79" t="s">
        <v>254</v>
      </c>
      <c r="E133" s="79"/>
      <c r="F133" s="2" t="s">
        <v>112</v>
      </c>
      <c r="G133" s="25">
        <v>152.22725</v>
      </c>
      <c r="H133" s="46">
        <v>0</v>
      </c>
      <c r="I133" s="1"/>
    </row>
    <row r="134" spans="1:9" ht="12" customHeight="1">
      <c r="A134" s="1"/>
      <c r="D134" s="47" t="s">
        <v>395</v>
      </c>
      <c r="E134" s="97" t="s">
        <v>343</v>
      </c>
      <c r="F134" s="97"/>
      <c r="G134" s="48">
        <v>23.9985</v>
      </c>
      <c r="H134" s="49"/>
      <c r="I134" s="1"/>
    </row>
    <row r="135" spans="1:9" ht="12" customHeight="1">
      <c r="A135" s="24"/>
      <c r="B135" s="2"/>
      <c r="C135" s="2"/>
      <c r="D135" s="47" t="s">
        <v>396</v>
      </c>
      <c r="E135" s="97" t="s">
        <v>344</v>
      </c>
      <c r="F135" s="97"/>
      <c r="G135" s="48">
        <v>8.9775</v>
      </c>
      <c r="H135" s="26"/>
      <c r="I135" s="1"/>
    </row>
    <row r="136" spans="1:9" ht="12" customHeight="1">
      <c r="A136" s="24"/>
      <c r="B136" s="2"/>
      <c r="C136" s="2"/>
      <c r="D136" s="47" t="s">
        <v>397</v>
      </c>
      <c r="E136" s="97" t="s">
        <v>345</v>
      </c>
      <c r="F136" s="97"/>
      <c r="G136" s="48">
        <v>14.625</v>
      </c>
      <c r="H136" s="26"/>
      <c r="I136" s="1"/>
    </row>
    <row r="137" spans="1:9" ht="12" customHeight="1">
      <c r="A137" s="24"/>
      <c r="B137" s="2"/>
      <c r="C137" s="2"/>
      <c r="D137" s="47" t="s">
        <v>398</v>
      </c>
      <c r="E137" s="97" t="s">
        <v>364</v>
      </c>
      <c r="F137" s="97"/>
      <c r="G137" s="48">
        <v>17.536</v>
      </c>
      <c r="H137" s="26"/>
      <c r="I137" s="1"/>
    </row>
    <row r="138" spans="1:9" ht="12" customHeight="1">
      <c r="A138" s="24"/>
      <c r="B138" s="2"/>
      <c r="C138" s="2"/>
      <c r="D138" s="47" t="s">
        <v>399</v>
      </c>
      <c r="E138" s="97" t="s">
        <v>366</v>
      </c>
      <c r="F138" s="97"/>
      <c r="G138" s="48">
        <v>31.734</v>
      </c>
      <c r="H138" s="26"/>
      <c r="I138" s="1"/>
    </row>
    <row r="139" spans="1:9" ht="12" customHeight="1">
      <c r="A139" s="24"/>
      <c r="B139" s="2"/>
      <c r="C139" s="2"/>
      <c r="D139" s="47" t="s">
        <v>400</v>
      </c>
      <c r="E139" s="97" t="s">
        <v>368</v>
      </c>
      <c r="F139" s="97"/>
      <c r="G139" s="48">
        <v>29.44625</v>
      </c>
      <c r="H139" s="26"/>
      <c r="I139" s="1"/>
    </row>
    <row r="140" spans="1:9" ht="12" customHeight="1">
      <c r="A140" s="24"/>
      <c r="B140" s="2"/>
      <c r="C140" s="2"/>
      <c r="D140" s="47" t="s">
        <v>401</v>
      </c>
      <c r="E140" s="97" t="s">
        <v>383</v>
      </c>
      <c r="F140" s="97"/>
      <c r="G140" s="48">
        <v>25.91</v>
      </c>
      <c r="H140" s="26"/>
      <c r="I140" s="1"/>
    </row>
    <row r="141" spans="1:9" ht="12.75">
      <c r="A141" s="24" t="s">
        <v>235</v>
      </c>
      <c r="B141" s="2"/>
      <c r="C141" s="2" t="s">
        <v>257</v>
      </c>
      <c r="D141" s="79" t="s">
        <v>258</v>
      </c>
      <c r="E141" s="79"/>
      <c r="F141" s="2" t="s">
        <v>187</v>
      </c>
      <c r="G141" s="25">
        <v>5</v>
      </c>
      <c r="H141" s="46">
        <v>0</v>
      </c>
      <c r="I141" s="1"/>
    </row>
    <row r="142" spans="1:9" ht="12" customHeight="1">
      <c r="A142" s="1"/>
      <c r="D142" s="47" t="s">
        <v>70</v>
      </c>
      <c r="E142" s="97" t="s">
        <v>402</v>
      </c>
      <c r="F142" s="97"/>
      <c r="G142" s="48">
        <v>5</v>
      </c>
      <c r="H142" s="49"/>
      <c r="I142" s="1"/>
    </row>
    <row r="143" spans="1:9" ht="12.75">
      <c r="A143" s="50"/>
      <c r="B143" s="29"/>
      <c r="C143" s="29" t="s">
        <v>262</v>
      </c>
      <c r="D143" s="89" t="s">
        <v>263</v>
      </c>
      <c r="E143" s="89"/>
      <c r="F143" s="29"/>
      <c r="G143" s="9"/>
      <c r="H143" s="31"/>
      <c r="I143" s="1"/>
    </row>
    <row r="144" spans="1:9" ht="12.75">
      <c r="A144" s="24" t="s">
        <v>241</v>
      </c>
      <c r="B144" s="2"/>
      <c r="C144" s="2" t="s">
        <v>265</v>
      </c>
      <c r="D144" s="79" t="s">
        <v>266</v>
      </c>
      <c r="E144" s="79"/>
      <c r="F144" s="2" t="s">
        <v>187</v>
      </c>
      <c r="G144" s="25">
        <v>1</v>
      </c>
      <c r="H144" s="46">
        <v>0</v>
      </c>
      <c r="I144" s="1"/>
    </row>
    <row r="145" spans="1:9" ht="12" customHeight="1">
      <c r="A145" s="1"/>
      <c r="D145" s="47" t="s">
        <v>49</v>
      </c>
      <c r="E145" s="97" t="s">
        <v>387</v>
      </c>
      <c r="F145" s="97"/>
      <c r="G145" s="48">
        <v>1</v>
      </c>
      <c r="H145" s="49"/>
      <c r="I145" s="1"/>
    </row>
    <row r="146" spans="1:9" ht="12.75">
      <c r="A146" s="24" t="s">
        <v>244</v>
      </c>
      <c r="B146" s="2"/>
      <c r="C146" s="2" t="s">
        <v>268</v>
      </c>
      <c r="D146" s="79" t="s">
        <v>269</v>
      </c>
      <c r="E146" s="79"/>
      <c r="F146" s="2" t="s">
        <v>270</v>
      </c>
      <c r="G146" s="25">
        <v>8</v>
      </c>
      <c r="H146" s="46">
        <v>0</v>
      </c>
      <c r="I146" s="1"/>
    </row>
    <row r="147" spans="1:9" ht="12" customHeight="1">
      <c r="A147" s="1"/>
      <c r="D147" s="47" t="s">
        <v>403</v>
      </c>
      <c r="E147" s="97" t="s">
        <v>387</v>
      </c>
      <c r="F147" s="97"/>
      <c r="G147" s="48">
        <v>8</v>
      </c>
      <c r="H147" s="49"/>
      <c r="I147" s="1"/>
    </row>
    <row r="148" spans="1:9" ht="12.75">
      <c r="A148" s="50"/>
      <c r="B148" s="29"/>
      <c r="C148" s="29"/>
      <c r="D148" s="89" t="s">
        <v>271</v>
      </c>
      <c r="E148" s="89"/>
      <c r="F148" s="29"/>
      <c r="G148" s="9"/>
      <c r="H148" s="31"/>
      <c r="I148" s="1"/>
    </row>
    <row r="149" spans="1:9" ht="12.75">
      <c r="A149" s="24" t="s">
        <v>247</v>
      </c>
      <c r="B149" s="2"/>
      <c r="C149" s="2" t="s">
        <v>289</v>
      </c>
      <c r="D149" s="79" t="s">
        <v>290</v>
      </c>
      <c r="E149" s="79"/>
      <c r="F149" s="2" t="s">
        <v>177</v>
      </c>
      <c r="G149" s="25">
        <v>22</v>
      </c>
      <c r="H149" s="46">
        <v>0</v>
      </c>
      <c r="I149" s="1"/>
    </row>
    <row r="150" spans="1:9" ht="12" customHeight="1">
      <c r="A150" s="1"/>
      <c r="D150" s="47" t="s">
        <v>162</v>
      </c>
      <c r="E150" s="97"/>
      <c r="F150" s="97"/>
      <c r="G150" s="48">
        <v>22</v>
      </c>
      <c r="H150" s="49"/>
      <c r="I150" s="1"/>
    </row>
    <row r="151" spans="1:9" ht="12.75">
      <c r="A151" s="24" t="s">
        <v>252</v>
      </c>
      <c r="B151" s="2"/>
      <c r="C151" s="2" t="s">
        <v>292</v>
      </c>
      <c r="D151" s="79" t="s">
        <v>293</v>
      </c>
      <c r="E151" s="79"/>
      <c r="F151" s="2" t="s">
        <v>187</v>
      </c>
      <c r="G151" s="25">
        <v>3</v>
      </c>
      <c r="H151" s="46">
        <v>0</v>
      </c>
      <c r="I151" s="1"/>
    </row>
    <row r="152" spans="1:9" ht="12" customHeight="1">
      <c r="A152" s="1"/>
      <c r="D152" s="47" t="s">
        <v>61</v>
      </c>
      <c r="E152" s="97" t="s">
        <v>387</v>
      </c>
      <c r="F152" s="97"/>
      <c r="G152" s="48">
        <v>3</v>
      </c>
      <c r="H152" s="49"/>
      <c r="I152" s="1"/>
    </row>
    <row r="153" spans="1:9" ht="12.75">
      <c r="A153" s="50"/>
      <c r="B153" s="29"/>
      <c r="C153" s="29"/>
      <c r="D153" s="89" t="s">
        <v>294</v>
      </c>
      <c r="E153" s="89"/>
      <c r="F153" s="29"/>
      <c r="G153" s="9"/>
      <c r="H153" s="31"/>
      <c r="I153" s="1"/>
    </row>
    <row r="154" spans="1:9" ht="12.75">
      <c r="A154" s="50"/>
      <c r="B154" s="29"/>
      <c r="C154" s="29" t="s">
        <v>295</v>
      </c>
      <c r="D154" s="89" t="s">
        <v>296</v>
      </c>
      <c r="E154" s="89"/>
      <c r="F154" s="29"/>
      <c r="G154" s="9"/>
      <c r="H154" s="31"/>
      <c r="I154" s="1"/>
    </row>
    <row r="155" spans="1:9" ht="12.75">
      <c r="A155" s="24" t="s">
        <v>256</v>
      </c>
      <c r="B155" s="2"/>
      <c r="C155" s="2" t="s">
        <v>298</v>
      </c>
      <c r="D155" s="79" t="s">
        <v>296</v>
      </c>
      <c r="E155" s="79"/>
      <c r="F155" s="2" t="s">
        <v>299</v>
      </c>
      <c r="G155" s="25">
        <v>1</v>
      </c>
      <c r="H155" s="46">
        <v>0</v>
      </c>
      <c r="I155" s="1"/>
    </row>
    <row r="156" spans="1:9" ht="12" customHeight="1">
      <c r="A156" s="51"/>
      <c r="B156" s="52"/>
      <c r="C156" s="52"/>
      <c r="D156" s="53" t="s">
        <v>49</v>
      </c>
      <c r="E156" s="98" t="s">
        <v>404</v>
      </c>
      <c r="F156" s="98"/>
      <c r="G156" s="54">
        <v>1</v>
      </c>
      <c r="H156" s="55"/>
      <c r="I156" s="1"/>
    </row>
    <row r="157" spans="1:8" ht="12.75">
      <c r="A157" s="37"/>
      <c r="B157" s="37"/>
      <c r="C157" s="37"/>
      <c r="D157" s="37"/>
      <c r="E157" s="37"/>
      <c r="F157" s="37"/>
      <c r="G157" s="37"/>
      <c r="H157" s="37"/>
    </row>
    <row r="158" ht="11.25" customHeight="1">
      <c r="A158" s="39" t="s">
        <v>304</v>
      </c>
    </row>
    <row r="159" spans="1:7" ht="12.75">
      <c r="A159" s="78"/>
      <c r="B159" s="78"/>
      <c r="C159" s="78"/>
      <c r="D159" s="78"/>
      <c r="E159" s="78"/>
      <c r="F159" s="78"/>
      <c r="G159" s="78"/>
    </row>
  </sheetData>
  <sheetProtection selectLockedCells="1" selectUnlockedCells="1"/>
  <mergeCells count="165">
    <mergeCell ref="D154:E154"/>
    <mergeCell ref="D155:E155"/>
    <mergeCell ref="E156:F156"/>
    <mergeCell ref="A159:G159"/>
    <mergeCell ref="D148:E148"/>
    <mergeCell ref="D149:E149"/>
    <mergeCell ref="E150:F150"/>
    <mergeCell ref="D151:E151"/>
    <mergeCell ref="E152:F152"/>
    <mergeCell ref="D153:E153"/>
    <mergeCell ref="E142:F142"/>
    <mergeCell ref="D143:E143"/>
    <mergeCell ref="D144:E144"/>
    <mergeCell ref="E145:F145"/>
    <mergeCell ref="D146:E146"/>
    <mergeCell ref="E147:F147"/>
    <mergeCell ref="E136:F136"/>
    <mergeCell ref="E137:F137"/>
    <mergeCell ref="E138:F138"/>
    <mergeCell ref="E139:F139"/>
    <mergeCell ref="E140:F140"/>
    <mergeCell ref="D141:E141"/>
    <mergeCell ref="D130:E130"/>
    <mergeCell ref="E131:F131"/>
    <mergeCell ref="D132:E132"/>
    <mergeCell ref="D133:E133"/>
    <mergeCell ref="E134:F134"/>
    <mergeCell ref="E135:F135"/>
    <mergeCell ref="E124:F124"/>
    <mergeCell ref="D125:E125"/>
    <mergeCell ref="D126:E126"/>
    <mergeCell ref="E127:F127"/>
    <mergeCell ref="D128:E128"/>
    <mergeCell ref="E129:F129"/>
    <mergeCell ref="D118:E118"/>
    <mergeCell ref="E119:F119"/>
    <mergeCell ref="D120:E120"/>
    <mergeCell ref="E121:F121"/>
    <mergeCell ref="D122:E122"/>
    <mergeCell ref="D123:E123"/>
    <mergeCell ref="E112:F112"/>
    <mergeCell ref="E113:F113"/>
    <mergeCell ref="E114:F114"/>
    <mergeCell ref="D115:E115"/>
    <mergeCell ref="D116:E116"/>
    <mergeCell ref="E117:F117"/>
    <mergeCell ref="D106:E106"/>
    <mergeCell ref="E107:F107"/>
    <mergeCell ref="E108:F108"/>
    <mergeCell ref="E109:F109"/>
    <mergeCell ref="E110:F110"/>
    <mergeCell ref="E111:F111"/>
    <mergeCell ref="D100:E100"/>
    <mergeCell ref="D101:E101"/>
    <mergeCell ref="E102:F102"/>
    <mergeCell ref="D103:E103"/>
    <mergeCell ref="E104:F104"/>
    <mergeCell ref="D105:E105"/>
    <mergeCell ref="D94:E94"/>
    <mergeCell ref="E95:F95"/>
    <mergeCell ref="D96:E96"/>
    <mergeCell ref="E97:F97"/>
    <mergeCell ref="D98:E98"/>
    <mergeCell ref="E99:F99"/>
    <mergeCell ref="D88:E88"/>
    <mergeCell ref="E89:F89"/>
    <mergeCell ref="D90:E90"/>
    <mergeCell ref="E91:F91"/>
    <mergeCell ref="E92:F92"/>
    <mergeCell ref="D93:E93"/>
    <mergeCell ref="D82:E82"/>
    <mergeCell ref="E83:F83"/>
    <mergeCell ref="D84:E84"/>
    <mergeCell ref="E85:F85"/>
    <mergeCell ref="D86:E86"/>
    <mergeCell ref="E87:F87"/>
    <mergeCell ref="E76:F76"/>
    <mergeCell ref="E77:F77"/>
    <mergeCell ref="D78:E78"/>
    <mergeCell ref="D79:E79"/>
    <mergeCell ref="E80:F80"/>
    <mergeCell ref="D81:E81"/>
    <mergeCell ref="E70:F70"/>
    <mergeCell ref="E71:F71"/>
    <mergeCell ref="E72:F72"/>
    <mergeCell ref="E73:F73"/>
    <mergeCell ref="E74:F74"/>
    <mergeCell ref="E75:F75"/>
    <mergeCell ref="E64:F64"/>
    <mergeCell ref="E65:F65"/>
    <mergeCell ref="E66:F66"/>
    <mergeCell ref="E67:F67"/>
    <mergeCell ref="E68:F68"/>
    <mergeCell ref="D69:E69"/>
    <mergeCell ref="E58:F58"/>
    <mergeCell ref="E59:F59"/>
    <mergeCell ref="D60:E60"/>
    <mergeCell ref="D61:E61"/>
    <mergeCell ref="E62:F62"/>
    <mergeCell ref="E63:F63"/>
    <mergeCell ref="D52:E52"/>
    <mergeCell ref="E53:F53"/>
    <mergeCell ref="D54:E54"/>
    <mergeCell ref="D55:E55"/>
    <mergeCell ref="E56:F56"/>
    <mergeCell ref="E57:F57"/>
    <mergeCell ref="D46:E46"/>
    <mergeCell ref="E47:F47"/>
    <mergeCell ref="D48:E48"/>
    <mergeCell ref="D49:E49"/>
    <mergeCell ref="E50:F50"/>
    <mergeCell ref="D51:E51"/>
    <mergeCell ref="E40:F40"/>
    <mergeCell ref="D41:E41"/>
    <mergeCell ref="D42:E42"/>
    <mergeCell ref="E43:F43"/>
    <mergeCell ref="D44:E44"/>
    <mergeCell ref="E45:F45"/>
    <mergeCell ref="E34:F34"/>
    <mergeCell ref="E35:F35"/>
    <mergeCell ref="E36:F36"/>
    <mergeCell ref="E37:F37"/>
    <mergeCell ref="D38:E38"/>
    <mergeCell ref="E39:F39"/>
    <mergeCell ref="E28:F28"/>
    <mergeCell ref="E29:F29"/>
    <mergeCell ref="D30:E30"/>
    <mergeCell ref="D31:E31"/>
    <mergeCell ref="E32:F32"/>
    <mergeCell ref="D33:E33"/>
    <mergeCell ref="E22:F22"/>
    <mergeCell ref="E23:F23"/>
    <mergeCell ref="E24:F24"/>
    <mergeCell ref="E25:F25"/>
    <mergeCell ref="E26:F26"/>
    <mergeCell ref="D27:E27"/>
    <mergeCell ref="E16:F16"/>
    <mergeCell ref="D17:E17"/>
    <mergeCell ref="D18:E18"/>
    <mergeCell ref="E19:F19"/>
    <mergeCell ref="E20:F20"/>
    <mergeCell ref="D21:E21"/>
    <mergeCell ref="D10:E10"/>
    <mergeCell ref="D11:E11"/>
    <mergeCell ref="D12:E12"/>
    <mergeCell ref="E13:F13"/>
    <mergeCell ref="E14:F14"/>
    <mergeCell ref="D15:E1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3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6"/>
      <c r="B1" s="52"/>
      <c r="C1" s="99" t="s">
        <v>405</v>
      </c>
      <c r="D1" s="99"/>
      <c r="E1" s="99"/>
      <c r="F1" s="99"/>
      <c r="G1" s="99"/>
      <c r="H1" s="99"/>
      <c r="I1" s="99"/>
    </row>
    <row r="2" spans="1:10" ht="12.75" customHeight="1">
      <c r="A2" s="72" t="s">
        <v>1</v>
      </c>
      <c r="B2" s="72"/>
      <c r="C2" s="73" t="str">
        <f>'Stavební rozpočet'!C2</f>
        <v>Odvlhčení a sanace 1.PP objektu DD ŠD Kralupy n.Vlt.</v>
      </c>
      <c r="D2" s="73"/>
      <c r="E2" s="75" t="s">
        <v>5</v>
      </c>
      <c r="F2" s="75" t="str">
        <f>'Stavební rozpočet'!J2</f>
        <v> </v>
      </c>
      <c r="G2" s="75"/>
      <c r="H2" s="75" t="s">
        <v>406</v>
      </c>
      <c r="I2" s="76"/>
      <c r="J2" s="1"/>
    </row>
    <row r="3" spans="1:10" ht="12.75">
      <c r="A3" s="72"/>
      <c r="B3" s="72"/>
      <c r="C3" s="73"/>
      <c r="D3" s="73"/>
      <c r="E3" s="75"/>
      <c r="F3" s="75"/>
      <c r="G3" s="75"/>
      <c r="H3" s="75"/>
      <c r="I3" s="76"/>
      <c r="J3" s="1"/>
    </row>
    <row r="4" spans="1:10" ht="12.75" customHeight="1">
      <c r="A4" s="77" t="s">
        <v>7</v>
      </c>
      <c r="B4" s="77"/>
      <c r="C4" s="78" t="str">
        <f>'Stavební rozpočet'!C4</f>
        <v> </v>
      </c>
      <c r="D4" s="78"/>
      <c r="E4" s="78" t="s">
        <v>10</v>
      </c>
      <c r="F4" s="78" t="str">
        <f>'Stavební rozpočet'!J4</f>
        <v> </v>
      </c>
      <c r="G4" s="78"/>
      <c r="H4" s="78" t="s">
        <v>406</v>
      </c>
      <c r="I4" s="80"/>
      <c r="J4" s="1"/>
    </row>
    <row r="5" spans="1:10" ht="12.75">
      <c r="A5" s="77"/>
      <c r="B5" s="77"/>
      <c r="C5" s="78"/>
      <c r="D5" s="78"/>
      <c r="E5" s="78"/>
      <c r="F5" s="78"/>
      <c r="G5" s="78"/>
      <c r="H5" s="78"/>
      <c r="I5" s="80"/>
      <c r="J5" s="1"/>
    </row>
    <row r="6" spans="1:10" ht="12.75" customHeight="1">
      <c r="A6" s="77" t="s">
        <v>11</v>
      </c>
      <c r="B6" s="77"/>
      <c r="C6" s="78" t="str">
        <f>'Stavební rozpočet'!C6</f>
        <v>U Sociálního domu 438, 278 01 Kralupy nad Vltavou</v>
      </c>
      <c r="D6" s="78"/>
      <c r="E6" s="78" t="s">
        <v>14</v>
      </c>
      <c r="F6" s="78" t="str">
        <f>'Stavební rozpočet'!J6</f>
        <v> </v>
      </c>
      <c r="G6" s="78"/>
      <c r="H6" s="78" t="s">
        <v>406</v>
      </c>
      <c r="I6" s="80"/>
      <c r="J6" s="1"/>
    </row>
    <row r="7" spans="1:10" ht="12.75">
      <c r="A7" s="77"/>
      <c r="B7" s="77"/>
      <c r="C7" s="78"/>
      <c r="D7" s="78"/>
      <c r="E7" s="78"/>
      <c r="F7" s="78"/>
      <c r="G7" s="78"/>
      <c r="H7" s="78"/>
      <c r="I7" s="80"/>
      <c r="J7" s="1"/>
    </row>
    <row r="8" spans="1:10" ht="12.75" customHeight="1">
      <c r="A8" s="77" t="s">
        <v>8</v>
      </c>
      <c r="B8" s="77"/>
      <c r="C8" s="78" t="str">
        <f>'Stavební rozpočet'!G4</f>
        <v>11.05.2023</v>
      </c>
      <c r="D8" s="78"/>
      <c r="E8" s="78" t="s">
        <v>13</v>
      </c>
      <c r="F8" s="78" t="str">
        <f>'Stavební rozpočet'!G6</f>
        <v> </v>
      </c>
      <c r="G8" s="78"/>
      <c r="H8" s="79" t="s">
        <v>407</v>
      </c>
      <c r="I8" s="80" t="s">
        <v>297</v>
      </c>
      <c r="J8" s="1"/>
    </row>
    <row r="9" spans="1:10" ht="12.75">
      <c r="A9" s="77"/>
      <c r="B9" s="77"/>
      <c r="C9" s="78"/>
      <c r="D9" s="78"/>
      <c r="E9" s="78"/>
      <c r="F9" s="78"/>
      <c r="G9" s="78"/>
      <c r="H9" s="79"/>
      <c r="I9" s="80"/>
      <c r="J9" s="1"/>
    </row>
    <row r="10" spans="1:10" ht="12.75" customHeight="1">
      <c r="A10" s="100" t="s">
        <v>15</v>
      </c>
      <c r="B10" s="100"/>
      <c r="C10" s="101">
        <f>'Stavební rozpočet'!C8</f>
        <v>8013613</v>
      </c>
      <c r="D10" s="101"/>
      <c r="E10" s="101" t="s">
        <v>17</v>
      </c>
      <c r="F10" s="101" t="str">
        <f>'Stavební rozpočet'!J8</f>
        <v>Ing.Petr Listík</v>
      </c>
      <c r="G10" s="101"/>
      <c r="H10" s="91" t="s">
        <v>408</v>
      </c>
      <c r="I10" s="102" t="str">
        <f>'Stavební rozpočet'!G8</f>
        <v>11.05.2023</v>
      </c>
      <c r="J10" s="1"/>
    </row>
    <row r="11" spans="1:10" ht="12.75">
      <c r="A11" s="100"/>
      <c r="B11" s="100"/>
      <c r="C11" s="101"/>
      <c r="D11" s="101"/>
      <c r="E11" s="101"/>
      <c r="F11" s="101"/>
      <c r="G11" s="101"/>
      <c r="H11" s="91"/>
      <c r="I11" s="102"/>
      <c r="J11" s="1"/>
    </row>
    <row r="12" spans="1:9" ht="23.25" customHeight="1">
      <c r="A12" s="103" t="s">
        <v>409</v>
      </c>
      <c r="B12" s="103"/>
      <c r="C12" s="103"/>
      <c r="D12" s="103"/>
      <c r="E12" s="103"/>
      <c r="F12" s="103"/>
      <c r="G12" s="103"/>
      <c r="H12" s="103"/>
      <c r="I12" s="103"/>
    </row>
    <row r="13" spans="1:10" ht="26.25" customHeight="1">
      <c r="A13" s="57" t="s">
        <v>410</v>
      </c>
      <c r="B13" s="104" t="s">
        <v>411</v>
      </c>
      <c r="C13" s="104"/>
      <c r="D13" s="57" t="s">
        <v>412</v>
      </c>
      <c r="E13" s="104" t="s">
        <v>413</v>
      </c>
      <c r="F13" s="104"/>
      <c r="G13" s="57" t="s">
        <v>414</v>
      </c>
      <c r="H13" s="104" t="s">
        <v>415</v>
      </c>
      <c r="I13" s="104"/>
      <c r="J13" s="1"/>
    </row>
    <row r="14" spans="1:10" ht="15" customHeight="1">
      <c r="A14" s="58" t="s">
        <v>416</v>
      </c>
      <c r="B14" s="59" t="s">
        <v>417</v>
      </c>
      <c r="C14" s="60">
        <f>SUM('Stavební rozpočet'!AB12:AB99)</f>
        <v>0</v>
      </c>
      <c r="D14" s="105" t="s">
        <v>418</v>
      </c>
      <c r="E14" s="105"/>
      <c r="F14" s="60">
        <v>0</v>
      </c>
      <c r="G14" s="105" t="s">
        <v>419</v>
      </c>
      <c r="H14" s="105"/>
      <c r="I14" s="61" t="s">
        <v>275</v>
      </c>
      <c r="J14" s="1"/>
    </row>
    <row r="15" spans="1:10" ht="15" customHeight="1">
      <c r="A15" s="62"/>
      <c r="B15" s="59" t="s">
        <v>32</v>
      </c>
      <c r="C15" s="60">
        <f>SUM('Stavební rozpočet'!AC12:AC99)</f>
        <v>0</v>
      </c>
      <c r="D15" s="105" t="s">
        <v>420</v>
      </c>
      <c r="E15" s="105"/>
      <c r="F15" s="60">
        <v>0</v>
      </c>
      <c r="G15" s="105" t="s">
        <v>421</v>
      </c>
      <c r="H15" s="105"/>
      <c r="I15" s="61" t="s">
        <v>275</v>
      </c>
      <c r="J15" s="1"/>
    </row>
    <row r="16" spans="1:10" ht="15" customHeight="1">
      <c r="A16" s="58" t="s">
        <v>422</v>
      </c>
      <c r="B16" s="59" t="s">
        <v>417</v>
      </c>
      <c r="C16" s="60">
        <f>SUM('Stavební rozpočet'!AD12:AD99)</f>
        <v>0</v>
      </c>
      <c r="D16" s="105" t="s">
        <v>423</v>
      </c>
      <c r="E16" s="105"/>
      <c r="F16" s="60">
        <v>0</v>
      </c>
      <c r="G16" s="105" t="s">
        <v>424</v>
      </c>
      <c r="H16" s="105"/>
      <c r="I16" s="61" t="s">
        <v>275</v>
      </c>
      <c r="J16" s="1"/>
    </row>
    <row r="17" spans="1:10" ht="15" customHeight="1">
      <c r="A17" s="62"/>
      <c r="B17" s="59" t="s">
        <v>32</v>
      </c>
      <c r="C17" s="60">
        <f>SUM('Stavební rozpočet'!AE12:AE99)</f>
        <v>0</v>
      </c>
      <c r="D17" s="105"/>
      <c r="E17" s="105"/>
      <c r="F17" s="61"/>
      <c r="G17" s="105" t="s">
        <v>425</v>
      </c>
      <c r="H17" s="105"/>
      <c r="I17" s="61" t="s">
        <v>275</v>
      </c>
      <c r="J17" s="1"/>
    </row>
    <row r="18" spans="1:10" ht="15" customHeight="1">
      <c r="A18" s="58" t="s">
        <v>426</v>
      </c>
      <c r="B18" s="59" t="s">
        <v>417</v>
      </c>
      <c r="C18" s="60">
        <f>SUM('Stavební rozpočet'!AF12:AF99)</f>
        <v>0</v>
      </c>
      <c r="D18" s="105"/>
      <c r="E18" s="105"/>
      <c r="F18" s="61"/>
      <c r="G18" s="105" t="s">
        <v>427</v>
      </c>
      <c r="H18" s="105"/>
      <c r="I18" s="61" t="s">
        <v>275</v>
      </c>
      <c r="J18" s="1"/>
    </row>
    <row r="19" spans="1:10" ht="15" customHeight="1">
      <c r="A19" s="62"/>
      <c r="B19" s="59" t="s">
        <v>32</v>
      </c>
      <c r="C19" s="60">
        <f>SUM('Stavební rozpočet'!AG12:AG99)</f>
        <v>0</v>
      </c>
      <c r="D19" s="105"/>
      <c r="E19" s="105"/>
      <c r="F19" s="61"/>
      <c r="G19" s="105" t="s">
        <v>428</v>
      </c>
      <c r="H19" s="105"/>
      <c r="I19" s="61" t="s">
        <v>275</v>
      </c>
      <c r="J19" s="1"/>
    </row>
    <row r="20" spans="1:10" ht="15" customHeight="1">
      <c r="A20" s="106" t="s">
        <v>271</v>
      </c>
      <c r="B20" s="106"/>
      <c r="C20" s="60">
        <f>SUM('Stavební rozpočet'!AH12:AH99)</f>
        <v>0</v>
      </c>
      <c r="D20" s="105"/>
      <c r="E20" s="105"/>
      <c r="F20" s="61"/>
      <c r="G20" s="105"/>
      <c r="H20" s="105"/>
      <c r="I20" s="61"/>
      <c r="J20" s="1"/>
    </row>
    <row r="21" spans="1:10" ht="15" customHeight="1">
      <c r="A21" s="106" t="s">
        <v>429</v>
      </c>
      <c r="B21" s="106"/>
      <c r="C21" s="60">
        <f>SUM('Stavební rozpočet'!Z12:Z99)</f>
        <v>0</v>
      </c>
      <c r="D21" s="105"/>
      <c r="E21" s="105"/>
      <c r="F21" s="61"/>
      <c r="G21" s="105"/>
      <c r="H21" s="105"/>
      <c r="I21" s="61"/>
      <c r="J21" s="1"/>
    </row>
    <row r="22" spans="1:10" ht="16.5" customHeight="1">
      <c r="A22" s="106" t="s">
        <v>430</v>
      </c>
      <c r="B22" s="106"/>
      <c r="C22" s="60">
        <f>SUM(C14:C21)</f>
        <v>0</v>
      </c>
      <c r="D22" s="106" t="s">
        <v>431</v>
      </c>
      <c r="E22" s="106"/>
      <c r="F22" s="60">
        <f>SUM(F14:F21)</f>
        <v>0</v>
      </c>
      <c r="G22" s="106" t="s">
        <v>432</v>
      </c>
      <c r="H22" s="106"/>
      <c r="I22" s="60">
        <f>SUM(I14:I21)</f>
        <v>0</v>
      </c>
      <c r="J22" s="1"/>
    </row>
    <row r="23" spans="1:10" ht="15" customHeight="1">
      <c r="A23" s="37"/>
      <c r="B23" s="37"/>
      <c r="C23" s="63"/>
      <c r="D23" s="106" t="s">
        <v>433</v>
      </c>
      <c r="E23" s="106"/>
      <c r="F23" s="64">
        <v>0</v>
      </c>
      <c r="G23" s="106" t="s">
        <v>434</v>
      </c>
      <c r="H23" s="106"/>
      <c r="I23" s="60">
        <v>0</v>
      </c>
      <c r="J23" s="1"/>
    </row>
    <row r="24" spans="4:9" ht="15" customHeight="1">
      <c r="D24" s="37"/>
      <c r="E24" s="37"/>
      <c r="F24" s="65"/>
      <c r="G24" s="106" t="s">
        <v>435</v>
      </c>
      <c r="H24" s="106"/>
      <c r="I24" s="66"/>
    </row>
    <row r="25" spans="6:10" ht="15" customHeight="1">
      <c r="F25" s="49"/>
      <c r="G25" s="106" t="s">
        <v>436</v>
      </c>
      <c r="H25" s="106"/>
      <c r="I25" s="60">
        <v>0</v>
      </c>
      <c r="J25" s="1"/>
    </row>
    <row r="26" spans="1:9" ht="12.75">
      <c r="A26" s="52"/>
      <c r="B26" s="52"/>
      <c r="C26" s="52"/>
      <c r="G26" s="37"/>
      <c r="H26" s="37"/>
      <c r="I26" s="37"/>
    </row>
    <row r="27" spans="1:9" ht="15" customHeight="1">
      <c r="A27" s="107" t="s">
        <v>437</v>
      </c>
      <c r="B27" s="107"/>
      <c r="C27" s="67">
        <f>SUM('Stavební rozpočet'!AJ12:AJ99)</f>
        <v>0</v>
      </c>
      <c r="D27" s="51"/>
      <c r="E27" s="52"/>
      <c r="F27" s="52"/>
      <c r="G27" s="52"/>
      <c r="H27" s="52"/>
      <c r="I27" s="52"/>
    </row>
    <row r="28" spans="1:10" ht="15" customHeight="1">
      <c r="A28" s="107" t="s">
        <v>438</v>
      </c>
      <c r="B28" s="107"/>
      <c r="C28" s="67">
        <f>SUM('Stavební rozpočet'!AK12:AK99)</f>
        <v>0</v>
      </c>
      <c r="D28" s="107" t="s">
        <v>439</v>
      </c>
      <c r="E28" s="107"/>
      <c r="F28" s="67">
        <f>ROUND(C28*(15/100),2)</f>
        <v>0</v>
      </c>
      <c r="G28" s="107" t="s">
        <v>440</v>
      </c>
      <c r="H28" s="107"/>
      <c r="I28" s="67">
        <f>SUM(C27:C29)</f>
        <v>0</v>
      </c>
      <c r="J28" s="1"/>
    </row>
    <row r="29" spans="1:10" ht="15" customHeight="1">
      <c r="A29" s="107" t="s">
        <v>441</v>
      </c>
      <c r="B29" s="107"/>
      <c r="C29" s="67">
        <f>SUM('Stavební rozpočet'!AL12:AL99)</f>
        <v>0</v>
      </c>
      <c r="D29" s="107" t="s">
        <v>442</v>
      </c>
      <c r="E29" s="107"/>
      <c r="F29" s="67">
        <f>ROUND(C29*(21/100),2)</f>
        <v>0</v>
      </c>
      <c r="G29" s="107" t="s">
        <v>443</v>
      </c>
      <c r="H29" s="107"/>
      <c r="I29" s="67">
        <f>SUM(F28:F29)+I28</f>
        <v>0</v>
      </c>
      <c r="J29" s="1"/>
    </row>
    <row r="30" spans="1:9" ht="12.75">
      <c r="A30" s="68"/>
      <c r="B30" s="68"/>
      <c r="C30" s="68"/>
      <c r="D30" s="68"/>
      <c r="E30" s="68"/>
      <c r="F30" s="68"/>
      <c r="G30" s="68"/>
      <c r="H30" s="68"/>
      <c r="I30" s="68"/>
    </row>
    <row r="31" spans="1:10" ht="14.25" customHeight="1">
      <c r="A31" s="108" t="s">
        <v>444</v>
      </c>
      <c r="B31" s="108"/>
      <c r="C31" s="108"/>
      <c r="D31" s="108" t="s">
        <v>445</v>
      </c>
      <c r="E31" s="108"/>
      <c r="F31" s="108"/>
      <c r="G31" s="108" t="s">
        <v>446</v>
      </c>
      <c r="H31" s="108"/>
      <c r="I31" s="108"/>
      <c r="J31" s="8"/>
    </row>
    <row r="32" spans="1:10" ht="14.2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8"/>
    </row>
    <row r="33" spans="1:10" ht="14.2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8"/>
    </row>
    <row r="34" spans="1:10" ht="14.2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8"/>
    </row>
    <row r="35" spans="1:10" ht="14.25" customHeight="1">
      <c r="A35" s="110" t="s">
        <v>447</v>
      </c>
      <c r="B35" s="110"/>
      <c r="C35" s="110"/>
      <c r="D35" s="110" t="s">
        <v>447</v>
      </c>
      <c r="E35" s="110"/>
      <c r="F35" s="110"/>
      <c r="G35" s="110" t="s">
        <v>447</v>
      </c>
      <c r="H35" s="110"/>
      <c r="I35" s="110"/>
      <c r="J35" s="8"/>
    </row>
    <row r="36" spans="1:9" ht="11.25" customHeight="1">
      <c r="A36" s="69" t="s">
        <v>304</v>
      </c>
      <c r="B36" s="70"/>
      <c r="C36" s="70"/>
      <c r="D36" s="70"/>
      <c r="E36" s="70"/>
      <c r="F36" s="70"/>
      <c r="G36" s="70"/>
      <c r="H36" s="70"/>
      <c r="I36" s="70"/>
    </row>
    <row r="37" spans="1:9" ht="12.75">
      <c r="A37" s="78"/>
      <c r="B37" s="78"/>
      <c r="C37" s="78"/>
      <c r="D37" s="78"/>
      <c r="E37" s="78"/>
      <c r="F37" s="78"/>
      <c r="G37" s="78"/>
      <c r="H37" s="78"/>
      <c r="I37" s="78"/>
    </row>
  </sheetData>
  <sheetProtection selectLockedCells="1" selectUnlockedCells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detskydomov kralupy</dc:creator>
  <cp:keywords/>
  <dc:description/>
  <cp:lastModifiedBy>detskydomov kralupy</cp:lastModifiedBy>
  <dcterms:created xsi:type="dcterms:W3CDTF">2023-05-18T11:19:14Z</dcterms:created>
  <dcterms:modified xsi:type="dcterms:W3CDTF">2023-05-18T11:19:14Z</dcterms:modified>
  <cp:category/>
  <cp:version/>
  <cp:contentType/>
  <cp:contentStatus/>
</cp:coreProperties>
</file>